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never" defaultThemeVersion="166925"/>
  <mc:AlternateContent xmlns:mc="http://schemas.openxmlformats.org/markup-compatibility/2006">
    <mc:Choice Requires="x15">
      <x15ac:absPath xmlns:x15ac="http://schemas.microsoft.com/office/spreadsheetml/2010/11/ac" url="https://team.duke-energy.com/sites/OHKYRegDiscovery/KY/202500xxx DEK Rider PMM Phase 4 Application/Discovery/STAFF's 1st Set of Data Requests/STAFF-DR-01-005(b) Attachments/"/>
    </mc:Choice>
  </mc:AlternateContent>
  <xr:revisionPtr revIDLastSave="0" documentId="13_ncr:1_{244BBF5E-EF8C-454C-8705-FAAB6E10BA6B}" xr6:coauthVersionLast="47" xr6:coauthVersionMax="47" xr10:uidLastSave="{00000000-0000-0000-0000-000000000000}"/>
  <bookViews>
    <workbookView xWindow="-120" yWindow="-120" windowWidth="29040" windowHeight="15720" xr2:uid="{05B0F650-E780-479E-86BD-F9625817C56A}"/>
  </bookViews>
  <sheets>
    <sheet name="First Sheet" sheetId="24" r:id="rId1"/>
    <sheet name="Master Tab" sheetId="2" r:id="rId2"/>
    <sheet name="Finance Breakdown" sheetId="22" r:id="rId3"/>
    <sheet name="Assumptions" sheetId="3" r:id="rId4"/>
    <sheet name="Cost Report" sheetId="5" r:id="rId5"/>
    <sheet name="Pipeline 1" sheetId="6" r:id="rId6"/>
    <sheet name="Pipeline 2" sheetId="30" r:id="rId7"/>
    <sheet name="Queens Qt " sheetId="39" r:id="rId8"/>
    <sheet name="Demo 1" sheetId="16" r:id="rId9"/>
    <sheet name="Dropdown Values" sheetId="26" state="hidden" r:id="rId10"/>
    <sheet name="AFUDC" sheetId="35" state="hidden" r:id="rId11"/>
  </sheets>
  <externalReferences>
    <externalReference r:id="rId12"/>
    <externalReference r:id="rId13"/>
    <externalReference r:id="rId14"/>
    <externalReference r:id="rId15"/>
    <externalReference r:id="rId16"/>
    <externalReference r:id="rId17"/>
    <externalReference r:id="rId18"/>
  </externalReferences>
  <definedNames>
    <definedName name="____W.O.R.K.B.O.O.K..C.O.N.T.E.N.T.S____">#REF!</definedName>
    <definedName name="___INDEX_SHEET___ASAP_Utilities">#REF!</definedName>
    <definedName name="ActCurAFUDC2">#REF!</definedName>
    <definedName name="Approval">#REF!</definedName>
    <definedName name="AssetLoc">'[1]Data for DropDowns'!$B$84:$B$92</definedName>
    <definedName name="Close">#REF!</definedName>
    <definedName name="Compliance_Impact">#REF!</definedName>
    <definedName name="Copy">#REF!</definedName>
    <definedName name="Frequency">[2]DropDown_Elements!$A$2:$A$30</definedName>
    <definedName name="FundingType">'[3]Project Financials Input'!$K$15:$K$17</definedName>
    <definedName name="Initiation">#REF!</definedName>
    <definedName name="inservice_date">'[4]IRR Calc Input sht IG'!$H$10</definedName>
    <definedName name="Kd">'[4]IRR Calc Input sht IG'!$H$50</definedName>
    <definedName name="Ke">'[4]IRR Calc Input sht IG'!$H$48</definedName>
    <definedName name="LastActualsDate">'[5]Lookup Lists'!$B$2:$B$26</definedName>
    <definedName name="Legal_Entities">#REF!</definedName>
    <definedName name="OperatingUnits">'[1]Data for DropDowns'!$B$159:$B$213</definedName>
    <definedName name="Pal_Workbook_GUID" hidden="1">"ZJ7P2TD1JKBJAXD5DEBV833R"</definedName>
    <definedName name="Parcels">'Dropdown Values'!$B$14:$B$17</definedName>
    <definedName name="Plotting">#REF!</definedName>
    <definedName name="_xlnm.Print_Area" localSheetId="4">'Cost Report'!$A$1:$K$38</definedName>
    <definedName name="_xlnm.Print_Area" localSheetId="8">'Demo 1'!$A$1:$I$57</definedName>
    <definedName name="_xlnm.Print_Area" localSheetId="2">'Finance Breakdown'!$A$1:$E$27</definedName>
    <definedName name="_xlnm.Print_Area" localSheetId="1">'Master Tab'!$A$4:$D$34</definedName>
    <definedName name="_xlnm.Print_Area" localSheetId="5">'Pipeline 1'!$A$1:$I$189</definedName>
    <definedName name="_xlnm.Print_Area" localSheetId="6">'Pipeline 2'!$A$1:$I$189</definedName>
    <definedName name="_xlnm.Print_Area" localSheetId="7">'Queens Qt '!$A$1:$I$138</definedName>
    <definedName name="Priority">'[6]Action Item Log'!#REF!</definedName>
    <definedName name="Probability">#REF!</definedName>
    <definedName name="ProcessList">'[7]Process Drop Down'!$A$8:$A$98</definedName>
    <definedName name="ProjectClass">'[1]Data for DropDowns'!$B$104:$B$155</definedName>
    <definedName name="ProjectRank">#REF!</definedName>
    <definedName name="ProjRank">#REF!</definedName>
    <definedName name="prop_tax_rate">'[4]IRR Calc Input sht IG'!$H$60</definedName>
    <definedName name="Risk_Types">#REF!</definedName>
    <definedName name="Site">#REF!</definedName>
    <definedName name="Sites">'[5]Lookup Lists'!$D$3:$D$8</definedName>
    <definedName name="start_date">'[4]IRR Calc Input sht IG'!$H$9</definedName>
    <definedName name="Status">#REF!</definedName>
    <definedName name="tax_rate">'[4]IRR Calc Input sht IG'!$H$51</definedName>
    <definedName name="TC_Impact">#REF!</definedName>
    <definedName name="TDCategory">'[1]Data for DropDowns'!$B$29:$B$71</definedName>
    <definedName name="test">#REF!</definedName>
    <definedName name="Treatment">#REF!</definedName>
    <definedName name="Val_Date">#REF!</definedName>
    <definedName name="wacc">'[4]IRR Calc Input sht IG'!$H$52</definedName>
    <definedName name="We">'[4]IRR Calc Input sht IG'!$H$49</definedName>
    <definedName name="YESNO">'[1]Data for DropDowns'!$B$77:$B$79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20" i="39" l="1"/>
  <c r="H125" i="39"/>
  <c r="H112" i="39"/>
  <c r="H111" i="39"/>
  <c r="D74" i="39" l="1"/>
  <c r="D40" i="39"/>
  <c r="F37" i="39"/>
  <c r="F36" i="39"/>
  <c r="F35" i="39"/>
  <c r="F34" i="39"/>
  <c r="F33" i="39"/>
  <c r="F32" i="39"/>
  <c r="F70" i="30" l="1"/>
  <c r="D69" i="30"/>
  <c r="D82" i="30"/>
  <c r="F53" i="30"/>
  <c r="D50" i="30"/>
  <c r="F53" i="6"/>
  <c r="D82" i="6"/>
  <c r="D72" i="6"/>
  <c r="D69" i="6"/>
  <c r="D40" i="6"/>
  <c r="D50" i="6"/>
  <c r="F137" i="39"/>
  <c r="F136" i="39"/>
  <c r="D136" i="39"/>
  <c r="H131" i="39"/>
  <c r="H130" i="39"/>
  <c r="H129" i="39"/>
  <c r="H127" i="39"/>
  <c r="H126" i="39"/>
  <c r="H124" i="39"/>
  <c r="H123" i="39"/>
  <c r="H122" i="39"/>
  <c r="H121" i="39"/>
  <c r="H119" i="39"/>
  <c r="H118" i="39"/>
  <c r="H117" i="39"/>
  <c r="H116" i="39"/>
  <c r="H115" i="39"/>
  <c r="H114" i="39"/>
  <c r="H110" i="39"/>
  <c r="H109" i="39"/>
  <c r="H108" i="39"/>
  <c r="H107" i="39"/>
  <c r="H97" i="39"/>
  <c r="H96" i="39"/>
  <c r="H95" i="39"/>
  <c r="H94" i="39"/>
  <c r="H93" i="39"/>
  <c r="H92" i="39"/>
  <c r="H91" i="39"/>
  <c r="H90" i="39"/>
  <c r="H89" i="39"/>
  <c r="H88" i="39"/>
  <c r="H87" i="39"/>
  <c r="H86" i="39"/>
  <c r="H85" i="39"/>
  <c r="H84" i="39"/>
  <c r="H83" i="39"/>
  <c r="H82" i="39"/>
  <c r="H81" i="39"/>
  <c r="H80" i="39"/>
  <c r="H79" i="39"/>
  <c r="H78" i="39"/>
  <c r="H77" i="39"/>
  <c r="H76" i="39"/>
  <c r="H75" i="39"/>
  <c r="H74" i="39"/>
  <c r="H73" i="39"/>
  <c r="H72" i="39"/>
  <c r="H71" i="39"/>
  <c r="H70" i="39"/>
  <c r="H69" i="39"/>
  <c r="H68" i="39"/>
  <c r="H67" i="39"/>
  <c r="H66" i="39"/>
  <c r="H65" i="39"/>
  <c r="H64" i="39"/>
  <c r="H63" i="39"/>
  <c r="H62" i="39"/>
  <c r="H61" i="39"/>
  <c r="H60" i="39"/>
  <c r="H59" i="39"/>
  <c r="H58" i="39"/>
  <c r="H57" i="39"/>
  <c r="H56" i="39"/>
  <c r="H55" i="39"/>
  <c r="H54" i="39"/>
  <c r="H53" i="39"/>
  <c r="H52" i="39"/>
  <c r="H51" i="39"/>
  <c r="H50" i="39"/>
  <c r="H49" i="39"/>
  <c r="H48" i="39"/>
  <c r="H43" i="39"/>
  <c r="I15" i="5" s="1"/>
  <c r="H42" i="39"/>
  <c r="I14" i="5" s="1"/>
  <c r="H41" i="39"/>
  <c r="H40" i="39"/>
  <c r="H39" i="39"/>
  <c r="H38" i="39"/>
  <c r="H37" i="39"/>
  <c r="H36" i="39"/>
  <c r="I13" i="5" s="1"/>
  <c r="H35" i="39"/>
  <c r="H34" i="39"/>
  <c r="H33" i="39"/>
  <c r="H32" i="39"/>
  <c r="H31" i="39"/>
  <c r="H30" i="39"/>
  <c r="H26" i="39"/>
  <c r="D6" i="39"/>
  <c r="H6" i="39" s="1"/>
  <c r="I22" i="5" s="1"/>
  <c r="H5" i="39"/>
  <c r="I2" i="39"/>
  <c r="B2" i="39"/>
  <c r="C1" i="39"/>
  <c r="I7" i="39" l="1"/>
  <c r="I21" i="5"/>
  <c r="F47" i="39"/>
  <c r="H47" i="39" s="1"/>
  <c r="I98" i="39" s="1"/>
  <c r="I12" i="5"/>
  <c r="I44" i="39"/>
  <c r="F132" i="39"/>
  <c r="H132" i="39" s="1"/>
  <c r="F133" i="39" s="1"/>
  <c r="H133" i="39" s="1"/>
  <c r="I18" i="5" l="1"/>
  <c r="D101" i="39"/>
  <c r="H101" i="39" s="1"/>
  <c r="D102" i="39"/>
  <c r="H102" i="39" s="1"/>
  <c r="I20" i="5" s="1"/>
  <c r="I134" i="39"/>
  <c r="D21" i="39" s="1"/>
  <c r="H21" i="39" s="1"/>
  <c r="I103" i="39" l="1"/>
  <c r="I19" i="5"/>
  <c r="D10" i="39"/>
  <c r="H10" i="39" s="1"/>
  <c r="D20" i="39"/>
  <c r="H20" i="39" s="1"/>
  <c r="D12" i="39"/>
  <c r="H12" i="39" s="1"/>
  <c r="D16" i="39"/>
  <c r="H16" i="39" s="1"/>
  <c r="D18" i="39"/>
  <c r="H18" i="39" s="1"/>
  <c r="I16" i="5"/>
  <c r="D24" i="39"/>
  <c r="H24" i="39" s="1"/>
  <c r="D25" i="39"/>
  <c r="H25" i="39" s="1"/>
  <c r="D15" i="39"/>
  <c r="H15" i="39" s="1"/>
  <c r="D19" i="39"/>
  <c r="H19" i="39" s="1"/>
  <c r="D11" i="39"/>
  <c r="H11" i="39" s="1"/>
  <c r="D23" i="39"/>
  <c r="H23" i="39" s="1"/>
  <c r="D14" i="39"/>
  <c r="H14" i="39" s="1"/>
  <c r="D13" i="39"/>
  <c r="H13" i="39" s="1"/>
  <c r="D17" i="39"/>
  <c r="H17" i="39" s="1"/>
  <c r="D22" i="39"/>
  <c r="H22" i="39" s="1"/>
  <c r="I27" i="39" l="1"/>
  <c r="I11" i="5" s="1"/>
  <c r="I136" i="39" l="1"/>
  <c r="I25" i="5" s="1"/>
  <c r="I135" i="39"/>
  <c r="I137" i="39" s="1"/>
  <c r="I138" i="39" l="1"/>
  <c r="I24" i="5"/>
  <c r="I30" i="5" s="1"/>
  <c r="A3" i="35" l="1"/>
  <c r="A4" i="35" s="1"/>
  <c r="A5" i="35" s="1"/>
  <c r="A6" i="35" s="1"/>
  <c r="A7" i="35" s="1"/>
  <c r="A8" i="35" s="1"/>
  <c r="A9" i="35" s="1"/>
  <c r="A10" i="35" s="1"/>
  <c r="A11" i="35" s="1"/>
  <c r="A12" i="35" s="1"/>
  <c r="A13" i="35" s="1"/>
  <c r="A14" i="35" s="1"/>
  <c r="A15" i="35" s="1"/>
  <c r="A16" i="35" s="1"/>
  <c r="A17" i="35" s="1"/>
  <c r="A18" i="35" s="1"/>
  <c r="A19" i="35" s="1"/>
  <c r="A20" i="35" s="1"/>
  <c r="A21" i="35" s="1"/>
  <c r="A22" i="35" s="1"/>
  <c r="A23" i="35" s="1"/>
  <c r="A24" i="35" s="1"/>
  <c r="A25" i="35" s="1"/>
  <c r="A26" i="35" s="1"/>
  <c r="A27" i="35" s="1"/>
  <c r="A28" i="35" s="1"/>
  <c r="A29" i="35" s="1"/>
  <c r="A30" i="35" s="1"/>
  <c r="A31" i="35" s="1"/>
  <c r="A32" i="35" s="1"/>
  <c r="A33" i="35" s="1"/>
  <c r="A34" i="35" s="1"/>
  <c r="A35" i="35" s="1"/>
  <c r="A36" i="35" s="1"/>
  <c r="A37" i="35" s="1"/>
  <c r="A38" i="35" s="1"/>
  <c r="A39" i="35" s="1"/>
  <c r="A40" i="35" s="1"/>
  <c r="A41" i="35" s="1"/>
  <c r="A42" i="35" s="1"/>
  <c r="A43" i="35" s="1"/>
  <c r="A44" i="35" s="1"/>
  <c r="A45" i="35" s="1"/>
  <c r="A46" i="35" s="1"/>
  <c r="A47" i="35" s="1"/>
  <c r="A48" i="35" s="1"/>
  <c r="D181" i="30" l="1"/>
  <c r="H181" i="30" s="1"/>
  <c r="D181" i="6"/>
  <c r="H181" i="6" s="1"/>
  <c r="H26" i="16"/>
  <c r="H25" i="16"/>
  <c r="H158" i="6"/>
  <c r="H157" i="6"/>
  <c r="H156" i="6"/>
  <c r="H155" i="6"/>
  <c r="H154" i="6"/>
  <c r="H153" i="6"/>
  <c r="H152" i="6"/>
  <c r="H151" i="6"/>
  <c r="H150" i="6"/>
  <c r="H149" i="6"/>
  <c r="H148" i="6"/>
  <c r="H147" i="6"/>
  <c r="H146" i="6"/>
  <c r="H145" i="6"/>
  <c r="H144" i="6"/>
  <c r="H143" i="6"/>
  <c r="H142" i="6"/>
  <c r="H141" i="6"/>
  <c r="H140" i="6"/>
  <c r="H139" i="6"/>
  <c r="H138" i="6"/>
  <c r="H137" i="6"/>
  <c r="H136" i="6"/>
  <c r="H135" i="6"/>
  <c r="H134" i="6"/>
  <c r="H133" i="6"/>
  <c r="H132" i="6"/>
  <c r="H131" i="6"/>
  <c r="H130" i="6"/>
  <c r="H129" i="6"/>
  <c r="H128" i="6"/>
  <c r="H127" i="6"/>
  <c r="H126" i="6"/>
  <c r="H125" i="6"/>
  <c r="H124"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71" i="30"/>
  <c r="H143" i="30"/>
  <c r="H142" i="30"/>
  <c r="H141" i="30"/>
  <c r="F47" i="6" l="1"/>
  <c r="H47" i="6" s="1"/>
  <c r="H155" i="30" l="1"/>
  <c r="H154" i="30"/>
  <c r="H153" i="30"/>
  <c r="H152" i="30"/>
  <c r="H151" i="30"/>
  <c r="H150" i="30"/>
  <c r="H149" i="30"/>
  <c r="H148" i="30"/>
  <c r="H147" i="30"/>
  <c r="H146" i="30"/>
  <c r="H145" i="30"/>
  <c r="H144" i="30"/>
  <c r="H158" i="30"/>
  <c r="H157" i="30"/>
  <c r="H156" i="30"/>
  <c r="H131" i="30"/>
  <c r="H130" i="30"/>
  <c r="H129" i="30"/>
  <c r="H128" i="30"/>
  <c r="H127" i="30"/>
  <c r="H126" i="30"/>
  <c r="H125" i="30"/>
  <c r="H124" i="30"/>
  <c r="H123" i="30"/>
  <c r="H100" i="30"/>
  <c r="H99" i="30"/>
  <c r="H98" i="30"/>
  <c r="H97" i="30"/>
  <c r="H96" i="30"/>
  <c r="H95" i="30"/>
  <c r="H94" i="30"/>
  <c r="H93" i="30"/>
  <c r="H92" i="30"/>
  <c r="H91" i="30"/>
  <c r="H90" i="30"/>
  <c r="H89" i="30"/>
  <c r="H88" i="30"/>
  <c r="H87" i="30"/>
  <c r="H86" i="30"/>
  <c r="H85" i="30"/>
  <c r="H84" i="30"/>
  <c r="H83" i="30"/>
  <c r="H82" i="30"/>
  <c r="B2" i="16" l="1"/>
  <c r="C32" i="2"/>
  <c r="C33" i="2"/>
  <c r="F188" i="30" l="1"/>
  <c r="F187" i="30"/>
  <c r="D187" i="30"/>
  <c r="H182" i="30"/>
  <c r="D180" i="30"/>
  <c r="H180" i="30" s="1"/>
  <c r="H178" i="30"/>
  <c r="H177" i="30"/>
  <c r="H176" i="30"/>
  <c r="H175" i="30"/>
  <c r="H173" i="30"/>
  <c r="H172" i="30"/>
  <c r="H170" i="30"/>
  <c r="H169" i="30"/>
  <c r="H168" i="30"/>
  <c r="H140" i="30"/>
  <c r="H139" i="30"/>
  <c r="H138" i="30"/>
  <c r="H137" i="30"/>
  <c r="H136" i="30"/>
  <c r="H135" i="30"/>
  <c r="H134" i="30"/>
  <c r="H133" i="30"/>
  <c r="H132" i="30"/>
  <c r="H122" i="30"/>
  <c r="H121" i="30"/>
  <c r="H120" i="30"/>
  <c r="H119" i="30"/>
  <c r="H118" i="30"/>
  <c r="H117" i="30"/>
  <c r="H116" i="30"/>
  <c r="H115" i="30"/>
  <c r="H114" i="30"/>
  <c r="H113" i="30"/>
  <c r="H112" i="30"/>
  <c r="H111" i="30"/>
  <c r="H110" i="30"/>
  <c r="H109" i="30"/>
  <c r="H108" i="30"/>
  <c r="H107" i="30"/>
  <c r="H106" i="30"/>
  <c r="H105" i="30"/>
  <c r="H104" i="30"/>
  <c r="H103" i="30"/>
  <c r="H102" i="30"/>
  <c r="H101" i="30"/>
  <c r="H81" i="30"/>
  <c r="H80" i="30"/>
  <c r="H79" i="30"/>
  <c r="H78" i="30"/>
  <c r="H77" i="30"/>
  <c r="H76" i="30"/>
  <c r="H75" i="30"/>
  <c r="H74" i="30"/>
  <c r="H73" i="30"/>
  <c r="H72" i="30"/>
  <c r="H70" i="30"/>
  <c r="H69" i="30"/>
  <c r="H68" i="30"/>
  <c r="H67" i="30"/>
  <c r="H66" i="30"/>
  <c r="H65" i="30"/>
  <c r="H64" i="30"/>
  <c r="H63" i="30"/>
  <c r="H62" i="30"/>
  <c r="H61" i="30"/>
  <c r="H60" i="30"/>
  <c r="H59" i="30"/>
  <c r="H58" i="30"/>
  <c r="H57" i="30"/>
  <c r="H56" i="30"/>
  <c r="H55" i="30"/>
  <c r="H54" i="30"/>
  <c r="H53" i="30"/>
  <c r="H52" i="30"/>
  <c r="H51" i="30"/>
  <c r="H50" i="30"/>
  <c r="H49" i="30"/>
  <c r="H48" i="30"/>
  <c r="H43" i="30"/>
  <c r="H15" i="5" s="1"/>
  <c r="H42" i="30"/>
  <c r="H14" i="5" s="1"/>
  <c r="H41" i="30"/>
  <c r="D40" i="30"/>
  <c r="H40" i="30" s="1"/>
  <c r="H39" i="30"/>
  <c r="H38" i="30"/>
  <c r="F37" i="30"/>
  <c r="H37" i="30" s="1"/>
  <c r="F36" i="30"/>
  <c r="H36" i="30" s="1"/>
  <c r="F35" i="30"/>
  <c r="H35" i="30" s="1"/>
  <c r="F34" i="30"/>
  <c r="H34" i="30" s="1"/>
  <c r="F33" i="30"/>
  <c r="H33" i="30" s="1"/>
  <c r="F32" i="30"/>
  <c r="H32" i="30" s="1"/>
  <c r="H31" i="30"/>
  <c r="H30" i="30"/>
  <c r="H26" i="30"/>
  <c r="D6" i="30"/>
  <c r="H6" i="30" s="1"/>
  <c r="H22" i="5" s="1"/>
  <c r="H5" i="30"/>
  <c r="I2" i="30"/>
  <c r="C2" i="30"/>
  <c r="B2" i="30"/>
  <c r="C1" i="30"/>
  <c r="F47" i="30" l="1"/>
  <c r="H47" i="30" s="1"/>
  <c r="H12" i="5"/>
  <c r="H13" i="5"/>
  <c r="I7" i="30"/>
  <c r="H21" i="5"/>
  <c r="F183" i="30"/>
  <c r="H183" i="30" s="1"/>
  <c r="F184" i="30" s="1"/>
  <c r="H184" i="30" s="1"/>
  <c r="I185" i="30" s="1"/>
  <c r="H16" i="5" s="1"/>
  <c r="I44" i="30"/>
  <c r="I159" i="30" l="1"/>
  <c r="D17" i="30" s="1"/>
  <c r="D14" i="30" l="1"/>
  <c r="D20" i="30"/>
  <c r="H20" i="30" s="1"/>
  <c r="D16" i="30"/>
  <c r="H16" i="30" s="1"/>
  <c r="H17" i="5"/>
  <c r="D163" i="30"/>
  <c r="H163" i="30" s="1"/>
  <c r="H20" i="5" s="1"/>
  <c r="D162" i="30"/>
  <c r="H162" i="30" s="1"/>
  <c r="H19" i="5" s="1"/>
  <c r="D25" i="30"/>
  <c r="H25" i="30" s="1"/>
  <c r="D10" i="30"/>
  <c r="H10" i="30" s="1"/>
  <c r="D24" i="30"/>
  <c r="D13" i="30"/>
  <c r="H13" i="30" s="1"/>
  <c r="D18" i="30"/>
  <c r="H18" i="30" s="1"/>
  <c r="D12" i="30"/>
  <c r="H12" i="30" s="1"/>
  <c r="D11" i="30"/>
  <c r="H11" i="30" s="1"/>
  <c r="D15" i="30"/>
  <c r="H15" i="30" s="1"/>
  <c r="D22" i="30"/>
  <c r="H22" i="30" s="1"/>
  <c r="D23" i="30"/>
  <c r="H23" i="30" s="1"/>
  <c r="D21" i="30"/>
  <c r="D19" i="30"/>
  <c r="H19" i="30" s="1"/>
  <c r="H24" i="30"/>
  <c r="H14" i="30"/>
  <c r="H17" i="30"/>
  <c r="H21" i="30"/>
  <c r="I27" i="30" l="1"/>
  <c r="H11" i="5" s="1"/>
  <c r="H23" i="5" s="1"/>
  <c r="I164" i="30"/>
  <c r="B2" i="6"/>
  <c r="I187" i="30" l="1"/>
  <c r="H25" i="5" s="1"/>
  <c r="I186" i="30"/>
  <c r="I188" i="30" s="1"/>
  <c r="H24" i="5" s="1"/>
  <c r="H30" i="5" l="1"/>
  <c r="H26" i="5"/>
  <c r="H28" i="5" s="1"/>
  <c r="I189" i="30"/>
  <c r="I192" i="30" s="1"/>
  <c r="I191" i="30" l="1"/>
  <c r="D39" i="6" l="1"/>
  <c r="D180" i="6" l="1"/>
  <c r="H180" i="6" s="1"/>
  <c r="H40" i="6" l="1"/>
  <c r="F35" i="6"/>
  <c r="F34" i="6"/>
  <c r="F33" i="6"/>
  <c r="F32" i="6"/>
  <c r="H182" i="6" l="1"/>
  <c r="F3" i="24" l="1"/>
  <c r="F4" i="24"/>
  <c r="F5" i="24"/>
  <c r="F6" i="24"/>
  <c r="F7" i="24"/>
  <c r="F8" i="24"/>
  <c r="F9" i="24"/>
  <c r="F10" i="24"/>
  <c r="F11" i="24"/>
  <c r="F12" i="24"/>
  <c r="F2" i="24"/>
  <c r="H38" i="16" l="1"/>
  <c r="H37" i="16"/>
  <c r="C7" i="5" l="1"/>
  <c r="B6" i="5"/>
  <c r="H19" i="16" l="1"/>
  <c r="K14" i="5" s="1"/>
  <c r="H18" i="16"/>
  <c r="H17" i="16"/>
  <c r="H16" i="16"/>
  <c r="F37" i="6"/>
  <c r="F36" i="6"/>
  <c r="H41" i="6"/>
  <c r="H31" i="6"/>
  <c r="K13" i="5" l="1"/>
  <c r="H37" i="6" l="1"/>
  <c r="H35" i="6"/>
  <c r="H33" i="6"/>
  <c r="D3" i="24" l="1"/>
  <c r="D4" i="24"/>
  <c r="D5" i="24"/>
  <c r="D6" i="24"/>
  <c r="D7" i="24"/>
  <c r="D8" i="24"/>
  <c r="D9" i="24"/>
  <c r="D10" i="24"/>
  <c r="D11" i="24"/>
  <c r="D12" i="24"/>
  <c r="D2" i="24"/>
  <c r="B3" i="24"/>
  <c r="B4" i="24"/>
  <c r="B5" i="24"/>
  <c r="B6" i="24"/>
  <c r="B7" i="24"/>
  <c r="B8" i="24"/>
  <c r="B9" i="24"/>
  <c r="B10" i="24"/>
  <c r="B11" i="24"/>
  <c r="B12" i="24"/>
  <c r="B2" i="24"/>
  <c r="H178" i="6" l="1"/>
  <c r="H177" i="6"/>
  <c r="H176" i="6"/>
  <c r="H175" i="6"/>
  <c r="H173" i="6"/>
  <c r="H172" i="6"/>
  <c r="H170" i="6"/>
  <c r="H169" i="6"/>
  <c r="H168" i="6"/>
  <c r="D43" i="6"/>
  <c r="H43" i="6" s="1"/>
  <c r="G15" i="5" s="1"/>
  <c r="G14" i="5"/>
  <c r="H39" i="6"/>
  <c r="H38" i="6"/>
  <c r="H36" i="6"/>
  <c r="H34" i="6"/>
  <c r="H32" i="6"/>
  <c r="H30" i="6"/>
  <c r="H26" i="6"/>
  <c r="D6" i="6"/>
  <c r="H6" i="6" s="1"/>
  <c r="H5" i="6"/>
  <c r="F183" i="6" l="1"/>
  <c r="H183" i="6" s="1"/>
  <c r="F184" i="6" s="1"/>
  <c r="H184" i="6" s="1"/>
  <c r="I185" i="6" s="1"/>
  <c r="G16" i="5" s="1"/>
  <c r="G13" i="5"/>
  <c r="G12" i="5"/>
  <c r="I159" i="6"/>
  <c r="I44" i="6"/>
  <c r="I7" i="6"/>
  <c r="D163" i="6" l="1"/>
  <c r="D162" i="6"/>
  <c r="H162" i="6" s="1"/>
  <c r="G19" i="5" s="1"/>
  <c r="D23" i="6"/>
  <c r="H23" i="6" s="1"/>
  <c r="D15" i="6"/>
  <c r="H15" i="6" s="1"/>
  <c r="D17" i="6"/>
  <c r="H17" i="6" s="1"/>
  <c r="D22" i="6"/>
  <c r="H22" i="6" s="1"/>
  <c r="D14" i="6"/>
  <c r="H14" i="6" s="1"/>
  <c r="D10" i="6"/>
  <c r="H10" i="6" s="1"/>
  <c r="D25" i="6"/>
  <c r="H25" i="6" s="1"/>
  <c r="D21" i="6"/>
  <c r="H21" i="6" s="1"/>
  <c r="D13" i="6"/>
  <c r="H13" i="6" s="1"/>
  <c r="D11" i="6"/>
  <c r="H11" i="6" s="1"/>
  <c r="D16" i="6"/>
  <c r="H16" i="6" s="1"/>
  <c r="D20" i="6"/>
  <c r="H20" i="6" s="1"/>
  <c r="D12" i="6"/>
  <c r="H12" i="6" s="1"/>
  <c r="D18" i="6"/>
  <c r="H18" i="6" s="1"/>
  <c r="D24" i="6"/>
  <c r="H24" i="6" s="1"/>
  <c r="D19" i="6"/>
  <c r="H19" i="6" s="1"/>
  <c r="H163" i="6"/>
  <c r="G20" i="5" s="1"/>
  <c r="G17" i="5"/>
  <c r="D6" i="16"/>
  <c r="I27" i="6" l="1"/>
  <c r="I164" i="6"/>
  <c r="E3" i="24"/>
  <c r="E11" i="24"/>
  <c r="E9" i="24"/>
  <c r="E4" i="24"/>
  <c r="E12" i="24"/>
  <c r="E7" i="24"/>
  <c r="E10" i="24"/>
  <c r="E5" i="24"/>
  <c r="E2" i="24"/>
  <c r="E6" i="24"/>
  <c r="E8" i="24"/>
  <c r="I186" i="6" l="1"/>
  <c r="H31" i="16" l="1"/>
  <c r="H30" i="16"/>
  <c r="H50" i="16" l="1"/>
  <c r="H49" i="16"/>
  <c r="H48" i="16"/>
  <c r="H39" i="16"/>
  <c r="H36" i="16"/>
  <c r="H35" i="16"/>
  <c r="H34" i="16"/>
  <c r="H33" i="16"/>
  <c r="H32" i="16"/>
  <c r="H29" i="16"/>
  <c r="H28" i="16"/>
  <c r="H27" i="16"/>
  <c r="H24" i="16"/>
  <c r="H12" i="16"/>
  <c r="F51" i="16" l="1"/>
  <c r="H51" i="16"/>
  <c r="F52" i="16" s="1"/>
  <c r="D13" i="5"/>
  <c r="D15" i="5"/>
  <c r="D14" i="5"/>
  <c r="I20" i="16"/>
  <c r="D12" i="5" l="1"/>
  <c r="G7" i="24" s="1"/>
  <c r="F56" i="16" l="1"/>
  <c r="F188" i="6"/>
  <c r="I188" i="6" s="1"/>
  <c r="F55" i="16"/>
  <c r="F187" i="6"/>
  <c r="D55" i="16"/>
  <c r="D187" i="6"/>
  <c r="I187" i="6" l="1"/>
  <c r="I189" i="6" s="1"/>
  <c r="C22" i="22"/>
  <c r="C23" i="22"/>
  <c r="C21" i="22"/>
  <c r="B4" i="22"/>
  <c r="B2" i="22"/>
  <c r="I2" i="16" l="1"/>
  <c r="C1" i="16"/>
  <c r="I2" i="6"/>
  <c r="C2" i="6"/>
  <c r="C1" i="6"/>
  <c r="F23" i="16" l="1"/>
  <c r="H23" i="16" s="1"/>
  <c r="I40" i="16" s="1"/>
  <c r="H52" i="16"/>
  <c r="I53" i="16" s="1"/>
  <c r="D43" i="16" l="1"/>
  <c r="D10" i="16"/>
  <c r="H10" i="16" s="1"/>
  <c r="K17" i="5"/>
  <c r="K16" i="5"/>
  <c r="H43" i="16"/>
  <c r="K19" i="5" s="1"/>
  <c r="H44" i="16"/>
  <c r="K20" i="5" s="1"/>
  <c r="D11" i="16"/>
  <c r="H11" i="16" s="1"/>
  <c r="F20" i="5" l="1"/>
  <c r="D20" i="5"/>
  <c r="D18" i="5"/>
  <c r="G2" i="24" s="1"/>
  <c r="D16" i="5"/>
  <c r="G9" i="24" s="1"/>
  <c r="I13" i="16"/>
  <c r="K11" i="5" s="1"/>
  <c r="I45" i="16"/>
  <c r="D17" i="5" l="1"/>
  <c r="G3" i="24" s="1"/>
  <c r="H6" i="16"/>
  <c r="K22" i="5" s="1"/>
  <c r="H5" i="16"/>
  <c r="G11" i="5"/>
  <c r="D19" i="5" l="1"/>
  <c r="D11" i="5"/>
  <c r="G5" i="24" s="1"/>
  <c r="I7" i="16"/>
  <c r="K21" i="5"/>
  <c r="G22" i="5"/>
  <c r="G21" i="5"/>
  <c r="G6" i="24" l="1"/>
  <c r="I54" i="16"/>
  <c r="I56" i="16" s="1"/>
  <c r="I55" i="16"/>
  <c r="K25" i="5" s="1"/>
  <c r="D21" i="5"/>
  <c r="G12" i="24" s="1"/>
  <c r="K23" i="5"/>
  <c r="D22" i="5"/>
  <c r="G10" i="24" s="1"/>
  <c r="D23" i="5" l="1"/>
  <c r="I57" i="16"/>
  <c r="G25" i="5"/>
  <c r="D25" i="5" l="1"/>
  <c r="C6" i="22" s="1"/>
  <c r="K24" i="5"/>
  <c r="K30" i="5" s="1"/>
  <c r="G24" i="5"/>
  <c r="G30" i="5" s="1"/>
  <c r="I192" i="6" l="1"/>
  <c r="F30" i="5" l="1"/>
  <c r="D24" i="5"/>
  <c r="G4" i="24" s="1"/>
  <c r="I191" i="6"/>
  <c r="B5" i="5"/>
  <c r="B3" i="5"/>
  <c r="B2" i="5"/>
  <c r="K31" i="5"/>
  <c r="K26" i="5"/>
  <c r="I26" i="5"/>
  <c r="G26" i="5"/>
  <c r="I23" i="5"/>
  <c r="G23" i="5"/>
  <c r="F25" i="5"/>
  <c r="F24" i="5"/>
  <c r="F22" i="5"/>
  <c r="F21" i="5"/>
  <c r="C8" i="22" s="1"/>
  <c r="F19" i="5"/>
  <c r="F18" i="5"/>
  <c r="F17" i="5"/>
  <c r="F16" i="5"/>
  <c r="C7" i="22" s="1"/>
  <c r="F15" i="5"/>
  <c r="F14" i="5"/>
  <c r="F13" i="5"/>
  <c r="F12" i="5"/>
  <c r="C9" i="22" s="1"/>
  <c r="F11" i="5"/>
  <c r="D30" i="5" l="1"/>
  <c r="G11" i="24" s="1"/>
  <c r="F23" i="5"/>
  <c r="C13" i="22"/>
  <c r="F26" i="5"/>
  <c r="C10" i="22"/>
  <c r="I28" i="5"/>
  <c r="K28" i="5"/>
  <c r="K32" i="5" s="1"/>
  <c r="D26" i="5"/>
  <c r="G28" i="5"/>
  <c r="G5" i="3"/>
  <c r="A4" i="3"/>
  <c r="A1" i="3"/>
  <c r="F28" i="5" l="1"/>
  <c r="C11" i="22"/>
  <c r="C14" i="22" s="1"/>
  <c r="C18" i="22" s="1"/>
  <c r="D28" i="5"/>
  <c r="B48" i="35" l="1"/>
  <c r="B40" i="35"/>
  <c r="B32" i="35"/>
  <c r="B24" i="35"/>
  <c r="B16" i="35"/>
  <c r="B8" i="35"/>
  <c r="B12" i="35"/>
  <c r="B35" i="35"/>
  <c r="B11" i="35"/>
  <c r="B47" i="35"/>
  <c r="B39" i="35"/>
  <c r="B31" i="35"/>
  <c r="B23" i="35"/>
  <c r="B15" i="35"/>
  <c r="B7" i="35"/>
  <c r="B28" i="35"/>
  <c r="B27" i="35"/>
  <c r="B19" i="35"/>
  <c r="B17" i="35"/>
  <c r="B46" i="35"/>
  <c r="B38" i="35"/>
  <c r="B30" i="35"/>
  <c r="B22" i="35"/>
  <c r="B14" i="35"/>
  <c r="B6" i="35"/>
  <c r="B4" i="35"/>
  <c r="B43" i="35"/>
  <c r="B45" i="35"/>
  <c r="B37" i="35"/>
  <c r="B29" i="35"/>
  <c r="B21" i="35"/>
  <c r="B13" i="35"/>
  <c r="B5" i="35"/>
  <c r="B44" i="35"/>
  <c r="B36" i="35"/>
  <c r="B20" i="35"/>
  <c r="B42" i="35"/>
  <c r="B34" i="35"/>
  <c r="B26" i="35"/>
  <c r="B18" i="35"/>
  <c r="B10" i="35"/>
  <c r="B41" i="35"/>
  <c r="B33" i="35"/>
  <c r="B25" i="35"/>
  <c r="B9" i="35"/>
  <c r="D4" i="35" l="1"/>
  <c r="E4" i="35" s="1"/>
  <c r="F4" i="35" s="1"/>
  <c r="C4" i="35"/>
  <c r="C5" i="35" s="1"/>
  <c r="C6" i="35" s="1"/>
  <c r="C7" i="35" s="1"/>
  <c r="C8" i="35" s="1"/>
  <c r="C9" i="35" s="1"/>
  <c r="C10" i="35" s="1"/>
  <c r="C11" i="35" s="1"/>
  <c r="C12" i="35" s="1"/>
  <c r="C13" i="35" s="1"/>
  <c r="C14" i="35" s="1"/>
  <c r="C15" i="35" s="1"/>
  <c r="C16" i="35" s="1"/>
  <c r="C17" i="35" s="1"/>
  <c r="C18" i="35" s="1"/>
  <c r="C19" i="35" s="1"/>
  <c r="C20" i="35" s="1"/>
  <c r="C21" i="35" s="1"/>
  <c r="C22" i="35" s="1"/>
  <c r="C23" i="35" s="1"/>
  <c r="C24" i="35" s="1"/>
  <c r="C25" i="35" s="1"/>
  <c r="C26" i="35" s="1"/>
  <c r="C27" i="35" s="1"/>
  <c r="C28" i="35" s="1"/>
  <c r="C29" i="35" s="1"/>
  <c r="C30" i="35" s="1"/>
  <c r="C31" i="35" s="1"/>
  <c r="C32" i="35" s="1"/>
  <c r="C33" i="35" s="1"/>
  <c r="C34" i="35" s="1"/>
  <c r="C35" i="35" s="1"/>
  <c r="C36" i="35" s="1"/>
  <c r="C37" i="35" s="1"/>
  <c r="C38" i="35" s="1"/>
  <c r="C39" i="35" s="1"/>
  <c r="C40" i="35" s="1"/>
  <c r="C41" i="35" s="1"/>
  <c r="C42" i="35" s="1"/>
  <c r="C43" i="35" s="1"/>
  <c r="C44" i="35" s="1"/>
  <c r="C45" i="35" s="1"/>
  <c r="C46" i="35" s="1"/>
  <c r="C47" i="35" s="1"/>
  <c r="C48" i="35" s="1"/>
  <c r="D16" i="35" l="1"/>
  <c r="E16" i="35" s="1"/>
  <c r="D35" i="35"/>
  <c r="E35" i="35" s="1"/>
  <c r="D6" i="35"/>
  <c r="E6" i="35" s="1"/>
  <c r="D43" i="35"/>
  <c r="E43" i="35" s="1"/>
  <c r="D7" i="35"/>
  <c r="E7" i="35" s="1"/>
  <c r="D20" i="35"/>
  <c r="E20" i="35" s="1"/>
  <c r="D30" i="35"/>
  <c r="E30" i="35" s="1"/>
  <c r="D34" i="35"/>
  <c r="E34" i="35" s="1"/>
  <c r="D13" i="35"/>
  <c r="E13" i="35" s="1"/>
  <c r="D8" i="35"/>
  <c r="E8" i="35" s="1"/>
  <c r="D25" i="35"/>
  <c r="E25" i="35" s="1"/>
  <c r="D24" i="35"/>
  <c r="E24" i="35" s="1"/>
  <c r="D11" i="35"/>
  <c r="E11" i="35" s="1"/>
  <c r="D23" i="35"/>
  <c r="E23" i="35" s="1"/>
  <c r="D31" i="35"/>
  <c r="E31" i="35" s="1"/>
  <c r="D38" i="35"/>
  <c r="E38" i="35" s="1"/>
  <c r="D17" i="35"/>
  <c r="E17" i="35" s="1"/>
  <c r="D32" i="35"/>
  <c r="E32" i="35" s="1"/>
  <c r="D29" i="35"/>
  <c r="E29" i="35" s="1"/>
  <c r="D19" i="35"/>
  <c r="E19" i="35" s="1"/>
  <c r="D37" i="35"/>
  <c r="E37" i="35" s="1"/>
  <c r="D27" i="35"/>
  <c r="E27" i="35" s="1"/>
  <c r="D9" i="35"/>
  <c r="E9" i="35" s="1"/>
  <c r="D33" i="35"/>
  <c r="E33" i="35" s="1"/>
  <c r="D14" i="35"/>
  <c r="E14" i="35" s="1"/>
  <c r="D10" i="35"/>
  <c r="E10" i="35" s="1"/>
  <c r="D18" i="35"/>
  <c r="E18" i="35" s="1"/>
  <c r="D44" i="35"/>
  <c r="E44" i="35" s="1"/>
  <c r="D26" i="35"/>
  <c r="E26" i="35" s="1"/>
  <c r="D47" i="35"/>
  <c r="E47" i="35" s="1"/>
  <c r="D39" i="35"/>
  <c r="E39" i="35" s="1"/>
  <c r="D46" i="35"/>
  <c r="E46" i="35" s="1"/>
  <c r="D48" i="35"/>
  <c r="E48" i="35" s="1"/>
  <c r="D40" i="35"/>
  <c r="E40" i="35" s="1"/>
  <c r="D12" i="35"/>
  <c r="E12" i="35" s="1"/>
  <c r="D36" i="35"/>
  <c r="E36" i="35" s="1"/>
  <c r="D28" i="35"/>
  <c r="E28" i="35" s="1"/>
  <c r="D15" i="35"/>
  <c r="E15" i="35" s="1"/>
  <c r="D41" i="35"/>
  <c r="E41" i="35" s="1"/>
  <c r="D22" i="35"/>
  <c r="E22" i="35" s="1"/>
  <c r="D21" i="35"/>
  <c r="E21" i="35" s="1"/>
  <c r="D42" i="35"/>
  <c r="E42" i="35" s="1"/>
  <c r="D5" i="35"/>
  <c r="E5" i="35" s="1"/>
  <c r="F5" i="35" s="1"/>
  <c r="D45" i="35"/>
  <c r="E45" i="35" s="1"/>
  <c r="F6" i="35" l="1"/>
  <c r="F7" i="35" s="1"/>
  <c r="F8" i="35" s="1"/>
  <c r="F9" i="35" s="1"/>
  <c r="F10" i="35" s="1"/>
  <c r="F11" i="35" s="1"/>
  <c r="F12" i="35" s="1"/>
  <c r="F13" i="35" s="1"/>
  <c r="F14" i="35" s="1"/>
  <c r="F15" i="35" s="1"/>
  <c r="F16" i="35" s="1"/>
  <c r="F17" i="35" s="1"/>
  <c r="F18" i="35" s="1"/>
  <c r="F19" i="35" s="1"/>
  <c r="F20" i="35" s="1"/>
  <c r="F49" i="35" l="1"/>
  <c r="F21" i="35"/>
  <c r="F22" i="35" s="1"/>
  <c r="F23" i="35" s="1"/>
  <c r="F24" i="35" s="1"/>
  <c r="F25" i="35" s="1"/>
  <c r="F26" i="35" s="1"/>
  <c r="F27" i="35" s="1"/>
  <c r="F28" i="35" s="1"/>
  <c r="F29" i="35" s="1"/>
  <c r="F30" i="35" s="1"/>
  <c r="F31" i="35" s="1"/>
  <c r="F32" i="35" s="1"/>
  <c r="F33" i="35" s="1"/>
  <c r="F34" i="35" s="1"/>
  <c r="F50" i="35" l="1"/>
  <c r="F35" i="35"/>
  <c r="F36" i="35" s="1"/>
  <c r="F37" i="35" s="1"/>
  <c r="F38" i="35" s="1"/>
  <c r="F39" i="35" s="1"/>
  <c r="F40" i="35" s="1"/>
  <c r="F41" i="35" s="1"/>
  <c r="F42" i="35" s="1"/>
  <c r="F43" i="35" s="1"/>
  <c r="F44" i="35" s="1"/>
  <c r="F45" i="35" s="1"/>
  <c r="F46" i="35" s="1"/>
  <c r="F47" i="35" s="1"/>
  <c r="F48" i="35" s="1"/>
  <c r="F51" i="35" s="1"/>
  <c r="G29" i="5" l="1"/>
  <c r="G31" i="5" s="1"/>
  <c r="H29" i="5"/>
  <c r="H31" i="5" s="1"/>
  <c r="H32" i="5" s="1"/>
  <c r="I29" i="5"/>
  <c r="I31" i="5" s="1"/>
  <c r="I32" i="5" s="1"/>
  <c r="F29" i="5" l="1"/>
  <c r="F31" i="5" s="1"/>
  <c r="F32" i="5" s="1"/>
  <c r="D29" i="5"/>
  <c r="G8" i="24" s="1"/>
  <c r="G32" i="5"/>
  <c r="D31" i="5" l="1"/>
  <c r="D3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SOA7348</author>
    <author>McGuire, Andrew E</author>
  </authors>
  <commentList>
    <comment ref="A6" authorId="0" shapeId="0" xr:uid="{E26D8DE5-B309-47BA-BD42-F662E7E7270D}">
      <text>
        <r>
          <rPr>
            <i/>
            <sz val="8"/>
            <color indexed="16"/>
            <rFont val="Tahoma"/>
            <family val="2"/>
          </rPr>
          <t>Note: If this project has retirement components, omit all retirement related costs. AFUDC is applied only to capital (not capital retirement) projects.</t>
        </r>
      </text>
    </comment>
    <comment ref="A22" authorId="1" shapeId="0" xr:uid="{17C32BF6-A7AA-4CDC-8C35-09D8F10899FE}">
      <text>
        <r>
          <rPr>
            <sz val="9"/>
            <color indexed="81"/>
            <rFont val="Tahoma"/>
            <family val="2"/>
          </rPr>
          <t>For example, if this template will be used for an Advance, enter the date of the projected Planning Funding.  If filling out template for a Fully Funded or last phase of phased project, leave blank.</t>
        </r>
      </text>
    </comment>
    <comment ref="A23" authorId="1" shapeId="0" xr:uid="{85E2C42E-153A-456E-B50D-7C6B874EA832}">
      <text>
        <r>
          <rPr>
            <sz val="9"/>
            <color indexed="81"/>
            <rFont val="Tahoma"/>
            <family val="2"/>
          </rPr>
          <t xml:space="preserve">A project number should be placed into closure when all of the assets (i.e. units of property) it covers are either “ready for service” or (more commonly) “placed in service”. The fact that a project number will accept charges for several additional months after it is placed into closure is irrelevant. </t>
        </r>
      </text>
    </comment>
    <comment ref="D46" authorId="0" shapeId="0" xr:uid="{4B3509E0-FC58-4745-90DB-93D64661C8F2}">
      <text>
        <r>
          <rPr>
            <sz val="8"/>
            <color indexed="81"/>
            <rFont val="Tahoma"/>
            <family val="2"/>
          </rPr>
          <t>AFUDC compounding changes this month.</t>
        </r>
      </text>
    </comment>
  </commentList>
</comments>
</file>

<file path=xl/sharedStrings.xml><?xml version="1.0" encoding="utf-8"?>
<sst xmlns="http://schemas.openxmlformats.org/spreadsheetml/2006/main" count="1604" uniqueCount="548">
  <si>
    <t>Project Name</t>
  </si>
  <si>
    <t>Revision:</t>
  </si>
  <si>
    <t>Yes</t>
  </si>
  <si>
    <t>No</t>
  </si>
  <si>
    <t>Engineering</t>
  </si>
  <si>
    <t xml:space="preserve"> </t>
  </si>
  <si>
    <t>Other</t>
  </si>
  <si>
    <t>Input here will populate each tab with common information so that it does not need to be input on each tab.</t>
  </si>
  <si>
    <t>Master Input Data</t>
  </si>
  <si>
    <t>Description</t>
  </si>
  <si>
    <t>User Input</t>
  </si>
  <si>
    <t>Notes</t>
  </si>
  <si>
    <t>Estimate Revision Number</t>
  </si>
  <si>
    <t>Change number on each draft to be sent out</t>
  </si>
  <si>
    <t>Date:</t>
  </si>
  <si>
    <t>Update with each revision</t>
  </si>
  <si>
    <t>Customer</t>
  </si>
  <si>
    <t>Project manager</t>
  </si>
  <si>
    <t>Modeler</t>
  </si>
  <si>
    <t>System Planning</t>
  </si>
  <si>
    <t>Lead Estimator</t>
  </si>
  <si>
    <t>Person who does the estimate</t>
  </si>
  <si>
    <t>Estimate Requested By</t>
  </si>
  <si>
    <t>Rate Requested</t>
  </si>
  <si>
    <t>firm, interruptible, etc.</t>
  </si>
  <si>
    <t>change unit of measure as needed</t>
  </si>
  <si>
    <t>Resource Center</t>
  </si>
  <si>
    <t>Estimate Type</t>
  </si>
  <si>
    <t>Length of Pipeline</t>
  </si>
  <si>
    <t>Pipe Length</t>
  </si>
  <si>
    <t>Add Sales tax ( PNG Materials Only)</t>
  </si>
  <si>
    <t>Input Percentage - Will automatically apply to materials</t>
  </si>
  <si>
    <t>Pipe Size</t>
  </si>
  <si>
    <t>Pipe NPS</t>
  </si>
  <si>
    <t>Estimate Steps</t>
  </si>
  <si>
    <t>Input information above - this transfers to headers on individual tabs</t>
  </si>
  <si>
    <t>Write Project description on the Review Format Tab (This can be updated as estimating progresses)</t>
  </si>
  <si>
    <t>Enter Pipe quantities on the Quantities Tab, enter quantities of HDD etc.</t>
  </si>
  <si>
    <t>Delivery Pressure (PSIG)</t>
  </si>
  <si>
    <t>Hourly Flow (MCFH)</t>
  </si>
  <si>
    <t>Notes and Assumptions</t>
  </si>
  <si>
    <t>Estimate Revision:</t>
  </si>
  <si>
    <t>Project Cost Breakdown</t>
  </si>
  <si>
    <t xml:space="preserve"> Capital Improvement and Retirement</t>
  </si>
  <si>
    <t>Capital Improvement</t>
  </si>
  <si>
    <t>Retirement</t>
  </si>
  <si>
    <t>WBS 1</t>
  </si>
  <si>
    <t>Total</t>
  </si>
  <si>
    <t>NGENGNC</t>
  </si>
  <si>
    <t>NGLANDC</t>
  </si>
  <si>
    <t>Land - Support</t>
  </si>
  <si>
    <t>Land Legal</t>
  </si>
  <si>
    <t>NGMATEC</t>
  </si>
  <si>
    <t>Materials/Equipment</t>
  </si>
  <si>
    <t>NGCONPC</t>
  </si>
  <si>
    <t>Construction Serv - Pipeline</t>
  </si>
  <si>
    <t>NGCONFC</t>
  </si>
  <si>
    <t>Construction Serv - Facility</t>
  </si>
  <si>
    <t>Field Inspections</t>
  </si>
  <si>
    <t>NGMPGL</t>
  </si>
  <si>
    <t>PNG Labor</t>
  </si>
  <si>
    <t>NGMOTH</t>
  </si>
  <si>
    <t>Other Direct Costs</t>
  </si>
  <si>
    <t>Subtotal Direct Cost</t>
  </si>
  <si>
    <t>Project Contingency</t>
  </si>
  <si>
    <t>Project Escalation</t>
  </si>
  <si>
    <t>Total Contingency &amp; Escalation</t>
  </si>
  <si>
    <t>Total Direct Cost</t>
  </si>
  <si>
    <t>AFUDC Debt</t>
  </si>
  <si>
    <t>NGMOVH</t>
  </si>
  <si>
    <t>Overhead and Allocations</t>
  </si>
  <si>
    <t>Overheads</t>
  </si>
  <si>
    <t>Total PNG Overhead Cost</t>
  </si>
  <si>
    <t>Project Total</t>
  </si>
  <si>
    <t>Notes:</t>
  </si>
  <si>
    <t>1. Contingency is not included on escalation.</t>
  </si>
  <si>
    <t>AFUDC</t>
  </si>
  <si>
    <t>Station 1</t>
  </si>
  <si>
    <t>Revision #</t>
  </si>
  <si>
    <t>Control Code</t>
  </si>
  <si>
    <t>Component Description</t>
  </si>
  <si>
    <t>Units</t>
  </si>
  <si>
    <t>Unit of Measure</t>
  </si>
  <si>
    <t>Unit Cost</t>
  </si>
  <si>
    <t>Totals</t>
  </si>
  <si>
    <t>Instructions</t>
  </si>
  <si>
    <t>Internal Engineering &amp; Construction Management</t>
  </si>
  <si>
    <t>Hour</t>
  </si>
  <si>
    <t>Other Direct Cost</t>
  </si>
  <si>
    <t>Calculated</t>
  </si>
  <si>
    <t>Sub-Total - Internal E&amp;CM</t>
  </si>
  <si>
    <t>External Engineering</t>
  </si>
  <si>
    <t>Design - Pipeline</t>
  </si>
  <si>
    <t>Design - Facility</t>
  </si>
  <si>
    <t>MAOP</t>
  </si>
  <si>
    <t>Sub-Total -  External Engineering</t>
  </si>
  <si>
    <t>Land Services</t>
  </si>
  <si>
    <t>Acre</t>
  </si>
  <si>
    <t>Per Parcel</t>
  </si>
  <si>
    <t>Contract Labor - Legal</t>
  </si>
  <si>
    <t>Sub-Total - Land Services</t>
  </si>
  <si>
    <t>Construction Services - Pipeline</t>
  </si>
  <si>
    <t>Overall LF of Pipe installed</t>
  </si>
  <si>
    <t>Lump Sum</t>
  </si>
  <si>
    <t>Mob/Demob</t>
  </si>
  <si>
    <t>Use 5% to 10% for the construction services cost listed below. The larger the project, the lower the %; Always leave quantity as 1</t>
  </si>
  <si>
    <t>Safety Fence</t>
  </si>
  <si>
    <t>LF</t>
  </si>
  <si>
    <t>SF</t>
  </si>
  <si>
    <t>Linear Foot</t>
  </si>
  <si>
    <t>Conventional Bore - Dirt</t>
  </si>
  <si>
    <t>Conventional Bore - Rock</t>
  </si>
  <si>
    <t>Directional Drill – Dirt</t>
  </si>
  <si>
    <t>Directional Drill – Rock</t>
  </si>
  <si>
    <t>Conventional Upland Lay</t>
  </si>
  <si>
    <t>Conventional Wetland Lay</t>
  </si>
  <si>
    <t>Civil or General Conditions</t>
  </si>
  <si>
    <t>Commissioning</t>
  </si>
  <si>
    <t>HDD Mudd Disposal</t>
  </si>
  <si>
    <t>Contractor Tap Support</t>
  </si>
  <si>
    <t>Days</t>
  </si>
  <si>
    <t>TDW Tap</t>
  </si>
  <si>
    <t>Each</t>
  </si>
  <si>
    <t>Field Inspection &amp; Testing</t>
  </si>
  <si>
    <t>Construction Inspection</t>
  </si>
  <si>
    <t>Man-Days</t>
  </si>
  <si>
    <t>Non-Destructive Testing</t>
  </si>
  <si>
    <t>Sub-Total - Field Inspection &amp; Testing</t>
  </si>
  <si>
    <t>Major Equipment &amp; Materials</t>
  </si>
  <si>
    <t>Pipe</t>
  </si>
  <si>
    <t>Fittings</t>
  </si>
  <si>
    <t>Cathodic Protection Supplies</t>
  </si>
  <si>
    <t>Misc. Materials (10% of Total Major)</t>
  </si>
  <si>
    <t xml:space="preserve">Sub-Total - Materials </t>
  </si>
  <si>
    <t xml:space="preserve">Sub-Total </t>
  </si>
  <si>
    <t>Contingency</t>
  </si>
  <si>
    <t>Escalation</t>
  </si>
  <si>
    <t>Pipeline Estimate Total</t>
  </si>
  <si>
    <t>Cost per foot</t>
  </si>
  <si>
    <t>Cost per mile</t>
  </si>
  <si>
    <t xml:space="preserve">  Yellow tab w/ red font is a calculated value. No input required.</t>
  </si>
  <si>
    <t>Miscellaneous</t>
  </si>
  <si>
    <t>Year at</t>
  </si>
  <si>
    <t>Size / Name</t>
  </si>
  <si>
    <t>Length / Qty</t>
  </si>
  <si>
    <t>STATION</t>
  </si>
  <si>
    <t>Building Erection</t>
  </si>
  <si>
    <t>Hydro Test</t>
  </si>
  <si>
    <t>DATA line for SCADA</t>
  </si>
  <si>
    <t>Cubic Yard</t>
  </si>
  <si>
    <t>Major Equipment</t>
  </si>
  <si>
    <t>Heater</t>
  </si>
  <si>
    <t>Meter</t>
  </si>
  <si>
    <t>RTU</t>
  </si>
  <si>
    <t>Overall LF of Pipe to be Abandoned</t>
  </si>
  <si>
    <t>Demo Equipment</t>
  </si>
  <si>
    <t>Tar Coated Steel Remediation &amp; Removal</t>
  </si>
  <si>
    <t>Purge Materials</t>
  </si>
  <si>
    <t>Stopple</t>
  </si>
  <si>
    <t>Sub-totals</t>
  </si>
  <si>
    <t>Funding Breakdown</t>
  </si>
  <si>
    <t>Budget</t>
  </si>
  <si>
    <t>Contract Labor</t>
  </si>
  <si>
    <t>Material Purchased by PNG</t>
  </si>
  <si>
    <t>Land (Permanent Only)</t>
  </si>
  <si>
    <t>Sub-Total</t>
  </si>
  <si>
    <t>Start Date</t>
  </si>
  <si>
    <t>In-Service Date</t>
  </si>
  <si>
    <t>Completion Date</t>
  </si>
  <si>
    <t>Major Equipment and Testing</t>
  </si>
  <si>
    <t>Internal Engineering and Construction Management</t>
  </si>
  <si>
    <t>Permanent Land purchases only</t>
  </si>
  <si>
    <t>Land Rights (temporary land, land services, etc), Other Direct Costs - travel, meals, hotel, misc expenses</t>
  </si>
  <si>
    <t>By Finance</t>
  </si>
  <si>
    <t>By Project Manager</t>
  </si>
  <si>
    <t>From Project Charter or Project Mgr.</t>
  </si>
  <si>
    <t>From Estimating</t>
  </si>
  <si>
    <t>MLV Installation</t>
  </si>
  <si>
    <t>Equipment</t>
  </si>
  <si>
    <t>XX" L/R Module</t>
  </si>
  <si>
    <t>XX" MLV Module</t>
  </si>
  <si>
    <t>Escalation (in Years)</t>
  </si>
  <si>
    <t>Escalation Rate (%)</t>
  </si>
  <si>
    <t>Contingency %</t>
  </si>
  <si>
    <t>Contingency (%)</t>
  </si>
  <si>
    <t>External Engineering, Construction Services, Field Inspection &amp; Testing, Escalation</t>
  </si>
  <si>
    <t>XX" TDW Spherical Tee</t>
  </si>
  <si>
    <t>NGFITSC</t>
  </si>
  <si>
    <t>*ENSURE DISTRIBUTION COSTS HAVE BEEN REMOVED FROM ABOVE</t>
  </si>
  <si>
    <t>Launcher/Receiver Removal</t>
  </si>
  <si>
    <t>Haul Materials</t>
  </si>
  <si>
    <t>Line Locating</t>
  </si>
  <si>
    <t>Week</t>
  </si>
  <si>
    <t>Nitrogen Clearing</t>
  </si>
  <si>
    <t>City, State</t>
  </si>
  <si>
    <t>Physical Location</t>
  </si>
  <si>
    <t>Rate of Escalation (use '0' only for commit and build gates)</t>
  </si>
  <si>
    <t>Clearing and Grubbing</t>
  </si>
  <si>
    <t>Tree Cutting Only/No Grubbing</t>
  </si>
  <si>
    <t>Rock Excavation – Blasting</t>
  </si>
  <si>
    <t>Rock Excavation – Mechanical</t>
  </si>
  <si>
    <t>Extra Depth Ditch</t>
  </si>
  <si>
    <t>Padding – Job Site</t>
  </si>
  <si>
    <t>Padding - Haul</t>
  </si>
  <si>
    <t>Rock Shield</t>
  </si>
  <si>
    <t>Saddle Bag Weight</t>
  </si>
  <si>
    <t>River Weight</t>
  </si>
  <si>
    <t>Concrete Coating</t>
  </si>
  <si>
    <t>Anode Bed</t>
  </si>
  <si>
    <t>acre</t>
  </si>
  <si>
    <t>Silt Fence (metal post &amp; wire backing)</t>
  </si>
  <si>
    <t>Curlex Blanket with Staples (4 x 100)</t>
  </si>
  <si>
    <t>Rip Rap Placement</t>
  </si>
  <si>
    <t>Gravel Placement</t>
  </si>
  <si>
    <t>Geo Textile Fabric</t>
  </si>
  <si>
    <t>Trench Breaker (Plug)</t>
  </si>
  <si>
    <t>Bentonite Trench Seals in Wetlands</t>
  </si>
  <si>
    <t>Permanent Seeding (seed straw, and tack)</t>
  </si>
  <si>
    <t>Intermediate Seeding (seed straw, and tack)</t>
  </si>
  <si>
    <t>Dry Crossing (Flume or Dam/Pump Method)</t>
  </si>
  <si>
    <t>Square Yard</t>
  </si>
  <si>
    <t>Ton</t>
  </si>
  <si>
    <t>linear ft</t>
  </si>
  <si>
    <t>Well Points</t>
  </si>
  <si>
    <t>Air Bridges</t>
  </si>
  <si>
    <t>Chain Link Fence &amp; Gates – New</t>
  </si>
  <si>
    <t>Chain Link Fence &amp; Gates - Repair</t>
  </si>
  <si>
    <t>Temporary Pasture Fencing</t>
  </si>
  <si>
    <t>Permanent Access Roads</t>
  </si>
  <si>
    <t>Temporary Access Roads</t>
  </si>
  <si>
    <t>Asphalt Removal/Restoration</t>
  </si>
  <si>
    <t>Square Foot</t>
  </si>
  <si>
    <t>L/R Installation</t>
  </si>
  <si>
    <t>Staging &amp; Laydown Yard</t>
  </si>
  <si>
    <t>Fabrication</t>
  </si>
  <si>
    <t>Installation</t>
  </si>
  <si>
    <t>HDD Mudd Engineer</t>
  </si>
  <si>
    <t>Install &amp; Remove Flare + Mob/Demob</t>
  </si>
  <si>
    <t>Small Station Removal</t>
  </si>
  <si>
    <t>Medium Station Removal</t>
  </si>
  <si>
    <t>Large Station Removal</t>
  </si>
  <si>
    <t>Construction Services - Facility</t>
  </si>
  <si>
    <t>Land</t>
  </si>
  <si>
    <t>Total Project Schedule</t>
  </si>
  <si>
    <t>Engineering Project Schedule</t>
  </si>
  <si>
    <t>Construction Project Schedule</t>
  </si>
  <si>
    <t>*For Charters, if the in-service date does not match this date then we need to let Renee's group know</t>
  </si>
  <si>
    <t>*This will auto-populate when total project schedule is completed</t>
  </si>
  <si>
    <t>*Either start date from Ecosys or leave as 1/1/2022 for 2022 charters</t>
  </si>
  <si>
    <t>Month</t>
  </si>
  <si>
    <t>1 Year Project - 17 months | 2 Year Project - 31 months | 3 Year Project -  40 months</t>
  </si>
  <si>
    <t>1 Year Project - 7 months | 2 Year Project - 16 months | 3 Year Project -  22 months</t>
  </si>
  <si>
    <t>Transmission - Access Roads</t>
  </si>
  <si>
    <t>Transmission - Laydown Yard</t>
  </si>
  <si>
    <t xml:space="preserve">Enter the overall pipe line footage. </t>
  </si>
  <si>
    <t>*For Charters, use a 5% routing factor if proposed route appears to be thought out &amp; follows property boundaries. Use 14% if straight line/does not follow property boundaries.</t>
  </si>
  <si>
    <t>Object Path ID</t>
  </si>
  <si>
    <t>Resource Type Path ID</t>
  </si>
  <si>
    <t>End Date</t>
  </si>
  <si>
    <t>Curve ID</t>
  </si>
  <si>
    <t>Cost</t>
  </si>
  <si>
    <t>Currency</t>
  </si>
  <si>
    <t>Transaction Date</t>
  </si>
  <si>
    <t>External Key</t>
  </si>
  <si>
    <t>*From Ecosys for Charters **IF HIGHLIGHTED RED THEN NOT FEASIBLE, CONTACT CHARTER GROUP**</t>
  </si>
  <si>
    <t>Per HDD</t>
  </si>
  <si>
    <t>Ecosys Oppurtunity Number</t>
  </si>
  <si>
    <t>OPP-000XXX</t>
  </si>
  <si>
    <t>Need to complete from Ecosys for Charter estimates.</t>
  </si>
  <si>
    <t>.CP1.</t>
  </si>
  <si>
    <t>NGCONT</t>
  </si>
  <si>
    <t>NGMAFD</t>
  </si>
  <si>
    <t>Ecosys In-Service Date</t>
  </si>
  <si>
    <t>Months</t>
  </si>
  <si>
    <t>Transmission - Fee Purchase - Rural</t>
  </si>
  <si>
    <t>Transmission - Fee Purchase - Urban</t>
  </si>
  <si>
    <t>Transmission - Permanent Easements - Rural</t>
  </si>
  <si>
    <t>Transmission - Stations Easements - Rural</t>
  </si>
  <si>
    <t>Transmission - Temp Work Space - Rural</t>
  </si>
  <si>
    <t>Transmission - Permanent Easements - Urban</t>
  </si>
  <si>
    <t>Transmission - Stations Easements - Urban</t>
  </si>
  <si>
    <t>Transmission - Temp Work Space - Urban</t>
  </si>
  <si>
    <t>Land - Permanent</t>
  </si>
  <si>
    <t>Land - Temporary</t>
  </si>
  <si>
    <t>Transmission - Damages</t>
  </si>
  <si>
    <t>Taxes &amp; Freight (9% of All Material)</t>
  </si>
  <si>
    <t>Transmission - Temporary Easements - Rural</t>
  </si>
  <si>
    <t>Transmission - Temporary Easements - Urban</t>
  </si>
  <si>
    <t>Contract Labor - Land Services</t>
  </si>
  <si>
    <t>G-661</t>
  </si>
  <si>
    <t>G-662</t>
  </si>
  <si>
    <t>G-663</t>
  </si>
  <si>
    <t>G-662 PA/G-663 TA</t>
  </si>
  <si>
    <t>G-656</t>
  </si>
  <si>
    <t>G-301</t>
  </si>
  <si>
    <t>Day</t>
  </si>
  <si>
    <t>TDW - Hot Tap</t>
  </si>
  <si>
    <t>TDW - Tap &amp; Stop</t>
  </si>
  <si>
    <t>TDW - Bypass</t>
  </si>
  <si>
    <t>Trench Boxes</t>
  </si>
  <si>
    <t>Road Plates (10' Long)</t>
  </si>
  <si>
    <t>Railway Crossings</t>
  </si>
  <si>
    <t>SCADA for MLV Sites</t>
  </si>
  <si>
    <t>Electrical/Controls for MLV Sites</t>
  </si>
  <si>
    <t>Seeding</t>
  </si>
  <si>
    <t>Clean up</t>
  </si>
  <si>
    <t>X" x X" Relief Valve</t>
  </si>
  <si>
    <t>RTU Building</t>
  </si>
  <si>
    <r>
      <t xml:space="preserve">Years until </t>
    </r>
    <r>
      <rPr>
        <b/>
        <u/>
        <sz val="11"/>
        <color rgb="FFFF0000"/>
        <rFont val="Calibri"/>
        <family val="2"/>
        <scheme val="minor"/>
      </rPr>
      <t>start</t>
    </r>
    <r>
      <rPr>
        <b/>
        <sz val="11"/>
        <color rgb="FFFF0000"/>
        <rFont val="Calibri"/>
        <family val="2"/>
        <scheme val="minor"/>
      </rPr>
      <t xml:space="preserve"> date (not in-service date) (Put '0' if project is kicking off within 6 months)</t>
    </r>
  </si>
  <si>
    <t>Length of Indicative Schedule in Years</t>
  </si>
  <si>
    <r>
      <t xml:space="preserve">This is required for Ecosys spend curves. Need to put </t>
    </r>
    <r>
      <rPr>
        <b/>
        <sz val="11"/>
        <color rgb="FFFF0000"/>
        <rFont val="Calibri"/>
        <family val="2"/>
        <scheme val="minor"/>
      </rPr>
      <t>1</t>
    </r>
    <r>
      <rPr>
        <sz val="11"/>
        <color rgb="FFFF0000"/>
        <rFont val="Calibri"/>
        <family val="2"/>
        <scheme val="minor"/>
      </rPr>
      <t xml:space="preserve">, </t>
    </r>
    <r>
      <rPr>
        <b/>
        <sz val="11"/>
        <color rgb="FFFF0000"/>
        <rFont val="Calibri"/>
        <family val="2"/>
        <scheme val="minor"/>
      </rPr>
      <t>2</t>
    </r>
    <r>
      <rPr>
        <sz val="11"/>
        <color rgb="FFFF0000"/>
        <rFont val="Calibri"/>
        <family val="2"/>
        <scheme val="minor"/>
      </rPr>
      <t xml:space="preserve">, or </t>
    </r>
    <r>
      <rPr>
        <b/>
        <sz val="11"/>
        <color rgb="FFFF0000"/>
        <rFont val="Calibri"/>
        <family val="2"/>
        <scheme val="minor"/>
      </rPr>
      <t>3</t>
    </r>
    <r>
      <rPr>
        <sz val="11"/>
        <color rgb="FFFF0000"/>
        <rFont val="Calibri"/>
        <family val="2"/>
        <scheme val="minor"/>
      </rPr>
      <t xml:space="preserve">. </t>
    </r>
  </si>
  <si>
    <t>Y-</t>
  </si>
  <si>
    <t>SCAR Guard</t>
  </si>
  <si>
    <t>Duke Labor</t>
  </si>
  <si>
    <t>Security for MLV Sites</t>
  </si>
  <si>
    <t>Station Security</t>
  </si>
  <si>
    <t>Transmission - Additional Damages</t>
  </si>
  <si>
    <t>DropDown Values</t>
  </si>
  <si>
    <t>Pipeline Length</t>
  </si>
  <si>
    <t>Less than 2000 feet</t>
  </si>
  <si>
    <t>&lt; 1 mile</t>
  </si>
  <si>
    <t>1-5 miles</t>
  </si>
  <si>
    <t>&gt; 5 miles</t>
  </si>
  <si>
    <t>Retrofit Length</t>
  </si>
  <si>
    <t>&lt; 5 miles</t>
  </si>
  <si>
    <t>5-10 miles</t>
  </si>
  <si>
    <t>&gt; 10 miles</t>
  </si>
  <si>
    <t>Yes/No</t>
  </si>
  <si>
    <t>Urban</t>
  </si>
  <si>
    <t>Rural</t>
  </si>
  <si>
    <t>Suburban</t>
  </si>
  <si>
    <t>Parcels</t>
  </si>
  <si>
    <t>0 parcels</t>
  </si>
  <si>
    <t>&lt; 20 parcels</t>
  </si>
  <si>
    <t>20 - 50 parcels</t>
  </si>
  <si>
    <t>&gt; 50 parcels</t>
  </si>
  <si>
    <t>Vegetation Management</t>
  </si>
  <si>
    <t>0-5%</t>
  </si>
  <si>
    <t>6-33%</t>
  </si>
  <si>
    <t>34%-66%</t>
  </si>
  <si>
    <t>67%-100%</t>
  </si>
  <si>
    <t>Zoning Type</t>
  </si>
  <si>
    <t>Farmlands</t>
  </si>
  <si>
    <t>Existing Utility Right of Way</t>
  </si>
  <si>
    <t>Electric Right of Way</t>
  </si>
  <si>
    <t>Commercial/Industrial</t>
  </si>
  <si>
    <t>Parks &amp; Recreation</t>
  </si>
  <si>
    <t>Residential</t>
  </si>
  <si>
    <t>Nature Preserves</t>
  </si>
  <si>
    <t>Mixed Use</t>
  </si>
  <si>
    <t>4.2 Permit requirement</t>
  </si>
  <si>
    <t>Open House</t>
  </si>
  <si>
    <t>Public Notice</t>
  </si>
  <si>
    <t>None of the above</t>
  </si>
  <si>
    <t>Zinc Ribbon (AC Mitigation)</t>
  </si>
  <si>
    <t>Rectifier/Groundbed (CP)</t>
  </si>
  <si>
    <t>ACVG Testing (less than 10 miles)</t>
  </si>
  <si>
    <t>Mile</t>
  </si>
  <si>
    <t>ACVG Testing (greater than 10 miles)</t>
  </si>
  <si>
    <t>Rectifier/Groundbed Material (CP)</t>
  </si>
  <si>
    <t>1 Year Project - 3 months | 2 Year Project - 6 months | 3 Year Project -  8 months</t>
  </si>
  <si>
    <t>Painting &amp; Waxing Flanges</t>
  </si>
  <si>
    <t>Field Testing</t>
  </si>
  <si>
    <t>Projected</t>
  </si>
  <si>
    <t>Cumulative</t>
  </si>
  <si>
    <t>Cum. Charges</t>
  </si>
  <si>
    <t>Monthly</t>
  </si>
  <si>
    <t>Charges</t>
  </si>
  <si>
    <t>for AFUDC</t>
  </si>
  <si>
    <t>G801</t>
  </si>
  <si>
    <t>Pre-Design Activities</t>
  </si>
  <si>
    <t>G802</t>
  </si>
  <si>
    <t>Route Development</t>
  </si>
  <si>
    <t>G803</t>
  </si>
  <si>
    <t>Project Managemenet</t>
  </si>
  <si>
    <t>G804</t>
  </si>
  <si>
    <t>Records Research</t>
  </si>
  <si>
    <t>G805</t>
  </si>
  <si>
    <t>Estimating &amp; Scoping</t>
  </si>
  <si>
    <t>G806</t>
  </si>
  <si>
    <t>Land Survey</t>
  </si>
  <si>
    <t>G807</t>
  </si>
  <si>
    <t>Land Acquistion Support (Engineering)</t>
  </si>
  <si>
    <t>G808</t>
  </si>
  <si>
    <t>G809</t>
  </si>
  <si>
    <t>Geotechnical Services</t>
  </si>
  <si>
    <t>Cathodic Protection</t>
  </si>
  <si>
    <t>Bid Package Development</t>
  </si>
  <si>
    <t>Construction Support</t>
  </si>
  <si>
    <t>As-Built Survey</t>
  </si>
  <si>
    <t>Project Close-out</t>
  </si>
  <si>
    <t>G810</t>
  </si>
  <si>
    <t>G811</t>
  </si>
  <si>
    <t>G812</t>
  </si>
  <si>
    <t>G813</t>
  </si>
  <si>
    <t>G814</t>
  </si>
  <si>
    <t>G815</t>
  </si>
  <si>
    <t>G663</t>
  </si>
  <si>
    <t>G101</t>
  </si>
  <si>
    <t>OTH001</t>
  </si>
  <si>
    <t>G661</t>
  </si>
  <si>
    <t>G662</t>
  </si>
  <si>
    <t>G662 PA</t>
  </si>
  <si>
    <t>G656</t>
  </si>
  <si>
    <t>G301</t>
  </si>
  <si>
    <t>G880</t>
  </si>
  <si>
    <t>G881</t>
  </si>
  <si>
    <t>G205</t>
  </si>
  <si>
    <t>G204</t>
  </si>
  <si>
    <t>Environmental Services &amp; Permitting</t>
  </si>
  <si>
    <t>Sub-Total - Construction Services - Pipeline</t>
  </si>
  <si>
    <t>Sub-Total - Construction Services - Station</t>
  </si>
  <si>
    <t>Close-Out Date</t>
  </si>
  <si>
    <t>G863</t>
  </si>
  <si>
    <t>Sand Padding over Existing Lines</t>
  </si>
  <si>
    <t xml:space="preserve">Temporary Clean-up / Temporary Stabilization </t>
  </si>
  <si>
    <t>Re-coating of Exposed Pipe (Hand Application)</t>
  </si>
  <si>
    <t>Re-coating of Exposed Pipe (Spay Application)</t>
  </si>
  <si>
    <t xml:space="preserve">Armor Plate </t>
  </si>
  <si>
    <t>Daylight Existing Utilities (Pot Holing)</t>
  </si>
  <si>
    <t>AirVac/Hydro Vac Excavation</t>
  </si>
  <si>
    <t>Pipe Rack Construction (Dirt/Sand Berm)</t>
  </si>
  <si>
    <t>Transition Of Bevels</t>
  </si>
  <si>
    <t>Test Station Installation</t>
  </si>
  <si>
    <t xml:space="preserve">Temporary Stabilization </t>
  </si>
  <si>
    <t>Cubic Foot</t>
  </si>
  <si>
    <t xml:space="preserve">Lump Sum </t>
  </si>
  <si>
    <t>Per 1 ft depth / LF</t>
  </si>
  <si>
    <t>Conventional Silt Fence</t>
  </si>
  <si>
    <t>Super Silt Fence (metal post &amp; chainlink fence backing)</t>
  </si>
  <si>
    <t>Curlex Double Net Blanket with Staples  (4 x 100)</t>
  </si>
  <si>
    <t>Curlex Triple Net Blanket  with Staples (4 x 100)</t>
  </si>
  <si>
    <t>Curlex Premier Coconut Blanket with Staples (4 x 100)</t>
  </si>
  <si>
    <t>Curlex Premier Straw/Coconut Blanket with Staples      (4 x 100)</t>
  </si>
  <si>
    <t>Hydroseeding Temporary Stabilization</t>
  </si>
  <si>
    <t>Hydroseeding Permanent Stabilization</t>
  </si>
  <si>
    <t>Culvert Pipe (CMP)</t>
  </si>
  <si>
    <t>Sack Breakers</t>
  </si>
  <si>
    <t>Sediment Basin (excludes rock)</t>
  </si>
  <si>
    <t>Foam Breakers</t>
  </si>
  <si>
    <t>Construction (Timber) Mats</t>
  </si>
  <si>
    <t>Laminated (Truck) Mats</t>
  </si>
  <si>
    <t>Sod</t>
  </si>
  <si>
    <t xml:space="preserve">Straw Wattle  9'' x 10' </t>
  </si>
  <si>
    <t>Sediment Log 8''</t>
  </si>
  <si>
    <t>Sediment Log 10''</t>
  </si>
  <si>
    <t>Sediment Log 12''</t>
  </si>
  <si>
    <t>Sediment Log 20''</t>
  </si>
  <si>
    <t>Erosion Eel 10''</t>
  </si>
  <si>
    <t>Erosion Eel 12''</t>
  </si>
  <si>
    <t>Erosion Eel 14''</t>
  </si>
  <si>
    <t>Erosion Eel 20''</t>
  </si>
  <si>
    <t xml:space="preserve">Permanent Waterbar Installation </t>
  </si>
  <si>
    <t>Temporary Waterbar Installation</t>
  </si>
  <si>
    <t>Filtration Sediment Bags 10' x 15'</t>
  </si>
  <si>
    <t xml:space="preserve">Dewater Structure </t>
  </si>
  <si>
    <t xml:space="preserve">Clear Water Diversion Pit </t>
  </si>
  <si>
    <t>Stabilized Construction Entrance 20'W x 50'L x 6''D</t>
  </si>
  <si>
    <t>Linear Foot (Width)</t>
  </si>
  <si>
    <t xml:space="preserve">Each </t>
  </si>
  <si>
    <t>Inch Dia per LF</t>
  </si>
  <si>
    <t>Top Soil</t>
  </si>
  <si>
    <t>Grouting of Abandoned Pipe</t>
  </si>
  <si>
    <t>Removal of Existing Pipeline</t>
  </si>
  <si>
    <t xml:space="preserve">Sheet Piling </t>
  </si>
  <si>
    <t xml:space="preserve">Ditch Shoring </t>
  </si>
  <si>
    <t>Traffic Control (Flaggers)</t>
  </si>
  <si>
    <t>Traffic Control (Signage)</t>
  </si>
  <si>
    <t>Traffic Control (Barriers)</t>
  </si>
  <si>
    <t xml:space="preserve">Flowable Fill </t>
  </si>
  <si>
    <t>Noise Reduction Barriers</t>
  </si>
  <si>
    <t>Conventional Upland Lay (Residential)</t>
  </si>
  <si>
    <t>Hydro Water Testing</t>
  </si>
  <si>
    <t>Security, Fire Alarm, Instrumentation and Controls</t>
  </si>
  <si>
    <t>Tie-In</t>
  </si>
  <si>
    <t xml:space="preserve">AirVac/HydroVac Excation </t>
  </si>
  <si>
    <t>Spray Coat Application</t>
  </si>
  <si>
    <t>Sediment Log</t>
  </si>
  <si>
    <t>Erosion Eel</t>
  </si>
  <si>
    <t>Temporary Fence Panels</t>
  </si>
  <si>
    <t xml:space="preserve">Shoring </t>
  </si>
  <si>
    <t>Sheet Piling</t>
  </si>
  <si>
    <t xml:space="preserve">Composite matting </t>
  </si>
  <si>
    <t>TDW Tap &amp; Stop</t>
  </si>
  <si>
    <t>AC Mitigation Material</t>
  </si>
  <si>
    <t>1 Year Proj AFUDC</t>
  </si>
  <si>
    <t>2 Year Proj AFUDC</t>
  </si>
  <si>
    <t>3 Year Proj AFUDC</t>
  </si>
  <si>
    <t>Clearing and Grubbing / Site Prep</t>
  </si>
  <si>
    <r>
      <t xml:space="preserve">Concrete, Paving </t>
    </r>
    <r>
      <rPr>
        <strike/>
        <sz val="11"/>
        <color theme="1"/>
        <rFont val="Calibri"/>
        <family val="2"/>
        <scheme val="minor"/>
      </rPr>
      <t>and Gravel</t>
    </r>
  </si>
  <si>
    <t>Zinc Ribbon / AC Mitigation</t>
  </si>
  <si>
    <t>**ADD +3 MONTHS IF RED STAKEHOLDER ENGAGEMENT</t>
  </si>
  <si>
    <t>Engineering Rate</t>
  </si>
  <si>
    <t>Re-coating of Exposed Pipe (Spray Application)</t>
  </si>
  <si>
    <t>Inspection Rate</t>
  </si>
  <si>
    <t>NDT Rate</t>
  </si>
  <si>
    <t>Line AM07 Pipeline Replacement PH 1</t>
  </si>
  <si>
    <t>Duke</t>
  </si>
  <si>
    <t>Erlanger, KY</t>
  </si>
  <si>
    <t>Brad Seiter</t>
  </si>
  <si>
    <t>Matt Gramstad</t>
  </si>
  <si>
    <t>Erlanger</t>
  </si>
  <si>
    <t>Class IV</t>
  </si>
  <si>
    <t>24"</t>
  </si>
  <si>
    <t>Line AM07 Replace - Section 1</t>
  </si>
  <si>
    <t>Regulator Station</t>
  </si>
  <si>
    <t>24" Standard Wall, X52, Coated, DRL</t>
  </si>
  <si>
    <t>24" Standard Wall, X52, Bare</t>
  </si>
  <si>
    <t>24" 3R - 45 deg ell -  Segmentable</t>
  </si>
  <si>
    <t>24" 3R - 90 deg ell -  Segmentable</t>
  </si>
  <si>
    <t>24" TDW Stopple</t>
  </si>
  <si>
    <t>24" Standard Wall, X52, Powercrete</t>
  </si>
  <si>
    <t>2. Road Bores and HDD's are considered to be dirt</t>
  </si>
  <si>
    <t>12" Insulators</t>
  </si>
  <si>
    <t>12" Standard Wall, X52, Bare</t>
  </si>
  <si>
    <t>12" Standard Wall, X52, FBE</t>
  </si>
  <si>
    <t>Cubic Feet</t>
  </si>
  <si>
    <t>24" Standard Wall, X52, FBE</t>
  </si>
  <si>
    <t>24" WXW Valves</t>
  </si>
  <si>
    <t>16" Standard Wall, X52, Bare</t>
  </si>
  <si>
    <t>16" Standard Wall, X52, FBE</t>
  </si>
  <si>
    <t>16" FXF Valves</t>
  </si>
  <si>
    <t>16" Insulators</t>
  </si>
  <si>
    <t>24" TDW Spherical</t>
  </si>
  <si>
    <t>3. The Receiver located at Turfway Rd RS is included in the Line AM07 Section 2 Pipeline cost.</t>
  </si>
  <si>
    <t>Existing Line AM07</t>
  </si>
  <si>
    <r>
      <t xml:space="preserve">2. Overheads and Allocations calculated using </t>
    </r>
    <r>
      <rPr>
        <sz val="11"/>
        <color rgb="FFFF0000"/>
        <rFont val="Calibri"/>
        <family val="2"/>
        <scheme val="minor"/>
      </rPr>
      <t>12</t>
    </r>
    <r>
      <rPr>
        <sz val="11"/>
        <color theme="1"/>
        <rFont val="Calibri"/>
        <family val="2"/>
        <scheme val="minor"/>
      </rPr>
      <t>% of Total Direct Cost less Land Purchase, Materials/Equipment and FERC cost.</t>
    </r>
  </si>
  <si>
    <r>
      <t xml:space="preserve">3. AFUDC calculated using </t>
    </r>
    <r>
      <rPr>
        <sz val="11"/>
        <color rgb="FFFF0000"/>
        <rFont val="Calibri"/>
        <family val="2"/>
        <scheme val="minor"/>
      </rPr>
      <t>0.80</t>
    </r>
    <r>
      <rPr>
        <sz val="11"/>
        <color theme="1"/>
        <rFont val="Calibri"/>
        <family val="2"/>
        <scheme val="minor"/>
      </rPr>
      <t>% of total Direct Cost. (No AFUDC on Retirement Cost.)</t>
    </r>
  </si>
  <si>
    <t>4. No Project Escalation is assumed.</t>
  </si>
  <si>
    <t>Civil and General Conditions - Retaining Wall</t>
  </si>
  <si>
    <t>2,800 LF</t>
  </si>
  <si>
    <t>7500 LF</t>
  </si>
  <si>
    <t>10,300 LF</t>
  </si>
  <si>
    <t>Line AM07 Replace - Section 2</t>
  </si>
  <si>
    <t>1. Scope is based off the 60% design drawings which include the packages for pipeline alignment and Queens Qt Station.</t>
  </si>
  <si>
    <t>E-Initiate</t>
  </si>
  <si>
    <t>Kyle Gillow</t>
  </si>
  <si>
    <t>4. Includes Burns &amp; Mac proposal for Engineering amount of $1,783,776.10</t>
  </si>
  <si>
    <t>5.Includes Power Engineers Proposal amount of $71,832.00 for engineering.</t>
  </si>
  <si>
    <t>6. Includes Environmental Tech proposal for land support amount of $48,832.00</t>
  </si>
  <si>
    <t>24" Insulators</t>
  </si>
  <si>
    <t>24'' Elbow 45</t>
  </si>
  <si>
    <t>24'' Elbow 90</t>
  </si>
  <si>
    <t>16" Elbow 90</t>
  </si>
  <si>
    <t xml:space="preserve">12" Elbow 90 </t>
  </si>
  <si>
    <t>7.Includes Burns and Mac proposal amount of $195,000.00 for land support</t>
  </si>
  <si>
    <t>Queens Qt</t>
  </si>
  <si>
    <t>AC/CP Clear Bands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</si>
</sst>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43" formatCode="_(* #,##0.00_);_(* \(#,##0.00\);_(* &quot;-&quot;??_);_(@_)"/>
    <numFmt numFmtId="164" formatCode="0.0%"/>
    <numFmt numFmtId="165" formatCode="_(* #,##0_);_(* \(#,##0\);_(* &quot;-&quot;??_);_(@_)"/>
    <numFmt numFmtId="166" formatCode="mmm\ yyyy"/>
    <numFmt numFmtId="167" formatCode="0.0"/>
  </numFmts>
  <fonts count="31"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b/>
      <sz val="14"/>
      <color theme="1"/>
      <name val="Calibri"/>
      <family val="2"/>
      <scheme val="minor"/>
    </font>
    <font>
      <b/>
      <sz val="11"/>
      <color theme="8" tint="-0.249977111117893"/>
      <name val="Calibri"/>
      <family val="2"/>
      <scheme val="minor"/>
    </font>
    <font>
      <sz val="10"/>
      <name val="Arial"/>
      <family val="2"/>
    </font>
    <font>
      <b/>
      <sz val="22"/>
      <color theme="0"/>
      <name val="Calibri"/>
      <family val="2"/>
      <scheme val="minor"/>
    </font>
    <font>
      <b/>
      <sz val="16"/>
      <color theme="0"/>
      <name val="Calibri"/>
      <family val="2"/>
      <scheme val="minor"/>
    </font>
    <font>
      <b/>
      <sz val="14"/>
      <color theme="0"/>
      <name val="Calibri"/>
      <family val="2"/>
      <scheme val="minor"/>
    </font>
    <font>
      <b/>
      <sz val="24"/>
      <color theme="0"/>
      <name val="Calibri"/>
      <family val="2"/>
      <scheme val="minor"/>
    </font>
    <font>
      <b/>
      <sz val="14"/>
      <name val="Calibri"/>
      <family val="2"/>
      <scheme val="minor"/>
    </font>
    <font>
      <b/>
      <sz val="12"/>
      <color theme="1"/>
      <name val="Calibri"/>
      <family val="2"/>
      <scheme val="minor"/>
    </font>
    <font>
      <b/>
      <sz val="12"/>
      <color theme="0"/>
      <name val="Calibri"/>
      <family val="2"/>
      <scheme val="minor"/>
    </font>
    <font>
      <b/>
      <sz val="12"/>
      <name val="Calibri"/>
      <family val="2"/>
      <scheme val="minor"/>
    </font>
    <font>
      <sz val="12"/>
      <color theme="0"/>
      <name val="Calibri"/>
      <family val="2"/>
      <scheme val="minor"/>
    </font>
    <font>
      <sz val="11"/>
      <name val="Calibri"/>
      <family val="2"/>
      <scheme val="minor"/>
    </font>
    <font>
      <b/>
      <sz val="18"/>
      <color theme="0"/>
      <name val="Calibri"/>
      <family val="2"/>
      <scheme val="minor"/>
    </font>
    <font>
      <b/>
      <sz val="11"/>
      <color theme="8" tint="0.59999389629810485"/>
      <name val="Calibri"/>
      <family val="2"/>
      <scheme val="minor"/>
    </font>
    <font>
      <sz val="9"/>
      <color indexed="81"/>
      <name val="Tahoma"/>
      <family val="2"/>
    </font>
    <font>
      <sz val="11"/>
      <color theme="5" tint="-0.249977111117893"/>
      <name val="Calibri"/>
      <family val="2"/>
      <scheme val="minor"/>
    </font>
    <font>
      <sz val="9"/>
      <color rgb="FF000000"/>
      <name val="Arial"/>
      <family val="2"/>
    </font>
    <font>
      <b/>
      <u/>
      <sz val="11"/>
      <color rgb="FFFF0000"/>
      <name val="Calibri"/>
      <family val="2"/>
      <scheme val="minor"/>
    </font>
    <font>
      <b/>
      <u/>
      <sz val="11"/>
      <color theme="1"/>
      <name val="Calibri"/>
      <family val="2"/>
      <scheme val="minor"/>
    </font>
    <font>
      <strike/>
      <sz val="11"/>
      <color theme="1"/>
      <name val="Calibri"/>
      <family val="2"/>
      <scheme val="minor"/>
    </font>
    <font>
      <sz val="9"/>
      <color indexed="8"/>
      <name val="Arial"/>
      <family val="2"/>
    </font>
    <font>
      <sz val="9"/>
      <color indexed="12"/>
      <name val="Arial"/>
      <family val="2"/>
    </font>
    <font>
      <b/>
      <sz val="10"/>
      <name val="Arial"/>
      <family val="2"/>
    </font>
    <font>
      <sz val="8"/>
      <color indexed="81"/>
      <name val="Tahoma"/>
      <family val="2"/>
    </font>
    <font>
      <i/>
      <sz val="8"/>
      <color indexed="16"/>
      <name val="Tahoma"/>
      <family val="2"/>
    </font>
  </fonts>
  <fills count="23">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7" tint="0.7999816888943144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5" tint="0.59999389629810485"/>
        <bgColor indexed="64"/>
      </patternFill>
    </fill>
    <fill>
      <patternFill patternType="darkGray">
        <bgColor theme="9" tint="0.59999389629810485"/>
      </patternFill>
    </fill>
    <fill>
      <patternFill patternType="solid">
        <fgColor theme="0" tint="-0.249977111117893"/>
        <bgColor indexed="64"/>
      </patternFill>
    </fill>
    <fill>
      <patternFill patternType="solid">
        <fgColor theme="8" tint="0.59999389629810485"/>
        <bgColor indexed="64"/>
      </patternFill>
    </fill>
    <fill>
      <patternFill patternType="solid">
        <fgColor theme="9" tint="-0.24994659260841701"/>
        <bgColor indexed="64"/>
      </patternFill>
    </fill>
    <fill>
      <patternFill patternType="solid">
        <fgColor rgb="FFFFFF00"/>
        <bgColor indexed="64"/>
      </patternFill>
    </fill>
    <fill>
      <patternFill patternType="mediumGray"/>
    </fill>
    <fill>
      <patternFill patternType="solid">
        <fgColor theme="0" tint="-0.14999847407452621"/>
        <bgColor indexed="64"/>
      </patternFill>
    </fill>
    <fill>
      <patternFill patternType="solid">
        <fgColor theme="9" tint="0.39997558519241921"/>
        <bgColor indexed="64"/>
      </patternFill>
    </fill>
    <fill>
      <patternFill patternType="mediumGray">
        <bgColor theme="0" tint="-0.14999847407452621"/>
      </patternFill>
    </fill>
    <fill>
      <patternFill patternType="solid">
        <fgColor theme="9" tint="-0.249977111117893"/>
        <bgColor indexed="64"/>
      </patternFill>
    </fill>
    <fill>
      <patternFill patternType="darkGray">
        <bgColor theme="5" tint="0.59999389629810485"/>
      </patternFill>
    </fill>
    <fill>
      <patternFill patternType="solid">
        <fgColor rgb="FFEFEBDE"/>
        <bgColor rgb="FF000000"/>
      </patternFill>
    </fill>
    <fill>
      <patternFill patternType="solid">
        <fgColor rgb="FFFFFFFF"/>
        <bgColor rgb="FF000000"/>
      </patternFill>
    </fill>
    <fill>
      <patternFill patternType="solid">
        <fgColor rgb="FFFFFF99"/>
        <bgColor indexed="64"/>
      </patternFill>
    </fill>
    <fill>
      <patternFill patternType="gray0625">
        <fgColor indexed="8"/>
      </patternFill>
    </fill>
  </fills>
  <borders count="52">
    <border>
      <left/>
      <right/>
      <top/>
      <bottom/>
      <diagonal/>
    </border>
    <border>
      <left style="medium">
        <color auto="1"/>
      </left>
      <right/>
      <top style="medium">
        <color auto="1"/>
      </top>
      <bottom/>
      <diagonal/>
    </border>
    <border>
      <left/>
      <right/>
      <top style="medium">
        <color indexed="64"/>
      </top>
      <bottom/>
      <diagonal/>
    </border>
    <border>
      <left/>
      <right style="medium">
        <color indexed="64"/>
      </right>
      <top style="medium">
        <color indexed="64"/>
      </top>
      <bottom/>
      <diagonal/>
    </border>
    <border>
      <left style="medium">
        <color auto="1"/>
      </left>
      <right/>
      <top/>
      <bottom/>
      <diagonal/>
    </border>
    <border>
      <left/>
      <right style="medium">
        <color indexed="64"/>
      </right>
      <top/>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auto="1"/>
      </left>
      <right style="medium">
        <color indexed="64"/>
      </right>
      <top style="thin">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auto="1"/>
      </right>
      <top/>
      <bottom style="medium">
        <color auto="1"/>
      </bottom>
      <diagonal/>
    </border>
    <border>
      <left style="thin">
        <color indexed="64"/>
      </left>
      <right style="medium">
        <color indexed="64"/>
      </right>
      <top/>
      <bottom style="medium">
        <color indexed="64"/>
      </bottom>
      <diagonal/>
    </border>
    <border>
      <left style="medium">
        <color auto="1"/>
      </left>
      <right/>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rgb="FFA4BED4"/>
      </left>
      <right style="thin">
        <color rgb="FFA4BED4"/>
      </right>
      <top style="thin">
        <color rgb="FFA4BED4"/>
      </top>
      <bottom style="thin">
        <color rgb="FFA4BED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7" fillId="0" borderId="0"/>
    <xf numFmtId="43" fontId="7" fillId="0" borderId="0" applyFont="0" applyFill="0" applyBorder="0" applyAlignment="0" applyProtection="0"/>
  </cellStyleXfs>
  <cellXfs count="308">
    <xf numFmtId="0" fontId="0" fillId="0" borderId="0" xfId="0"/>
    <xf numFmtId="0" fontId="0" fillId="0" borderId="0" xfId="0" applyAlignment="1">
      <alignment horizontal="center"/>
    </xf>
    <xf numFmtId="0" fontId="0" fillId="0" borderId="19" xfId="0" applyBorder="1"/>
    <xf numFmtId="0" fontId="0" fillId="0" borderId="23" xfId="0" applyBorder="1"/>
    <xf numFmtId="0" fontId="0" fillId="0" borderId="25" xfId="0" applyBorder="1"/>
    <xf numFmtId="0" fontId="0" fillId="0" borderId="12" xfId="0" applyBorder="1"/>
    <xf numFmtId="0" fontId="0" fillId="0" borderId="23" xfId="0" applyBorder="1" applyAlignment="1">
      <alignment horizontal="center"/>
    </xf>
    <xf numFmtId="0" fontId="4" fillId="0" borderId="0" xfId="0" applyFont="1"/>
    <xf numFmtId="0" fontId="0" fillId="0" borderId="2" xfId="0" applyBorder="1"/>
    <xf numFmtId="0" fontId="6" fillId="0" borderId="26" xfId="0" applyFont="1" applyBorder="1" applyAlignment="1">
      <alignment horizontal="center"/>
    </xf>
    <xf numFmtId="0" fontId="6" fillId="0" borderId="19" xfId="0" applyFont="1" applyBorder="1" applyAlignment="1">
      <alignment horizontal="center"/>
    </xf>
    <xf numFmtId="10" fontId="6" fillId="0" borderId="19" xfId="0" applyNumberFormat="1" applyFont="1" applyBorder="1" applyAlignment="1">
      <alignment horizontal="center"/>
    </xf>
    <xf numFmtId="0" fontId="1" fillId="3" borderId="20" xfId="0" applyFont="1" applyFill="1" applyBorder="1"/>
    <xf numFmtId="0" fontId="1" fillId="3" borderId="21" xfId="0" applyFont="1" applyFill="1" applyBorder="1"/>
    <xf numFmtId="0" fontId="1" fillId="3" borderId="22" xfId="0" applyFont="1" applyFill="1" applyBorder="1"/>
    <xf numFmtId="0" fontId="10" fillId="3" borderId="16" xfId="0" applyFont="1" applyFill="1" applyBorder="1" applyAlignment="1">
      <alignment horizontal="center"/>
    </xf>
    <xf numFmtId="0" fontId="10" fillId="3" borderId="23" xfId="0" applyFont="1" applyFill="1" applyBorder="1" applyAlignment="1">
      <alignment horizontal="center"/>
    </xf>
    <xf numFmtId="0" fontId="10" fillId="3" borderId="24" xfId="0" applyFont="1" applyFill="1" applyBorder="1" applyAlignment="1">
      <alignment horizontal="center"/>
    </xf>
    <xf numFmtId="0" fontId="0" fillId="0" borderId="5" xfId="0" applyBorder="1"/>
    <xf numFmtId="0" fontId="0" fillId="0" borderId="4" xfId="0" applyBorder="1"/>
    <xf numFmtId="0" fontId="0" fillId="0" borderId="37" xfId="0" applyBorder="1" applyAlignment="1">
      <alignment horizontal="center" vertical="center"/>
    </xf>
    <xf numFmtId="0" fontId="0" fillId="0" borderId="22" xfId="0" applyBorder="1" applyAlignment="1">
      <alignment horizontal="center" vertical="center"/>
    </xf>
    <xf numFmtId="0" fontId="0" fillId="0" borderId="34" xfId="0" applyBorder="1" applyAlignment="1">
      <alignment horizontal="center" vertical="center"/>
    </xf>
    <xf numFmtId="0" fontId="0" fillId="0" borderId="27" xfId="0" applyBorder="1" applyAlignment="1">
      <alignment horizontal="left" vertical="center"/>
    </xf>
    <xf numFmtId="0" fontId="0" fillId="0" borderId="13" xfId="0" applyBorder="1" applyAlignment="1">
      <alignment horizontal="left" vertical="center"/>
    </xf>
    <xf numFmtId="0" fontId="0" fillId="0" borderId="15" xfId="0" applyBorder="1" applyAlignment="1">
      <alignment horizontal="left" vertical="center"/>
    </xf>
    <xf numFmtId="0" fontId="0" fillId="0" borderId="10" xfId="0" applyBorder="1" applyAlignment="1">
      <alignment horizontal="left" vertical="center"/>
    </xf>
    <xf numFmtId="0" fontId="1" fillId="3" borderId="0" xfId="0" applyFont="1" applyFill="1"/>
    <xf numFmtId="0" fontId="1" fillId="3" borderId="5" xfId="0" applyFont="1" applyFill="1" applyBorder="1"/>
    <xf numFmtId="0" fontId="9" fillId="3" borderId="6" xfId="0" applyFont="1" applyFill="1" applyBorder="1" applyAlignment="1">
      <alignment horizontal="center" vertical="center"/>
    </xf>
    <xf numFmtId="0" fontId="9" fillId="3" borderId="3" xfId="0" applyFont="1" applyFill="1" applyBorder="1" applyAlignment="1">
      <alignment horizontal="center" vertical="center"/>
    </xf>
    <xf numFmtId="0" fontId="3" fillId="0" borderId="0" xfId="0" applyFont="1"/>
    <xf numFmtId="0" fontId="3" fillId="6" borderId="8" xfId="0" applyFont="1" applyFill="1" applyBorder="1" applyAlignment="1">
      <alignment horizontal="center"/>
    </xf>
    <xf numFmtId="0" fontId="3" fillId="6" borderId="42" xfId="0" applyFont="1" applyFill="1" applyBorder="1" applyAlignment="1">
      <alignment horizontal="center"/>
    </xf>
    <xf numFmtId="0" fontId="3" fillId="6" borderId="8" xfId="0" applyFont="1" applyFill="1" applyBorder="1" applyAlignment="1">
      <alignment horizontal="center" wrapText="1"/>
    </xf>
    <xf numFmtId="0" fontId="3" fillId="7" borderId="8" xfId="0" applyFont="1" applyFill="1" applyBorder="1" applyAlignment="1">
      <alignment horizontal="center"/>
    </xf>
    <xf numFmtId="0" fontId="3" fillId="7" borderId="8" xfId="0" applyFont="1" applyFill="1" applyBorder="1" applyAlignment="1">
      <alignment horizontal="center" wrapText="1"/>
    </xf>
    <xf numFmtId="0" fontId="0" fillId="2" borderId="40" xfId="0" applyFill="1" applyBorder="1"/>
    <xf numFmtId="0" fontId="0" fillId="2" borderId="41" xfId="0" applyFill="1" applyBorder="1"/>
    <xf numFmtId="0" fontId="3" fillId="2" borderId="1" xfId="0" applyFont="1" applyFill="1" applyBorder="1"/>
    <xf numFmtId="0" fontId="3" fillId="2" borderId="0" xfId="0" applyFont="1" applyFill="1"/>
    <xf numFmtId="0" fontId="0" fillId="2" borderId="6" xfId="0" applyFill="1" applyBorder="1" applyAlignment="1">
      <alignment horizontal="center" vertical="center"/>
    </xf>
    <xf numFmtId="42" fontId="0" fillId="4" borderId="44" xfId="0" applyNumberFormat="1" applyFill="1" applyBorder="1" applyAlignment="1">
      <alignment vertical="center"/>
    </xf>
    <xf numFmtId="42" fontId="0" fillId="2" borderId="41" xfId="0" applyNumberFormat="1" applyFill="1" applyBorder="1" applyAlignment="1">
      <alignment vertical="center"/>
    </xf>
    <xf numFmtId="42" fontId="0" fillId="6" borderId="9" xfId="0" applyNumberFormat="1" applyFill="1" applyBorder="1" applyAlignment="1">
      <alignment horizontal="center" vertical="center"/>
    </xf>
    <xf numFmtId="42" fontId="0" fillId="2" borderId="0" xfId="0" applyNumberFormat="1" applyFill="1" applyAlignment="1">
      <alignment vertical="center"/>
    </xf>
    <xf numFmtId="42" fontId="0" fillId="7" borderId="9" xfId="0" applyNumberFormat="1" applyFill="1" applyBorder="1" applyAlignment="1">
      <alignment horizontal="center" vertical="center"/>
    </xf>
    <xf numFmtId="42" fontId="0" fillId="4" borderId="11" xfId="0" applyNumberFormat="1" applyFill="1" applyBorder="1" applyAlignment="1">
      <alignment vertical="center"/>
    </xf>
    <xf numFmtId="42" fontId="0" fillId="6" borderId="11" xfId="0" applyNumberFormat="1" applyFill="1" applyBorder="1" applyAlignment="1">
      <alignment horizontal="center" vertical="center"/>
    </xf>
    <xf numFmtId="42" fontId="0" fillId="7" borderId="11" xfId="0" applyNumberFormat="1" applyFill="1" applyBorder="1" applyAlignment="1">
      <alignment horizontal="center" vertical="center"/>
    </xf>
    <xf numFmtId="42" fontId="0" fillId="4" borderId="14" xfId="0" applyNumberFormat="1" applyFill="1" applyBorder="1" applyAlignment="1">
      <alignment vertical="center"/>
    </xf>
    <xf numFmtId="42" fontId="0" fillId="6" borderId="14" xfId="0" applyNumberFormat="1" applyFill="1" applyBorder="1" applyAlignment="1">
      <alignment horizontal="center" vertical="center"/>
    </xf>
    <xf numFmtId="42" fontId="0" fillId="7" borderId="14" xfId="0" applyNumberFormat="1" applyFill="1" applyBorder="1" applyAlignment="1">
      <alignment horizontal="center" vertical="center"/>
    </xf>
    <xf numFmtId="42" fontId="0" fillId="4" borderId="9" xfId="0" applyNumberFormat="1" applyFill="1" applyBorder="1" applyAlignment="1">
      <alignment vertical="center"/>
    </xf>
    <xf numFmtId="42" fontId="0" fillId="8" borderId="11" xfId="0" applyNumberFormat="1" applyFill="1" applyBorder="1" applyAlignment="1">
      <alignment horizontal="center" vertical="center"/>
    </xf>
    <xf numFmtId="0" fontId="0" fillId="0" borderId="0" xfId="0" applyAlignment="1">
      <alignment horizontal="right"/>
    </xf>
    <xf numFmtId="0" fontId="3" fillId="0" borderId="5" xfId="0" applyFont="1" applyBorder="1"/>
    <xf numFmtId="42" fontId="3" fillId="5" borderId="8" xfId="0" applyNumberFormat="1" applyFont="1" applyFill="1" applyBorder="1" applyAlignment="1">
      <alignment vertical="center"/>
    </xf>
    <xf numFmtId="42" fontId="3" fillId="2" borderId="41" xfId="0" applyNumberFormat="1" applyFont="1" applyFill="1" applyBorder="1" applyAlignment="1">
      <alignment vertical="center"/>
    </xf>
    <xf numFmtId="42" fontId="3" fillId="5" borderId="8" xfId="0" applyNumberFormat="1" applyFont="1" applyFill="1" applyBorder="1" applyAlignment="1">
      <alignment horizontal="center" vertical="center"/>
    </xf>
    <xf numFmtId="42" fontId="3" fillId="2" borderId="0" xfId="0" applyNumberFormat="1" applyFont="1" applyFill="1" applyAlignment="1">
      <alignment vertical="center"/>
    </xf>
    <xf numFmtId="42" fontId="3" fillId="4" borderId="42" xfId="0" applyNumberFormat="1" applyFont="1" applyFill="1" applyBorder="1" applyAlignment="1">
      <alignment vertical="center"/>
    </xf>
    <xf numFmtId="42" fontId="3" fillId="6" borderId="8" xfId="0" applyNumberFormat="1" applyFont="1" applyFill="1" applyBorder="1" applyAlignment="1">
      <alignment horizontal="center" vertical="center"/>
    </xf>
    <xf numFmtId="42" fontId="3" fillId="2" borderId="42" xfId="0" applyNumberFormat="1" applyFont="1" applyFill="1" applyBorder="1" applyAlignment="1">
      <alignment vertical="center"/>
    </xf>
    <xf numFmtId="42" fontId="3" fillId="7" borderId="8" xfId="0" applyNumberFormat="1" applyFont="1" applyFill="1" applyBorder="1" applyAlignment="1">
      <alignment horizontal="center" vertical="center"/>
    </xf>
    <xf numFmtId="0" fontId="14" fillId="11" borderId="0" xfId="0" applyFont="1" applyFill="1"/>
    <xf numFmtId="0" fontId="14" fillId="11" borderId="0" xfId="0" applyFont="1" applyFill="1" applyAlignment="1">
      <alignment horizontal="left"/>
    </xf>
    <xf numFmtId="0" fontId="14" fillId="11" borderId="0" xfId="0" applyFont="1" applyFill="1" applyAlignment="1">
      <alignment horizontal="center"/>
    </xf>
    <xf numFmtId="42" fontId="14" fillId="11" borderId="0" xfId="0" applyNumberFormat="1" applyFont="1" applyFill="1"/>
    <xf numFmtId="42" fontId="0" fillId="0" borderId="19" xfId="0" applyNumberFormat="1" applyBorder="1"/>
    <xf numFmtId="42" fontId="0" fillId="0" borderId="0" xfId="0" applyNumberFormat="1"/>
    <xf numFmtId="42" fontId="14" fillId="11" borderId="0" xfId="0" applyNumberFormat="1" applyFont="1" applyFill="1" applyAlignment="1">
      <alignment horizontal="left"/>
    </xf>
    <xf numFmtId="42" fontId="3" fillId="10" borderId="0" xfId="0" applyNumberFormat="1" applyFont="1" applyFill="1" applyAlignment="1">
      <alignment horizontal="left"/>
    </xf>
    <xf numFmtId="42" fontId="14" fillId="12" borderId="0" xfId="0" applyNumberFormat="1" applyFont="1" applyFill="1"/>
    <xf numFmtId="0" fontId="15" fillId="12" borderId="0" xfId="0" applyFont="1" applyFill="1" applyAlignment="1">
      <alignment horizontal="left"/>
    </xf>
    <xf numFmtId="42" fontId="15" fillId="12" borderId="0" xfId="0" applyNumberFormat="1" applyFont="1" applyFill="1"/>
    <xf numFmtId="0" fontId="0" fillId="12" borderId="19" xfId="0" applyFill="1" applyBorder="1" applyAlignment="1">
      <alignment horizontal="center"/>
    </xf>
    <xf numFmtId="42" fontId="14" fillId="11" borderId="5" xfId="0" applyNumberFormat="1" applyFont="1" applyFill="1" applyBorder="1"/>
    <xf numFmtId="0" fontId="14" fillId="11" borderId="4" xfId="0" applyFont="1" applyFill="1" applyBorder="1" applyAlignment="1">
      <alignment horizontal="left"/>
    </xf>
    <xf numFmtId="42" fontId="3" fillId="10" borderId="5" xfId="0" applyNumberFormat="1" applyFont="1" applyFill="1" applyBorder="1"/>
    <xf numFmtId="42" fontId="10" fillId="3" borderId="8" xfId="0" applyNumberFormat="1" applyFont="1" applyFill="1" applyBorder="1"/>
    <xf numFmtId="42" fontId="3" fillId="10" borderId="43" xfId="0" applyNumberFormat="1" applyFont="1" applyFill="1" applyBorder="1" applyAlignment="1">
      <alignment horizontal="left"/>
    </xf>
    <xf numFmtId="42" fontId="3" fillId="10" borderId="7" xfId="0" applyNumberFormat="1" applyFont="1" applyFill="1" applyBorder="1"/>
    <xf numFmtId="0" fontId="3" fillId="10" borderId="43" xfId="0" applyFont="1" applyFill="1" applyBorder="1" applyAlignment="1">
      <alignment horizontal="right"/>
    </xf>
    <xf numFmtId="0" fontId="3" fillId="10" borderId="23" xfId="0" applyFont="1" applyFill="1" applyBorder="1" applyAlignment="1">
      <alignment horizontal="center"/>
    </xf>
    <xf numFmtId="42" fontId="14" fillId="11" borderId="45" xfId="0" applyNumberFormat="1" applyFont="1" applyFill="1" applyBorder="1"/>
    <xf numFmtId="42" fontId="3" fillId="10" borderId="7" xfId="0" applyNumberFormat="1" applyFont="1" applyFill="1" applyBorder="1" applyAlignment="1">
      <alignment horizontal="left"/>
    </xf>
    <xf numFmtId="42" fontId="13" fillId="9" borderId="8" xfId="0" applyNumberFormat="1" applyFont="1" applyFill="1" applyBorder="1"/>
    <xf numFmtId="42" fontId="0" fillId="13" borderId="19" xfId="0" applyNumberFormat="1" applyFill="1" applyBorder="1"/>
    <xf numFmtId="42" fontId="0" fillId="13" borderId="13" xfId="0" applyNumberFormat="1" applyFill="1" applyBorder="1"/>
    <xf numFmtId="0" fontId="0" fillId="14" borderId="0" xfId="0" applyFill="1" applyAlignment="1">
      <alignment horizontal="center"/>
    </xf>
    <xf numFmtId="0" fontId="0" fillId="14" borderId="0" xfId="0" applyFill="1"/>
    <xf numFmtId="42" fontId="0" fillId="14" borderId="0" xfId="0" applyNumberFormat="1" applyFill="1"/>
    <xf numFmtId="42" fontId="0" fillId="14" borderId="5" xfId="0" applyNumberFormat="1" applyFill="1" applyBorder="1"/>
    <xf numFmtId="42" fontId="16" fillId="11" borderId="0" xfId="0" applyNumberFormat="1" applyFont="1" applyFill="1"/>
    <xf numFmtId="42" fontId="14" fillId="11" borderId="46" xfId="0" applyNumberFormat="1" applyFont="1" applyFill="1" applyBorder="1" applyAlignment="1">
      <alignment horizontal="left"/>
    </xf>
    <xf numFmtId="42" fontId="2" fillId="12" borderId="19" xfId="0" applyNumberFormat="1" applyFont="1" applyFill="1" applyBorder="1"/>
    <xf numFmtId="9" fontId="0" fillId="15" borderId="0" xfId="0" applyNumberFormat="1" applyFill="1" applyAlignment="1">
      <alignment horizontal="center"/>
    </xf>
    <xf numFmtId="0" fontId="0" fillId="14" borderId="19" xfId="0" applyFill="1" applyBorder="1"/>
    <xf numFmtId="42" fontId="0" fillId="14" borderId="19" xfId="0" applyNumberFormat="1" applyFill="1" applyBorder="1"/>
    <xf numFmtId="42" fontId="0" fillId="16" borderId="19" xfId="0" applyNumberFormat="1" applyFill="1" applyBorder="1"/>
    <xf numFmtId="42" fontId="0" fillId="16" borderId="13" xfId="0" applyNumberFormat="1" applyFill="1" applyBorder="1"/>
    <xf numFmtId="0" fontId="3" fillId="6" borderId="8" xfId="0" applyFont="1" applyFill="1" applyBorder="1" applyAlignment="1">
      <alignment horizontal="right"/>
    </xf>
    <xf numFmtId="0" fontId="1" fillId="3" borderId="1" xfId="0" applyFont="1" applyFill="1" applyBorder="1"/>
    <xf numFmtId="0" fontId="1" fillId="3" borderId="2" xfId="0" applyFont="1" applyFill="1" applyBorder="1"/>
    <xf numFmtId="0" fontId="1" fillId="3" borderId="3" xfId="0" applyFont="1" applyFill="1" applyBorder="1"/>
    <xf numFmtId="42" fontId="1" fillId="3" borderId="0" xfId="0" applyNumberFormat="1" applyFont="1" applyFill="1" applyAlignment="1">
      <alignment horizontal="right"/>
    </xf>
    <xf numFmtId="42" fontId="1" fillId="3" borderId="5" xfId="0" applyNumberFormat="1" applyFont="1" applyFill="1" applyBorder="1"/>
    <xf numFmtId="0" fontId="1" fillId="3" borderId="8" xfId="0" applyFont="1" applyFill="1" applyBorder="1" applyAlignment="1">
      <alignment vertical="center" wrapText="1"/>
    </xf>
    <xf numFmtId="0" fontId="1" fillId="3" borderId="8" xfId="0" applyFont="1" applyFill="1" applyBorder="1" applyAlignment="1">
      <alignment horizontal="center" vertical="center" wrapText="1"/>
    </xf>
    <xf numFmtId="42" fontId="1" fillId="3" borderId="8" xfId="0" applyNumberFormat="1" applyFont="1" applyFill="1" applyBorder="1" applyAlignment="1">
      <alignment horizontal="center" vertical="center" wrapText="1"/>
    </xf>
    <xf numFmtId="0" fontId="15" fillId="17" borderId="0" xfId="0" applyFont="1" applyFill="1" applyAlignment="1">
      <alignment horizontal="left"/>
    </xf>
    <xf numFmtId="42" fontId="15" fillId="17" borderId="0" xfId="0" applyNumberFormat="1" applyFont="1" applyFill="1"/>
    <xf numFmtId="1" fontId="2" fillId="12" borderId="19" xfId="0" applyNumberFormat="1" applyFont="1" applyFill="1" applyBorder="1" applyAlignment="1">
      <alignment horizontal="center"/>
    </xf>
    <xf numFmtId="42" fontId="0" fillId="18" borderId="11" xfId="0" applyNumberFormat="1" applyFill="1" applyBorder="1" applyAlignment="1">
      <alignment horizontal="center" vertical="center"/>
    </xf>
    <xf numFmtId="1" fontId="1" fillId="3" borderId="8" xfId="0" applyNumberFormat="1" applyFont="1" applyFill="1" applyBorder="1" applyAlignment="1">
      <alignment horizontal="center" vertical="center" wrapText="1"/>
    </xf>
    <xf numFmtId="1" fontId="14" fillId="11" borderId="0" xfId="0" applyNumberFormat="1" applyFont="1" applyFill="1" applyAlignment="1">
      <alignment horizontal="center"/>
    </xf>
    <xf numFmtId="1" fontId="0" fillId="14" borderId="0" xfId="0" applyNumberFormat="1" applyFill="1" applyAlignment="1">
      <alignment horizontal="center"/>
    </xf>
    <xf numFmtId="1" fontId="0" fillId="0" borderId="19" xfId="0" applyNumberFormat="1" applyBorder="1" applyAlignment="1">
      <alignment horizontal="center"/>
    </xf>
    <xf numFmtId="1" fontId="15" fillId="12" borderId="0" xfId="0" applyNumberFormat="1" applyFont="1" applyFill="1" applyAlignment="1">
      <alignment horizontal="center"/>
    </xf>
    <xf numFmtId="1" fontId="17" fillId="2" borderId="19" xfId="0" applyNumberFormat="1" applyFont="1" applyFill="1" applyBorder="1" applyAlignment="1">
      <alignment horizontal="center"/>
    </xf>
    <xf numFmtId="1" fontId="0" fillId="14" borderId="19" xfId="0" applyNumberFormat="1" applyFill="1" applyBorder="1" applyAlignment="1">
      <alignment horizontal="center"/>
    </xf>
    <xf numFmtId="1" fontId="3" fillId="10" borderId="23" xfId="0" applyNumberFormat="1" applyFont="1" applyFill="1" applyBorder="1" applyAlignment="1">
      <alignment horizontal="left"/>
    </xf>
    <xf numFmtId="1" fontId="0" fillId="0" borderId="0" xfId="0" applyNumberFormat="1" applyAlignment="1">
      <alignment horizontal="center"/>
    </xf>
    <xf numFmtId="1" fontId="15" fillId="17" borderId="0" xfId="0" applyNumberFormat="1" applyFont="1" applyFill="1" applyAlignment="1">
      <alignment horizontal="center"/>
    </xf>
    <xf numFmtId="44" fontId="0" fillId="0" borderId="19" xfId="0" applyNumberFormat="1" applyBorder="1"/>
    <xf numFmtId="14" fontId="6" fillId="0" borderId="19" xfId="0" applyNumberFormat="1" applyFont="1" applyBorder="1" applyAlignment="1">
      <alignment horizontal="center"/>
    </xf>
    <xf numFmtId="14" fontId="0" fillId="0" borderId="5" xfId="0" applyNumberFormat="1" applyBorder="1" applyAlignment="1">
      <alignment horizontal="center"/>
    </xf>
    <xf numFmtId="0" fontId="0" fillId="0" borderId="16" xfId="0" applyBorder="1"/>
    <xf numFmtId="0" fontId="0" fillId="0" borderId="24" xfId="0" applyBorder="1"/>
    <xf numFmtId="0" fontId="0" fillId="0" borderId="41" xfId="0" applyBorder="1"/>
    <xf numFmtId="0" fontId="0" fillId="0" borderId="4" xfId="0" applyBorder="1" applyAlignment="1">
      <alignment horizontal="right" indent="1"/>
    </xf>
    <xf numFmtId="42" fontId="0" fillId="0" borderId="40" xfId="0" applyNumberFormat="1" applyBorder="1"/>
    <xf numFmtId="42" fontId="0" fillId="0" borderId="41" xfId="0" applyNumberFormat="1" applyBorder="1"/>
    <xf numFmtId="42" fontId="0" fillId="0" borderId="42" xfId="0" applyNumberFormat="1" applyBorder="1"/>
    <xf numFmtId="42" fontId="0" fillId="0" borderId="5" xfId="0" applyNumberFormat="1" applyBorder="1"/>
    <xf numFmtId="0" fontId="1" fillId="3" borderId="8" xfId="0" applyFont="1" applyFill="1" applyBorder="1" applyAlignment="1">
      <alignment horizontal="center" vertical="center"/>
    </xf>
    <xf numFmtId="0" fontId="1" fillId="3" borderId="7" xfId="0" applyFont="1" applyFill="1" applyBorder="1" applyAlignment="1">
      <alignment horizontal="center" vertical="center"/>
    </xf>
    <xf numFmtId="0" fontId="3" fillId="0" borderId="4" xfId="0" applyFont="1" applyBorder="1" applyAlignment="1">
      <alignment horizontal="right"/>
    </xf>
    <xf numFmtId="0" fontId="2" fillId="0" borderId="0" xfId="0" applyFont="1"/>
    <xf numFmtId="9" fontId="6" fillId="0" borderId="19" xfId="0" applyNumberFormat="1" applyFont="1" applyBorder="1" applyAlignment="1">
      <alignment horizontal="center"/>
    </xf>
    <xf numFmtId="42" fontId="3" fillId="5" borderId="40" xfId="0" applyNumberFormat="1" applyFont="1" applyFill="1" applyBorder="1" applyAlignment="1">
      <alignment vertical="center"/>
    </xf>
    <xf numFmtId="42" fontId="3" fillId="5" borderId="42" xfId="0" applyNumberFormat="1" applyFont="1" applyFill="1" applyBorder="1" applyAlignment="1">
      <alignment horizontal="center" vertical="center"/>
    </xf>
    <xf numFmtId="42" fontId="3" fillId="5" borderId="40" xfId="0" applyNumberFormat="1" applyFont="1" applyFill="1" applyBorder="1" applyAlignment="1">
      <alignment horizontal="center" vertical="center"/>
    </xf>
    <xf numFmtId="42" fontId="3" fillId="5" borderId="42" xfId="0" applyNumberFormat="1" applyFont="1" applyFill="1" applyBorder="1" applyAlignment="1">
      <alignment vertical="center"/>
    </xf>
    <xf numFmtId="0" fontId="0" fillId="2" borderId="43" xfId="0" applyFill="1" applyBorder="1" applyAlignment="1">
      <alignment horizontal="center" vertical="center"/>
    </xf>
    <xf numFmtId="42" fontId="0" fillId="2" borderId="8" xfId="0" applyNumberFormat="1" applyFill="1" applyBorder="1" applyAlignment="1">
      <alignment vertical="center"/>
    </xf>
    <xf numFmtId="42" fontId="0" fillId="2" borderId="8" xfId="0" applyNumberFormat="1" applyFill="1" applyBorder="1" applyAlignment="1">
      <alignment horizontal="center" vertical="center"/>
    </xf>
    <xf numFmtId="0" fontId="0" fillId="2" borderId="19" xfId="0" applyFill="1" applyBorder="1" applyAlignment="1">
      <alignment horizontal="center"/>
    </xf>
    <xf numFmtId="1" fontId="19" fillId="10" borderId="43" xfId="0" applyNumberFormat="1" applyFont="1" applyFill="1" applyBorder="1" applyAlignment="1">
      <alignment horizontal="right"/>
    </xf>
    <xf numFmtId="0" fontId="19" fillId="10" borderId="43" xfId="0" applyFont="1" applyFill="1" applyBorder="1" applyAlignment="1">
      <alignment horizontal="center"/>
    </xf>
    <xf numFmtId="9" fontId="19" fillId="10" borderId="43" xfId="0" applyNumberFormat="1" applyFont="1" applyFill="1" applyBorder="1" applyAlignment="1">
      <alignment horizontal="left"/>
    </xf>
    <xf numFmtId="9" fontId="19" fillId="10" borderId="23" xfId="0" applyNumberFormat="1" applyFont="1" applyFill="1" applyBorder="1" applyAlignment="1">
      <alignment horizontal="left"/>
    </xf>
    <xf numFmtId="1" fontId="19" fillId="10" borderId="23" xfId="0" applyNumberFormat="1" applyFont="1" applyFill="1" applyBorder="1" applyAlignment="1">
      <alignment horizontal="left"/>
    </xf>
    <xf numFmtId="0" fontId="19" fillId="10" borderId="23" xfId="0" applyFont="1" applyFill="1" applyBorder="1" applyAlignment="1">
      <alignment horizontal="center"/>
    </xf>
    <xf numFmtId="0" fontId="0" fillId="0" borderId="19" xfId="0" applyBorder="1" applyAlignment="1">
      <alignment horizontal="center"/>
    </xf>
    <xf numFmtId="0" fontId="4" fillId="12" borderId="0" xfId="0" applyFont="1" applyFill="1"/>
    <xf numFmtId="0" fontId="21" fillId="0" borderId="0" xfId="0" applyFont="1"/>
    <xf numFmtId="0" fontId="21" fillId="0" borderId="0" xfId="0" applyFont="1" applyAlignment="1">
      <alignment vertical="center" wrapText="1"/>
    </xf>
    <xf numFmtId="3" fontId="0" fillId="0" borderId="19" xfId="0" applyNumberFormat="1" applyBorder="1" applyAlignment="1">
      <alignment horizontal="center"/>
    </xf>
    <xf numFmtId="0" fontId="14" fillId="11" borderId="0" xfId="0" applyFont="1" applyFill="1" applyAlignment="1">
      <alignment wrapText="1"/>
    </xf>
    <xf numFmtId="0" fontId="0" fillId="0" borderId="19" xfId="0" applyBorder="1" applyAlignment="1">
      <alignment wrapText="1"/>
    </xf>
    <xf numFmtId="0" fontId="0" fillId="0" borderId="0" xfId="0" applyAlignment="1">
      <alignment wrapText="1"/>
    </xf>
    <xf numFmtId="164" fontId="6" fillId="0" borderId="19" xfId="0" applyNumberFormat="1" applyFont="1" applyBorder="1" applyAlignment="1">
      <alignment horizontal="center"/>
    </xf>
    <xf numFmtId="0" fontId="2" fillId="0" borderId="27" xfId="0" applyFont="1" applyBorder="1"/>
    <xf numFmtId="0" fontId="2" fillId="0" borderId="13" xfId="0" applyFont="1" applyBorder="1"/>
    <xf numFmtId="0" fontId="22" fillId="19" borderId="49" xfId="0" applyFont="1" applyFill="1" applyBorder="1" applyAlignment="1">
      <alignment horizontal="center" vertical="center" wrapText="1"/>
    </xf>
    <xf numFmtId="0" fontId="7" fillId="0" borderId="0" xfId="0" applyFont="1"/>
    <xf numFmtId="0" fontId="22" fillId="20" borderId="49" xfId="0" applyFont="1" applyFill="1" applyBorder="1" applyAlignment="1">
      <alignment horizontal="left" vertical="center"/>
    </xf>
    <xf numFmtId="14" fontId="22" fillId="20" borderId="49" xfId="0" applyNumberFormat="1" applyFont="1" applyFill="1" applyBorder="1" applyAlignment="1">
      <alignment horizontal="left" vertical="center"/>
    </xf>
    <xf numFmtId="14" fontId="6" fillId="12" borderId="19" xfId="0" applyNumberFormat="1" applyFont="1" applyFill="1" applyBorder="1" applyAlignment="1">
      <alignment horizontal="center"/>
    </xf>
    <xf numFmtId="0" fontId="0" fillId="0" borderId="29" xfId="0" applyBorder="1"/>
    <xf numFmtId="14" fontId="6" fillId="0" borderId="50" xfId="0" applyNumberFormat="1" applyFont="1" applyBorder="1" applyAlignment="1">
      <alignment horizontal="center"/>
    </xf>
    <xf numFmtId="0" fontId="2" fillId="0" borderId="30" xfId="0" applyFont="1" applyBorder="1"/>
    <xf numFmtId="42" fontId="22" fillId="20" borderId="49" xfId="0" applyNumberFormat="1" applyFont="1" applyFill="1" applyBorder="1" applyAlignment="1">
      <alignment horizontal="right" vertical="center"/>
    </xf>
    <xf numFmtId="0" fontId="21" fillId="0" borderId="4" xfId="0" applyFont="1" applyBorder="1" applyAlignment="1">
      <alignment vertical="center" wrapText="1"/>
    </xf>
    <xf numFmtId="42" fontId="17" fillId="0" borderId="19" xfId="0" applyNumberFormat="1" applyFont="1" applyBorder="1"/>
    <xf numFmtId="1" fontId="17" fillId="0" borderId="19" xfId="0" applyNumberFormat="1" applyFont="1" applyBorder="1" applyAlignment="1">
      <alignment horizontal="center"/>
    </xf>
    <xf numFmtId="0" fontId="17" fillId="0" borderId="19" xfId="0" applyFont="1" applyBorder="1" applyAlignment="1">
      <alignment horizontal="center"/>
    </xf>
    <xf numFmtId="0" fontId="1" fillId="3" borderId="5" xfId="0" applyFont="1" applyFill="1" applyBorder="1" applyAlignment="1">
      <alignment vertical="center"/>
    </xf>
    <xf numFmtId="14" fontId="1" fillId="3" borderId="4" xfId="0" applyNumberFormat="1" applyFont="1" applyFill="1" applyBorder="1" applyAlignment="1">
      <alignment horizontal="right" vertical="center"/>
    </xf>
    <xf numFmtId="0" fontId="4" fillId="0" borderId="13" xfId="0" applyFont="1" applyBorder="1"/>
    <xf numFmtId="0" fontId="24" fillId="0" borderId="0" xfId="0" applyFont="1"/>
    <xf numFmtId="0" fontId="3" fillId="0" borderId="1" xfId="0" applyFont="1" applyBorder="1"/>
    <xf numFmtId="0" fontId="0" fillId="0" borderId="3" xfId="0" applyBorder="1"/>
    <xf numFmtId="0" fontId="3" fillId="0" borderId="4" xfId="0" applyFont="1" applyBorder="1"/>
    <xf numFmtId="16" fontId="0" fillId="0" borderId="5" xfId="0" quotePrefix="1" applyNumberFormat="1" applyBorder="1"/>
    <xf numFmtId="0" fontId="3" fillId="0" borderId="16" xfId="0" applyFont="1" applyBorder="1"/>
    <xf numFmtId="0" fontId="0" fillId="0" borderId="12" xfId="0" applyBorder="1" applyAlignment="1">
      <alignment horizontal="center"/>
    </xf>
    <xf numFmtId="14" fontId="1" fillId="3" borderId="4" xfId="0" applyNumberFormat="1" applyFont="1" applyFill="1" applyBorder="1" applyAlignment="1">
      <alignment horizontal="left"/>
    </xf>
    <xf numFmtId="0" fontId="3" fillId="10" borderId="6" xfId="0" applyFont="1" applyFill="1" applyBorder="1" applyAlignment="1">
      <alignment horizontal="left"/>
    </xf>
    <xf numFmtId="0" fontId="0" fillId="14" borderId="12" xfId="0" applyFill="1" applyBorder="1" applyAlignment="1">
      <alignment horizontal="center"/>
    </xf>
    <xf numFmtId="0" fontId="0" fillId="14" borderId="19" xfId="0" applyFill="1" applyBorder="1" applyAlignment="1">
      <alignment horizontal="center"/>
    </xf>
    <xf numFmtId="0" fontId="7" fillId="0" borderId="0" xfId="1"/>
    <xf numFmtId="0" fontId="0" fillId="14" borderId="4" xfId="0" applyFill="1" applyBorder="1" applyAlignment="1">
      <alignment horizontal="center"/>
    </xf>
    <xf numFmtId="0" fontId="14" fillId="11" borderId="4" xfId="0" applyFont="1" applyFill="1" applyBorder="1" applyAlignment="1">
      <alignment horizontal="center"/>
    </xf>
    <xf numFmtId="42" fontId="26" fillId="0" borderId="19" xfId="2" applyNumberFormat="1" applyFont="1" applyBorder="1"/>
    <xf numFmtId="42" fontId="26" fillId="0" borderId="13" xfId="2" applyNumberFormat="1" applyFont="1" applyBorder="1"/>
    <xf numFmtId="42" fontId="26" fillId="0" borderId="28" xfId="2" applyNumberFormat="1" applyFont="1" applyBorder="1"/>
    <xf numFmtId="42" fontId="26" fillId="0" borderId="18" xfId="2" applyNumberFormat="1" applyFont="1" applyBorder="1"/>
    <xf numFmtId="42" fontId="26" fillId="0" borderId="47" xfId="2" applyNumberFormat="1" applyFont="1" applyBorder="1"/>
    <xf numFmtId="42" fontId="26" fillId="0" borderId="10" xfId="2" applyNumberFormat="1" applyFont="1" applyBorder="1"/>
    <xf numFmtId="42" fontId="7" fillId="0" borderId="22" xfId="1" applyNumberFormat="1" applyBorder="1" applyAlignment="1">
      <alignment horizontal="center"/>
    </xf>
    <xf numFmtId="42" fontId="7" fillId="0" borderId="51" xfId="1" applyNumberFormat="1" applyBorder="1" applyAlignment="1">
      <alignment horizontal="center"/>
    </xf>
    <xf numFmtId="166" fontId="26" fillId="0" borderId="11" xfId="2" applyNumberFormat="1" applyFont="1" applyBorder="1" applyAlignment="1">
      <alignment horizontal="center"/>
    </xf>
    <xf numFmtId="166" fontId="26" fillId="0" borderId="48" xfId="2" applyNumberFormat="1" applyFont="1" applyBorder="1" applyAlignment="1">
      <alignment horizontal="center"/>
    </xf>
    <xf numFmtId="42" fontId="28" fillId="0" borderId="8" xfId="1" applyNumberFormat="1" applyFont="1" applyBorder="1"/>
    <xf numFmtId="166" fontId="26" fillId="0" borderId="9" xfId="2" applyNumberFormat="1" applyFont="1" applyBorder="1" applyAlignment="1">
      <alignment horizontal="center"/>
    </xf>
    <xf numFmtId="42" fontId="7" fillId="0" borderId="37" xfId="1" applyNumberFormat="1" applyBorder="1" applyAlignment="1">
      <alignment horizontal="center"/>
    </xf>
    <xf numFmtId="0" fontId="7" fillId="0" borderId="2" xfId="1" applyBorder="1"/>
    <xf numFmtId="10" fontId="7" fillId="0" borderId="3" xfId="1" applyNumberFormat="1" applyBorder="1"/>
    <xf numFmtId="165" fontId="7" fillId="0" borderId="0" xfId="2" applyNumberFormat="1" applyBorder="1"/>
    <xf numFmtId="10" fontId="7" fillId="0" borderId="5" xfId="2" applyNumberFormat="1" applyBorder="1"/>
    <xf numFmtId="10" fontId="7" fillId="0" borderId="5" xfId="1" applyNumberFormat="1" applyBorder="1"/>
    <xf numFmtId="0" fontId="7" fillId="0" borderId="23" xfId="1" applyBorder="1"/>
    <xf numFmtId="10" fontId="7" fillId="0" borderId="24" xfId="1" applyNumberFormat="1" applyBorder="1"/>
    <xf numFmtId="10" fontId="7" fillId="0" borderId="0" xfId="1" applyNumberFormat="1"/>
    <xf numFmtId="165" fontId="7" fillId="0" borderId="0" xfId="1" applyNumberFormat="1"/>
    <xf numFmtId="10" fontId="7" fillId="0" borderId="23" xfId="1" applyNumberFormat="1" applyBorder="1"/>
    <xf numFmtId="42" fontId="28" fillId="0" borderId="42" xfId="1" applyNumberFormat="1" applyFont="1" applyBorder="1"/>
    <xf numFmtId="166" fontId="26" fillId="21" borderId="9" xfId="2" applyNumberFormat="1" applyFont="1" applyFill="1" applyBorder="1" applyAlignment="1">
      <alignment horizontal="center"/>
    </xf>
    <xf numFmtId="42" fontId="27" fillId="22" borderId="37" xfId="2" applyNumberFormat="1" applyFont="1" applyFill="1" applyBorder="1"/>
    <xf numFmtId="0" fontId="3" fillId="0" borderId="25" xfId="0" applyFont="1" applyBorder="1"/>
    <xf numFmtId="0" fontId="3" fillId="0" borderId="26" xfId="0" applyFont="1" applyBorder="1"/>
    <xf numFmtId="0" fontId="3" fillId="0" borderId="27" xfId="0" applyFont="1" applyBorder="1"/>
    <xf numFmtId="0" fontId="3" fillId="0" borderId="17" xfId="0" applyFont="1" applyBorder="1"/>
    <xf numFmtId="0" fontId="3" fillId="0" borderId="28" xfId="0" applyFont="1" applyBorder="1"/>
    <xf numFmtId="0" fontId="3" fillId="0" borderId="18" xfId="0" applyFont="1" applyBorder="1"/>
    <xf numFmtId="0" fontId="4" fillId="0" borderId="4" xfId="0" applyFont="1" applyBorder="1" applyAlignment="1">
      <alignment vertical="center"/>
    </xf>
    <xf numFmtId="0" fontId="0" fillId="12" borderId="0" xfId="0" applyFill="1"/>
    <xf numFmtId="0" fontId="2" fillId="12" borderId="0" xfId="0" applyFont="1" applyFill="1"/>
    <xf numFmtId="9" fontId="2" fillId="12" borderId="19" xfId="0" applyNumberFormat="1" applyFont="1" applyFill="1" applyBorder="1" applyAlignment="1">
      <alignment horizontal="center"/>
    </xf>
    <xf numFmtId="0" fontId="5" fillId="7" borderId="6" xfId="0" applyFont="1" applyFill="1" applyBorder="1" applyAlignment="1">
      <alignment horizontal="center" vertical="center"/>
    </xf>
    <xf numFmtId="2" fontId="0" fillId="0" borderId="19" xfId="0" applyNumberFormat="1" applyBorder="1" applyAlignment="1">
      <alignment horizontal="center"/>
    </xf>
    <xf numFmtId="167" fontId="0" fillId="0" borderId="19" xfId="0" applyNumberFormat="1" applyBorder="1" applyAlignment="1">
      <alignment horizontal="center"/>
    </xf>
    <xf numFmtId="10" fontId="0" fillId="0" borderId="0" xfId="0" applyNumberFormat="1"/>
    <xf numFmtId="0" fontId="3" fillId="0" borderId="0" xfId="0" applyFont="1" applyAlignment="1">
      <alignment horizontal="right"/>
    </xf>
    <xf numFmtId="0" fontId="9" fillId="3" borderId="1" xfId="0" applyFont="1" applyFill="1" applyBorder="1" applyAlignment="1">
      <alignment horizontal="center"/>
    </xf>
    <xf numFmtId="0" fontId="9" fillId="3" borderId="2" xfId="0" applyFont="1" applyFill="1" applyBorder="1" applyAlignment="1">
      <alignment horizontal="center"/>
    </xf>
    <xf numFmtId="0" fontId="9" fillId="3" borderId="3" xfId="0" applyFont="1" applyFill="1" applyBorder="1" applyAlignment="1">
      <alignment horizontal="center"/>
    </xf>
    <xf numFmtId="0" fontId="18" fillId="3" borderId="1" xfId="0" applyFont="1" applyFill="1" applyBorder="1" applyAlignment="1">
      <alignment horizontal="center"/>
    </xf>
    <xf numFmtId="0" fontId="18" fillId="3" borderId="3" xfId="0" applyFont="1" applyFill="1" applyBorder="1" applyAlignment="1">
      <alignment horizontal="center"/>
    </xf>
    <xf numFmtId="0" fontId="9" fillId="3" borderId="4" xfId="0" applyFont="1" applyFill="1" applyBorder="1" applyAlignment="1">
      <alignment horizontal="center"/>
    </xf>
    <xf numFmtId="0" fontId="9" fillId="3" borderId="5" xfId="0" applyFont="1" applyFill="1" applyBorder="1" applyAlignment="1">
      <alignment horizontal="center"/>
    </xf>
    <xf numFmtId="14" fontId="14" fillId="3" borderId="16" xfId="0" applyNumberFormat="1" applyFont="1" applyFill="1" applyBorder="1" applyAlignment="1">
      <alignment horizontal="center"/>
    </xf>
    <xf numFmtId="14" fontId="14" fillId="3" borderId="24" xfId="0" applyNumberFormat="1" applyFont="1" applyFill="1" applyBorder="1" applyAlignment="1">
      <alignment horizontal="center"/>
    </xf>
    <xf numFmtId="0" fontId="4" fillId="12" borderId="2" xfId="0" applyFont="1" applyFill="1" applyBorder="1" applyAlignment="1">
      <alignment horizontal="left" vertical="top" wrapText="1"/>
    </xf>
    <xf numFmtId="0" fontId="4" fillId="12" borderId="0" xfId="0" applyFont="1" applyFill="1" applyAlignment="1">
      <alignment horizontal="left" vertical="top" wrapText="1"/>
    </xf>
    <xf numFmtId="49" fontId="0" fillId="0" borderId="38" xfId="0" applyNumberFormat="1" applyBorder="1" applyAlignment="1">
      <alignment horizontal="left"/>
    </xf>
    <xf numFmtId="49" fontId="0" fillId="0" borderId="0" xfId="0" applyNumberFormat="1" applyAlignment="1">
      <alignment horizontal="left"/>
    </xf>
    <xf numFmtId="49" fontId="0" fillId="0" borderId="39" xfId="0" applyNumberFormat="1" applyBorder="1" applyAlignment="1">
      <alignment horizontal="left"/>
    </xf>
    <xf numFmtId="49" fontId="0" fillId="0" borderId="35" xfId="0" applyNumberFormat="1" applyBorder="1" applyAlignment="1">
      <alignment horizontal="left"/>
    </xf>
    <xf numFmtId="49" fontId="0" fillId="0" borderId="36" xfId="0" applyNumberFormat="1" applyBorder="1" applyAlignment="1">
      <alignment horizontal="left"/>
    </xf>
    <xf numFmtId="49" fontId="0" fillId="0" borderId="37" xfId="0" applyNumberFormat="1" applyBorder="1" applyAlignment="1">
      <alignment horizontal="left"/>
    </xf>
    <xf numFmtId="0" fontId="8" fillId="3" borderId="33" xfId="0" applyFont="1" applyFill="1" applyBorder="1" applyAlignment="1">
      <alignment horizontal="center" vertical="center"/>
    </xf>
    <xf numFmtId="0" fontId="8" fillId="3" borderId="32" xfId="0" applyFont="1" applyFill="1" applyBorder="1" applyAlignment="1">
      <alignment horizontal="center" vertical="center"/>
    </xf>
    <xf numFmtId="0" fontId="8" fillId="3" borderId="34" xfId="0" applyFont="1" applyFill="1" applyBorder="1" applyAlignment="1">
      <alignment horizontal="center" vertical="center"/>
    </xf>
    <xf numFmtId="0" fontId="8" fillId="3" borderId="35" xfId="0" applyFont="1" applyFill="1" applyBorder="1" applyAlignment="1">
      <alignment horizontal="center" vertical="center"/>
    </xf>
    <xf numFmtId="0" fontId="8" fillId="3" borderId="36" xfId="0" applyFont="1" applyFill="1" applyBorder="1" applyAlignment="1">
      <alignment horizontal="center" vertical="center"/>
    </xf>
    <xf numFmtId="0" fontId="8" fillId="3" borderId="37" xfId="0" applyFont="1" applyFill="1" applyBorder="1" applyAlignment="1">
      <alignment horizontal="center" vertical="center"/>
    </xf>
    <xf numFmtId="49" fontId="0" fillId="0" borderId="33" xfId="0" applyNumberFormat="1" applyBorder="1" applyAlignment="1">
      <alignment horizontal="left" wrapText="1"/>
    </xf>
    <xf numFmtId="49" fontId="0" fillId="0" borderId="32" xfId="0" applyNumberFormat="1" applyBorder="1" applyAlignment="1">
      <alignment horizontal="left" wrapText="1"/>
    </xf>
    <xf numFmtId="49" fontId="0" fillId="0" borderId="34" xfId="0" applyNumberFormat="1" applyBorder="1" applyAlignment="1">
      <alignment horizontal="left" wrapText="1"/>
    </xf>
    <xf numFmtId="0" fontId="9" fillId="3" borderId="20"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22" xfId="0" applyFont="1" applyFill="1" applyBorder="1" applyAlignment="1">
      <alignment horizontal="center" vertical="center"/>
    </xf>
    <xf numFmtId="14" fontId="9" fillId="3" borderId="20" xfId="0" applyNumberFormat="1" applyFont="1" applyFill="1" applyBorder="1" applyAlignment="1">
      <alignment horizontal="center" vertical="center"/>
    </xf>
    <xf numFmtId="9" fontId="0" fillId="0" borderId="0" xfId="0" applyNumberFormat="1" applyAlignment="1">
      <alignment horizontal="left"/>
    </xf>
    <xf numFmtId="0" fontId="0" fillId="0" borderId="0" xfId="0" applyAlignment="1">
      <alignment horizontal="right" vertical="top"/>
    </xf>
    <xf numFmtId="10" fontId="0" fillId="0" borderId="0" xfId="0" applyNumberFormat="1" applyAlignment="1">
      <alignment horizontal="left"/>
    </xf>
    <xf numFmtId="0" fontId="0" fillId="0" borderId="0" xfId="0" applyAlignment="1">
      <alignment horizontal="left"/>
    </xf>
    <xf numFmtId="0" fontId="11" fillId="3" borderId="0" xfId="0" applyFont="1" applyFill="1" applyAlignment="1">
      <alignment horizontal="center" vertical="center"/>
    </xf>
    <xf numFmtId="0" fontId="9" fillId="3" borderId="31" xfId="0" applyFont="1" applyFill="1" applyBorder="1" applyAlignment="1">
      <alignment horizontal="center" vertical="center"/>
    </xf>
    <xf numFmtId="0" fontId="9" fillId="3" borderId="36" xfId="0" applyFont="1" applyFill="1" applyBorder="1" applyAlignment="1">
      <alignment horizontal="center" vertical="center"/>
    </xf>
    <xf numFmtId="0" fontId="10" fillId="3" borderId="0" xfId="0" applyFont="1" applyFill="1" applyAlignment="1">
      <alignment horizontal="center" vertical="center"/>
    </xf>
    <xf numFmtId="0" fontId="5" fillId="6" borderId="43" xfId="0" applyFont="1" applyFill="1" applyBorder="1" applyAlignment="1">
      <alignment horizontal="center" vertical="center"/>
    </xf>
    <xf numFmtId="0" fontId="5" fillId="4" borderId="40" xfId="0" applyFont="1" applyFill="1" applyBorder="1" applyAlignment="1">
      <alignment horizontal="center" vertical="center" wrapText="1"/>
    </xf>
    <xf numFmtId="0" fontId="5" fillId="4" borderId="41" xfId="0" applyFont="1" applyFill="1" applyBorder="1" applyAlignment="1">
      <alignment horizontal="center" vertical="center" wrapText="1"/>
    </xf>
    <xf numFmtId="14" fontId="1" fillId="3" borderId="4" xfId="0" applyNumberFormat="1" applyFont="1" applyFill="1" applyBorder="1" applyAlignment="1">
      <alignment horizontal="center"/>
    </xf>
    <xf numFmtId="14" fontId="1" fillId="3" borderId="0" xfId="0" applyNumberFormat="1" applyFont="1" applyFill="1" applyAlignment="1">
      <alignment horizontal="center"/>
    </xf>
    <xf numFmtId="0" fontId="12" fillId="3" borderId="6" xfId="0" applyFont="1" applyFill="1" applyBorder="1" applyAlignment="1">
      <alignment horizontal="right" vertical="center"/>
    </xf>
    <xf numFmtId="0" fontId="12" fillId="3" borderId="7" xfId="0" applyFont="1" applyFill="1" applyBorder="1" applyAlignment="1">
      <alignment horizontal="right"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16" xfId="0" applyFont="1" applyFill="1" applyBorder="1" applyAlignment="1">
      <alignment horizontal="center" vertical="center"/>
    </xf>
    <xf numFmtId="0" fontId="3" fillId="5" borderId="24"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3" xfId="0" applyFont="1" applyFill="1" applyBorder="1" applyAlignment="1">
      <alignment horizontal="center" vertical="center"/>
    </xf>
    <xf numFmtId="0" fontId="2" fillId="12" borderId="0" xfId="0" applyFont="1" applyFill="1" applyAlignment="1">
      <alignment horizontal="left"/>
    </xf>
    <xf numFmtId="0" fontId="10" fillId="3" borderId="23" xfId="0" applyFont="1" applyFill="1" applyBorder="1" applyAlignment="1">
      <alignment horizontal="center"/>
    </xf>
    <xf numFmtId="0" fontId="18" fillId="3" borderId="2" xfId="0" applyFont="1" applyFill="1" applyBorder="1" applyAlignment="1">
      <alignment horizontal="center"/>
    </xf>
    <xf numFmtId="0" fontId="10" fillId="3" borderId="6" xfId="0" applyFont="1" applyFill="1" applyBorder="1" applyAlignment="1">
      <alignment horizontal="left"/>
    </xf>
    <xf numFmtId="0" fontId="10" fillId="3" borderId="43" xfId="0" applyFont="1" applyFill="1" applyBorder="1" applyAlignment="1">
      <alignment horizontal="left"/>
    </xf>
    <xf numFmtId="0" fontId="10" fillId="3" borderId="7" xfId="0" applyFont="1" applyFill="1" applyBorder="1" applyAlignment="1">
      <alignment horizontal="left"/>
    </xf>
    <xf numFmtId="0" fontId="3" fillId="10" borderId="4" xfId="0" applyFont="1" applyFill="1" applyBorder="1" applyAlignment="1">
      <alignment horizontal="left"/>
    </xf>
    <xf numFmtId="0" fontId="3" fillId="10" borderId="0" xfId="0" applyFont="1" applyFill="1" applyAlignment="1">
      <alignment horizontal="left"/>
    </xf>
    <xf numFmtId="0" fontId="3" fillId="10" borderId="6" xfId="0" applyFont="1" applyFill="1" applyBorder="1" applyAlignment="1">
      <alignment horizontal="left"/>
    </xf>
    <xf numFmtId="0" fontId="3" fillId="10" borderId="43" xfId="0" applyFont="1" applyFill="1" applyBorder="1" applyAlignment="1">
      <alignment horizontal="left"/>
    </xf>
    <xf numFmtId="0" fontId="13" fillId="9" borderId="6" xfId="0" applyFont="1" applyFill="1" applyBorder="1" applyAlignment="1">
      <alignment horizontal="left"/>
    </xf>
    <xf numFmtId="0" fontId="13" fillId="9" borderId="43" xfId="0" applyFont="1" applyFill="1" applyBorder="1" applyAlignment="1">
      <alignment horizontal="left"/>
    </xf>
    <xf numFmtId="0" fontId="13" fillId="9" borderId="7" xfId="0" applyFont="1" applyFill="1" applyBorder="1" applyAlignment="1">
      <alignment horizontal="left"/>
    </xf>
    <xf numFmtId="0" fontId="2" fillId="0" borderId="0" xfId="0" applyFont="1" applyAlignment="1">
      <alignment horizontal="left"/>
    </xf>
    <xf numFmtId="0" fontId="28" fillId="0" borderId="4" xfId="1" applyFont="1" applyBorder="1" applyAlignment="1">
      <alignment horizontal="center"/>
    </xf>
    <xf numFmtId="0" fontId="28" fillId="0" borderId="0" xfId="1" applyFont="1" applyAlignment="1">
      <alignment horizontal="center"/>
    </xf>
    <xf numFmtId="0" fontId="28" fillId="0" borderId="1" xfId="1" applyFont="1" applyBorder="1" applyAlignment="1">
      <alignment horizontal="center"/>
    </xf>
    <xf numFmtId="0" fontId="28" fillId="0" borderId="2" xfId="1" applyFont="1" applyBorder="1" applyAlignment="1">
      <alignment horizontal="center"/>
    </xf>
    <xf numFmtId="0" fontId="28" fillId="0" borderId="6" xfId="1" applyFont="1" applyBorder="1" applyAlignment="1">
      <alignment horizontal="center"/>
    </xf>
    <xf numFmtId="0" fontId="28" fillId="0" borderId="43" xfId="1" applyFont="1" applyBorder="1" applyAlignment="1">
      <alignment horizontal="center"/>
    </xf>
  </cellXfs>
  <cellStyles count="3">
    <cellStyle name="Comma 2" xfId="2" xr:uid="{77A1F8D2-0EDC-43CB-B302-784568707B67}"/>
    <cellStyle name="Normal" xfId="0" builtinId="0"/>
    <cellStyle name="Normal 2 2 2" xfId="1" xr:uid="{90F7FAE6-B00F-4835-9ABA-E9A62F97F6B9}"/>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farmprod1new:8080/Documents%20and%20Settings/TLS/Local%20Settings/Temporary%20Internet%20Files/OLK9C/Detail%20Project%20and%20Funding%20Project%20Setup%20Request%20Form%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96815/AppData/Local/Microsoft/Windows/Temporary%20Internet%20Files/Content.Outlook/73Z11NII/Communication_Matrix_LAF%20Subaru.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EVELOPMENT%20PROJECTS\1_PROJECTS\1_ALL%20REGION%20DT%20PROJECTS\1%20NEW%20FOLDER%20-%20COPY%20ONLY\10%20Communications\Enterprise%20PAP_0313%20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SJohns/AppData/Local/Microsoft/Windows/Temporary%20Internet%20Files/Content.Outlook/OQSSAAU0/PAP%20Doc%20Green%20I-II%20(New%20IR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36721\OneDrive%20-%20Duke%20Energy\Desktop\Nuclear%20Files%20for%20AFUDC\Copy%20of%20AFUDC%20Calculation%20Template%20-%20Fleet%202019-04-0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KSJohns/AppData/Local/Microsoft/Windows/Temporary%20Internet%20Files/Content.Outlook/TIWQWTRL/Zimmer/Zimmer_Inst%20Mtrmc%20-%20Abrk%20Swi%20TOH1488%20-%20PPW.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A/NAM/bt1/Documents/Project%20Management/Workbook%20with%20Minutes/DOA%20EXAMPLE%20Huntington%20State%20St%2033%206MVA-LTC%20AMIN093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Funding Project Request"/>
      <sheetName val="CAPITAL Detail Project Request"/>
      <sheetName val="NON-CAPITAL Detail Project Req."/>
      <sheetName val="Data for DropDowns"/>
      <sheetName val="Loading Rates"/>
      <sheetName val="Proj Mgmt"/>
      <sheetName val="DCER"/>
      <sheetName val="Drop Downs"/>
      <sheetName val="DropDown_Elements"/>
      <sheetName val="Sheet2"/>
    </sheetNames>
    <sheetDataSet>
      <sheetData sheetId="0"/>
      <sheetData sheetId="1"/>
      <sheetData sheetId="2"/>
      <sheetData sheetId="3">
        <row r="29">
          <cell r="B29" t="str">
            <v>Pick one from the drop-down list</v>
          </cell>
        </row>
        <row r="30">
          <cell r="B30" t="str">
            <v>----------Field Ops----------</v>
          </cell>
        </row>
        <row r="31">
          <cell r="B31" t="str">
            <v>CKTSECTN - Circuit Sectionalization</v>
          </cell>
        </row>
        <row r="32">
          <cell r="B32" t="str">
            <v>CUSTADDS - Customer Adds</v>
          </cell>
        </row>
        <row r="33">
          <cell r="B33" t="str">
            <v>LIGHTING - Lighting</v>
          </cell>
        </row>
        <row r="34">
          <cell r="B34" t="str">
            <v>MAJOUTFU - Major Outage Follow-up</v>
          </cell>
        </row>
        <row r="35">
          <cell r="B35" t="str">
            <v>OUTRES-D - Outage Restoration Cap - D</v>
          </cell>
        </row>
        <row r="36">
          <cell r="B36" t="str">
            <v>OUTRES-SUB - Outage Restoration Cap - Sub</v>
          </cell>
        </row>
        <row r="37">
          <cell r="B37" t="str">
            <v>OUTRES-T - Outage Restoration Cap - T</v>
          </cell>
        </row>
        <row r="38">
          <cell r="B38" t="str">
            <v>POLERE-D - Pole Replacement - D</v>
          </cell>
        </row>
        <row r="39">
          <cell r="B39" t="str">
            <v>POLERE-T - Pole Replacement - T</v>
          </cell>
        </row>
        <row r="40">
          <cell r="B40" t="str">
            <v>RELO-D - Relocations - D</v>
          </cell>
        </row>
        <row r="41">
          <cell r="B41" t="str">
            <v>RELO-T - Relocations - T</v>
          </cell>
        </row>
        <row r="42">
          <cell r="B42" t="str">
            <v>RIO-D - R&amp;I Capital Other - D</v>
          </cell>
        </row>
        <row r="43">
          <cell r="B43" t="str">
            <v>RIO-SUB - R&amp;I Capital Other - Sub</v>
          </cell>
        </row>
        <row r="44">
          <cell r="B44" t="str">
            <v>RMAJ-D - Reliability Major Capital - D</v>
          </cell>
        </row>
        <row r="45">
          <cell r="B45" t="str">
            <v>RMAJ-SUB - Reliability Major Capital - Sub</v>
          </cell>
        </row>
        <row r="46">
          <cell r="B46" t="str">
            <v>RMAJ-T - Reliability Major Capital - T</v>
          </cell>
        </row>
        <row r="47">
          <cell r="B47" t="str">
            <v>SCAP-FO - System Capacity - FO</v>
          </cell>
        </row>
        <row r="48">
          <cell r="B48" t="str">
            <v>TRNRETRO -  Transformer Retrofit</v>
          </cell>
        </row>
        <row r="49">
          <cell r="B49" t="str">
            <v>URREPLAC - UG Cable Replace</v>
          </cell>
        </row>
        <row r="50">
          <cell r="B50" t="str">
            <v>-----Asset Management-----</v>
          </cell>
        </row>
        <row r="51">
          <cell r="B51" t="str">
            <v>CUSTDELV - Customer Deliveries</v>
          </cell>
        </row>
        <row r="52">
          <cell r="B52" t="str">
            <v>FACSales - Facility Sales - Asset management</v>
          </cell>
        </row>
        <row r="53">
          <cell r="B53" t="str">
            <v>GENINTCO - Gen-Interconnect</v>
          </cell>
        </row>
        <row r="54">
          <cell r="B54" t="str">
            <v>GENPLANT - General Plant</v>
          </cell>
        </row>
        <row r="55">
          <cell r="B55" t="str">
            <v>INTEGRIT - Integrity Projects</v>
          </cell>
        </row>
        <row r="56">
          <cell r="B56" t="str">
            <v>LN&amp;STACOM - Line and Station Compliance</v>
          </cell>
        </row>
        <row r="57">
          <cell r="B57" t="str">
            <v>ODBREAKR - OD Breakers</v>
          </cell>
        </row>
        <row r="58">
          <cell r="B58" t="str">
            <v>RETAILCA - Retail Capacity</v>
          </cell>
        </row>
        <row r="59">
          <cell r="B59" t="str">
            <v>RIO-T - R&amp;I Capital Other - T</v>
          </cell>
        </row>
        <row r="60">
          <cell r="B60" t="str">
            <v>RIPROG-T - R&amp;I Programs -T</v>
          </cell>
        </row>
        <row r="61">
          <cell r="B61" t="str">
            <v>SCAP-D - System Capacity - D</v>
          </cell>
        </row>
        <row r="62">
          <cell r="B62" t="str">
            <v>SCAP-GEN - System Capacity - Gen</v>
          </cell>
        </row>
        <row r="63">
          <cell r="B63" t="str">
            <v>SCAP-SUB - System Capacity - Sub</v>
          </cell>
        </row>
        <row r="64">
          <cell r="B64" t="str">
            <v>SCAP-T - System Capacity - T</v>
          </cell>
        </row>
        <row r="65">
          <cell r="B65" t="str">
            <v>SPCC - SPCC</v>
          </cell>
        </row>
        <row r="66">
          <cell r="B66" t="str">
            <v>SUBAUTO-D - Substation Automation - D</v>
          </cell>
        </row>
        <row r="67">
          <cell r="B67" t="str">
            <v>WHOLE-D - Wholesale Deliveries D</v>
          </cell>
        </row>
        <row r="68">
          <cell r="B68" t="str">
            <v>WHOLE-T - Wholesale Deliveries T</v>
          </cell>
        </row>
        <row r="69">
          <cell r="B69" t="str">
            <v>--------GAS Section-----------</v>
          </cell>
        </row>
        <row r="70">
          <cell r="B70" t="str">
            <v>MEAJT - Main Extension Joint Trench</v>
          </cell>
        </row>
        <row r="71">
          <cell r="B71" t="str">
            <v>MEAGO - Main Extension Gas Only</v>
          </cell>
        </row>
        <row r="77">
          <cell r="B77" t="str">
            <v>Pick one…</v>
          </cell>
        </row>
        <row r="78">
          <cell r="B78" t="str">
            <v>YES</v>
          </cell>
        </row>
        <row r="79">
          <cell r="B79" t="str">
            <v>NO</v>
          </cell>
        </row>
        <row r="84">
          <cell r="B84" t="str">
            <v>Pick one…</v>
          </cell>
        </row>
        <row r="85">
          <cell r="B85" t="str">
            <v>--------Electric Section-----------</v>
          </cell>
        </row>
        <row r="86">
          <cell r="B86" t="str">
            <v>Distribution - OH - 664085</v>
          </cell>
        </row>
        <row r="87">
          <cell r="B87" t="str">
            <v>Distribution - KY - CGE Owned - 664089</v>
          </cell>
        </row>
        <row r="88">
          <cell r="B88" t="str">
            <v>Distribution - KY - ULHP Owned - 709301</v>
          </cell>
        </row>
        <row r="89">
          <cell r="B89" t="str">
            <v>Distribution - IN - 661168</v>
          </cell>
        </row>
        <row r="90">
          <cell r="B90" t="str">
            <v>--------GAS Section-----------</v>
          </cell>
        </row>
        <row r="91">
          <cell r="B91" t="str">
            <v>Gas - KY - 709296</v>
          </cell>
        </row>
        <row r="92">
          <cell r="B92" t="str">
            <v>Gas - OH - 709292</v>
          </cell>
        </row>
        <row r="104">
          <cell r="B104" t="str">
            <v>Pick one…</v>
          </cell>
        </row>
        <row r="105">
          <cell r="B105" t="str">
            <v>--------GAS Section-----------</v>
          </cell>
        </row>
        <row r="106">
          <cell r="B106" t="str">
            <v>703 - Gas Mains</v>
          </cell>
        </row>
        <row r="107">
          <cell r="B107" t="str">
            <v>--------Electric Section-----------</v>
          </cell>
        </row>
        <row r="108">
          <cell r="B108" t="str">
            <v>802 - Transmission Substation</v>
          </cell>
        </row>
        <row r="109">
          <cell r="B109" t="str">
            <v>803 - Distribution Substation</v>
          </cell>
        </row>
        <row r="110">
          <cell r="B110" t="str">
            <v>804 - Transmission Line</v>
          </cell>
        </row>
        <row r="111">
          <cell r="B111" t="str">
            <v>806 - Distribution Transformers</v>
          </cell>
        </row>
        <row r="112">
          <cell r="B112" t="str">
            <v>810 - Distribution Lines, Service, New Business</v>
          </cell>
        </row>
        <row r="113">
          <cell r="B113" t="str">
            <v>812 - Street Lights</v>
          </cell>
        </row>
        <row r="114">
          <cell r="B114" t="str">
            <v>814 - Distribution Improvements</v>
          </cell>
        </row>
        <row r="115">
          <cell r="B115" t="str">
            <v>816 - Building &amp; Grounds, Tools</v>
          </cell>
        </row>
        <row r="116">
          <cell r="B116" t="str">
            <v>820 - Telecommunications</v>
          </cell>
        </row>
        <row r="117">
          <cell r="B117" t="str">
            <v>824 - Electric Meters and Instrument Transformers</v>
          </cell>
        </row>
        <row r="118">
          <cell r="B118" t="str">
            <v>---------------------</v>
          </cell>
        </row>
        <row r="119">
          <cell r="B119" t="str">
            <v>802 - Sub - Trans (68%) IMPA - PSI</v>
          </cell>
        </row>
        <row r="120">
          <cell r="B120" t="str">
            <v>802 - Sub - Trans (68%) WVPA - PSI</v>
          </cell>
        </row>
        <row r="121">
          <cell r="B121" t="str">
            <v>802 - Sub - Trans - IMPA - PSI</v>
          </cell>
        </row>
        <row r="122">
          <cell r="B122" t="str">
            <v>802 - Sub - Trans - WVPA - PSI</v>
          </cell>
        </row>
        <row r="123">
          <cell r="B123" t="str">
            <v>803 - Sub - Dist (68%) IMPA - PSI</v>
          </cell>
        </row>
        <row r="124">
          <cell r="B124" t="str">
            <v>803 - Sub - Dist (68%) WVPA - PSI</v>
          </cell>
        </row>
        <row r="125">
          <cell r="B125" t="str">
            <v>803 - Subs - Dist - IMPA - PSI</v>
          </cell>
        </row>
        <row r="126">
          <cell r="B126" t="str">
            <v>803 - Subs - Dist - WVPA - PSI</v>
          </cell>
        </row>
        <row r="127">
          <cell r="B127" t="str">
            <v>804 - Trans Lines IMPA - PSI</v>
          </cell>
        </row>
        <row r="128">
          <cell r="B128" t="str">
            <v>804 - Trans Lines WVPA - PSI</v>
          </cell>
        </row>
        <row r="129">
          <cell r="B129" t="str">
            <v>824 - Metering Points IMPA - PSI</v>
          </cell>
        </row>
        <row r="130">
          <cell r="B130" t="str">
            <v>824 - Metering Points WVPA - PSI</v>
          </cell>
        </row>
        <row r="131">
          <cell r="B131" t="str">
            <v>---------------------</v>
          </cell>
        </row>
        <row r="132">
          <cell r="B132" t="str">
            <v>802 - Subs - Trans CD/CCD(28%) - CGE</v>
          </cell>
        </row>
        <row r="133">
          <cell r="B133" t="str">
            <v>802 - Subs - Trans CD/CCD(30%) - CGE</v>
          </cell>
        </row>
        <row r="134">
          <cell r="B134" t="str">
            <v>802 - Subs - Trans CD/CCD(33.3%)-CGE</v>
          </cell>
        </row>
        <row r="135">
          <cell r="B135" t="str">
            <v>802 - Subs - Trans CD/CCD(50%) - CGE</v>
          </cell>
        </row>
        <row r="136">
          <cell r="B136" t="str">
            <v>802 - Subs - Trans CD/CCD(55%) - CGE</v>
          </cell>
        </row>
        <row r="137">
          <cell r="B137" t="str">
            <v>802 - Subs - Trans DPL/CSP constr-CGE</v>
          </cell>
        </row>
        <row r="138">
          <cell r="B138" t="str">
            <v>804 - Trans Lines CD/CCD (28%) - CGE</v>
          </cell>
        </row>
        <row r="139">
          <cell r="B139" t="str">
            <v>804 - Trans Lines CD/CCD (30%) - CGE</v>
          </cell>
        </row>
        <row r="140">
          <cell r="B140" t="str">
            <v>804 - Trans Lines CD/CCD (55%) - CGE</v>
          </cell>
        </row>
        <row r="141">
          <cell r="B141" t="str">
            <v>804 - Trans Lines CD/CCD (64%) - CGE</v>
          </cell>
        </row>
        <row r="142">
          <cell r="B142" t="str">
            <v>804 - Trans Lines DPL/CSP constru-CGE</v>
          </cell>
        </row>
        <row r="143">
          <cell r="B143" t="str">
            <v>---------------------</v>
          </cell>
        </row>
        <row r="144">
          <cell r="B144" t="str">
            <v>Other T&amp;D IMPA - PSI</v>
          </cell>
        </row>
        <row r="145">
          <cell r="B145" t="str">
            <v>Other T&amp;D WVPA - PSI</v>
          </cell>
        </row>
        <row r="146">
          <cell r="B146" t="str">
            <v>Other T&amp;D (50%) - IMPA - PSI</v>
          </cell>
        </row>
        <row r="147">
          <cell r="B147" t="str">
            <v>Other T&amp;D (50%) - WVPA - PSI</v>
          </cell>
        </row>
        <row r="148">
          <cell r="B148" t="str">
            <v>---------------------</v>
          </cell>
        </row>
        <row r="149">
          <cell r="B149" t="str">
            <v>IMPA Constructed - No Reimbursement</v>
          </cell>
        </row>
        <row r="150">
          <cell r="B150" t="str">
            <v>WVPA Constructed - No Reimbursement</v>
          </cell>
        </row>
        <row r="151">
          <cell r="B151" t="str">
            <v>---------------------</v>
          </cell>
        </row>
        <row r="152">
          <cell r="B152" t="str">
            <v>UOF CGE Common</v>
          </cell>
        </row>
        <row r="153">
          <cell r="B153" t="str">
            <v>UOF CGE Electric</v>
          </cell>
        </row>
        <row r="154">
          <cell r="B154" t="str">
            <v>UOF CGE Gas</v>
          </cell>
        </row>
        <row r="155">
          <cell r="B155" t="str">
            <v>UOF PSI Electric</v>
          </cell>
        </row>
        <row r="159">
          <cell r="B159" t="str">
            <v>Pick one…</v>
          </cell>
        </row>
        <row r="160">
          <cell r="B160" t="str">
            <v>----------INDIANA-----------</v>
          </cell>
        </row>
        <row r="161">
          <cell r="B161" t="str">
            <v>V49A - ATTICA</v>
          </cell>
        </row>
        <row r="162">
          <cell r="B162" t="str">
            <v>V482 - LAFAYETTE</v>
          </cell>
        </row>
        <row r="163">
          <cell r="B163" t="str">
            <v>V452 - ROCHESTER</v>
          </cell>
        </row>
        <row r="164">
          <cell r="B164" t="str">
            <v>V442 - HUNTINGTON</v>
          </cell>
        </row>
        <row r="165">
          <cell r="B165" t="str">
            <v>V422 - KOKOMO</v>
          </cell>
        </row>
        <row r="166">
          <cell r="B166" t="str">
            <v>V542 - NOBLESVILLE</v>
          </cell>
        </row>
        <row r="167">
          <cell r="B167" t="str">
            <v>V562 - CARMEL</v>
          </cell>
        </row>
        <row r="168">
          <cell r="B168" t="str">
            <v>V552 - NEW CASTLE</v>
          </cell>
        </row>
        <row r="169">
          <cell r="B169" t="str">
            <v>V572 - AVON</v>
          </cell>
        </row>
        <row r="170">
          <cell r="B170" t="str">
            <v>V432 - WABASH</v>
          </cell>
        </row>
        <row r="171">
          <cell r="B171" t="str">
            <v>V632 - CLINTON</v>
          </cell>
        </row>
        <row r="172">
          <cell r="B172" t="str">
            <v>V642 - GREENCASTLE</v>
          </cell>
        </row>
        <row r="173">
          <cell r="B173" t="str">
            <v>V622 - TERRE HAUTE</v>
          </cell>
        </row>
        <row r="174">
          <cell r="B174" t="str">
            <v>V652 - BRAZIL</v>
          </cell>
        </row>
        <row r="175">
          <cell r="B175" t="str">
            <v>V762 - MARTINSVILLE</v>
          </cell>
        </row>
        <row r="176">
          <cell r="B176" t="str">
            <v>V742 - BLOOMINGTON</v>
          </cell>
        </row>
        <row r="177">
          <cell r="B177" t="str">
            <v>V792 - SULLIVAN</v>
          </cell>
        </row>
        <row r="178">
          <cell r="B178" t="str">
            <v>V752 - BEDFORD</v>
          </cell>
        </row>
        <row r="179">
          <cell r="B179" t="str">
            <v>V782 - VINCENNES</v>
          </cell>
        </row>
        <row r="180">
          <cell r="B180" t="str">
            <v>V812 - PRINCETON</v>
          </cell>
        </row>
        <row r="181">
          <cell r="B181" t="str">
            <v>V952 - FRANKLIN</v>
          </cell>
        </row>
        <row r="182">
          <cell r="B182" t="str">
            <v>V842 - CONNERSVILLE</v>
          </cell>
        </row>
        <row r="183">
          <cell r="B183" t="str">
            <v>V832 - SHELBYVILLE</v>
          </cell>
        </row>
        <row r="184">
          <cell r="B184" t="str">
            <v>V822 - GREENSBURG</v>
          </cell>
        </row>
        <row r="185">
          <cell r="B185" t="str">
            <v>V942 - COLUMBUS</v>
          </cell>
        </row>
        <row r="186">
          <cell r="B186" t="str">
            <v>V962 - SEYMOUR</v>
          </cell>
        </row>
        <row r="187">
          <cell r="B187" t="str">
            <v>V862 - AURORA</v>
          </cell>
        </row>
        <row r="188">
          <cell r="B188" t="str">
            <v>V892 - MADISON</v>
          </cell>
        </row>
        <row r="189">
          <cell r="B189" t="str">
            <v>V882 - CLARKSVILLE</v>
          </cell>
        </row>
        <row r="190">
          <cell r="B190" t="str">
            <v>V902 - CORYDON</v>
          </cell>
        </row>
        <row r="191">
          <cell r="B191" t="str">
            <v>-------------OHIO--------------</v>
          </cell>
        </row>
        <row r="192">
          <cell r="B192" t="str">
            <v>V461 - TODHUNTER</v>
          </cell>
        </row>
        <row r="193">
          <cell r="B193" t="str">
            <v>V462 - FAIRFIELD</v>
          </cell>
        </row>
        <row r="194">
          <cell r="B194" t="str">
            <v>V38H - HARTWELL</v>
          </cell>
        </row>
        <row r="195">
          <cell r="B195" t="str">
            <v>V493 - LITTLE MIAMI</v>
          </cell>
        </row>
        <row r="196">
          <cell r="B196" t="str">
            <v>V502 - BRECON</v>
          </cell>
        </row>
        <row r="197">
          <cell r="B197" t="str">
            <v>V492 - HAMLET/GEORGETOWN</v>
          </cell>
        </row>
        <row r="198">
          <cell r="B198" t="str">
            <v>VNWS - DOWNTOWN NETWORK</v>
          </cell>
        </row>
        <row r="199">
          <cell r="B199" t="str">
            <v>V40C - QUEENSGATE/MIAMITOWN</v>
          </cell>
        </row>
        <row r="200">
          <cell r="B200" t="str">
            <v>--------KENTUCKY----------</v>
          </cell>
        </row>
        <row r="201">
          <cell r="B201" t="str">
            <v>V932 - ERLANGER/COVINGTON</v>
          </cell>
        </row>
        <row r="202">
          <cell r="B202" t="str">
            <v>V932 - COLD SPRINGS</v>
          </cell>
        </row>
        <row r="203">
          <cell r="B203" t="str">
            <v>----SUBSTATION INDIANA----</v>
          </cell>
        </row>
        <row r="204">
          <cell r="B204" t="str">
            <v>VSIN - MW SS OPS IN NORTH</v>
          </cell>
        </row>
        <row r="205">
          <cell r="B205" t="str">
            <v>VSIE - MW SS OPS IN EAST</v>
          </cell>
        </row>
        <row r="206">
          <cell r="B206" t="str">
            <v>VSIW - MW SS OPS IN WEST</v>
          </cell>
        </row>
        <row r="207">
          <cell r="B207" t="str">
            <v>----SUBSTATION OHIO/KENTUCKY----</v>
          </cell>
        </row>
        <row r="208">
          <cell r="B208" t="str">
            <v>VSOH - MW SS OPS OH</v>
          </cell>
        </row>
        <row r="209">
          <cell r="B209" t="str">
            <v>VSKY - MW SS OPS Ky</v>
          </cell>
        </row>
        <row r="210">
          <cell r="B210" t="str">
            <v>-------------GAS Section---------------</v>
          </cell>
        </row>
        <row r="211">
          <cell r="B211" t="str">
            <v>GD10 - Gas Operations - OH</v>
          </cell>
        </row>
        <row r="212">
          <cell r="B212" t="str">
            <v>GD70 - Gas Operations - KY</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unication_Log"/>
      <sheetName val="DropDown_Elements"/>
      <sheetName val="Project Team"/>
    </sheetNames>
    <sheetDataSet>
      <sheetData sheetId="0" refreshError="1"/>
      <sheetData sheetId="1">
        <row r="2">
          <cell r="A2" t="str">
            <v>Daily</v>
          </cell>
        </row>
        <row r="3">
          <cell r="A3" t="str">
            <v>Weekly</v>
          </cell>
        </row>
        <row r="4">
          <cell r="A4" t="str">
            <v>Bi-Weekly</v>
          </cell>
        </row>
        <row r="5">
          <cell r="A5" t="str">
            <v>Monthly</v>
          </cell>
        </row>
        <row r="6">
          <cell r="A6" t="str">
            <v>Bi-Monthly</v>
          </cell>
        </row>
        <row r="7">
          <cell r="A7" t="str">
            <v>Quarterly</v>
          </cell>
        </row>
        <row r="8">
          <cell r="A8" t="str">
            <v>Semi-Annually</v>
          </cell>
        </row>
        <row r="9">
          <cell r="A9" t="str">
            <v>Annually</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onsor Input"/>
      <sheetName val="PM Input"/>
      <sheetName val="Project Financials Input"/>
      <sheetName val="Power Plan Setup &amp; DOA Approval"/>
      <sheetName val="Optional Scoping Document"/>
      <sheetName val="CE Ques"/>
      <sheetName val="Community Engagement Heat Map"/>
      <sheetName val="Outreach Notification Letter"/>
      <sheetName val="NERC CIP Checklist"/>
      <sheetName val="BES Checklist"/>
      <sheetName val="Operational Risk Checklist"/>
      <sheetName val="Radial Line Test"/>
      <sheetName val="Project Charter"/>
      <sheetName val="Coversheet Initiate Gate"/>
      <sheetName val="Coversheet Commit Gate"/>
      <sheetName val="Coversheet Build Gate"/>
      <sheetName val="PreAssigned Resources"/>
      <sheetName val="Super Form Instructions"/>
      <sheetName val="Assumptions &amp; Constraints"/>
      <sheetName val="Super Form"/>
      <sheetName val="JFC Form"/>
      <sheetName val="AR Form"/>
      <sheetName val="Contingency Form"/>
      <sheetName val="Lessons Learned"/>
      <sheetName val="Change Log"/>
      <sheetName val="Summary CG"/>
      <sheetName val="IRR Calc Input sht CG"/>
      <sheetName val="Financial Statements CG"/>
      <sheetName val="Revenue Requirement CG"/>
      <sheetName val="Calculations CG"/>
      <sheetName val="Policies &amp; Standards"/>
      <sheetName val="Useful Links"/>
      <sheetName val="Document Modifications"/>
    </sheetNames>
    <sheetDataSet>
      <sheetData sheetId="0"/>
      <sheetData sheetId="1"/>
      <sheetData sheetId="2">
        <row r="16">
          <cell r="K16" t="str">
            <v>Limited</v>
          </cell>
        </row>
        <row r="17">
          <cell r="K17" t="str">
            <v>Full</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tiate Gate Input"/>
      <sheetName val="DOA Signature Page - Initate"/>
      <sheetName val="Variance Form Initiate"/>
      <sheetName val="Cover Page Initiate"/>
      <sheetName val="Project Charter"/>
      <sheetName val="Scoping Doc - Initiate"/>
      <sheetName val="NERC CIP Checklist"/>
      <sheetName val="Summary IG"/>
      <sheetName val="IRR Calc Input sht IG"/>
      <sheetName val="Financial Statements IG"/>
      <sheetName val="Revenue Requirement IG"/>
      <sheetName val="Calculations IG"/>
      <sheetName val="Policies &amp; Standards"/>
      <sheetName val="Lessons Learned"/>
      <sheetName val="Commit Gate Input"/>
      <sheetName val="DOA Signature Page - Commit"/>
      <sheetName val="Variance Form - Commit"/>
      <sheetName val="Cover Page - Commit"/>
      <sheetName val="Project Charter (Orignal)"/>
      <sheetName val="Scoping Doc - Commit"/>
      <sheetName val="Summary CG"/>
      <sheetName val="IRR Calc Input sht CG"/>
      <sheetName val="Financial Statements CG"/>
      <sheetName val="Revenue Requirement CG"/>
      <sheetName val="Calculations CG"/>
      <sheetName val="Build Gate Input "/>
      <sheetName val="Variance Form Build"/>
      <sheetName val="Cost Sheet - Build"/>
      <sheetName val="Sheet7"/>
      <sheetName val="Sheet1"/>
    </sheetNames>
    <sheetDataSet>
      <sheetData sheetId="0">
        <row r="51">
          <cell r="B51" t="str">
            <v>Project # F15XXXXA: Where Ever You Want to Be USA - Green I or Green II Template</v>
          </cell>
        </row>
      </sheetData>
      <sheetData sheetId="1"/>
      <sheetData sheetId="2"/>
      <sheetData sheetId="3"/>
      <sheetData sheetId="4"/>
      <sheetData sheetId="5"/>
      <sheetData sheetId="6"/>
      <sheetData sheetId="7"/>
      <sheetData sheetId="8">
        <row r="9">
          <cell r="H9">
            <v>42150</v>
          </cell>
        </row>
        <row r="10">
          <cell r="H10">
            <v>43100</v>
          </cell>
        </row>
        <row r="48">
          <cell r="H48">
            <v>0.10199999999999999</v>
          </cell>
        </row>
        <row r="49">
          <cell r="H49">
            <v>0.53</v>
          </cell>
        </row>
        <row r="50">
          <cell r="H50">
            <v>4.5499999999999999E-2</v>
          </cell>
        </row>
        <row r="51">
          <cell r="H51">
            <v>0.38600000000000001</v>
          </cell>
        </row>
        <row r="52">
          <cell r="H52">
            <v>6.7190389999999989E-2</v>
          </cell>
        </row>
        <row r="60">
          <cell r="H60">
            <v>8.4600000000000005E-3</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Template"/>
      <sheetName val="Lookup Lists"/>
    </sheetNames>
    <sheetDataSet>
      <sheetData sheetId="0"/>
      <sheetData sheetId="1"/>
      <sheetData sheetId="2">
        <row r="2">
          <cell r="B2">
            <v>43465</v>
          </cell>
        </row>
        <row r="3">
          <cell r="B3">
            <v>43646</v>
          </cell>
          <cell r="D3" t="str">
            <v>BNP</v>
          </cell>
        </row>
        <row r="4">
          <cell r="B4">
            <v>43830</v>
          </cell>
          <cell r="D4" t="str">
            <v>CNS</v>
          </cell>
        </row>
        <row r="5">
          <cell r="B5">
            <v>44012</v>
          </cell>
          <cell r="D5" t="str">
            <v>HNP</v>
          </cell>
        </row>
        <row r="6">
          <cell r="B6">
            <v>44196</v>
          </cell>
          <cell r="D6" t="str">
            <v>MNS</v>
          </cell>
        </row>
        <row r="7">
          <cell r="B7">
            <v>44377</v>
          </cell>
          <cell r="D7" t="str">
            <v>ONS</v>
          </cell>
        </row>
        <row r="8">
          <cell r="B8">
            <v>44561</v>
          </cell>
          <cell r="D8" t="str">
            <v>RNP</v>
          </cell>
        </row>
        <row r="9">
          <cell r="B9">
            <v>44742</v>
          </cell>
        </row>
        <row r="10">
          <cell r="B10">
            <v>44926</v>
          </cell>
        </row>
        <row r="11">
          <cell r="B11">
            <v>45107</v>
          </cell>
        </row>
        <row r="12">
          <cell r="B12">
            <v>45291</v>
          </cell>
        </row>
        <row r="13">
          <cell r="B13">
            <v>45473</v>
          </cell>
        </row>
        <row r="14">
          <cell r="B14">
            <v>45657</v>
          </cell>
        </row>
        <row r="15">
          <cell r="B15">
            <v>45838</v>
          </cell>
        </row>
        <row r="16">
          <cell r="B16">
            <v>46022</v>
          </cell>
        </row>
        <row r="17">
          <cell r="B17">
            <v>46203</v>
          </cell>
        </row>
        <row r="18">
          <cell r="B18">
            <v>46387</v>
          </cell>
        </row>
        <row r="19">
          <cell r="B19">
            <v>46568</v>
          </cell>
        </row>
        <row r="20">
          <cell r="B20">
            <v>46752</v>
          </cell>
        </row>
        <row r="21">
          <cell r="B21">
            <v>46934</v>
          </cell>
        </row>
        <row r="22">
          <cell r="B22">
            <v>47118</v>
          </cell>
        </row>
        <row r="23">
          <cell r="B23">
            <v>47299</v>
          </cell>
        </row>
        <row r="24">
          <cell r="B24">
            <v>47483</v>
          </cell>
        </row>
        <row r="25">
          <cell r="B25">
            <v>47664</v>
          </cell>
        </row>
        <row r="26">
          <cell r="B26">
            <v>47848</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tect"/>
      <sheetName val="Drop Downs"/>
      <sheetName val="Revisions"/>
      <sheetName val="Job Aid"/>
      <sheetName val="Info From DCER"/>
      <sheetName val="PAP Cover Form"/>
      <sheetName val="PDT Minutes 10-01-2015"/>
      <sheetName val="PDT FINAL SCOPE"/>
      <sheetName val="Limited Funding Request"/>
      <sheetName val="KO Mtg Agenda-Minutes"/>
      <sheetName val="Key Project Dates - SS"/>
      <sheetName val="Key Project Dates - TL"/>
      <sheetName val="Labor Baseline Man-Hours"/>
      <sheetName val="Labor Summary"/>
      <sheetName val="KO Mtg Final Scope"/>
      <sheetName val="Comm Matrix"/>
      <sheetName val="Action Item Log"/>
      <sheetName val="Substation Work Plan"/>
      <sheetName val="Trans Line Work Plan"/>
      <sheetName val="Operational Risk Checklist"/>
      <sheetName val="Commit Gate Scope"/>
      <sheetName val="Build Gate Scope"/>
      <sheetName val="Substation Labor Hours"/>
      <sheetName val="TLine Labor Hours"/>
      <sheetName val="Substation Materials Costs"/>
      <sheetName val="Transmission Material Costs"/>
      <sheetName val="Change Log"/>
      <sheetName val="Lessons Learned"/>
      <sheetName val="Gate Requirements"/>
      <sheetName val="Sponsor Input"/>
      <sheetName val="PM Input"/>
      <sheetName val="Project Financials Input"/>
      <sheetName val="IRR Input - Green III+ "/>
      <sheetName val="Power Plan Setup &amp; DOA Approval"/>
      <sheetName val="Initiate Gate Cover Sheet"/>
      <sheetName val="Initiate Gate RFC Form"/>
      <sheetName val="Commit Gate Cover Sheet"/>
      <sheetName val="Committ Gate RFC Form "/>
      <sheetName val="Build Gate Cover Sheet"/>
      <sheetName val="Project Charter"/>
      <sheetName val="Scoping Document"/>
      <sheetName val="PreAssigned Resources"/>
      <sheetName val="BES Impact Checklist"/>
      <sheetName val="NERC CIP Checklist"/>
      <sheetName val="Radial Line Test"/>
      <sheetName val="Super Form Instructions"/>
      <sheetName val="Assumptions &amp; Constraints"/>
      <sheetName val="AR Form"/>
      <sheetName val="Risk Project Data"/>
      <sheetName val="Risk Entry"/>
      <sheetName val="Risk Sort"/>
      <sheetName val="Risk Reporting"/>
      <sheetName val="Tables"/>
      <sheetName val="Calc"/>
      <sheetName val="Risk Scales"/>
      <sheetName val="Risk Types"/>
      <sheetName val="IRR Calc Input sht CG"/>
      <sheetName val="Summary CG"/>
      <sheetName val="Financial Statements CG"/>
      <sheetName val="Revenue Requirement CG"/>
      <sheetName val="Calculations CG"/>
      <sheetName val="Policies &amp; Standards"/>
      <sheetName val="Project Request List"/>
      <sheetName val="New Lot Request"/>
      <sheetName val="New Sub Request"/>
      <sheetName val="Siting New ROW"/>
      <sheetName val="New Tap Line Request "/>
      <sheetName val="Existing Asset Reqest"/>
      <sheetName val="CE Ques"/>
      <sheetName val="Outreach Notification Letter"/>
      <sheetName val="Community Engagement Heat Map"/>
      <sheetName val="Useful Lin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 Aid"/>
      <sheetName val="Revisions"/>
      <sheetName val="DCER"/>
      <sheetName val="Final KO Meeting Minutes"/>
      <sheetName val="Scope Statement"/>
      <sheetName val="DOA Schedule"/>
      <sheetName val="Funding Project Est Summary"/>
      <sheetName val="Change Order Summary"/>
      <sheetName val="Huntington State St 69kV"/>
      <sheetName val="Trans Sub 1"/>
      <sheetName val="Trans Sub 2"/>
      <sheetName val="Huntington State St 12kV"/>
      <sheetName val="Dist Sub 1"/>
      <sheetName val="Station RLE"/>
      <sheetName val="Station Material"/>
      <sheetName val="Station Material (1)"/>
      <sheetName val="Station Material (2)"/>
      <sheetName val="Estimate Input Station"/>
      <sheetName val="Huntington State St 69143 TL"/>
      <sheetName val="Trans Line 1"/>
      <sheetName val="DL1"/>
      <sheetName val="DL2"/>
      <sheetName val="DL3"/>
      <sheetName val="Huntington State St 69143 OM"/>
      <sheetName val="Line Mtc 1"/>
      <sheetName val="Huntington State St 33MVA RLE"/>
      <sheetName val="Line Material"/>
      <sheetName val="Line Material (1)"/>
      <sheetName val="Line Material (2)"/>
      <sheetName val="Estimate Input Line"/>
      <sheetName val="MW Rates "/>
      <sheetName val="JUST PL4 and 5"/>
      <sheetName val="PL4PL5 and Process"/>
      <sheetName val="Car Rates"/>
      <sheetName val="201LINEDOT"/>
      <sheetName val="Process Drop Down"/>
      <sheetName val="Utility Accts"/>
      <sheetName val="Utility Accts (2)"/>
      <sheetName val="Idents-ALL"/>
      <sheetName val="Indiana"/>
      <sheetName val="Kentucky-Ohio"/>
      <sheetName val="Sheet1"/>
      <sheetName val="Proc Lvl 5 Code Descrip"/>
    </sheetNames>
    <sheetDataSet>
      <sheetData sheetId="0"/>
      <sheetData sheetId="1"/>
      <sheetData sheetId="2">
        <row r="3">
          <cell r="A3" t="str">
            <v>Funding Project Name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8">
          <cell r="A8" t="str">
            <v>Pick one from the drop-down list</v>
          </cell>
        </row>
        <row r="9">
          <cell r="A9" t="str">
            <v>-----Asset Management-----</v>
          </cell>
        </row>
        <row r="10">
          <cell r="A10" t="str">
            <v>APPARATUS - DPAPP - 803-Sub D</v>
          </cell>
        </row>
        <row r="11">
          <cell r="A11" t="str">
            <v>APPARATUS - TPAPP - 802-Sub T</v>
          </cell>
        </row>
        <row r="12">
          <cell r="A12" t="str">
            <v>Customer Deliveries - BOILCUS - 802-Sub T</v>
          </cell>
        </row>
        <row r="13">
          <cell r="A13" t="str">
            <v>Customer Deliveries - DNEWCAP - 803-SUB D</v>
          </cell>
        </row>
        <row r="14">
          <cell r="A14" t="str">
            <v>Customer Deliveries - DNEWSTA - 803-Sub D</v>
          </cell>
        </row>
        <row r="15">
          <cell r="A15" t="str">
            <v>Customer Deliveries - TLCUST - 804-Line T</v>
          </cell>
        </row>
        <row r="16">
          <cell r="A16" t="str">
            <v>IPP INTERCONNECTIONS - TPIPP - 804-Line T</v>
          </cell>
        </row>
        <row r="17">
          <cell r="A17" t="str">
            <v>Line &amp; Station Compliance - DLINCAP - Sch 814 - DLine</v>
          </cell>
        </row>
        <row r="18">
          <cell r="A18" t="str">
            <v>Line &amp; Station Compliance - DLINERC - DLine OM</v>
          </cell>
        </row>
        <row r="19">
          <cell r="A19" t="str">
            <v>Line &amp; Station Compliance - TLINCAP - Sch 804 - TLine</v>
          </cell>
        </row>
        <row r="20">
          <cell r="A20" t="str">
            <v>Line &amp; Station Compliance - TLINERC - TLine OM</v>
          </cell>
        </row>
        <row r="21">
          <cell r="A21" t="str">
            <v xml:space="preserve">Wholesale Deliveries - TLCATCU </v>
          </cell>
        </row>
        <row r="22">
          <cell r="A22" t="str">
            <v>Wholesale Deliveries - TSVCDL - 814-Line D</v>
          </cell>
        </row>
        <row r="23">
          <cell r="A23" t="str">
            <v>Wholesale Deliveries - TSVCDS - 803-Sub D</v>
          </cell>
        </row>
        <row r="24">
          <cell r="A24" t="str">
            <v>Wholesale Deliveries - TSVCTL - 804-Line T</v>
          </cell>
        </row>
        <row r="25">
          <cell r="A25" t="str">
            <v>Wholesale Deliveries - TSVCTS - 802-Sub T</v>
          </cell>
        </row>
        <row r="26">
          <cell r="A26" t="str">
            <v xml:space="preserve">ELECTRIC FACILITY SALES - ASTSALE </v>
          </cell>
        </row>
        <row r="27">
          <cell r="A27" t="str">
            <v>Retail Capacity - DCAPINC - 803-Sub D</v>
          </cell>
        </row>
        <row r="28">
          <cell r="A28" t="str">
            <v>Retail Capacity - DNEWRET - 803-Sub D</v>
          </cell>
        </row>
        <row r="29">
          <cell r="A29" t="str">
            <v>Retail Capacity - DRETLN - 814-Line D</v>
          </cell>
        </row>
        <row r="30">
          <cell r="A30" t="str">
            <v>Retail Capacity - TLRET - 804-Line T</v>
          </cell>
        </row>
        <row r="31">
          <cell r="A31" t="str">
            <v>Retail Capacity - TPRET - 802-SUB T</v>
          </cell>
        </row>
        <row r="32">
          <cell r="A32" t="str">
            <v>SYSTEM CAP - GEN - DSBUILD - 814-Line D</v>
          </cell>
        </row>
        <row r="33">
          <cell r="A33" t="str">
            <v>SYSTEM CAP - GEN - SCAPGTL - 804-Line T</v>
          </cell>
        </row>
        <row r="34">
          <cell r="A34" t="str">
            <v>SYSTEM CAP - GEN - SCAPGTS - 802-Sub T</v>
          </cell>
        </row>
        <row r="35">
          <cell r="A35" t="str">
            <v>SYSTEM CAP - GEN - SYGDSUB - 803-Sub D</v>
          </cell>
        </row>
        <row r="36">
          <cell r="A36" t="str">
            <v>SYSTEM CAPACITY - D - CFY - 814-Line D</v>
          </cell>
        </row>
        <row r="37">
          <cell r="A37" t="str">
            <v>SYSTEM CAPACITY - D - DOECAP</v>
          </cell>
        </row>
        <row r="38">
          <cell r="A38" t="str">
            <v>SYSTEM CAPACITY - D - SYCDSUB - 803-SUB D</v>
          </cell>
        </row>
        <row r="39">
          <cell r="A39" t="str">
            <v>SYSTEM CAPACITY - D - STCTSYB - 802-SUB T</v>
          </cell>
        </row>
        <row r="40">
          <cell r="A40" t="str">
            <v>SYSTEM CAPACITY - D - SYCTSUB - 804-Line T</v>
          </cell>
        </row>
        <row r="41">
          <cell r="A41" t="str">
            <v>SYSTEM CAPACITY SUB - CAPSUB - 802-Sub T</v>
          </cell>
        </row>
        <row r="42">
          <cell r="A42" t="str">
            <v>SYSTEM CAPACITY SUB - CAPSUBD - 803-Sub D</v>
          </cell>
        </row>
        <row r="43">
          <cell r="A43" t="str">
            <v>SYSTEM CAPACITY - T - SYCAPTD - 814-Line D</v>
          </cell>
        </row>
        <row r="44">
          <cell r="A44" t="str">
            <v>SYSTEM CAPACITY - T - TCAPDSB - 803-Sub D</v>
          </cell>
        </row>
        <row r="45">
          <cell r="A45" t="str">
            <v>SYSTEM CAPACITY - T - TPCAPIN - 802-Sub T</v>
          </cell>
        </row>
        <row r="46">
          <cell r="A46" t="str">
            <v>SYSTEM CAPACITY - T - TPLINES - 804-Line T</v>
          </cell>
        </row>
        <row r="47">
          <cell r="A47" t="str">
            <v>Line &amp; Sta Compliance - THOTLIN - 804-Line T</v>
          </cell>
        </row>
        <row r="48">
          <cell r="A48" t="str">
            <v>Line &amp; Sta Compliance - TPRIVER - 804-Line T</v>
          </cell>
        </row>
        <row r="49">
          <cell r="A49" t="str">
            <v>Line &amp; Sta Compliance - TSUBCOM - 802-Sub T</v>
          </cell>
        </row>
        <row r="50">
          <cell r="A50" t="str">
            <v>OD Breakers - DODBRKR - 803-Sub D</v>
          </cell>
        </row>
        <row r="51">
          <cell r="A51" t="str">
            <v>OD Breakers - TODBRKR - 802-Sub T</v>
          </cell>
        </row>
        <row r="52">
          <cell r="A52" t="str">
            <v>SPCC - DPOIL - 803-Sub D</v>
          </cell>
        </row>
        <row r="53">
          <cell r="A53" t="str">
            <v>SPCC - TPOIL - 802-Sub T</v>
          </cell>
        </row>
        <row r="54">
          <cell r="A54" t="str">
            <v>PROJ O&amp;M-CAR-AM - SUBPRO - 803-Sub D</v>
          </cell>
        </row>
        <row r="55">
          <cell r="A55" t="str">
            <v>PROJ O&amp;M-CAR-AM - TLINPRO - 804-Line T</v>
          </cell>
        </row>
        <row r="56">
          <cell r="A56" t="str">
            <v>PROJ-O&amp;M-MW-AM - PRJOMAM - O&amp;M</v>
          </cell>
        </row>
        <row r="57">
          <cell r="A57" t="str">
            <v>Integrity Projects - DAIRBRK - 803-Sub D</v>
          </cell>
        </row>
        <row r="58">
          <cell r="A58" t="str">
            <v>Integrity Projects - DMINTL - 814-Line D</v>
          </cell>
        </row>
        <row r="59">
          <cell r="A59" t="str">
            <v>Integrity Projects - DMJRINT - 803-Sub D</v>
          </cell>
        </row>
        <row r="60">
          <cell r="A60" t="str">
            <v>Integrity Projects - TLREBLD - 804-Line T</v>
          </cell>
        </row>
        <row r="61">
          <cell r="A61" t="str">
            <v>Integrity Projects - TPBRKR - 802-Sub T</v>
          </cell>
        </row>
        <row r="62">
          <cell r="A62" t="str">
            <v>Integrity Projects - TPPROT - 802-Sub T</v>
          </cell>
        </row>
        <row r="63">
          <cell r="A63" t="str">
            <v>Integrity Projects - TPREBLD - 802-Sub T</v>
          </cell>
        </row>
        <row r="64">
          <cell r="A64" t="str">
            <v>NUCLEAR SWITCHYARD - TNUCSW - 802-Sub T</v>
          </cell>
        </row>
        <row r="65">
          <cell r="A65" t="str">
            <v>R&amp;I Cap - Other T - DPMINR - 814-Line D</v>
          </cell>
        </row>
        <row r="66">
          <cell r="A66" t="str">
            <v>R&amp;I Cap - Other T - DPELEC - 803-Sub D</v>
          </cell>
        </row>
        <row r="67">
          <cell r="A67" t="str">
            <v>R&amp;I Cap - Other T - TMLINRI - 804-Line T</v>
          </cell>
        </row>
        <row r="68">
          <cell r="A68" t="str">
            <v>R&amp;I Cap - Other T - DMNRR&amp;I - 803-Sub D</v>
          </cell>
        </row>
        <row r="69">
          <cell r="A69" t="str">
            <v>R&amp;I Cap - Other T - TMNRR&amp;I - 802-Sub T</v>
          </cell>
        </row>
        <row r="70">
          <cell r="A70" t="str">
            <v>R&amp;I Cap - Other T - DOER&amp;I - 803-Sub D</v>
          </cell>
        </row>
        <row r="71">
          <cell r="A71" t="str">
            <v>R&amp;I Cap - Other T - DOER&amp;I - 802-Sub T</v>
          </cell>
        </row>
        <row r="72">
          <cell r="A72" t="str">
            <v>R&amp;I Cap - Other T - DOER&amp;I - 804-Line T</v>
          </cell>
        </row>
        <row r="73">
          <cell r="A73" t="str">
            <v>R&amp;I Programs - T - DPMISC - 803-Sub D</v>
          </cell>
        </row>
        <row r="74">
          <cell r="A74" t="str">
            <v>R&amp;I Programs - T - TLMISC - 804-Line T</v>
          </cell>
        </row>
        <row r="75">
          <cell r="A75" t="str">
            <v>R&amp;I Programs - T - TMISCST - 802-Sub T</v>
          </cell>
        </row>
        <row r="76">
          <cell r="A76" t="str">
            <v>R&amp;I Programs - T - TMISD - 814-Line D</v>
          </cell>
        </row>
        <row r="77">
          <cell r="A77" t="str">
            <v>Rel Maj Capital - T - DPMAJR - 814-Line D</v>
          </cell>
        </row>
        <row r="78">
          <cell r="A78" t="str">
            <v>Rel Maj Capital - T - DPTRFF - 803-Sub D</v>
          </cell>
        </row>
        <row r="79">
          <cell r="A79" t="str">
            <v>Rel Maj Capital - T - TPAPPF - 802-Sub T</v>
          </cell>
        </row>
        <row r="80">
          <cell r="A80" t="str">
            <v>Rel Maj Capital - T - TPMAJR - 804-Line T</v>
          </cell>
        </row>
        <row r="81">
          <cell r="A81" t="str">
            <v>Substation Auto D - DAUT - 802-Sub T</v>
          </cell>
        </row>
        <row r="82">
          <cell r="A82" t="str">
            <v>Substation Auto D - DAUTMAT - 803-Sub D</v>
          </cell>
        </row>
        <row r="83">
          <cell r="A83" t="str">
            <v>Relocations - Trans - HIWAYT - 804-Line T</v>
          </cell>
        </row>
        <row r="84">
          <cell r="A84" t="str">
            <v>Relocations - Trans - OTHRELO - 804-Line T</v>
          </cell>
        </row>
        <row r="85">
          <cell r="A85" t="str">
            <v>--------PD Technology-----------</v>
          </cell>
        </row>
        <row r="86">
          <cell r="A86" t="str">
            <v>TECHNOLOGY - PDIT - FRMRLAY</v>
          </cell>
        </row>
        <row r="87">
          <cell r="A87" t="str">
            <v>----------Field Ops----------</v>
          </cell>
        </row>
        <row r="88">
          <cell r="A88" t="str">
            <v>Syst Cap Region Sub - DMNRCAP - 803-Sub D</v>
          </cell>
        </row>
        <row r="89">
          <cell r="A89" t="str">
            <v>Syst Cap Region Sub - TMNRCAP - 802-Sub T</v>
          </cell>
        </row>
        <row r="90">
          <cell r="A90" t="str">
            <v>Pole Replacement T - TPPOLE - 804-Line T</v>
          </cell>
        </row>
        <row r="91">
          <cell r="A91" t="str">
            <v>OUT RESTOR SUB - DPEQUIP - 803-Sub D</v>
          </cell>
        </row>
        <row r="92">
          <cell r="A92" t="str">
            <v>OUT RESTOR SUB - TPEQUIP - 802-Sub T</v>
          </cell>
        </row>
        <row r="93">
          <cell r="A93" t="str">
            <v>--------NERC Requirements----------</v>
          </cell>
        </row>
        <row r="94">
          <cell r="A94" t="str">
            <v xml:space="preserve">System Capacity - T - GRIDPRT </v>
          </cell>
        </row>
        <row r="95">
          <cell r="A95" t="str">
            <v>--------SMARTGRID-----------</v>
          </cell>
        </row>
        <row r="96">
          <cell r="A96" t="str">
            <v xml:space="preserve">SMARTGRID DIST AUTOMATION - SGDAISS </v>
          </cell>
        </row>
        <row r="97">
          <cell r="A97">
            <v>0</v>
          </cell>
        </row>
        <row r="98">
          <cell r="A98">
            <v>0</v>
          </cell>
        </row>
      </sheetData>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6AC4C-C0BA-4007-8C54-B1A160DBF0A3}">
  <sheetPr>
    <pageSetUpPr fitToPage="1"/>
  </sheetPr>
  <dimension ref="A1:J12"/>
  <sheetViews>
    <sheetView tabSelected="1" view="pageLayout" zoomScaleNormal="100" workbookViewId="0">
      <selection activeCell="I16" sqref="I16"/>
    </sheetView>
  </sheetViews>
  <sheetFormatPr defaultRowHeight="12.75" x14ac:dyDescent="0.2"/>
  <cols>
    <col min="1" max="1" width="3" style="167" bestFit="1" customWidth="1"/>
    <col min="2" max="2" width="24.7109375" style="167" bestFit="1" customWidth="1"/>
    <col min="3" max="3" width="22" style="167" bestFit="1" customWidth="1"/>
    <col min="4" max="5" width="13" style="167" bestFit="1" customWidth="1"/>
    <col min="6" max="7" width="15" style="167" bestFit="1" customWidth="1"/>
    <col min="8" max="8" width="11" style="167" bestFit="1" customWidth="1"/>
    <col min="9" max="10" width="13" style="167" bestFit="1" customWidth="1"/>
    <col min="11" max="256" width="9.28515625" style="167"/>
    <col min="257" max="257" width="3" style="167" bestFit="1" customWidth="1"/>
    <col min="258" max="258" width="24.7109375" style="167" bestFit="1" customWidth="1"/>
    <col min="259" max="259" width="22" style="167" bestFit="1" customWidth="1"/>
    <col min="260" max="261" width="13" style="167" bestFit="1" customWidth="1"/>
    <col min="262" max="263" width="15" style="167" bestFit="1" customWidth="1"/>
    <col min="264" max="264" width="11" style="167" bestFit="1" customWidth="1"/>
    <col min="265" max="266" width="13" style="167" bestFit="1" customWidth="1"/>
    <col min="267" max="512" width="9.28515625" style="167"/>
    <col min="513" max="513" width="3" style="167" bestFit="1" customWidth="1"/>
    <col min="514" max="514" width="24.7109375" style="167" bestFit="1" customWidth="1"/>
    <col min="515" max="515" width="22" style="167" bestFit="1" customWidth="1"/>
    <col min="516" max="517" width="13" style="167" bestFit="1" customWidth="1"/>
    <col min="518" max="519" width="15" style="167" bestFit="1" customWidth="1"/>
    <col min="520" max="520" width="11" style="167" bestFit="1" customWidth="1"/>
    <col min="521" max="522" width="13" style="167" bestFit="1" customWidth="1"/>
    <col min="523" max="768" width="9.28515625" style="167"/>
    <col min="769" max="769" width="3" style="167" bestFit="1" customWidth="1"/>
    <col min="770" max="770" width="24.7109375" style="167" bestFit="1" customWidth="1"/>
    <col min="771" max="771" width="22" style="167" bestFit="1" customWidth="1"/>
    <col min="772" max="773" width="13" style="167" bestFit="1" customWidth="1"/>
    <col min="774" max="775" width="15" style="167" bestFit="1" customWidth="1"/>
    <col min="776" max="776" width="11" style="167" bestFit="1" customWidth="1"/>
    <col min="777" max="778" width="13" style="167" bestFit="1" customWidth="1"/>
    <col min="779" max="1024" width="9.28515625" style="167"/>
    <col min="1025" max="1025" width="3" style="167" bestFit="1" customWidth="1"/>
    <col min="1026" max="1026" width="24.7109375" style="167" bestFit="1" customWidth="1"/>
    <col min="1027" max="1027" width="22" style="167" bestFit="1" customWidth="1"/>
    <col min="1028" max="1029" width="13" style="167" bestFit="1" customWidth="1"/>
    <col min="1030" max="1031" width="15" style="167" bestFit="1" customWidth="1"/>
    <col min="1032" max="1032" width="11" style="167" bestFit="1" customWidth="1"/>
    <col min="1033" max="1034" width="13" style="167" bestFit="1" customWidth="1"/>
    <col min="1035" max="1280" width="9.28515625" style="167"/>
    <col min="1281" max="1281" width="3" style="167" bestFit="1" customWidth="1"/>
    <col min="1282" max="1282" width="24.7109375" style="167" bestFit="1" customWidth="1"/>
    <col min="1283" max="1283" width="22" style="167" bestFit="1" customWidth="1"/>
    <col min="1284" max="1285" width="13" style="167" bestFit="1" customWidth="1"/>
    <col min="1286" max="1287" width="15" style="167" bestFit="1" customWidth="1"/>
    <col min="1288" max="1288" width="11" style="167" bestFit="1" customWidth="1"/>
    <col min="1289" max="1290" width="13" style="167" bestFit="1" customWidth="1"/>
    <col min="1291" max="1536" width="9.28515625" style="167"/>
    <col min="1537" max="1537" width="3" style="167" bestFit="1" customWidth="1"/>
    <col min="1538" max="1538" width="24.7109375" style="167" bestFit="1" customWidth="1"/>
    <col min="1539" max="1539" width="22" style="167" bestFit="1" customWidth="1"/>
    <col min="1540" max="1541" width="13" style="167" bestFit="1" customWidth="1"/>
    <col min="1542" max="1543" width="15" style="167" bestFit="1" customWidth="1"/>
    <col min="1544" max="1544" width="11" style="167" bestFit="1" customWidth="1"/>
    <col min="1545" max="1546" width="13" style="167" bestFit="1" customWidth="1"/>
    <col min="1547" max="1792" width="9.28515625" style="167"/>
    <col min="1793" max="1793" width="3" style="167" bestFit="1" customWidth="1"/>
    <col min="1794" max="1794" width="24.7109375" style="167" bestFit="1" customWidth="1"/>
    <col min="1795" max="1795" width="22" style="167" bestFit="1" customWidth="1"/>
    <col min="1796" max="1797" width="13" style="167" bestFit="1" customWidth="1"/>
    <col min="1798" max="1799" width="15" style="167" bestFit="1" customWidth="1"/>
    <col min="1800" max="1800" width="11" style="167" bestFit="1" customWidth="1"/>
    <col min="1801" max="1802" width="13" style="167" bestFit="1" customWidth="1"/>
    <col min="1803" max="2048" width="9.28515625" style="167"/>
    <col min="2049" max="2049" width="3" style="167" bestFit="1" customWidth="1"/>
    <col min="2050" max="2050" width="24.7109375" style="167" bestFit="1" customWidth="1"/>
    <col min="2051" max="2051" width="22" style="167" bestFit="1" customWidth="1"/>
    <col min="2052" max="2053" width="13" style="167" bestFit="1" customWidth="1"/>
    <col min="2054" max="2055" width="15" style="167" bestFit="1" customWidth="1"/>
    <col min="2056" max="2056" width="11" style="167" bestFit="1" customWidth="1"/>
    <col min="2057" max="2058" width="13" style="167" bestFit="1" customWidth="1"/>
    <col min="2059" max="2304" width="9.28515625" style="167"/>
    <col min="2305" max="2305" width="3" style="167" bestFit="1" customWidth="1"/>
    <col min="2306" max="2306" width="24.7109375" style="167" bestFit="1" customWidth="1"/>
    <col min="2307" max="2307" width="22" style="167" bestFit="1" customWidth="1"/>
    <col min="2308" max="2309" width="13" style="167" bestFit="1" customWidth="1"/>
    <col min="2310" max="2311" width="15" style="167" bestFit="1" customWidth="1"/>
    <col min="2312" max="2312" width="11" style="167" bestFit="1" customWidth="1"/>
    <col min="2313" max="2314" width="13" style="167" bestFit="1" customWidth="1"/>
    <col min="2315" max="2560" width="9.28515625" style="167"/>
    <col min="2561" max="2561" width="3" style="167" bestFit="1" customWidth="1"/>
    <col min="2562" max="2562" width="24.7109375" style="167" bestFit="1" customWidth="1"/>
    <col min="2563" max="2563" width="22" style="167" bestFit="1" customWidth="1"/>
    <col min="2564" max="2565" width="13" style="167" bestFit="1" customWidth="1"/>
    <col min="2566" max="2567" width="15" style="167" bestFit="1" customWidth="1"/>
    <col min="2568" max="2568" width="11" style="167" bestFit="1" customWidth="1"/>
    <col min="2569" max="2570" width="13" style="167" bestFit="1" customWidth="1"/>
    <col min="2571" max="2816" width="9.28515625" style="167"/>
    <col min="2817" max="2817" width="3" style="167" bestFit="1" customWidth="1"/>
    <col min="2818" max="2818" width="24.7109375" style="167" bestFit="1" customWidth="1"/>
    <col min="2819" max="2819" width="22" style="167" bestFit="1" customWidth="1"/>
    <col min="2820" max="2821" width="13" style="167" bestFit="1" customWidth="1"/>
    <col min="2822" max="2823" width="15" style="167" bestFit="1" customWidth="1"/>
    <col min="2824" max="2824" width="11" style="167" bestFit="1" customWidth="1"/>
    <col min="2825" max="2826" width="13" style="167" bestFit="1" customWidth="1"/>
    <col min="2827" max="3072" width="9.28515625" style="167"/>
    <col min="3073" max="3073" width="3" style="167" bestFit="1" customWidth="1"/>
    <col min="3074" max="3074" width="24.7109375" style="167" bestFit="1" customWidth="1"/>
    <col min="3075" max="3075" width="22" style="167" bestFit="1" customWidth="1"/>
    <col min="3076" max="3077" width="13" style="167" bestFit="1" customWidth="1"/>
    <col min="3078" max="3079" width="15" style="167" bestFit="1" customWidth="1"/>
    <col min="3080" max="3080" width="11" style="167" bestFit="1" customWidth="1"/>
    <col min="3081" max="3082" width="13" style="167" bestFit="1" customWidth="1"/>
    <col min="3083" max="3328" width="9.28515625" style="167"/>
    <col min="3329" max="3329" width="3" style="167" bestFit="1" customWidth="1"/>
    <col min="3330" max="3330" width="24.7109375" style="167" bestFit="1" customWidth="1"/>
    <col min="3331" max="3331" width="22" style="167" bestFit="1" customWidth="1"/>
    <col min="3332" max="3333" width="13" style="167" bestFit="1" customWidth="1"/>
    <col min="3334" max="3335" width="15" style="167" bestFit="1" customWidth="1"/>
    <col min="3336" max="3336" width="11" style="167" bestFit="1" customWidth="1"/>
    <col min="3337" max="3338" width="13" style="167" bestFit="1" customWidth="1"/>
    <col min="3339" max="3584" width="9.28515625" style="167"/>
    <col min="3585" max="3585" width="3" style="167" bestFit="1" customWidth="1"/>
    <col min="3586" max="3586" width="24.7109375" style="167" bestFit="1" customWidth="1"/>
    <col min="3587" max="3587" width="22" style="167" bestFit="1" customWidth="1"/>
    <col min="3588" max="3589" width="13" style="167" bestFit="1" customWidth="1"/>
    <col min="3590" max="3591" width="15" style="167" bestFit="1" customWidth="1"/>
    <col min="3592" max="3592" width="11" style="167" bestFit="1" customWidth="1"/>
    <col min="3593" max="3594" width="13" style="167" bestFit="1" customWidth="1"/>
    <col min="3595" max="3840" width="9.28515625" style="167"/>
    <col min="3841" max="3841" width="3" style="167" bestFit="1" customWidth="1"/>
    <col min="3842" max="3842" width="24.7109375" style="167" bestFit="1" customWidth="1"/>
    <col min="3843" max="3843" width="22" style="167" bestFit="1" customWidth="1"/>
    <col min="3844" max="3845" width="13" style="167" bestFit="1" customWidth="1"/>
    <col min="3846" max="3847" width="15" style="167" bestFit="1" customWidth="1"/>
    <col min="3848" max="3848" width="11" style="167" bestFit="1" customWidth="1"/>
    <col min="3849" max="3850" width="13" style="167" bestFit="1" customWidth="1"/>
    <col min="3851" max="4096" width="9.28515625" style="167"/>
    <col min="4097" max="4097" width="3" style="167" bestFit="1" customWidth="1"/>
    <col min="4098" max="4098" width="24.7109375" style="167" bestFit="1" customWidth="1"/>
    <col min="4099" max="4099" width="22" style="167" bestFit="1" customWidth="1"/>
    <col min="4100" max="4101" width="13" style="167" bestFit="1" customWidth="1"/>
    <col min="4102" max="4103" width="15" style="167" bestFit="1" customWidth="1"/>
    <col min="4104" max="4104" width="11" style="167" bestFit="1" customWidth="1"/>
    <col min="4105" max="4106" width="13" style="167" bestFit="1" customWidth="1"/>
    <col min="4107" max="4352" width="9.28515625" style="167"/>
    <col min="4353" max="4353" width="3" style="167" bestFit="1" customWidth="1"/>
    <col min="4354" max="4354" width="24.7109375" style="167" bestFit="1" customWidth="1"/>
    <col min="4355" max="4355" width="22" style="167" bestFit="1" customWidth="1"/>
    <col min="4356" max="4357" width="13" style="167" bestFit="1" customWidth="1"/>
    <col min="4358" max="4359" width="15" style="167" bestFit="1" customWidth="1"/>
    <col min="4360" max="4360" width="11" style="167" bestFit="1" customWidth="1"/>
    <col min="4361" max="4362" width="13" style="167" bestFit="1" customWidth="1"/>
    <col min="4363" max="4608" width="9.28515625" style="167"/>
    <col min="4609" max="4609" width="3" style="167" bestFit="1" customWidth="1"/>
    <col min="4610" max="4610" width="24.7109375" style="167" bestFit="1" customWidth="1"/>
    <col min="4611" max="4611" width="22" style="167" bestFit="1" customWidth="1"/>
    <col min="4612" max="4613" width="13" style="167" bestFit="1" customWidth="1"/>
    <col min="4614" max="4615" width="15" style="167" bestFit="1" customWidth="1"/>
    <col min="4616" max="4616" width="11" style="167" bestFit="1" customWidth="1"/>
    <col min="4617" max="4618" width="13" style="167" bestFit="1" customWidth="1"/>
    <col min="4619" max="4864" width="9.28515625" style="167"/>
    <col min="4865" max="4865" width="3" style="167" bestFit="1" customWidth="1"/>
    <col min="4866" max="4866" width="24.7109375" style="167" bestFit="1" customWidth="1"/>
    <col min="4867" max="4867" width="22" style="167" bestFit="1" customWidth="1"/>
    <col min="4868" max="4869" width="13" style="167" bestFit="1" customWidth="1"/>
    <col min="4870" max="4871" width="15" style="167" bestFit="1" customWidth="1"/>
    <col min="4872" max="4872" width="11" style="167" bestFit="1" customWidth="1"/>
    <col min="4873" max="4874" width="13" style="167" bestFit="1" customWidth="1"/>
    <col min="4875" max="5120" width="9.28515625" style="167"/>
    <col min="5121" max="5121" width="3" style="167" bestFit="1" customWidth="1"/>
    <col min="5122" max="5122" width="24.7109375" style="167" bestFit="1" customWidth="1"/>
    <col min="5123" max="5123" width="22" style="167" bestFit="1" customWidth="1"/>
    <col min="5124" max="5125" width="13" style="167" bestFit="1" customWidth="1"/>
    <col min="5126" max="5127" width="15" style="167" bestFit="1" customWidth="1"/>
    <col min="5128" max="5128" width="11" style="167" bestFit="1" customWidth="1"/>
    <col min="5129" max="5130" width="13" style="167" bestFit="1" customWidth="1"/>
    <col min="5131" max="5376" width="9.28515625" style="167"/>
    <col min="5377" max="5377" width="3" style="167" bestFit="1" customWidth="1"/>
    <col min="5378" max="5378" width="24.7109375" style="167" bestFit="1" customWidth="1"/>
    <col min="5379" max="5379" width="22" style="167" bestFit="1" customWidth="1"/>
    <col min="5380" max="5381" width="13" style="167" bestFit="1" customWidth="1"/>
    <col min="5382" max="5383" width="15" style="167" bestFit="1" customWidth="1"/>
    <col min="5384" max="5384" width="11" style="167" bestFit="1" customWidth="1"/>
    <col min="5385" max="5386" width="13" style="167" bestFit="1" customWidth="1"/>
    <col min="5387" max="5632" width="9.28515625" style="167"/>
    <col min="5633" max="5633" width="3" style="167" bestFit="1" customWidth="1"/>
    <col min="5634" max="5634" width="24.7109375" style="167" bestFit="1" customWidth="1"/>
    <col min="5635" max="5635" width="22" style="167" bestFit="1" customWidth="1"/>
    <col min="5636" max="5637" width="13" style="167" bestFit="1" customWidth="1"/>
    <col min="5638" max="5639" width="15" style="167" bestFit="1" customWidth="1"/>
    <col min="5640" max="5640" width="11" style="167" bestFit="1" customWidth="1"/>
    <col min="5641" max="5642" width="13" style="167" bestFit="1" customWidth="1"/>
    <col min="5643" max="5888" width="9.28515625" style="167"/>
    <col min="5889" max="5889" width="3" style="167" bestFit="1" customWidth="1"/>
    <col min="5890" max="5890" width="24.7109375" style="167" bestFit="1" customWidth="1"/>
    <col min="5891" max="5891" width="22" style="167" bestFit="1" customWidth="1"/>
    <col min="5892" max="5893" width="13" style="167" bestFit="1" customWidth="1"/>
    <col min="5894" max="5895" width="15" style="167" bestFit="1" customWidth="1"/>
    <col min="5896" max="5896" width="11" style="167" bestFit="1" customWidth="1"/>
    <col min="5897" max="5898" width="13" style="167" bestFit="1" customWidth="1"/>
    <col min="5899" max="6144" width="9.28515625" style="167"/>
    <col min="6145" max="6145" width="3" style="167" bestFit="1" customWidth="1"/>
    <col min="6146" max="6146" width="24.7109375" style="167" bestFit="1" customWidth="1"/>
    <col min="6147" max="6147" width="22" style="167" bestFit="1" customWidth="1"/>
    <col min="6148" max="6149" width="13" style="167" bestFit="1" customWidth="1"/>
    <col min="6150" max="6151" width="15" style="167" bestFit="1" customWidth="1"/>
    <col min="6152" max="6152" width="11" style="167" bestFit="1" customWidth="1"/>
    <col min="6153" max="6154" width="13" style="167" bestFit="1" customWidth="1"/>
    <col min="6155" max="6400" width="9.28515625" style="167"/>
    <col min="6401" max="6401" width="3" style="167" bestFit="1" customWidth="1"/>
    <col min="6402" max="6402" width="24.7109375" style="167" bestFit="1" customWidth="1"/>
    <col min="6403" max="6403" width="22" style="167" bestFit="1" customWidth="1"/>
    <col min="6404" max="6405" width="13" style="167" bestFit="1" customWidth="1"/>
    <col min="6406" max="6407" width="15" style="167" bestFit="1" customWidth="1"/>
    <col min="6408" max="6408" width="11" style="167" bestFit="1" customWidth="1"/>
    <col min="6409" max="6410" width="13" style="167" bestFit="1" customWidth="1"/>
    <col min="6411" max="6656" width="9.28515625" style="167"/>
    <col min="6657" max="6657" width="3" style="167" bestFit="1" customWidth="1"/>
    <col min="6658" max="6658" width="24.7109375" style="167" bestFit="1" customWidth="1"/>
    <col min="6659" max="6659" width="22" style="167" bestFit="1" customWidth="1"/>
    <col min="6660" max="6661" width="13" style="167" bestFit="1" customWidth="1"/>
    <col min="6662" max="6663" width="15" style="167" bestFit="1" customWidth="1"/>
    <col min="6664" max="6664" width="11" style="167" bestFit="1" customWidth="1"/>
    <col min="6665" max="6666" width="13" style="167" bestFit="1" customWidth="1"/>
    <col min="6667" max="6912" width="9.28515625" style="167"/>
    <col min="6913" max="6913" width="3" style="167" bestFit="1" customWidth="1"/>
    <col min="6914" max="6914" width="24.7109375" style="167" bestFit="1" customWidth="1"/>
    <col min="6915" max="6915" width="22" style="167" bestFit="1" customWidth="1"/>
    <col min="6916" max="6917" width="13" style="167" bestFit="1" customWidth="1"/>
    <col min="6918" max="6919" width="15" style="167" bestFit="1" customWidth="1"/>
    <col min="6920" max="6920" width="11" style="167" bestFit="1" customWidth="1"/>
    <col min="6921" max="6922" width="13" style="167" bestFit="1" customWidth="1"/>
    <col min="6923" max="7168" width="9.28515625" style="167"/>
    <col min="7169" max="7169" width="3" style="167" bestFit="1" customWidth="1"/>
    <col min="7170" max="7170" width="24.7109375" style="167" bestFit="1" customWidth="1"/>
    <col min="7171" max="7171" width="22" style="167" bestFit="1" customWidth="1"/>
    <col min="7172" max="7173" width="13" style="167" bestFit="1" customWidth="1"/>
    <col min="7174" max="7175" width="15" style="167" bestFit="1" customWidth="1"/>
    <col min="7176" max="7176" width="11" style="167" bestFit="1" customWidth="1"/>
    <col min="7177" max="7178" width="13" style="167" bestFit="1" customWidth="1"/>
    <col min="7179" max="7424" width="9.28515625" style="167"/>
    <col min="7425" max="7425" width="3" style="167" bestFit="1" customWidth="1"/>
    <col min="7426" max="7426" width="24.7109375" style="167" bestFit="1" customWidth="1"/>
    <col min="7427" max="7427" width="22" style="167" bestFit="1" customWidth="1"/>
    <col min="7428" max="7429" width="13" style="167" bestFit="1" customWidth="1"/>
    <col min="7430" max="7431" width="15" style="167" bestFit="1" customWidth="1"/>
    <col min="7432" max="7432" width="11" style="167" bestFit="1" customWidth="1"/>
    <col min="7433" max="7434" width="13" style="167" bestFit="1" customWidth="1"/>
    <col min="7435" max="7680" width="9.28515625" style="167"/>
    <col min="7681" max="7681" width="3" style="167" bestFit="1" customWidth="1"/>
    <col min="7682" max="7682" width="24.7109375" style="167" bestFit="1" customWidth="1"/>
    <col min="7683" max="7683" width="22" style="167" bestFit="1" customWidth="1"/>
    <col min="7684" max="7685" width="13" style="167" bestFit="1" customWidth="1"/>
    <col min="7686" max="7687" width="15" style="167" bestFit="1" customWidth="1"/>
    <col min="7688" max="7688" width="11" style="167" bestFit="1" customWidth="1"/>
    <col min="7689" max="7690" width="13" style="167" bestFit="1" customWidth="1"/>
    <col min="7691" max="7936" width="9.28515625" style="167"/>
    <col min="7937" max="7937" width="3" style="167" bestFit="1" customWidth="1"/>
    <col min="7938" max="7938" width="24.7109375" style="167" bestFit="1" customWidth="1"/>
    <col min="7939" max="7939" width="22" style="167" bestFit="1" customWidth="1"/>
    <col min="7940" max="7941" width="13" style="167" bestFit="1" customWidth="1"/>
    <col min="7942" max="7943" width="15" style="167" bestFit="1" customWidth="1"/>
    <col min="7944" max="7944" width="11" style="167" bestFit="1" customWidth="1"/>
    <col min="7945" max="7946" width="13" style="167" bestFit="1" customWidth="1"/>
    <col min="7947" max="8192" width="9.28515625" style="167"/>
    <col min="8193" max="8193" width="3" style="167" bestFit="1" customWidth="1"/>
    <col min="8194" max="8194" width="24.7109375" style="167" bestFit="1" customWidth="1"/>
    <col min="8195" max="8195" width="22" style="167" bestFit="1" customWidth="1"/>
    <col min="8196" max="8197" width="13" style="167" bestFit="1" customWidth="1"/>
    <col min="8198" max="8199" width="15" style="167" bestFit="1" customWidth="1"/>
    <col min="8200" max="8200" width="11" style="167" bestFit="1" customWidth="1"/>
    <col min="8201" max="8202" width="13" style="167" bestFit="1" customWidth="1"/>
    <col min="8203" max="8448" width="9.28515625" style="167"/>
    <col min="8449" max="8449" width="3" style="167" bestFit="1" customWidth="1"/>
    <col min="8450" max="8450" width="24.7109375" style="167" bestFit="1" customWidth="1"/>
    <col min="8451" max="8451" width="22" style="167" bestFit="1" customWidth="1"/>
    <col min="8452" max="8453" width="13" style="167" bestFit="1" customWidth="1"/>
    <col min="8454" max="8455" width="15" style="167" bestFit="1" customWidth="1"/>
    <col min="8456" max="8456" width="11" style="167" bestFit="1" customWidth="1"/>
    <col min="8457" max="8458" width="13" style="167" bestFit="1" customWidth="1"/>
    <col min="8459" max="8704" width="9.28515625" style="167"/>
    <col min="8705" max="8705" width="3" style="167" bestFit="1" customWidth="1"/>
    <col min="8706" max="8706" width="24.7109375" style="167" bestFit="1" customWidth="1"/>
    <col min="8707" max="8707" width="22" style="167" bestFit="1" customWidth="1"/>
    <col min="8708" max="8709" width="13" style="167" bestFit="1" customWidth="1"/>
    <col min="8710" max="8711" width="15" style="167" bestFit="1" customWidth="1"/>
    <col min="8712" max="8712" width="11" style="167" bestFit="1" customWidth="1"/>
    <col min="8713" max="8714" width="13" style="167" bestFit="1" customWidth="1"/>
    <col min="8715" max="8960" width="9.28515625" style="167"/>
    <col min="8961" max="8961" width="3" style="167" bestFit="1" customWidth="1"/>
    <col min="8962" max="8962" width="24.7109375" style="167" bestFit="1" customWidth="1"/>
    <col min="8963" max="8963" width="22" style="167" bestFit="1" customWidth="1"/>
    <col min="8964" max="8965" width="13" style="167" bestFit="1" customWidth="1"/>
    <col min="8966" max="8967" width="15" style="167" bestFit="1" customWidth="1"/>
    <col min="8968" max="8968" width="11" style="167" bestFit="1" customWidth="1"/>
    <col min="8969" max="8970" width="13" style="167" bestFit="1" customWidth="1"/>
    <col min="8971" max="9216" width="9.28515625" style="167"/>
    <col min="9217" max="9217" width="3" style="167" bestFit="1" customWidth="1"/>
    <col min="9218" max="9218" width="24.7109375" style="167" bestFit="1" customWidth="1"/>
    <col min="9219" max="9219" width="22" style="167" bestFit="1" customWidth="1"/>
    <col min="9220" max="9221" width="13" style="167" bestFit="1" customWidth="1"/>
    <col min="9222" max="9223" width="15" style="167" bestFit="1" customWidth="1"/>
    <col min="9224" max="9224" width="11" style="167" bestFit="1" customWidth="1"/>
    <col min="9225" max="9226" width="13" style="167" bestFit="1" customWidth="1"/>
    <col min="9227" max="9472" width="9.28515625" style="167"/>
    <col min="9473" max="9473" width="3" style="167" bestFit="1" customWidth="1"/>
    <col min="9474" max="9474" width="24.7109375" style="167" bestFit="1" customWidth="1"/>
    <col min="9475" max="9475" width="22" style="167" bestFit="1" customWidth="1"/>
    <col min="9476" max="9477" width="13" style="167" bestFit="1" customWidth="1"/>
    <col min="9478" max="9479" width="15" style="167" bestFit="1" customWidth="1"/>
    <col min="9480" max="9480" width="11" style="167" bestFit="1" customWidth="1"/>
    <col min="9481" max="9482" width="13" style="167" bestFit="1" customWidth="1"/>
    <col min="9483" max="9728" width="9.28515625" style="167"/>
    <col min="9729" max="9729" width="3" style="167" bestFit="1" customWidth="1"/>
    <col min="9730" max="9730" width="24.7109375" style="167" bestFit="1" customWidth="1"/>
    <col min="9731" max="9731" width="22" style="167" bestFit="1" customWidth="1"/>
    <col min="9732" max="9733" width="13" style="167" bestFit="1" customWidth="1"/>
    <col min="9734" max="9735" width="15" style="167" bestFit="1" customWidth="1"/>
    <col min="9736" max="9736" width="11" style="167" bestFit="1" customWidth="1"/>
    <col min="9737" max="9738" width="13" style="167" bestFit="1" customWidth="1"/>
    <col min="9739" max="9984" width="9.28515625" style="167"/>
    <col min="9985" max="9985" width="3" style="167" bestFit="1" customWidth="1"/>
    <col min="9986" max="9986" width="24.7109375" style="167" bestFit="1" customWidth="1"/>
    <col min="9987" max="9987" width="22" style="167" bestFit="1" customWidth="1"/>
    <col min="9988" max="9989" width="13" style="167" bestFit="1" customWidth="1"/>
    <col min="9990" max="9991" width="15" style="167" bestFit="1" customWidth="1"/>
    <col min="9992" max="9992" width="11" style="167" bestFit="1" customWidth="1"/>
    <col min="9993" max="9994" width="13" style="167" bestFit="1" customWidth="1"/>
    <col min="9995" max="10240" width="9.28515625" style="167"/>
    <col min="10241" max="10241" width="3" style="167" bestFit="1" customWidth="1"/>
    <col min="10242" max="10242" width="24.7109375" style="167" bestFit="1" customWidth="1"/>
    <col min="10243" max="10243" width="22" style="167" bestFit="1" customWidth="1"/>
    <col min="10244" max="10245" width="13" style="167" bestFit="1" customWidth="1"/>
    <col min="10246" max="10247" width="15" style="167" bestFit="1" customWidth="1"/>
    <col min="10248" max="10248" width="11" style="167" bestFit="1" customWidth="1"/>
    <col min="10249" max="10250" width="13" style="167" bestFit="1" customWidth="1"/>
    <col min="10251" max="10496" width="9.28515625" style="167"/>
    <col min="10497" max="10497" width="3" style="167" bestFit="1" customWidth="1"/>
    <col min="10498" max="10498" width="24.7109375" style="167" bestFit="1" customWidth="1"/>
    <col min="10499" max="10499" width="22" style="167" bestFit="1" customWidth="1"/>
    <col min="10500" max="10501" width="13" style="167" bestFit="1" customWidth="1"/>
    <col min="10502" max="10503" width="15" style="167" bestFit="1" customWidth="1"/>
    <col min="10504" max="10504" width="11" style="167" bestFit="1" customWidth="1"/>
    <col min="10505" max="10506" width="13" style="167" bestFit="1" customWidth="1"/>
    <col min="10507" max="10752" width="9.28515625" style="167"/>
    <col min="10753" max="10753" width="3" style="167" bestFit="1" customWidth="1"/>
    <col min="10754" max="10754" width="24.7109375" style="167" bestFit="1" customWidth="1"/>
    <col min="10755" max="10755" width="22" style="167" bestFit="1" customWidth="1"/>
    <col min="10756" max="10757" width="13" style="167" bestFit="1" customWidth="1"/>
    <col min="10758" max="10759" width="15" style="167" bestFit="1" customWidth="1"/>
    <col min="10760" max="10760" width="11" style="167" bestFit="1" customWidth="1"/>
    <col min="10761" max="10762" width="13" style="167" bestFit="1" customWidth="1"/>
    <col min="10763" max="11008" width="9.28515625" style="167"/>
    <col min="11009" max="11009" width="3" style="167" bestFit="1" customWidth="1"/>
    <col min="11010" max="11010" width="24.7109375" style="167" bestFit="1" customWidth="1"/>
    <col min="11011" max="11011" width="22" style="167" bestFit="1" customWidth="1"/>
    <col min="11012" max="11013" width="13" style="167" bestFit="1" customWidth="1"/>
    <col min="11014" max="11015" width="15" style="167" bestFit="1" customWidth="1"/>
    <col min="11016" max="11016" width="11" style="167" bestFit="1" customWidth="1"/>
    <col min="11017" max="11018" width="13" style="167" bestFit="1" customWidth="1"/>
    <col min="11019" max="11264" width="9.28515625" style="167"/>
    <col min="11265" max="11265" width="3" style="167" bestFit="1" customWidth="1"/>
    <col min="11266" max="11266" width="24.7109375" style="167" bestFit="1" customWidth="1"/>
    <col min="11267" max="11267" width="22" style="167" bestFit="1" customWidth="1"/>
    <col min="11268" max="11269" width="13" style="167" bestFit="1" customWidth="1"/>
    <col min="11270" max="11271" width="15" style="167" bestFit="1" customWidth="1"/>
    <col min="11272" max="11272" width="11" style="167" bestFit="1" customWidth="1"/>
    <col min="11273" max="11274" width="13" style="167" bestFit="1" customWidth="1"/>
    <col min="11275" max="11520" width="9.28515625" style="167"/>
    <col min="11521" max="11521" width="3" style="167" bestFit="1" customWidth="1"/>
    <col min="11522" max="11522" width="24.7109375" style="167" bestFit="1" customWidth="1"/>
    <col min="11523" max="11523" width="22" style="167" bestFit="1" customWidth="1"/>
    <col min="11524" max="11525" width="13" style="167" bestFit="1" customWidth="1"/>
    <col min="11526" max="11527" width="15" style="167" bestFit="1" customWidth="1"/>
    <col min="11528" max="11528" width="11" style="167" bestFit="1" customWidth="1"/>
    <col min="11529" max="11530" width="13" style="167" bestFit="1" customWidth="1"/>
    <col min="11531" max="11776" width="9.28515625" style="167"/>
    <col min="11777" max="11777" width="3" style="167" bestFit="1" customWidth="1"/>
    <col min="11778" max="11778" width="24.7109375" style="167" bestFit="1" customWidth="1"/>
    <col min="11779" max="11779" width="22" style="167" bestFit="1" customWidth="1"/>
    <col min="11780" max="11781" width="13" style="167" bestFit="1" customWidth="1"/>
    <col min="11782" max="11783" width="15" style="167" bestFit="1" customWidth="1"/>
    <col min="11784" max="11784" width="11" style="167" bestFit="1" customWidth="1"/>
    <col min="11785" max="11786" width="13" style="167" bestFit="1" customWidth="1"/>
    <col min="11787" max="12032" width="9.28515625" style="167"/>
    <col min="12033" max="12033" width="3" style="167" bestFit="1" customWidth="1"/>
    <col min="12034" max="12034" width="24.7109375" style="167" bestFit="1" customWidth="1"/>
    <col min="12035" max="12035" width="22" style="167" bestFit="1" customWidth="1"/>
    <col min="12036" max="12037" width="13" style="167" bestFit="1" customWidth="1"/>
    <col min="12038" max="12039" width="15" style="167" bestFit="1" customWidth="1"/>
    <col min="12040" max="12040" width="11" style="167" bestFit="1" customWidth="1"/>
    <col min="12041" max="12042" width="13" style="167" bestFit="1" customWidth="1"/>
    <col min="12043" max="12288" width="9.28515625" style="167"/>
    <col min="12289" max="12289" width="3" style="167" bestFit="1" customWidth="1"/>
    <col min="12290" max="12290" width="24.7109375" style="167" bestFit="1" customWidth="1"/>
    <col min="12291" max="12291" width="22" style="167" bestFit="1" customWidth="1"/>
    <col min="12292" max="12293" width="13" style="167" bestFit="1" customWidth="1"/>
    <col min="12294" max="12295" width="15" style="167" bestFit="1" customWidth="1"/>
    <col min="12296" max="12296" width="11" style="167" bestFit="1" customWidth="1"/>
    <col min="12297" max="12298" width="13" style="167" bestFit="1" customWidth="1"/>
    <col min="12299" max="12544" width="9.28515625" style="167"/>
    <col min="12545" max="12545" width="3" style="167" bestFit="1" customWidth="1"/>
    <col min="12546" max="12546" width="24.7109375" style="167" bestFit="1" customWidth="1"/>
    <col min="12547" max="12547" width="22" style="167" bestFit="1" customWidth="1"/>
    <col min="12548" max="12549" width="13" style="167" bestFit="1" customWidth="1"/>
    <col min="12550" max="12551" width="15" style="167" bestFit="1" customWidth="1"/>
    <col min="12552" max="12552" width="11" style="167" bestFit="1" customWidth="1"/>
    <col min="12553" max="12554" width="13" style="167" bestFit="1" customWidth="1"/>
    <col min="12555" max="12800" width="9.28515625" style="167"/>
    <col min="12801" max="12801" width="3" style="167" bestFit="1" customWidth="1"/>
    <col min="12802" max="12802" width="24.7109375" style="167" bestFit="1" customWidth="1"/>
    <col min="12803" max="12803" width="22" style="167" bestFit="1" customWidth="1"/>
    <col min="12804" max="12805" width="13" style="167" bestFit="1" customWidth="1"/>
    <col min="12806" max="12807" width="15" style="167" bestFit="1" customWidth="1"/>
    <col min="12808" max="12808" width="11" style="167" bestFit="1" customWidth="1"/>
    <col min="12809" max="12810" width="13" style="167" bestFit="1" customWidth="1"/>
    <col min="12811" max="13056" width="9.28515625" style="167"/>
    <col min="13057" max="13057" width="3" style="167" bestFit="1" customWidth="1"/>
    <col min="13058" max="13058" width="24.7109375" style="167" bestFit="1" customWidth="1"/>
    <col min="13059" max="13059" width="22" style="167" bestFit="1" customWidth="1"/>
    <col min="13060" max="13061" width="13" style="167" bestFit="1" customWidth="1"/>
    <col min="13062" max="13063" width="15" style="167" bestFit="1" customWidth="1"/>
    <col min="13064" max="13064" width="11" style="167" bestFit="1" customWidth="1"/>
    <col min="13065" max="13066" width="13" style="167" bestFit="1" customWidth="1"/>
    <col min="13067" max="13312" width="9.28515625" style="167"/>
    <col min="13313" max="13313" width="3" style="167" bestFit="1" customWidth="1"/>
    <col min="13314" max="13314" width="24.7109375" style="167" bestFit="1" customWidth="1"/>
    <col min="13315" max="13315" width="22" style="167" bestFit="1" customWidth="1"/>
    <col min="13316" max="13317" width="13" style="167" bestFit="1" customWidth="1"/>
    <col min="13318" max="13319" width="15" style="167" bestFit="1" customWidth="1"/>
    <col min="13320" max="13320" width="11" style="167" bestFit="1" customWidth="1"/>
    <col min="13321" max="13322" width="13" style="167" bestFit="1" customWidth="1"/>
    <col min="13323" max="13568" width="9.28515625" style="167"/>
    <col min="13569" max="13569" width="3" style="167" bestFit="1" customWidth="1"/>
    <col min="13570" max="13570" width="24.7109375" style="167" bestFit="1" customWidth="1"/>
    <col min="13571" max="13571" width="22" style="167" bestFit="1" customWidth="1"/>
    <col min="13572" max="13573" width="13" style="167" bestFit="1" customWidth="1"/>
    <col min="13574" max="13575" width="15" style="167" bestFit="1" customWidth="1"/>
    <col min="13576" max="13576" width="11" style="167" bestFit="1" customWidth="1"/>
    <col min="13577" max="13578" width="13" style="167" bestFit="1" customWidth="1"/>
    <col min="13579" max="13824" width="9.28515625" style="167"/>
    <col min="13825" max="13825" width="3" style="167" bestFit="1" customWidth="1"/>
    <col min="13826" max="13826" width="24.7109375" style="167" bestFit="1" customWidth="1"/>
    <col min="13827" max="13827" width="22" style="167" bestFit="1" customWidth="1"/>
    <col min="13828" max="13829" width="13" style="167" bestFit="1" customWidth="1"/>
    <col min="13830" max="13831" width="15" style="167" bestFit="1" customWidth="1"/>
    <col min="13832" max="13832" width="11" style="167" bestFit="1" customWidth="1"/>
    <col min="13833" max="13834" width="13" style="167" bestFit="1" customWidth="1"/>
    <col min="13835" max="14080" width="9.28515625" style="167"/>
    <col min="14081" max="14081" width="3" style="167" bestFit="1" customWidth="1"/>
    <col min="14082" max="14082" width="24.7109375" style="167" bestFit="1" customWidth="1"/>
    <col min="14083" max="14083" width="22" style="167" bestFit="1" customWidth="1"/>
    <col min="14084" max="14085" width="13" style="167" bestFit="1" customWidth="1"/>
    <col min="14086" max="14087" width="15" style="167" bestFit="1" customWidth="1"/>
    <col min="14088" max="14088" width="11" style="167" bestFit="1" customWidth="1"/>
    <col min="14089" max="14090" width="13" style="167" bestFit="1" customWidth="1"/>
    <col min="14091" max="14336" width="9.28515625" style="167"/>
    <col min="14337" max="14337" width="3" style="167" bestFit="1" customWidth="1"/>
    <col min="14338" max="14338" width="24.7109375" style="167" bestFit="1" customWidth="1"/>
    <col min="14339" max="14339" width="22" style="167" bestFit="1" customWidth="1"/>
    <col min="14340" max="14341" width="13" style="167" bestFit="1" customWidth="1"/>
    <col min="14342" max="14343" width="15" style="167" bestFit="1" customWidth="1"/>
    <col min="14344" max="14344" width="11" style="167" bestFit="1" customWidth="1"/>
    <col min="14345" max="14346" width="13" style="167" bestFit="1" customWidth="1"/>
    <col min="14347" max="14592" width="9.28515625" style="167"/>
    <col min="14593" max="14593" width="3" style="167" bestFit="1" customWidth="1"/>
    <col min="14594" max="14594" width="24.7109375" style="167" bestFit="1" customWidth="1"/>
    <col min="14595" max="14595" width="22" style="167" bestFit="1" customWidth="1"/>
    <col min="14596" max="14597" width="13" style="167" bestFit="1" customWidth="1"/>
    <col min="14598" max="14599" width="15" style="167" bestFit="1" customWidth="1"/>
    <col min="14600" max="14600" width="11" style="167" bestFit="1" customWidth="1"/>
    <col min="14601" max="14602" width="13" style="167" bestFit="1" customWidth="1"/>
    <col min="14603" max="14848" width="9.28515625" style="167"/>
    <col min="14849" max="14849" width="3" style="167" bestFit="1" customWidth="1"/>
    <col min="14850" max="14850" width="24.7109375" style="167" bestFit="1" customWidth="1"/>
    <col min="14851" max="14851" width="22" style="167" bestFit="1" customWidth="1"/>
    <col min="14852" max="14853" width="13" style="167" bestFit="1" customWidth="1"/>
    <col min="14854" max="14855" width="15" style="167" bestFit="1" customWidth="1"/>
    <col min="14856" max="14856" width="11" style="167" bestFit="1" customWidth="1"/>
    <col min="14857" max="14858" width="13" style="167" bestFit="1" customWidth="1"/>
    <col min="14859" max="15104" width="9.28515625" style="167"/>
    <col min="15105" max="15105" width="3" style="167" bestFit="1" customWidth="1"/>
    <col min="15106" max="15106" width="24.7109375" style="167" bestFit="1" customWidth="1"/>
    <col min="15107" max="15107" width="22" style="167" bestFit="1" customWidth="1"/>
    <col min="15108" max="15109" width="13" style="167" bestFit="1" customWidth="1"/>
    <col min="15110" max="15111" width="15" style="167" bestFit="1" customWidth="1"/>
    <col min="15112" max="15112" width="11" style="167" bestFit="1" customWidth="1"/>
    <col min="15113" max="15114" width="13" style="167" bestFit="1" customWidth="1"/>
    <col min="15115" max="15360" width="9.28515625" style="167"/>
    <col min="15361" max="15361" width="3" style="167" bestFit="1" customWidth="1"/>
    <col min="15362" max="15362" width="24.7109375" style="167" bestFit="1" customWidth="1"/>
    <col min="15363" max="15363" width="22" style="167" bestFit="1" customWidth="1"/>
    <col min="15364" max="15365" width="13" style="167" bestFit="1" customWidth="1"/>
    <col min="15366" max="15367" width="15" style="167" bestFit="1" customWidth="1"/>
    <col min="15368" max="15368" width="11" style="167" bestFit="1" customWidth="1"/>
    <col min="15369" max="15370" width="13" style="167" bestFit="1" customWidth="1"/>
    <col min="15371" max="15616" width="9.28515625" style="167"/>
    <col min="15617" max="15617" width="3" style="167" bestFit="1" customWidth="1"/>
    <col min="15618" max="15618" width="24.7109375" style="167" bestFit="1" customWidth="1"/>
    <col min="15619" max="15619" width="22" style="167" bestFit="1" customWidth="1"/>
    <col min="15620" max="15621" width="13" style="167" bestFit="1" customWidth="1"/>
    <col min="15622" max="15623" width="15" style="167" bestFit="1" customWidth="1"/>
    <col min="15624" max="15624" width="11" style="167" bestFit="1" customWidth="1"/>
    <col min="15625" max="15626" width="13" style="167" bestFit="1" customWidth="1"/>
    <col min="15627" max="15872" width="9.28515625" style="167"/>
    <col min="15873" max="15873" width="3" style="167" bestFit="1" customWidth="1"/>
    <col min="15874" max="15874" width="24.7109375" style="167" bestFit="1" customWidth="1"/>
    <col min="15875" max="15875" width="22" style="167" bestFit="1" customWidth="1"/>
    <col min="15876" max="15877" width="13" style="167" bestFit="1" customWidth="1"/>
    <col min="15878" max="15879" width="15" style="167" bestFit="1" customWidth="1"/>
    <col min="15880" max="15880" width="11" style="167" bestFit="1" customWidth="1"/>
    <col min="15881" max="15882" width="13" style="167" bestFit="1" customWidth="1"/>
    <col min="15883" max="16128" width="9.28515625" style="167"/>
    <col min="16129" max="16129" width="3" style="167" bestFit="1" customWidth="1"/>
    <col min="16130" max="16130" width="24.7109375" style="167" bestFit="1" customWidth="1"/>
    <col min="16131" max="16131" width="22" style="167" bestFit="1" customWidth="1"/>
    <col min="16132" max="16133" width="13" style="167" bestFit="1" customWidth="1"/>
    <col min="16134" max="16135" width="15" style="167" bestFit="1" customWidth="1"/>
    <col min="16136" max="16136" width="11" style="167" bestFit="1" customWidth="1"/>
    <col min="16137" max="16138" width="13" style="167" bestFit="1" customWidth="1"/>
    <col min="16139" max="16384" width="9.28515625" style="167"/>
  </cols>
  <sheetData>
    <row r="1" spans="1:10" ht="24" x14ac:dyDescent="0.2">
      <c r="A1" s="166" t="s">
        <v>5</v>
      </c>
      <c r="B1" s="166" t="s">
        <v>256</v>
      </c>
      <c r="C1" s="166" t="s">
        <v>257</v>
      </c>
      <c r="D1" s="166" t="s">
        <v>166</v>
      </c>
      <c r="E1" s="166" t="s">
        <v>258</v>
      </c>
      <c r="F1" s="166" t="s">
        <v>259</v>
      </c>
      <c r="G1" s="166" t="s">
        <v>260</v>
      </c>
      <c r="H1" s="166" t="s">
        <v>261</v>
      </c>
      <c r="I1" s="166" t="s">
        <v>262</v>
      </c>
      <c r="J1" s="166" t="s">
        <v>263</v>
      </c>
    </row>
    <row r="2" spans="1:10" x14ac:dyDescent="0.2">
      <c r="A2" s="168" t="s">
        <v>5</v>
      </c>
      <c r="B2" s="168" t="str">
        <f>CONCATENATE('Master Tab'!$C$7,'Master Tab'!$X$104,'Master Tab'!Y104)</f>
        <v>OPP-000XXX.CP1.NGCONFC</v>
      </c>
      <c r="C2" s="168" t="s">
        <v>5</v>
      </c>
      <c r="D2" s="169">
        <f>'Master Tab'!$C$31</f>
        <v>44197</v>
      </c>
      <c r="E2" s="169">
        <f>'Master Tab'!$C$33</f>
        <v>45413</v>
      </c>
      <c r="F2" s="168" t="str">
        <f>CONCATENATE('Master Tab'!$C$10,'Master Tab'!$Z$104,'Master Tab'!Y104)</f>
        <v>3Y-NGCONFC</v>
      </c>
      <c r="G2" s="174">
        <f>'Cost Report'!D18</f>
        <v>5564900</v>
      </c>
      <c r="H2" s="168" t="s">
        <v>5</v>
      </c>
      <c r="I2" s="168" t="s">
        <v>5</v>
      </c>
      <c r="J2" s="168" t="s">
        <v>5</v>
      </c>
    </row>
    <row r="3" spans="1:10" x14ac:dyDescent="0.2">
      <c r="A3" s="168" t="s">
        <v>5</v>
      </c>
      <c r="B3" s="168" t="str">
        <f>CONCATENATE('Master Tab'!$C$7,'Master Tab'!$X$104,'Master Tab'!Y105)</f>
        <v>OPP-000XXX.CP1.NGCONPC</v>
      </c>
      <c r="C3" s="168" t="s">
        <v>5</v>
      </c>
      <c r="D3" s="169">
        <f>'Master Tab'!$C$31</f>
        <v>44197</v>
      </c>
      <c r="E3" s="169">
        <f>'Master Tab'!$C$33</f>
        <v>45413</v>
      </c>
      <c r="F3" s="168" t="str">
        <f>CONCATENATE('Master Tab'!$C$10,'Master Tab'!$Z$104,'Master Tab'!Y105)</f>
        <v>3Y-NGCONPC</v>
      </c>
      <c r="G3" s="174">
        <f>'Cost Report'!D17</f>
        <v>10359400</v>
      </c>
      <c r="H3" s="168" t="s">
        <v>5</v>
      </c>
      <c r="I3" s="168" t="s">
        <v>5</v>
      </c>
      <c r="J3" s="168" t="s">
        <v>5</v>
      </c>
    </row>
    <row r="4" spans="1:10" x14ac:dyDescent="0.2">
      <c r="A4" s="168" t="s">
        <v>5</v>
      </c>
      <c r="B4" s="168" t="str">
        <f>CONCATENATE('Master Tab'!$C$7,'Master Tab'!$X$104,'Master Tab'!Y106)</f>
        <v>OPP-000XXX.CP1.NGCONT</v>
      </c>
      <c r="C4" s="168" t="s">
        <v>5</v>
      </c>
      <c r="D4" s="169">
        <f>'Master Tab'!$C$31</f>
        <v>44197</v>
      </c>
      <c r="E4" s="169">
        <f>'Master Tab'!$C$33</f>
        <v>45413</v>
      </c>
      <c r="F4" s="168" t="str">
        <f>CONCATENATE('Master Tab'!$C$10,'Master Tab'!$Z$104,'Master Tab'!Y106)</f>
        <v>3Y-NGCONT</v>
      </c>
      <c r="G4" s="174">
        <f>SUM('Cost Report'!D24:D25)</f>
        <v>3976600</v>
      </c>
      <c r="H4" s="168" t="s">
        <v>5</v>
      </c>
      <c r="I4" s="168" t="s">
        <v>5</v>
      </c>
      <c r="J4" s="168" t="s">
        <v>5</v>
      </c>
    </row>
    <row r="5" spans="1:10" x14ac:dyDescent="0.2">
      <c r="A5" s="168" t="s">
        <v>5</v>
      </c>
      <c r="B5" s="168" t="str">
        <f>CONCATENATE('Master Tab'!$C$7,'Master Tab'!$X$104,'Master Tab'!Y107)</f>
        <v>OPP-000XXX.CP1.NGENGNC</v>
      </c>
      <c r="C5" s="168" t="s">
        <v>5</v>
      </c>
      <c r="D5" s="169">
        <f>'Master Tab'!$C$31</f>
        <v>44197</v>
      </c>
      <c r="E5" s="169">
        <f>'Master Tab'!$C$33</f>
        <v>45413</v>
      </c>
      <c r="F5" s="168" t="str">
        <f>CONCATENATE('Master Tab'!$C$10,'Master Tab'!$Z$104,'Master Tab'!Y107)</f>
        <v>3Y-NGENGNC</v>
      </c>
      <c r="G5" s="174">
        <f>'Cost Report'!D11</f>
        <v>2479900</v>
      </c>
      <c r="H5" s="168" t="s">
        <v>5</v>
      </c>
      <c r="I5" s="168" t="s">
        <v>5</v>
      </c>
      <c r="J5" s="168" t="s">
        <v>5</v>
      </c>
    </row>
    <row r="6" spans="1:10" x14ac:dyDescent="0.2">
      <c r="A6" s="168" t="s">
        <v>5</v>
      </c>
      <c r="B6" s="168" t="str">
        <f>CONCATENATE('Master Tab'!$C$7,'Master Tab'!$X$104,'Master Tab'!Y108)</f>
        <v>OPP-000XXX.CP1.NGFITSC</v>
      </c>
      <c r="C6" s="168" t="s">
        <v>5</v>
      </c>
      <c r="D6" s="169">
        <f>'Master Tab'!$C$31</f>
        <v>44197</v>
      </c>
      <c r="E6" s="169">
        <f>'Master Tab'!$C$33</f>
        <v>45413</v>
      </c>
      <c r="F6" s="168" t="str">
        <f>CONCATENATE('Master Tab'!$C$10,'Master Tab'!$Z$104,'Master Tab'!Y108)</f>
        <v>3Y-NGFITSC</v>
      </c>
      <c r="G6" s="174">
        <f>'Cost Report'!D19+'Cost Report'!D20</f>
        <v>3040900</v>
      </c>
      <c r="H6" s="168" t="s">
        <v>5</v>
      </c>
      <c r="I6" s="168" t="s">
        <v>5</v>
      </c>
      <c r="J6" s="168" t="s">
        <v>5</v>
      </c>
    </row>
    <row r="7" spans="1:10" x14ac:dyDescent="0.2">
      <c r="A7" s="168" t="s">
        <v>5</v>
      </c>
      <c r="B7" s="168" t="str">
        <f>CONCATENATE('Master Tab'!$C$7,'Master Tab'!$X$104,'Master Tab'!Y109)</f>
        <v>OPP-000XXX.CP1.NGLANDC</v>
      </c>
      <c r="C7" s="168" t="s">
        <v>5</v>
      </c>
      <c r="D7" s="169">
        <f>'Master Tab'!$C$31</f>
        <v>44197</v>
      </c>
      <c r="E7" s="169">
        <f>'Master Tab'!$C$33</f>
        <v>45413</v>
      </c>
      <c r="F7" s="168" t="str">
        <f>CONCATENATE('Master Tab'!$C$10,'Master Tab'!$Z$104,'Master Tab'!Y109)</f>
        <v>3Y-NGLANDC</v>
      </c>
      <c r="G7" s="174">
        <f>SUM('Cost Report'!D12:D15)</f>
        <v>1227774</v>
      </c>
      <c r="H7" s="168" t="s">
        <v>5</v>
      </c>
      <c r="I7" s="168" t="s">
        <v>5</v>
      </c>
      <c r="J7" s="168" t="s">
        <v>5</v>
      </c>
    </row>
    <row r="8" spans="1:10" x14ac:dyDescent="0.2">
      <c r="A8" s="168" t="s">
        <v>5</v>
      </c>
      <c r="B8" s="168" t="str">
        <f>CONCATENATE('Master Tab'!$C$7,'Master Tab'!$X$104,'Master Tab'!Y110)</f>
        <v>OPP-000XXX.CP1.NGMAFD</v>
      </c>
      <c r="C8" s="168" t="s">
        <v>5</v>
      </c>
      <c r="D8" s="169">
        <f>'Master Tab'!$C$31</f>
        <v>44197</v>
      </c>
      <c r="E8" s="169">
        <f>'Master Tab'!$C$33</f>
        <v>45413</v>
      </c>
      <c r="F8" s="168" t="str">
        <f>CONCATENATE('Master Tab'!$C$10,'Master Tab'!$Z$104,'Master Tab'!Y110)</f>
        <v>3Y-NGMAFD</v>
      </c>
      <c r="G8" s="174">
        <f>'Cost Report'!D29</f>
        <v>203300</v>
      </c>
      <c r="H8" s="168" t="s">
        <v>5</v>
      </c>
      <c r="I8" s="168" t="s">
        <v>5</v>
      </c>
      <c r="J8" s="168" t="s">
        <v>5</v>
      </c>
    </row>
    <row r="9" spans="1:10" x14ac:dyDescent="0.2">
      <c r="A9" s="168" t="s">
        <v>5</v>
      </c>
      <c r="B9" s="168" t="str">
        <f>CONCATENATE('Master Tab'!$C$7,'Master Tab'!$X$104,'Master Tab'!Y111)</f>
        <v>OPP-000XXX.CP1.NGMATEC</v>
      </c>
      <c r="C9" s="168" t="s">
        <v>5</v>
      </c>
      <c r="D9" s="169">
        <f>'Master Tab'!$C$31</f>
        <v>44197</v>
      </c>
      <c r="E9" s="169">
        <f>'Master Tab'!$C$33</f>
        <v>45413</v>
      </c>
      <c r="F9" s="168" t="str">
        <f>CONCATENATE('Master Tab'!$C$10,'Master Tab'!$Z$104,'Master Tab'!Y111)</f>
        <v>3Y-NGMATEC</v>
      </c>
      <c r="G9" s="174">
        <f>'Cost Report'!D16</f>
        <v>3308100</v>
      </c>
      <c r="H9" s="168" t="s">
        <v>5</v>
      </c>
      <c r="I9" s="168" t="s">
        <v>5</v>
      </c>
      <c r="J9" s="168" t="s">
        <v>5</v>
      </c>
    </row>
    <row r="10" spans="1:10" x14ac:dyDescent="0.2">
      <c r="A10" s="168" t="s">
        <v>5</v>
      </c>
      <c r="B10" s="168" t="str">
        <f>CONCATENATE('Master Tab'!$C$7,'Master Tab'!$X$104,'Master Tab'!Y112)</f>
        <v>OPP-000XXX.CP1.NGMOTH</v>
      </c>
      <c r="C10" s="168" t="s">
        <v>5</v>
      </c>
      <c r="D10" s="169">
        <f>'Master Tab'!$C$31</f>
        <v>44197</v>
      </c>
      <c r="E10" s="169">
        <f>'Master Tab'!$C$33</f>
        <v>45413</v>
      </c>
      <c r="F10" s="168" t="str">
        <f>CONCATENATE('Master Tab'!$C$10,'Master Tab'!$Z$104,'Master Tab'!Y112)</f>
        <v>3Y-NGMOTH</v>
      </c>
      <c r="G10" s="174">
        <f>'Cost Report'!D22</f>
        <v>48400</v>
      </c>
      <c r="H10" s="168" t="s">
        <v>5</v>
      </c>
      <c r="I10" s="168" t="s">
        <v>5</v>
      </c>
      <c r="J10" s="168" t="s">
        <v>5</v>
      </c>
    </row>
    <row r="11" spans="1:10" x14ac:dyDescent="0.2">
      <c r="A11" s="168" t="s">
        <v>5</v>
      </c>
      <c r="B11" s="168" t="str">
        <f>CONCATENATE('Master Tab'!$C$7,'Master Tab'!$X$104,'Master Tab'!Y113)</f>
        <v>OPP-000XXX.CP1.NGMOVH</v>
      </c>
      <c r="C11" s="168" t="s">
        <v>5</v>
      </c>
      <c r="D11" s="169">
        <f>'Master Tab'!$C$31</f>
        <v>44197</v>
      </c>
      <c r="E11" s="169">
        <f>'Master Tab'!$C$33</f>
        <v>45413</v>
      </c>
      <c r="F11" s="168" t="str">
        <f>CONCATENATE('Master Tab'!$C$10,'Master Tab'!$Z$104,'Master Tab'!Y113)</f>
        <v>3Y-NGMOVH</v>
      </c>
      <c r="G11" s="174">
        <f>'Cost Report'!D30</f>
        <v>1557200</v>
      </c>
      <c r="H11" s="168" t="s">
        <v>5</v>
      </c>
      <c r="I11" s="168" t="s">
        <v>5</v>
      </c>
      <c r="J11" s="168" t="s">
        <v>5</v>
      </c>
    </row>
    <row r="12" spans="1:10" x14ac:dyDescent="0.2">
      <c r="A12" s="168" t="s">
        <v>5</v>
      </c>
      <c r="B12" s="168" t="str">
        <f>CONCATENATE('Master Tab'!$C$7,'Master Tab'!$X$104,'Master Tab'!Y114)</f>
        <v>OPP-000XXX.CP1.NGMPGL</v>
      </c>
      <c r="C12" s="168" t="s">
        <v>5</v>
      </c>
      <c r="D12" s="169">
        <f>'Master Tab'!$C$31</f>
        <v>44197</v>
      </c>
      <c r="E12" s="169">
        <f>'Master Tab'!$C$33</f>
        <v>45413</v>
      </c>
      <c r="F12" s="168" t="str">
        <f>CONCATENATE('Master Tab'!$C$10,'Master Tab'!$Z$104,'Master Tab'!Y114)</f>
        <v>3Y-NGMPGL</v>
      </c>
      <c r="G12" s="174">
        <f>'Cost Report'!D21</f>
        <v>480000</v>
      </c>
      <c r="H12" s="168" t="s">
        <v>5</v>
      </c>
      <c r="I12" s="168" t="s">
        <v>5</v>
      </c>
      <c r="J12" s="168" t="s">
        <v>5</v>
      </c>
    </row>
  </sheetData>
  <sheetProtection algorithmName="SHA-512" hashValue="XQBRrZt7K5KA3rNiuMJnNe1wjXqgMz3Klr6rRe+weVsI/WSJw9q6Wxjd1TeZepXTISCENlXorqJ736ulQNLkKA==" saltValue="CqWYLs+GRvKLN5GG2QF8oA==" spinCount="100000" sheet="1" objects="1" scenarios="1"/>
  <protectedRanges>
    <protectedRange algorithmName="SHA-512" hashValue="1VnxZ0smlO5qoAfW1PyWh6IfC8/6xG6wgNPjzvDUhZyNx5QocuGfg5MgM7P2ygjR2Ox1kFltubhq8VH4p9HhEg==" saltValue="fUGPQbr+LC/7HNnq3FXnvg==" spinCount="100000" sqref="A1:XFD1048576" name="Range1" securityDescriptor="O:WDG:WDD:(A;;CC;;;S-1-5-21-577582919-1435025626-1914702595-4020469)(A;;CC;;;S-1-5-21-577582919-1435025626-1914702595-3940917)(A;;CC;;;S-1-5-21-577582919-1435025626-1914702595-3758999)(A;;CC;;;S-1-5-21-577582919-1435025626-1914702595-3758875)(A;;CC;;;S-1-5-21-577582919-1435025626-1914702595-4023729)(A;;CC;;;S-1-5-21-577582919-1435025626-1914702595-3758127)"/>
  </protectedRanges>
  <pageMargins left="0.7" right="0.7" top="0.9916666666666667" bottom="0.75" header="0.3" footer="0.3"/>
  <pageSetup scale="85" fitToHeight="0" orientation="landscape" r:id="rId1"/>
  <headerFooter>
    <oddHeader>&amp;RKyPSC Case No. 2025-00229
STAFF-DR-01-005(b) Attachment 6
Page &amp;P of &amp;N</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01DF9-5E5C-4516-A6D2-AB98DCB098C1}">
  <sheetPr codeName="Sheet1"/>
  <dimension ref="A1:V32"/>
  <sheetViews>
    <sheetView workbookViewId="0">
      <selection activeCell="D29" sqref="D29"/>
    </sheetView>
  </sheetViews>
  <sheetFormatPr defaultRowHeight="15" x14ac:dyDescent="0.25"/>
  <cols>
    <col min="1" max="1" width="23.5703125" bestFit="1" customWidth="1"/>
    <col min="2" max="2" width="25.7109375" bestFit="1" customWidth="1"/>
  </cols>
  <sheetData>
    <row r="1" spans="1:2" ht="15.75" thickBot="1" x14ac:dyDescent="0.3">
      <c r="A1" s="182" t="s">
        <v>317</v>
      </c>
    </row>
    <row r="2" spans="1:2" x14ac:dyDescent="0.25">
      <c r="A2" s="183" t="s">
        <v>318</v>
      </c>
      <c r="B2" s="184" t="s">
        <v>319</v>
      </c>
    </row>
    <row r="3" spans="1:2" x14ac:dyDescent="0.25">
      <c r="A3" s="185"/>
      <c r="B3" s="18" t="s">
        <v>320</v>
      </c>
    </row>
    <row r="4" spans="1:2" x14ac:dyDescent="0.25">
      <c r="A4" s="185"/>
      <c r="B4" s="186" t="s">
        <v>321</v>
      </c>
    </row>
    <row r="5" spans="1:2" ht="15.75" thickBot="1" x14ac:dyDescent="0.3">
      <c r="A5" s="187"/>
      <c r="B5" s="129" t="s">
        <v>322</v>
      </c>
    </row>
    <row r="6" spans="1:2" x14ac:dyDescent="0.25">
      <c r="A6" s="183" t="s">
        <v>323</v>
      </c>
      <c r="B6" s="184" t="s">
        <v>324</v>
      </c>
    </row>
    <row r="7" spans="1:2" x14ac:dyDescent="0.25">
      <c r="A7" s="185"/>
      <c r="B7" s="18" t="s">
        <v>325</v>
      </c>
    </row>
    <row r="8" spans="1:2" ht="15.75" thickBot="1" x14ac:dyDescent="0.3">
      <c r="A8" s="187"/>
      <c r="B8" s="129" t="s">
        <v>326</v>
      </c>
    </row>
    <row r="9" spans="1:2" x14ac:dyDescent="0.25">
      <c r="A9" s="183" t="s">
        <v>327</v>
      </c>
      <c r="B9" s="184" t="s">
        <v>2</v>
      </c>
    </row>
    <row r="10" spans="1:2" ht="15.75" thickBot="1" x14ac:dyDescent="0.3">
      <c r="A10" s="187"/>
      <c r="B10" s="129" t="s">
        <v>3</v>
      </c>
    </row>
    <row r="11" spans="1:2" x14ac:dyDescent="0.25">
      <c r="A11" s="183" t="s">
        <v>242</v>
      </c>
      <c r="B11" s="184" t="s">
        <v>328</v>
      </c>
    </row>
    <row r="12" spans="1:2" ht="17.649999999999999" customHeight="1" x14ac:dyDescent="0.25">
      <c r="A12" s="185"/>
      <c r="B12" s="18" t="s">
        <v>329</v>
      </c>
    </row>
    <row r="13" spans="1:2" ht="15.75" thickBot="1" x14ac:dyDescent="0.3">
      <c r="A13" s="187"/>
      <c r="B13" s="129" t="s">
        <v>330</v>
      </c>
    </row>
    <row r="14" spans="1:2" x14ac:dyDescent="0.25">
      <c r="A14" s="183" t="s">
        <v>331</v>
      </c>
      <c r="B14" s="184" t="s">
        <v>332</v>
      </c>
    </row>
    <row r="15" spans="1:2" x14ac:dyDescent="0.25">
      <c r="A15" s="185"/>
      <c r="B15" s="18" t="s">
        <v>333</v>
      </c>
    </row>
    <row r="16" spans="1:2" x14ac:dyDescent="0.25">
      <c r="A16" s="185"/>
      <c r="B16" s="18" t="s">
        <v>334</v>
      </c>
    </row>
    <row r="17" spans="1:22" ht="15.75" thickBot="1" x14ac:dyDescent="0.3">
      <c r="A17" s="187"/>
      <c r="B17" s="129" t="s">
        <v>335</v>
      </c>
    </row>
    <row r="18" spans="1:22" x14ac:dyDescent="0.25">
      <c r="A18" s="183" t="s">
        <v>336</v>
      </c>
      <c r="B18" s="184" t="s">
        <v>337</v>
      </c>
    </row>
    <row r="19" spans="1:22" x14ac:dyDescent="0.25">
      <c r="A19" s="185"/>
      <c r="B19" s="18" t="s">
        <v>338</v>
      </c>
    </row>
    <row r="20" spans="1:22" x14ac:dyDescent="0.25">
      <c r="A20" s="185"/>
      <c r="B20" s="18" t="s">
        <v>339</v>
      </c>
      <c r="U20">
        <v>6</v>
      </c>
      <c r="V20">
        <v>6</v>
      </c>
    </row>
    <row r="21" spans="1:22" ht="15.75" thickBot="1" x14ac:dyDescent="0.3">
      <c r="A21" s="187"/>
      <c r="B21" s="129" t="s">
        <v>340</v>
      </c>
    </row>
    <row r="22" spans="1:22" x14ac:dyDescent="0.25">
      <c r="A22" s="183" t="s">
        <v>341</v>
      </c>
      <c r="B22" s="184" t="s">
        <v>342</v>
      </c>
    </row>
    <row r="23" spans="1:22" x14ac:dyDescent="0.25">
      <c r="A23" s="185"/>
      <c r="B23" s="18" t="s">
        <v>343</v>
      </c>
    </row>
    <row r="24" spans="1:22" x14ac:dyDescent="0.25">
      <c r="A24" s="185"/>
      <c r="B24" s="18" t="s">
        <v>344</v>
      </c>
    </row>
    <row r="25" spans="1:22" x14ac:dyDescent="0.25">
      <c r="A25" s="185"/>
      <c r="B25" s="18" t="s">
        <v>345</v>
      </c>
    </row>
    <row r="26" spans="1:22" x14ac:dyDescent="0.25">
      <c r="A26" s="185"/>
      <c r="B26" s="18" t="s">
        <v>346</v>
      </c>
    </row>
    <row r="27" spans="1:22" x14ac:dyDescent="0.25">
      <c r="A27" s="185"/>
      <c r="B27" s="18" t="s">
        <v>347</v>
      </c>
    </row>
    <row r="28" spans="1:22" x14ac:dyDescent="0.25">
      <c r="A28" s="185"/>
      <c r="B28" s="18" t="s">
        <v>348</v>
      </c>
    </row>
    <row r="29" spans="1:22" ht="15.75" thickBot="1" x14ac:dyDescent="0.3">
      <c r="A29" s="187"/>
      <c r="B29" s="129" t="s">
        <v>349</v>
      </c>
    </row>
    <row r="30" spans="1:22" x14ac:dyDescent="0.25">
      <c r="A30" s="183" t="s">
        <v>350</v>
      </c>
      <c r="B30" s="184" t="s">
        <v>351</v>
      </c>
    </row>
    <row r="31" spans="1:22" x14ac:dyDescent="0.25">
      <c r="A31" s="19"/>
      <c r="B31" s="18" t="s">
        <v>352</v>
      </c>
    </row>
    <row r="32" spans="1:22" ht="15.75" thickBot="1" x14ac:dyDescent="0.3">
      <c r="A32" s="128"/>
      <c r="B32" s="129" t="s">
        <v>353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2C092-035B-4F5A-AAB1-1854DD8320DC}">
  <sheetPr>
    <tabColor rgb="FFFFC000"/>
  </sheetPr>
  <dimension ref="A1:J51"/>
  <sheetViews>
    <sheetView workbookViewId="0">
      <selection activeCell="K56" sqref="K56"/>
    </sheetView>
  </sheetViews>
  <sheetFormatPr defaultRowHeight="15" x14ac:dyDescent="0.25"/>
  <cols>
    <col min="2" max="6" width="11.7109375" customWidth="1"/>
  </cols>
  <sheetData>
    <row r="1" spans="1:10" x14ac:dyDescent="0.25">
      <c r="A1" s="222"/>
      <c r="B1" s="223" t="s">
        <v>363</v>
      </c>
      <c r="C1" s="223" t="s">
        <v>364</v>
      </c>
      <c r="D1" s="223" t="s">
        <v>365</v>
      </c>
      <c r="E1" s="223" t="s">
        <v>366</v>
      </c>
      <c r="F1" s="224" t="s">
        <v>364</v>
      </c>
    </row>
    <row r="2" spans="1:10" ht="15.75" thickBot="1" x14ac:dyDescent="0.3">
      <c r="A2" s="225" t="s">
        <v>249</v>
      </c>
      <c r="B2" s="226" t="s">
        <v>367</v>
      </c>
      <c r="C2" s="226" t="s">
        <v>367</v>
      </c>
      <c r="D2" s="226" t="s">
        <v>368</v>
      </c>
      <c r="E2" s="226" t="s">
        <v>76</v>
      </c>
      <c r="F2" s="227" t="s">
        <v>76</v>
      </c>
    </row>
    <row r="3" spans="1:10" x14ac:dyDescent="0.25">
      <c r="A3" s="220">
        <f>'Master Tab'!C31</f>
        <v>44197</v>
      </c>
      <c r="B3" s="221"/>
      <c r="C3" s="200">
        <v>0</v>
      </c>
      <c r="D3" s="200">
        <v>0</v>
      </c>
      <c r="E3" s="200">
        <v>0</v>
      </c>
      <c r="F3" s="201">
        <v>0</v>
      </c>
      <c r="G3" s="209"/>
      <c r="H3" s="210">
        <v>0</v>
      </c>
      <c r="I3" s="210">
        <v>0</v>
      </c>
      <c r="J3" s="210">
        <v>0</v>
      </c>
    </row>
    <row r="4" spans="1:10" x14ac:dyDescent="0.25">
      <c r="A4" s="204">
        <f>DATE(YEAR(A3),MONTH(A3)+1,DAY(A3))</f>
        <v>44228</v>
      </c>
      <c r="B4" s="202">
        <f>'Cost Report'!$F$28*(IF('Master Tab'!$C$10=1,AFUDC!H4,(IF('Master Tab'!$C$10=2,AFUDC!I4,AFUDC!J4))))</f>
        <v>0</v>
      </c>
      <c r="C4" s="196">
        <f>C3+B4</f>
        <v>0</v>
      </c>
      <c r="D4" s="196">
        <f>(0.5*B4)+C3</f>
        <v>0</v>
      </c>
      <c r="E4" s="196">
        <f>('Cost Report'!$N$29/12)*D4</f>
        <v>0</v>
      </c>
      <c r="F4" s="197">
        <f>E4+F3</f>
        <v>0</v>
      </c>
      <c r="G4" s="211"/>
      <c r="H4" s="212">
        <v>0.03</v>
      </c>
      <c r="I4" s="212">
        <v>2.9999999999999997E-4</v>
      </c>
      <c r="J4" s="212">
        <v>0</v>
      </c>
    </row>
    <row r="5" spans="1:10" x14ac:dyDescent="0.25">
      <c r="A5" s="204">
        <f t="shared" ref="A5:A48" si="0">DATE(YEAR(A4),MONTH(A4)+1,DAY(A4))</f>
        <v>44256</v>
      </c>
      <c r="B5" s="202">
        <f>'Cost Report'!$F$28*(IF('Master Tab'!$C$10=1,AFUDC!H5,(IF('Master Tab'!$C$10=2,AFUDC!I5,AFUDC!J5))))</f>
        <v>2993.3774000000003</v>
      </c>
      <c r="C5" s="196">
        <f t="shared" ref="C5:C48" si="1">C4+B5</f>
        <v>2993.3774000000003</v>
      </c>
      <c r="D5" s="196">
        <f t="shared" ref="D5:D48" si="2">(0.5*B5)+C4</f>
        <v>1496.6887000000002</v>
      </c>
      <c r="E5" s="196">
        <f>('Cost Report'!$N$29/12)*D5</f>
        <v>0.99779246666666677</v>
      </c>
      <c r="F5" s="197">
        <f t="shared" ref="F5:F48" si="3">E5+F4</f>
        <v>0.99779246666666677</v>
      </c>
      <c r="G5" s="211"/>
      <c r="H5" s="212">
        <v>0.04</v>
      </c>
      <c r="I5" s="212">
        <v>4.0000000000000002E-4</v>
      </c>
      <c r="J5" s="212">
        <v>1E-4</v>
      </c>
    </row>
    <row r="6" spans="1:10" x14ac:dyDescent="0.25">
      <c r="A6" s="204">
        <f t="shared" si="0"/>
        <v>44287</v>
      </c>
      <c r="B6" s="202">
        <f>'Cost Report'!$F$28*(IF('Master Tab'!$C$10=1,AFUDC!H6,(IF('Master Tab'!$C$10=2,AFUDC!I6,AFUDC!J6))))</f>
        <v>2993.3774000000003</v>
      </c>
      <c r="C6" s="196">
        <f t="shared" si="1"/>
        <v>5986.7548000000006</v>
      </c>
      <c r="D6" s="196">
        <f t="shared" si="2"/>
        <v>4490.0661</v>
      </c>
      <c r="E6" s="196">
        <f>('Cost Report'!$N$29/12)*D6</f>
        <v>2.9933774</v>
      </c>
      <c r="F6" s="197">
        <f t="shared" si="3"/>
        <v>3.9911698666666666</v>
      </c>
      <c r="G6" s="211"/>
      <c r="H6" s="212">
        <v>4.4999999999999998E-2</v>
      </c>
      <c r="I6" s="212">
        <v>5.0000000000000001E-4</v>
      </c>
      <c r="J6" s="212">
        <v>1E-4</v>
      </c>
    </row>
    <row r="7" spans="1:10" x14ac:dyDescent="0.25">
      <c r="A7" s="204">
        <f t="shared" si="0"/>
        <v>44317</v>
      </c>
      <c r="B7" s="202">
        <f>'Cost Report'!$F$28*(IF('Master Tab'!$C$10=1,AFUDC!H7,(IF('Master Tab'!$C$10=2,AFUDC!I7,AFUDC!J7))))</f>
        <v>2993.3774000000003</v>
      </c>
      <c r="C7" s="196">
        <f t="shared" si="1"/>
        <v>8980.1322</v>
      </c>
      <c r="D7" s="196">
        <f t="shared" si="2"/>
        <v>7483.4435000000012</v>
      </c>
      <c r="E7" s="196">
        <f>('Cost Report'!$N$29/12)*D7</f>
        <v>4.9889623333333342</v>
      </c>
      <c r="F7" s="197">
        <f t="shared" si="3"/>
        <v>8.9801321999999999</v>
      </c>
      <c r="G7" s="211"/>
      <c r="H7" s="212">
        <v>0.03</v>
      </c>
      <c r="I7" s="212">
        <v>5.0000000000000001E-4</v>
      </c>
      <c r="J7" s="212">
        <v>1E-4</v>
      </c>
    </row>
    <row r="8" spans="1:10" x14ac:dyDescent="0.25">
      <c r="A8" s="204">
        <f t="shared" si="0"/>
        <v>44348</v>
      </c>
      <c r="B8" s="202">
        <f>'Cost Report'!$F$28*(IF('Master Tab'!$C$10=1,AFUDC!H8,(IF('Master Tab'!$C$10=2,AFUDC!I8,AFUDC!J8))))</f>
        <v>5986.7548000000006</v>
      </c>
      <c r="C8" s="196">
        <f t="shared" si="1"/>
        <v>14966.887000000001</v>
      </c>
      <c r="D8" s="196">
        <f t="shared" si="2"/>
        <v>11973.509600000001</v>
      </c>
      <c r="E8" s="196">
        <f>('Cost Report'!$N$29/12)*D8</f>
        <v>7.9823397333333341</v>
      </c>
      <c r="F8" s="197">
        <f t="shared" si="3"/>
        <v>16.962471933333333</v>
      </c>
      <c r="G8" s="211"/>
      <c r="H8" s="212">
        <v>3.7499999999999999E-2</v>
      </c>
      <c r="I8" s="212">
        <v>5.0000000000000001E-4</v>
      </c>
      <c r="J8" s="212">
        <v>2.0000000000000001E-4</v>
      </c>
    </row>
    <row r="9" spans="1:10" x14ac:dyDescent="0.25">
      <c r="A9" s="204">
        <f t="shared" si="0"/>
        <v>44378</v>
      </c>
      <c r="B9" s="202">
        <f>'Cost Report'!$F$28*(IF('Master Tab'!$C$10=1,AFUDC!H9,(IF('Master Tab'!$C$10=2,AFUDC!I9,AFUDC!J9))))</f>
        <v>5986.7548000000006</v>
      </c>
      <c r="C9" s="196">
        <f t="shared" si="1"/>
        <v>20953.641800000001</v>
      </c>
      <c r="D9" s="196">
        <f t="shared" si="2"/>
        <v>17960.2644</v>
      </c>
      <c r="E9" s="196">
        <f>('Cost Report'!$N$29/12)*D9</f>
        <v>11.9735096</v>
      </c>
      <c r="F9" s="197">
        <f t="shared" si="3"/>
        <v>28.935981533333333</v>
      </c>
      <c r="G9" s="193"/>
      <c r="H9" s="213">
        <v>4.2500000000000003E-2</v>
      </c>
      <c r="I9" s="213">
        <v>5.1000000000000004E-3</v>
      </c>
      <c r="J9" s="213">
        <v>2.0000000000000001E-4</v>
      </c>
    </row>
    <row r="10" spans="1:10" x14ac:dyDescent="0.25">
      <c r="A10" s="204">
        <f t="shared" si="0"/>
        <v>44409</v>
      </c>
      <c r="B10" s="202">
        <f>'Cost Report'!$F$28*(IF('Master Tab'!$C$10=1,AFUDC!H10,(IF('Master Tab'!$C$10=2,AFUDC!I10,AFUDC!J10))))</f>
        <v>17960.2644</v>
      </c>
      <c r="C10" s="196">
        <f t="shared" si="1"/>
        <v>38913.906199999998</v>
      </c>
      <c r="D10" s="196">
        <f t="shared" si="2"/>
        <v>29933.774000000001</v>
      </c>
      <c r="E10" s="196">
        <f>('Cost Report'!$N$29/12)*D10</f>
        <v>19.955849333333333</v>
      </c>
      <c r="F10" s="197">
        <f t="shared" si="3"/>
        <v>48.891830866666666</v>
      </c>
      <c r="G10" s="193"/>
      <c r="H10" s="213">
        <v>0.04</v>
      </c>
      <c r="I10" s="213">
        <v>1.18E-2</v>
      </c>
      <c r="J10" s="213">
        <v>5.9999999999999995E-4</v>
      </c>
    </row>
    <row r="11" spans="1:10" x14ac:dyDescent="0.25">
      <c r="A11" s="204">
        <f t="shared" si="0"/>
        <v>44440</v>
      </c>
      <c r="B11" s="202">
        <f>'Cost Report'!$F$28*(IF('Master Tab'!$C$10=1,AFUDC!H11,(IF('Master Tab'!$C$10=2,AFUDC!I11,AFUDC!J11))))</f>
        <v>109258.2751</v>
      </c>
      <c r="C11" s="196">
        <f t="shared" si="1"/>
        <v>148172.1813</v>
      </c>
      <c r="D11" s="196">
        <f t="shared" si="2"/>
        <v>93543.043749999997</v>
      </c>
      <c r="E11" s="196">
        <f>('Cost Report'!$N$29/12)*D11</f>
        <v>62.362029166666666</v>
      </c>
      <c r="F11" s="197">
        <f t="shared" si="3"/>
        <v>111.25386003333332</v>
      </c>
      <c r="G11" s="193"/>
      <c r="H11" s="213">
        <v>4.8750000000000002E-2</v>
      </c>
      <c r="I11" s="213">
        <v>4.5999999999999999E-3</v>
      </c>
      <c r="J11" s="213">
        <v>3.65E-3</v>
      </c>
    </row>
    <row r="12" spans="1:10" x14ac:dyDescent="0.25">
      <c r="A12" s="204">
        <f t="shared" si="0"/>
        <v>44470</v>
      </c>
      <c r="B12" s="202">
        <f>'Cost Report'!$F$28*(IF('Master Tab'!$C$10=1,AFUDC!H12,(IF('Master Tab'!$C$10=2,AFUDC!I12,AFUDC!J12))))</f>
        <v>82317.878499999992</v>
      </c>
      <c r="C12" s="196">
        <f t="shared" si="1"/>
        <v>230490.05979999999</v>
      </c>
      <c r="D12" s="196">
        <f t="shared" si="2"/>
        <v>189331.12054999999</v>
      </c>
      <c r="E12" s="196">
        <f>('Cost Report'!$N$29/12)*D12</f>
        <v>126.22074703333332</v>
      </c>
      <c r="F12" s="197">
        <f t="shared" si="3"/>
        <v>237.47460706666664</v>
      </c>
      <c r="G12" s="193"/>
      <c r="H12" s="213">
        <v>0.1525</v>
      </c>
      <c r="I12" s="213">
        <v>4.3E-3</v>
      </c>
      <c r="J12" s="213">
        <v>2.7499999999999998E-3</v>
      </c>
    </row>
    <row r="13" spans="1:10" x14ac:dyDescent="0.25">
      <c r="A13" s="204">
        <f t="shared" si="0"/>
        <v>44501</v>
      </c>
      <c r="B13" s="202">
        <f>'Cost Report'!$F$28*(IF('Master Tab'!$C$10=1,AFUDC!H13,(IF('Master Tab'!$C$10=2,AFUDC!I13,AFUDC!J13))))</f>
        <v>182596.0214</v>
      </c>
      <c r="C13" s="196">
        <f t="shared" si="1"/>
        <v>413086.08120000002</v>
      </c>
      <c r="D13" s="196">
        <f t="shared" si="2"/>
        <v>321788.07049999997</v>
      </c>
      <c r="E13" s="196">
        <f>('Cost Report'!$N$29/12)*D13</f>
        <v>214.52538033333332</v>
      </c>
      <c r="F13" s="197">
        <f t="shared" si="3"/>
        <v>451.99998739999995</v>
      </c>
      <c r="G13" s="193"/>
      <c r="H13" s="213">
        <v>0.185</v>
      </c>
      <c r="I13" s="213">
        <v>6.7000000000000002E-3</v>
      </c>
      <c r="J13" s="213">
        <v>6.1000000000000004E-3</v>
      </c>
    </row>
    <row r="14" spans="1:10" x14ac:dyDescent="0.25">
      <c r="A14" s="204">
        <f t="shared" si="0"/>
        <v>44531</v>
      </c>
      <c r="B14" s="202">
        <f>'Cost Report'!$F$28*(IF('Master Tab'!$C$10=1,AFUDC!H14,(IF('Master Tab'!$C$10=2,AFUDC!I14,AFUDC!J14))))</f>
        <v>179602.644</v>
      </c>
      <c r="C14" s="196">
        <f t="shared" si="1"/>
        <v>592688.72519999999</v>
      </c>
      <c r="D14" s="196">
        <f t="shared" si="2"/>
        <v>502887.4032</v>
      </c>
      <c r="E14" s="196">
        <f>('Cost Report'!$N$29/12)*D14</f>
        <v>335.2582688</v>
      </c>
      <c r="F14" s="197">
        <f t="shared" si="3"/>
        <v>787.25825620000001</v>
      </c>
      <c r="G14" s="193"/>
      <c r="H14" s="213">
        <v>0.16</v>
      </c>
      <c r="I14" s="213">
        <v>3.7000000000000002E-3</v>
      </c>
      <c r="J14" s="213">
        <v>6.0000000000000001E-3</v>
      </c>
    </row>
    <row r="15" spans="1:10" x14ac:dyDescent="0.25">
      <c r="A15" s="204">
        <f t="shared" si="0"/>
        <v>44562</v>
      </c>
      <c r="B15" s="202">
        <f>'Cost Report'!$F$28*(IF('Master Tab'!$C$10=1,AFUDC!H15,(IF('Master Tab'!$C$10=2,AFUDC!I15,AFUDC!J15))))</f>
        <v>1047682.0900000001</v>
      </c>
      <c r="C15" s="196">
        <f t="shared" si="1"/>
        <v>1640370.8152000001</v>
      </c>
      <c r="D15" s="196">
        <f t="shared" si="2"/>
        <v>1116529.7702000001</v>
      </c>
      <c r="E15" s="196">
        <f>('Cost Report'!$N$29/12)*D15</f>
        <v>744.35318013333335</v>
      </c>
      <c r="F15" s="197">
        <f t="shared" si="3"/>
        <v>1531.6114363333334</v>
      </c>
      <c r="G15" s="193"/>
      <c r="H15" s="213">
        <v>0.105</v>
      </c>
      <c r="I15" s="213">
        <v>8.3000000000000001E-3</v>
      </c>
      <c r="J15" s="213">
        <v>3.5000000000000003E-2</v>
      </c>
    </row>
    <row r="16" spans="1:10" x14ac:dyDescent="0.25">
      <c r="A16" s="204">
        <f t="shared" si="0"/>
        <v>44593</v>
      </c>
      <c r="B16" s="202">
        <f>'Cost Report'!$F$28*(IF('Master Tab'!$C$10=1,AFUDC!H16,(IF('Master Tab'!$C$10=2,AFUDC!I16,AFUDC!J16))))</f>
        <v>1047682.0900000001</v>
      </c>
      <c r="C16" s="196">
        <f t="shared" si="1"/>
        <v>2688052.9051999999</v>
      </c>
      <c r="D16" s="196">
        <f t="shared" si="2"/>
        <v>2164211.8602</v>
      </c>
      <c r="E16" s="196">
        <f>('Cost Report'!$N$29/12)*D16</f>
        <v>1442.8079068</v>
      </c>
      <c r="F16" s="197">
        <f t="shared" si="3"/>
        <v>2974.4193431333333</v>
      </c>
      <c r="G16" s="193"/>
      <c r="H16" s="213">
        <v>4.8750000000000002E-2</v>
      </c>
      <c r="I16" s="213">
        <v>5.4000000000000003E-3</v>
      </c>
      <c r="J16" s="213">
        <v>3.5000000000000003E-2</v>
      </c>
    </row>
    <row r="17" spans="1:10" x14ac:dyDescent="0.25">
      <c r="A17" s="204">
        <f t="shared" si="0"/>
        <v>44621</v>
      </c>
      <c r="B17" s="202">
        <f>'Cost Report'!$F$28*(IF('Master Tab'!$C$10=1,AFUDC!H17,(IF('Master Tab'!$C$10=2,AFUDC!I17,AFUDC!J17))))</f>
        <v>748344.35000000009</v>
      </c>
      <c r="C17" s="196">
        <f t="shared" si="1"/>
        <v>3436397.2552</v>
      </c>
      <c r="D17" s="196">
        <f t="shared" si="2"/>
        <v>3062225.0801999997</v>
      </c>
      <c r="E17" s="196">
        <f>('Cost Report'!$N$29/12)*D17</f>
        <v>2041.4833867999998</v>
      </c>
      <c r="F17" s="197">
        <f t="shared" si="3"/>
        <v>5015.9027299333329</v>
      </c>
      <c r="G17" s="193"/>
      <c r="H17" s="213">
        <v>1.4999999999999999E-2</v>
      </c>
      <c r="I17" s="213">
        <v>3.04E-2</v>
      </c>
      <c r="J17" s="213">
        <v>2.5000000000000001E-2</v>
      </c>
    </row>
    <row r="18" spans="1:10" x14ac:dyDescent="0.25">
      <c r="A18" s="204">
        <f t="shared" si="0"/>
        <v>44652</v>
      </c>
      <c r="B18" s="202">
        <f>'Cost Report'!$F$28*(IF('Master Tab'!$C$10=1,AFUDC!H18,(IF('Master Tab'!$C$10=2,AFUDC!I18,AFUDC!J18))))</f>
        <v>1945695.31</v>
      </c>
      <c r="C18" s="196">
        <f t="shared" si="1"/>
        <v>5382092.5652000001</v>
      </c>
      <c r="D18" s="196">
        <f t="shared" si="2"/>
        <v>4409244.9101999998</v>
      </c>
      <c r="E18" s="196">
        <f>('Cost Report'!$N$29/12)*D18</f>
        <v>2939.4966067999999</v>
      </c>
      <c r="F18" s="197">
        <f t="shared" si="3"/>
        <v>7955.3993367333333</v>
      </c>
      <c r="G18" s="193"/>
      <c r="H18" s="213">
        <v>1.2500000000000001E-2</v>
      </c>
      <c r="I18" s="213">
        <v>2.7300000000000001E-2</v>
      </c>
      <c r="J18" s="213">
        <v>6.5000000000000002E-2</v>
      </c>
    </row>
    <row r="19" spans="1:10" x14ac:dyDescent="0.25">
      <c r="A19" s="204">
        <f t="shared" si="0"/>
        <v>44682</v>
      </c>
      <c r="B19" s="202">
        <f>'Cost Report'!$F$28*(IF('Master Tab'!$C$10=1,AFUDC!H19,(IF('Master Tab'!$C$10=2,AFUDC!I19,AFUDC!J19))))</f>
        <v>598675.48</v>
      </c>
      <c r="C19" s="196">
        <f t="shared" si="1"/>
        <v>5980768.0451999996</v>
      </c>
      <c r="D19" s="196">
        <f t="shared" si="2"/>
        <v>5681430.3052000003</v>
      </c>
      <c r="E19" s="196">
        <f>('Cost Report'!$N$29/12)*D19</f>
        <v>3787.6202034666667</v>
      </c>
      <c r="F19" s="197">
        <f t="shared" si="3"/>
        <v>11743.019540199999</v>
      </c>
      <c r="G19" s="193"/>
      <c r="H19" s="213">
        <v>5.0000000000000001E-3</v>
      </c>
      <c r="I19" s="213">
        <v>3.2300000000000002E-2</v>
      </c>
      <c r="J19" s="213">
        <v>0.02</v>
      </c>
    </row>
    <row r="20" spans="1:10" ht="15.75" thickBot="1" x14ac:dyDescent="0.3">
      <c r="A20" s="205">
        <f t="shared" si="0"/>
        <v>44713</v>
      </c>
      <c r="B20" s="203">
        <f>'Cost Report'!$F$28*(IF('Master Tab'!$C$10=1,AFUDC!H20,(IF('Master Tab'!$C$10=2,AFUDC!I20,AFUDC!J20))))</f>
        <v>299337.74</v>
      </c>
      <c r="C20" s="198">
        <f t="shared" si="1"/>
        <v>6280105.7851999998</v>
      </c>
      <c r="D20" s="198">
        <f t="shared" si="2"/>
        <v>6130436.9151999997</v>
      </c>
      <c r="E20" s="198">
        <f>('Cost Report'!$N$29/12)*D20</f>
        <v>4086.9579434666662</v>
      </c>
      <c r="F20" s="199">
        <f t="shared" si="3"/>
        <v>15829.977483666666</v>
      </c>
      <c r="G20" s="214"/>
      <c r="H20" s="215">
        <v>2.5000000000000001E-3</v>
      </c>
      <c r="I20" s="213">
        <v>4.4999999999999998E-2</v>
      </c>
      <c r="J20" s="213">
        <v>0.01</v>
      </c>
    </row>
    <row r="21" spans="1:10" x14ac:dyDescent="0.25">
      <c r="A21" s="207">
        <f t="shared" si="0"/>
        <v>44743</v>
      </c>
      <c r="B21" s="208">
        <f>'Cost Report'!$F$28*(IF('Master Tab'!$C$10=1,AFUDC!H21,(IF('Master Tab'!$C$10=2,AFUDC!I21,AFUDC!J21))))</f>
        <v>469960.25179999997</v>
      </c>
      <c r="C21" s="200">
        <f t="shared" si="1"/>
        <v>6750066.0369999995</v>
      </c>
      <c r="D21" s="200">
        <f t="shared" si="2"/>
        <v>6515085.9111000001</v>
      </c>
      <c r="E21" s="200">
        <f>('Cost Report'!$N$29/12)*D21</f>
        <v>4343.3906073999997</v>
      </c>
      <c r="F21" s="201">
        <f t="shared" si="3"/>
        <v>20173.368091066666</v>
      </c>
      <c r="G21" s="193"/>
      <c r="H21" s="216"/>
      <c r="I21" s="213">
        <v>5.2999999999999999E-2</v>
      </c>
      <c r="J21" s="213">
        <v>1.5699999999999999E-2</v>
      </c>
    </row>
    <row r="22" spans="1:10" x14ac:dyDescent="0.25">
      <c r="A22" s="204">
        <f t="shared" si="0"/>
        <v>44774</v>
      </c>
      <c r="B22" s="202">
        <f>'Cost Report'!$F$28*(IF('Master Tab'!$C$10=1,AFUDC!H22,(IF('Master Tab'!$C$10=2,AFUDC!I22,AFUDC!J22))))</f>
        <v>104768.209</v>
      </c>
      <c r="C22" s="196">
        <f t="shared" si="1"/>
        <v>6854834.2459999993</v>
      </c>
      <c r="D22" s="196">
        <f t="shared" si="2"/>
        <v>6802450.1414999999</v>
      </c>
      <c r="E22" s="196">
        <f>('Cost Report'!$N$29/12)*D22</f>
        <v>4534.9667609999997</v>
      </c>
      <c r="F22" s="197">
        <f t="shared" si="3"/>
        <v>24708.334852066666</v>
      </c>
      <c r="G22" s="217"/>
      <c r="H22" s="216"/>
      <c r="I22" s="213">
        <v>4.65E-2</v>
      </c>
      <c r="J22" s="213">
        <v>3.5000000000000001E-3</v>
      </c>
    </row>
    <row r="23" spans="1:10" x14ac:dyDescent="0.25">
      <c r="A23" s="204">
        <f t="shared" si="0"/>
        <v>44805</v>
      </c>
      <c r="B23" s="202">
        <f>'Cost Report'!$F$28*(IF('Master Tab'!$C$10=1,AFUDC!H23,(IF('Master Tab'!$C$10=2,AFUDC!I23,AFUDC!J23))))</f>
        <v>161642.37960000001</v>
      </c>
      <c r="C23" s="196">
        <f t="shared" si="1"/>
        <v>7016476.625599999</v>
      </c>
      <c r="D23" s="196">
        <f t="shared" si="2"/>
        <v>6935655.4357999992</v>
      </c>
      <c r="E23" s="196">
        <f>('Cost Report'!$N$29/12)*D23</f>
        <v>4623.7702905333326</v>
      </c>
      <c r="F23" s="197">
        <f t="shared" si="3"/>
        <v>29332.105142599998</v>
      </c>
      <c r="G23" s="217"/>
      <c r="H23" s="216"/>
      <c r="I23" s="213">
        <v>8.0600000000000005E-2</v>
      </c>
      <c r="J23" s="213">
        <v>5.4000000000000003E-3</v>
      </c>
    </row>
    <row r="24" spans="1:10" x14ac:dyDescent="0.25">
      <c r="A24" s="204">
        <f t="shared" si="0"/>
        <v>44835</v>
      </c>
      <c r="B24" s="202">
        <f>'Cost Report'!$F$28*(IF('Master Tab'!$C$10=1,AFUDC!H24,(IF('Master Tab'!$C$10=2,AFUDC!I24,AFUDC!J24))))</f>
        <v>161642.37960000001</v>
      </c>
      <c r="C24" s="196">
        <f t="shared" si="1"/>
        <v>7178119.0051999986</v>
      </c>
      <c r="D24" s="196">
        <f t="shared" si="2"/>
        <v>7097297.8153999988</v>
      </c>
      <c r="E24" s="196">
        <f>('Cost Report'!$N$29/12)*D24</f>
        <v>4731.5318769333326</v>
      </c>
      <c r="F24" s="197">
        <f t="shared" si="3"/>
        <v>34063.637019533329</v>
      </c>
      <c r="G24" s="193"/>
      <c r="H24" s="216"/>
      <c r="I24" s="213">
        <v>9.5200000000000007E-2</v>
      </c>
      <c r="J24" s="213">
        <v>5.4000000000000003E-3</v>
      </c>
    </row>
    <row r="25" spans="1:10" x14ac:dyDescent="0.25">
      <c r="A25" s="204">
        <f t="shared" si="0"/>
        <v>44866</v>
      </c>
      <c r="B25" s="202">
        <f>'Cost Report'!$F$28*(IF('Master Tab'!$C$10=1,AFUDC!H25,(IF('Master Tab'!$C$10=2,AFUDC!I25,AFUDC!J25))))</f>
        <v>523841.04500000004</v>
      </c>
      <c r="C25" s="196">
        <f t="shared" si="1"/>
        <v>7701960.0501999985</v>
      </c>
      <c r="D25" s="196">
        <f t="shared" si="2"/>
        <v>7440039.5276999986</v>
      </c>
      <c r="E25" s="196">
        <f>('Cost Report'!$N$29/12)*D25</f>
        <v>4960.0263517999992</v>
      </c>
      <c r="F25" s="197">
        <f t="shared" si="3"/>
        <v>39023.663371333329</v>
      </c>
      <c r="G25" s="193"/>
      <c r="H25" s="216"/>
      <c r="I25" s="213">
        <v>0.10050000000000001</v>
      </c>
      <c r="J25" s="213">
        <v>1.7500000000000002E-2</v>
      </c>
    </row>
    <row r="26" spans="1:10" x14ac:dyDescent="0.25">
      <c r="A26" s="204">
        <f t="shared" si="0"/>
        <v>44896</v>
      </c>
      <c r="B26" s="202">
        <f>'Cost Report'!$F$28*(IF('Master Tab'!$C$10=1,AFUDC!H26,(IF('Master Tab'!$C$10=2,AFUDC!I26,AFUDC!J26))))</f>
        <v>449006.61</v>
      </c>
      <c r="C26" s="196">
        <f t="shared" si="1"/>
        <v>8150966.6601999989</v>
      </c>
      <c r="D26" s="196">
        <f t="shared" si="2"/>
        <v>7926463.3551999982</v>
      </c>
      <c r="E26" s="196">
        <f>('Cost Report'!$N$29/12)*D26</f>
        <v>5284.3089034666655</v>
      </c>
      <c r="F26" s="197">
        <f t="shared" si="3"/>
        <v>44307.972274799991</v>
      </c>
      <c r="G26" s="193"/>
      <c r="H26" s="216"/>
      <c r="I26" s="213">
        <v>0.12909999999999999</v>
      </c>
      <c r="J26" s="213">
        <v>1.4999999999999999E-2</v>
      </c>
    </row>
    <row r="27" spans="1:10" x14ac:dyDescent="0.25">
      <c r="A27" s="204">
        <f t="shared" si="0"/>
        <v>44927</v>
      </c>
      <c r="B27" s="202">
        <f>'Cost Report'!$F$28*(IF('Master Tab'!$C$10=1,AFUDC!H27,(IF('Master Tab'!$C$10=2,AFUDC!I27,AFUDC!J27))))</f>
        <v>449006.61</v>
      </c>
      <c r="C27" s="196">
        <f t="shared" si="1"/>
        <v>8599973.2701999992</v>
      </c>
      <c r="D27" s="196">
        <f t="shared" si="2"/>
        <v>8375469.9651999986</v>
      </c>
      <c r="E27" s="196">
        <f>('Cost Report'!$N$29/12)*D27</f>
        <v>5583.6466434666654</v>
      </c>
      <c r="F27" s="197">
        <f t="shared" si="3"/>
        <v>49891.618918266657</v>
      </c>
      <c r="G27" s="193"/>
      <c r="H27" s="216"/>
      <c r="I27" s="213">
        <v>0.14080000000000001</v>
      </c>
      <c r="J27" s="213">
        <v>1.4999999999999999E-2</v>
      </c>
    </row>
    <row r="28" spans="1:10" x14ac:dyDescent="0.25">
      <c r="A28" s="204">
        <f t="shared" si="0"/>
        <v>44958</v>
      </c>
      <c r="B28" s="202">
        <f>'Cost Report'!$F$28*(IF('Master Tab'!$C$10=1,AFUDC!H28,(IF('Master Tab'!$C$10=2,AFUDC!I28,AFUDC!J28))))</f>
        <v>466966.87439999997</v>
      </c>
      <c r="C28" s="196">
        <f t="shared" si="1"/>
        <v>9066940.1445999984</v>
      </c>
      <c r="D28" s="196">
        <f t="shared" si="2"/>
        <v>8833456.7073999997</v>
      </c>
      <c r="E28" s="196">
        <f>('Cost Report'!$N$29/12)*D28</f>
        <v>5888.9711382666665</v>
      </c>
      <c r="F28" s="197">
        <f t="shared" si="3"/>
        <v>55780.590056533321</v>
      </c>
      <c r="G28" s="193"/>
      <c r="H28" s="216"/>
      <c r="I28" s="213">
        <v>8.5199999999999998E-2</v>
      </c>
      <c r="J28" s="213">
        <v>1.5599999999999999E-2</v>
      </c>
    </row>
    <row r="29" spans="1:10" x14ac:dyDescent="0.25">
      <c r="A29" s="204">
        <f t="shared" si="0"/>
        <v>44986</v>
      </c>
      <c r="B29" s="202">
        <f>'Cost Report'!$F$28*(IF('Master Tab'!$C$10=1,AFUDC!H29,(IF('Master Tab'!$C$10=2,AFUDC!I29,AFUDC!J29))))</f>
        <v>3891390.62</v>
      </c>
      <c r="C29" s="196">
        <f t="shared" si="1"/>
        <v>12958330.764599998</v>
      </c>
      <c r="D29" s="196">
        <f t="shared" si="2"/>
        <v>11012635.454599999</v>
      </c>
      <c r="E29" s="196">
        <f>('Cost Report'!$N$29/12)*D29</f>
        <v>7341.756969733332</v>
      </c>
      <c r="F29" s="197">
        <f t="shared" si="3"/>
        <v>63122.347026266652</v>
      </c>
      <c r="G29" s="193"/>
      <c r="H29" s="216"/>
      <c r="I29" s="213">
        <v>3.2199999999999999E-2</v>
      </c>
      <c r="J29" s="213">
        <v>0.13</v>
      </c>
    </row>
    <row r="30" spans="1:10" x14ac:dyDescent="0.25">
      <c r="A30" s="204">
        <f t="shared" si="0"/>
        <v>45017</v>
      </c>
      <c r="B30" s="202">
        <f>'Cost Report'!$F$28*(IF('Master Tab'!$C$10=1,AFUDC!H30,(IF('Master Tab'!$C$10=2,AFUDC!I30,AFUDC!J30))))</f>
        <v>3891390.62</v>
      </c>
      <c r="C30" s="196">
        <f t="shared" si="1"/>
        <v>16849721.384599999</v>
      </c>
      <c r="D30" s="196">
        <f t="shared" si="2"/>
        <v>14904026.074599998</v>
      </c>
      <c r="E30" s="196">
        <f>('Cost Report'!$N$29/12)*D30</f>
        <v>9936.0173830666645</v>
      </c>
      <c r="F30" s="197">
        <f t="shared" si="3"/>
        <v>73058.364409333313</v>
      </c>
      <c r="G30" s="193"/>
      <c r="H30" s="216"/>
      <c r="I30" s="213">
        <v>2.2499999999999999E-2</v>
      </c>
      <c r="J30" s="213">
        <v>0.13</v>
      </c>
    </row>
    <row r="31" spans="1:10" x14ac:dyDescent="0.25">
      <c r="A31" s="204">
        <f t="shared" si="0"/>
        <v>45047</v>
      </c>
      <c r="B31" s="202">
        <f>'Cost Report'!$F$28*(IF('Master Tab'!$C$10=1,AFUDC!H31,(IF('Master Tab'!$C$10=2,AFUDC!I31,AFUDC!J31))))</f>
        <v>2993377.4000000004</v>
      </c>
      <c r="C31" s="196">
        <f t="shared" si="1"/>
        <v>19843098.784599997</v>
      </c>
      <c r="D31" s="196">
        <f t="shared" si="2"/>
        <v>18346410.084599998</v>
      </c>
      <c r="E31" s="196">
        <f>('Cost Report'!$N$29/12)*D31</f>
        <v>12230.940056399999</v>
      </c>
      <c r="F31" s="197">
        <f t="shared" si="3"/>
        <v>85289.304465733308</v>
      </c>
      <c r="G31" s="193"/>
      <c r="H31" s="216"/>
      <c r="I31" s="213">
        <v>1.38E-2</v>
      </c>
      <c r="J31" s="213">
        <v>0.1</v>
      </c>
    </row>
    <row r="32" spans="1:10" x14ac:dyDescent="0.25">
      <c r="A32" s="204">
        <f t="shared" si="0"/>
        <v>45078</v>
      </c>
      <c r="B32" s="202">
        <f>'Cost Report'!$F$28*(IF('Master Tab'!$C$10=1,AFUDC!H32,(IF('Master Tab'!$C$10=2,AFUDC!I32,AFUDC!J32))))</f>
        <v>2394701.92</v>
      </c>
      <c r="C32" s="196">
        <f t="shared" si="1"/>
        <v>22237800.704599999</v>
      </c>
      <c r="D32" s="196">
        <f t="shared" si="2"/>
        <v>21040449.744599998</v>
      </c>
      <c r="E32" s="196">
        <f>('Cost Report'!$N$29/12)*D32</f>
        <v>14026.966496399999</v>
      </c>
      <c r="F32" s="197">
        <f t="shared" si="3"/>
        <v>99316.270962133305</v>
      </c>
      <c r="G32" s="193"/>
      <c r="H32" s="216"/>
      <c r="I32" s="213">
        <v>2.3E-3</v>
      </c>
      <c r="J32" s="213">
        <v>0.08</v>
      </c>
    </row>
    <row r="33" spans="1:10" x14ac:dyDescent="0.25">
      <c r="A33" s="204">
        <f t="shared" si="0"/>
        <v>45108</v>
      </c>
      <c r="B33" s="202">
        <f>'Cost Report'!$F$28*(IF('Master Tab'!$C$10=1,AFUDC!H33,(IF('Master Tab'!$C$10=2,AFUDC!I33,AFUDC!J33))))</f>
        <v>2394701.92</v>
      </c>
      <c r="C33" s="196">
        <f t="shared" si="1"/>
        <v>24632502.624600001</v>
      </c>
      <c r="D33" s="196">
        <f t="shared" si="2"/>
        <v>23435151.6646</v>
      </c>
      <c r="E33" s="196">
        <f>('Cost Report'!$N$29/12)*D33</f>
        <v>15623.434443066666</v>
      </c>
      <c r="F33" s="197">
        <f t="shared" si="3"/>
        <v>114939.70540519997</v>
      </c>
      <c r="G33" s="193"/>
      <c r="H33" s="216"/>
      <c r="I33" s="213">
        <v>1.1999999999999999E-3</v>
      </c>
      <c r="J33" s="213">
        <v>0.08</v>
      </c>
    </row>
    <row r="34" spans="1:10" ht="15.75" thickBot="1" x14ac:dyDescent="0.3">
      <c r="A34" s="205">
        <f t="shared" si="0"/>
        <v>45139</v>
      </c>
      <c r="B34" s="203">
        <f>'Cost Report'!$F$28*(IF('Master Tab'!$C$10=1,AFUDC!H34,(IF('Master Tab'!$C$10=2,AFUDC!I34,AFUDC!J34))))</f>
        <v>1796026.44</v>
      </c>
      <c r="C34" s="198">
        <f t="shared" si="1"/>
        <v>26428529.064600002</v>
      </c>
      <c r="D34" s="198">
        <f t="shared" si="2"/>
        <v>25530515.844599999</v>
      </c>
      <c r="E34" s="198">
        <f>('Cost Report'!$N$29/12)*D34</f>
        <v>17020.343896399998</v>
      </c>
      <c r="F34" s="199">
        <f t="shared" si="3"/>
        <v>131960.04930159997</v>
      </c>
      <c r="G34" s="214"/>
      <c r="H34" s="218"/>
      <c r="I34" s="215">
        <v>0.01</v>
      </c>
      <c r="J34" s="213">
        <v>0.06</v>
      </c>
    </row>
    <row r="35" spans="1:10" x14ac:dyDescent="0.25">
      <c r="A35" s="207">
        <f t="shared" si="0"/>
        <v>45170</v>
      </c>
      <c r="B35" s="208">
        <f>'Cost Report'!$F$28*(IF('Master Tab'!$C$10=1,AFUDC!H35,(IF('Master Tab'!$C$10=2,AFUDC!I35,AFUDC!J35))))</f>
        <v>2095364.1800000002</v>
      </c>
      <c r="C35" s="200">
        <f t="shared" si="1"/>
        <v>28523893.244600002</v>
      </c>
      <c r="D35" s="200">
        <f t="shared" si="2"/>
        <v>27476211.154600002</v>
      </c>
      <c r="E35" s="200">
        <f>('Cost Report'!$N$29/12)*D35</f>
        <v>18317.474103066666</v>
      </c>
      <c r="F35" s="201">
        <f t="shared" si="3"/>
        <v>150277.52340466663</v>
      </c>
      <c r="G35" s="193"/>
      <c r="H35" s="216"/>
      <c r="I35" s="216"/>
      <c r="J35" s="213">
        <v>7.0000000000000007E-2</v>
      </c>
    </row>
    <row r="36" spans="1:10" x14ac:dyDescent="0.25">
      <c r="A36" s="204">
        <f t="shared" si="0"/>
        <v>45200</v>
      </c>
      <c r="B36" s="202">
        <f>'Cost Report'!$F$28*(IF('Master Tab'!$C$10=1,AFUDC!H36,(IF('Master Tab'!$C$10=2,AFUDC!I36,AFUDC!J36))))</f>
        <v>598675.48</v>
      </c>
      <c r="C36" s="196">
        <f t="shared" si="1"/>
        <v>29122568.724600002</v>
      </c>
      <c r="D36" s="196">
        <f t="shared" si="2"/>
        <v>28823230.9846</v>
      </c>
      <c r="E36" s="196">
        <f>('Cost Report'!$N$29/12)*D36</f>
        <v>19215.487323066667</v>
      </c>
      <c r="F36" s="197">
        <f t="shared" si="3"/>
        <v>169493.01072773329</v>
      </c>
      <c r="G36" s="193"/>
      <c r="H36" s="216"/>
      <c r="I36" s="216"/>
      <c r="J36" s="213">
        <v>0.02</v>
      </c>
    </row>
    <row r="37" spans="1:10" x14ac:dyDescent="0.25">
      <c r="A37" s="204">
        <f t="shared" si="0"/>
        <v>45231</v>
      </c>
      <c r="B37" s="202">
        <f>'Cost Report'!$F$28*(IF('Master Tab'!$C$10=1,AFUDC!H37,(IF('Master Tab'!$C$10=2,AFUDC!I37,AFUDC!J37))))</f>
        <v>299337.74</v>
      </c>
      <c r="C37" s="196">
        <f t="shared" si="1"/>
        <v>29421906.464600001</v>
      </c>
      <c r="D37" s="196">
        <f t="shared" si="2"/>
        <v>29272237.594600003</v>
      </c>
      <c r="E37" s="196">
        <f>('Cost Report'!$N$29/12)*D37</f>
        <v>19514.82506306667</v>
      </c>
      <c r="F37" s="197">
        <f t="shared" si="3"/>
        <v>189007.83579079996</v>
      </c>
      <c r="G37" s="193"/>
      <c r="H37" s="216"/>
      <c r="I37" s="216"/>
      <c r="J37" s="213">
        <v>0.01</v>
      </c>
    </row>
    <row r="38" spans="1:10" x14ac:dyDescent="0.25">
      <c r="A38" s="204">
        <f t="shared" si="0"/>
        <v>45261</v>
      </c>
      <c r="B38" s="202">
        <f>'Cost Report'!$F$28*(IF('Master Tab'!$C$10=1,AFUDC!H38,(IF('Master Tab'!$C$10=2,AFUDC!I38,AFUDC!J38))))</f>
        <v>149668.87</v>
      </c>
      <c r="C38" s="196">
        <f t="shared" si="1"/>
        <v>29571575.334600002</v>
      </c>
      <c r="D38" s="196">
        <f t="shared" si="2"/>
        <v>29496740.899599999</v>
      </c>
      <c r="E38" s="196">
        <f>('Cost Report'!$N$29/12)*D38</f>
        <v>19664.493933066664</v>
      </c>
      <c r="F38" s="197">
        <f t="shared" si="3"/>
        <v>208672.32972386663</v>
      </c>
      <c r="G38" s="193"/>
      <c r="H38" s="216"/>
      <c r="I38" s="216"/>
      <c r="J38" s="213">
        <v>5.0000000000000001E-3</v>
      </c>
    </row>
    <row r="39" spans="1:10" x14ac:dyDescent="0.25">
      <c r="A39" s="204">
        <f t="shared" si="0"/>
        <v>45292</v>
      </c>
      <c r="B39" s="202">
        <f>'Cost Report'!$F$28*(IF('Master Tab'!$C$10=1,AFUDC!H39,(IF('Master Tab'!$C$10=2,AFUDC!I39,AFUDC!J39))))</f>
        <v>14966.887000000001</v>
      </c>
      <c r="C39" s="196">
        <f t="shared" si="1"/>
        <v>29586542.2216</v>
      </c>
      <c r="D39" s="196">
        <f t="shared" si="2"/>
        <v>29579058.778100003</v>
      </c>
      <c r="E39" s="196">
        <f>('Cost Report'!$N$29/12)*D39</f>
        <v>19719.372518733333</v>
      </c>
      <c r="F39" s="197">
        <f t="shared" si="3"/>
        <v>228391.70224259997</v>
      </c>
      <c r="G39" s="193"/>
      <c r="H39" s="216"/>
      <c r="I39" s="216"/>
      <c r="J39" s="213">
        <v>5.0000000000000001E-4</v>
      </c>
    </row>
    <row r="40" spans="1:10" x14ac:dyDescent="0.25">
      <c r="A40" s="204">
        <f t="shared" si="0"/>
        <v>45323</v>
      </c>
      <c r="B40" s="202">
        <f>'Cost Report'!$F$28*(IF('Master Tab'!$C$10=1,AFUDC!H40,(IF('Master Tab'!$C$10=2,AFUDC!I40,AFUDC!J40))))</f>
        <v>14966.887000000001</v>
      </c>
      <c r="C40" s="196">
        <f t="shared" si="1"/>
        <v>29601509.108599998</v>
      </c>
      <c r="D40" s="196">
        <f t="shared" si="2"/>
        <v>29594025.665100001</v>
      </c>
      <c r="E40" s="196">
        <f>('Cost Report'!$N$29/12)*D40</f>
        <v>19729.350443399999</v>
      </c>
      <c r="F40" s="197">
        <f t="shared" si="3"/>
        <v>248121.05268599998</v>
      </c>
      <c r="G40" s="193"/>
      <c r="H40" s="216"/>
      <c r="I40" s="216"/>
      <c r="J40" s="213">
        <v>5.0000000000000001E-4</v>
      </c>
    </row>
    <row r="41" spans="1:10" x14ac:dyDescent="0.25">
      <c r="A41" s="204">
        <f t="shared" si="0"/>
        <v>45352</v>
      </c>
      <c r="B41" s="202">
        <f>'Cost Report'!$F$28*(IF('Master Tab'!$C$10=1,AFUDC!H41,(IF('Master Tab'!$C$10=2,AFUDC!I41,AFUDC!J41))))</f>
        <v>8980.1322</v>
      </c>
      <c r="C41" s="196">
        <f t="shared" si="1"/>
        <v>29610489.240799997</v>
      </c>
      <c r="D41" s="196">
        <f t="shared" si="2"/>
        <v>29605999.174699999</v>
      </c>
      <c r="E41" s="196">
        <f>('Cost Report'!$N$29/12)*D41</f>
        <v>19737.332783133334</v>
      </c>
      <c r="F41" s="197">
        <f t="shared" si="3"/>
        <v>267858.38546913333</v>
      </c>
      <c r="G41" s="193"/>
      <c r="H41" s="216"/>
      <c r="I41" s="216"/>
      <c r="J41" s="213">
        <v>2.9999999999999997E-4</v>
      </c>
    </row>
    <row r="42" spans="1:10" x14ac:dyDescent="0.25">
      <c r="A42" s="204">
        <f t="shared" si="0"/>
        <v>45383</v>
      </c>
      <c r="B42" s="202">
        <f>'Cost Report'!$F$28*(IF('Master Tab'!$C$10=1,AFUDC!H42,(IF('Master Tab'!$C$10=2,AFUDC!I42,AFUDC!J42))))</f>
        <v>8980.1322</v>
      </c>
      <c r="C42" s="196">
        <f t="shared" si="1"/>
        <v>29619469.372999996</v>
      </c>
      <c r="D42" s="196">
        <f t="shared" si="2"/>
        <v>29614979.306899998</v>
      </c>
      <c r="E42" s="196">
        <f>('Cost Report'!$N$29/12)*D42</f>
        <v>19743.31953793333</v>
      </c>
      <c r="F42" s="197">
        <f t="shared" si="3"/>
        <v>287601.70500706666</v>
      </c>
      <c r="G42" s="193"/>
      <c r="H42" s="216"/>
      <c r="I42" s="216"/>
      <c r="J42" s="213">
        <v>2.9999999999999997E-4</v>
      </c>
    </row>
    <row r="43" spans="1:10" x14ac:dyDescent="0.25">
      <c r="A43" s="204">
        <f t="shared" si="0"/>
        <v>45413</v>
      </c>
      <c r="B43" s="202">
        <f>'Cost Report'!$F$28*(IF('Master Tab'!$C$10=1,AFUDC!H43,(IF('Master Tab'!$C$10=2,AFUDC!I43,AFUDC!J43))))</f>
        <v>2993.3774000000003</v>
      </c>
      <c r="C43" s="196">
        <f t="shared" si="1"/>
        <v>29622462.750399996</v>
      </c>
      <c r="D43" s="196">
        <f t="shared" si="2"/>
        <v>29620966.061699998</v>
      </c>
      <c r="E43" s="196">
        <f>('Cost Report'!$N$29/12)*D43</f>
        <v>19747.310707799999</v>
      </c>
      <c r="F43" s="197">
        <f t="shared" si="3"/>
        <v>307349.01571486663</v>
      </c>
      <c r="G43" s="193"/>
      <c r="H43" s="216"/>
      <c r="I43" s="216"/>
      <c r="J43" s="213">
        <v>1E-4</v>
      </c>
    </row>
    <row r="44" spans="1:10" x14ac:dyDescent="0.25">
      <c r="A44" s="204">
        <f t="shared" si="0"/>
        <v>45444</v>
      </c>
      <c r="B44" s="202">
        <f>'Cost Report'!$F$28*(IF('Master Tab'!$C$10=1,AFUDC!H44,(IF('Master Tab'!$C$10=2,AFUDC!I44,AFUDC!J44))))</f>
        <v>2993.3774000000003</v>
      </c>
      <c r="C44" s="196">
        <f t="shared" si="1"/>
        <v>29625456.127799995</v>
      </c>
      <c r="D44" s="196">
        <f t="shared" si="2"/>
        <v>29623959.439099997</v>
      </c>
      <c r="E44" s="196">
        <f>('Cost Report'!$N$29/12)*D44</f>
        <v>19749.30629273333</v>
      </c>
      <c r="F44" s="197">
        <f t="shared" si="3"/>
        <v>327098.32200759999</v>
      </c>
      <c r="G44" s="193"/>
      <c r="H44" s="216"/>
      <c r="I44" s="216"/>
      <c r="J44" s="213">
        <v>1E-4</v>
      </c>
    </row>
    <row r="45" spans="1:10" x14ac:dyDescent="0.25">
      <c r="A45" s="204">
        <f t="shared" si="0"/>
        <v>45474</v>
      </c>
      <c r="B45" s="202">
        <f>'Cost Report'!$F$28*(IF('Master Tab'!$C$10=1,AFUDC!H45,(IF('Master Tab'!$C$10=2,AFUDC!I45,AFUDC!J45))))</f>
        <v>2993.3774000000003</v>
      </c>
      <c r="C45" s="196">
        <f t="shared" si="1"/>
        <v>29628449.505199995</v>
      </c>
      <c r="D45" s="196">
        <f t="shared" si="2"/>
        <v>29626952.816499997</v>
      </c>
      <c r="E45" s="196">
        <f>('Cost Report'!$N$29/12)*D45</f>
        <v>19751.301877666665</v>
      </c>
      <c r="F45" s="197">
        <f t="shared" si="3"/>
        <v>346849.62388526666</v>
      </c>
      <c r="G45" s="193"/>
      <c r="H45" s="216"/>
      <c r="I45" s="216"/>
      <c r="J45" s="213">
        <v>1E-4</v>
      </c>
    </row>
    <row r="46" spans="1:10" x14ac:dyDescent="0.25">
      <c r="A46" s="204">
        <f t="shared" si="0"/>
        <v>45505</v>
      </c>
      <c r="B46" s="202">
        <f>'Cost Report'!$F$28*(IF('Master Tab'!$C$10=1,AFUDC!H46,(IF('Master Tab'!$C$10=2,AFUDC!I46,AFUDC!J46))))</f>
        <v>2993.3774000000003</v>
      </c>
      <c r="C46" s="196">
        <f t="shared" si="1"/>
        <v>29631442.882599995</v>
      </c>
      <c r="D46" s="196">
        <f t="shared" si="2"/>
        <v>29629946.193899997</v>
      </c>
      <c r="E46" s="196">
        <f>('Cost Report'!$N$29/12)*D46</f>
        <v>19753.297462599996</v>
      </c>
      <c r="F46" s="197">
        <f t="shared" si="3"/>
        <v>366602.92134786665</v>
      </c>
      <c r="G46" s="193"/>
      <c r="H46" s="216"/>
      <c r="I46" s="216"/>
      <c r="J46" s="213">
        <v>1E-4</v>
      </c>
    </row>
    <row r="47" spans="1:10" x14ac:dyDescent="0.25">
      <c r="A47" s="204">
        <f t="shared" si="0"/>
        <v>45536</v>
      </c>
      <c r="B47" s="202">
        <f>'Cost Report'!$F$28*(IF('Master Tab'!$C$10=1,AFUDC!H47,(IF('Master Tab'!$C$10=2,AFUDC!I47,AFUDC!J47))))</f>
        <v>2993.3774000000003</v>
      </c>
      <c r="C47" s="196">
        <f t="shared" si="1"/>
        <v>29634436.259999994</v>
      </c>
      <c r="D47" s="196">
        <f t="shared" si="2"/>
        <v>29632939.571299996</v>
      </c>
      <c r="E47" s="196">
        <f>('Cost Report'!$N$29/12)*D47</f>
        <v>19755.293047533331</v>
      </c>
      <c r="F47" s="197">
        <f t="shared" si="3"/>
        <v>386358.21439539996</v>
      </c>
      <c r="G47" s="193"/>
      <c r="H47" s="216"/>
      <c r="I47" s="216"/>
      <c r="J47" s="213">
        <v>1E-4</v>
      </c>
    </row>
    <row r="48" spans="1:10" ht="15.75" thickBot="1" x14ac:dyDescent="0.3">
      <c r="A48" s="205">
        <f t="shared" si="0"/>
        <v>45566</v>
      </c>
      <c r="B48" s="203">
        <f>'Cost Report'!$F$28*(IF('Master Tab'!$C$10=1,AFUDC!H48,(IF('Master Tab'!$C$10=2,AFUDC!I48,AFUDC!J48))))</f>
        <v>299337.74</v>
      </c>
      <c r="C48" s="198">
        <f t="shared" si="1"/>
        <v>29933773.999999993</v>
      </c>
      <c r="D48" s="198">
        <f t="shared" si="2"/>
        <v>29784105.129999995</v>
      </c>
      <c r="E48" s="198">
        <f>('Cost Report'!$N$29/12)*D48</f>
        <v>19856.070086666663</v>
      </c>
      <c r="F48" s="199">
        <f t="shared" si="3"/>
        <v>406214.28448206664</v>
      </c>
      <c r="G48" s="214"/>
      <c r="H48" s="218"/>
      <c r="I48" s="218"/>
      <c r="J48" s="215">
        <v>0.01</v>
      </c>
    </row>
    <row r="49" spans="1:10" ht="15.75" thickBot="1" x14ac:dyDescent="0.3">
      <c r="A49" s="193"/>
      <c r="B49" s="193"/>
      <c r="C49" s="193"/>
      <c r="D49" s="302" t="s">
        <v>485</v>
      </c>
      <c r="E49" s="303"/>
      <c r="F49" s="219">
        <f>F20</f>
        <v>15829.977483666666</v>
      </c>
      <c r="G49" s="193"/>
      <c r="H49" s="193"/>
      <c r="I49" s="193"/>
      <c r="J49" s="193"/>
    </row>
    <row r="50" spans="1:10" ht="15.75" thickBot="1" x14ac:dyDescent="0.3">
      <c r="A50" s="193"/>
      <c r="B50" s="193"/>
      <c r="C50" s="193"/>
      <c r="D50" s="304" t="s">
        <v>486</v>
      </c>
      <c r="E50" s="305"/>
      <c r="F50" s="206">
        <f>F34</f>
        <v>131960.04930159997</v>
      </c>
      <c r="G50" s="193"/>
      <c r="H50" s="193"/>
      <c r="I50" s="193"/>
      <c r="J50" s="193"/>
    </row>
    <row r="51" spans="1:10" ht="15.75" thickBot="1" x14ac:dyDescent="0.3">
      <c r="A51" s="193"/>
      <c r="B51" s="193"/>
      <c r="C51" s="193"/>
      <c r="D51" s="306" t="s">
        <v>487</v>
      </c>
      <c r="E51" s="307"/>
      <c r="F51" s="206">
        <f>F48</f>
        <v>406214.28448206664</v>
      </c>
      <c r="G51" s="193"/>
      <c r="H51" s="193"/>
      <c r="I51" s="193"/>
      <c r="J51" s="193"/>
    </row>
  </sheetData>
  <mergeCells count="3">
    <mergeCell ref="D49:E49"/>
    <mergeCell ref="D50:E50"/>
    <mergeCell ref="D51:E51"/>
  </mergeCells>
  <dataValidations count="1">
    <dataValidation allowBlank="1" showInputMessage="1" showErrorMessage="1" errorTitle="Invalid Date" sqref="I15" xr:uid="{B3262B8B-FA08-484A-80D2-BC06D5039F5D}"/>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2BBE-CCF1-427F-B0AD-174C0A9E1027}">
  <sheetPr>
    <tabColor rgb="FF0070C0"/>
    <pageSetUpPr fitToPage="1"/>
  </sheetPr>
  <dimension ref="A1:Z114"/>
  <sheetViews>
    <sheetView view="pageBreakPreview" zoomScale="60" zoomScaleNormal="100" workbookViewId="0">
      <selection activeCell="AC7" sqref="AC7"/>
    </sheetView>
  </sheetViews>
  <sheetFormatPr defaultRowHeight="15" x14ac:dyDescent="0.25"/>
  <cols>
    <col min="1" max="1" width="2.28515625" customWidth="1"/>
    <col min="2" max="2" width="53.7109375" customWidth="1"/>
    <col min="3" max="3" width="34.42578125" customWidth="1"/>
    <col min="4" max="4" width="90.5703125" bestFit="1" customWidth="1"/>
    <col min="25" max="25" width="10" bestFit="1" customWidth="1"/>
    <col min="26" max="26" width="11.5703125" bestFit="1" customWidth="1"/>
  </cols>
  <sheetData>
    <row r="1" spans="2:11" ht="9.75" customHeight="1" x14ac:dyDescent="0.25"/>
    <row r="2" spans="2:11" x14ac:dyDescent="0.25">
      <c r="B2" s="7" t="s">
        <v>7</v>
      </c>
    </row>
    <row r="3" spans="2:11" ht="15.75" thickBot="1" x14ac:dyDescent="0.3"/>
    <row r="4" spans="2:11" ht="21" x14ac:dyDescent="0.35">
      <c r="B4" s="237" t="s">
        <v>8</v>
      </c>
      <c r="C4" s="238"/>
      <c r="D4" s="239"/>
    </row>
    <row r="5" spans="2:11" ht="19.5" thickBot="1" x14ac:dyDescent="0.35">
      <c r="B5" s="15" t="s">
        <v>9</v>
      </c>
      <c r="C5" s="16" t="s">
        <v>10</v>
      </c>
      <c r="D5" s="17" t="s">
        <v>11</v>
      </c>
    </row>
    <row r="6" spans="2:11" x14ac:dyDescent="0.25">
      <c r="B6" s="4" t="s">
        <v>12</v>
      </c>
      <c r="C6" s="9" t="s">
        <v>535</v>
      </c>
      <c r="D6" s="164" t="s">
        <v>13</v>
      </c>
    </row>
    <row r="7" spans="2:11" x14ac:dyDescent="0.25">
      <c r="B7" s="5" t="s">
        <v>266</v>
      </c>
      <c r="C7" s="10" t="s">
        <v>267</v>
      </c>
      <c r="D7" s="165" t="s">
        <v>268</v>
      </c>
    </row>
    <row r="8" spans="2:11" x14ac:dyDescent="0.25">
      <c r="B8" s="5" t="s">
        <v>0</v>
      </c>
      <c r="C8" s="10" t="s">
        <v>496</v>
      </c>
      <c r="D8" s="165"/>
    </row>
    <row r="9" spans="2:11" x14ac:dyDescent="0.25">
      <c r="B9" s="5" t="s">
        <v>14</v>
      </c>
      <c r="C9" s="126">
        <v>44588</v>
      </c>
      <c r="D9" s="165" t="s">
        <v>15</v>
      </c>
    </row>
    <row r="10" spans="2:11" x14ac:dyDescent="0.25">
      <c r="B10" s="5" t="s">
        <v>309</v>
      </c>
      <c r="C10" s="10">
        <v>3</v>
      </c>
      <c r="D10" s="165" t="s">
        <v>310</v>
      </c>
    </row>
    <row r="11" spans="2:11" x14ac:dyDescent="0.25">
      <c r="B11" s="5" t="s">
        <v>16</v>
      </c>
      <c r="C11" s="10" t="s">
        <v>497</v>
      </c>
      <c r="D11" s="165"/>
    </row>
    <row r="12" spans="2:11" x14ac:dyDescent="0.25">
      <c r="B12" s="5" t="s">
        <v>195</v>
      </c>
      <c r="C12" s="10" t="s">
        <v>498</v>
      </c>
      <c r="D12" s="165" t="s">
        <v>194</v>
      </c>
    </row>
    <row r="13" spans="2:11" x14ac:dyDescent="0.25">
      <c r="B13" s="5" t="s">
        <v>17</v>
      </c>
      <c r="C13" s="10" t="s">
        <v>499</v>
      </c>
      <c r="D13" s="165"/>
    </row>
    <row r="14" spans="2:11" x14ac:dyDescent="0.25">
      <c r="B14" s="5" t="s">
        <v>18</v>
      </c>
      <c r="C14" s="10" t="s">
        <v>19</v>
      </c>
      <c r="D14" s="165"/>
    </row>
    <row r="15" spans="2:11" x14ac:dyDescent="0.25">
      <c r="B15" s="5" t="s">
        <v>20</v>
      </c>
      <c r="C15" s="10" t="s">
        <v>536</v>
      </c>
      <c r="D15" s="165" t="s">
        <v>21</v>
      </c>
    </row>
    <row r="16" spans="2:11" ht="15" customHeight="1" x14ac:dyDescent="0.25">
      <c r="B16" s="5" t="s">
        <v>243</v>
      </c>
      <c r="C16" s="10">
        <v>40</v>
      </c>
      <c r="D16" s="165" t="s">
        <v>250</v>
      </c>
      <c r="E16" s="228" t="s">
        <v>491</v>
      </c>
      <c r="F16" s="158"/>
      <c r="G16" s="158"/>
      <c r="H16" s="158"/>
      <c r="I16" s="158"/>
      <c r="J16" s="158"/>
      <c r="K16" s="158"/>
    </row>
    <row r="17" spans="2:11" x14ac:dyDescent="0.25">
      <c r="B17" s="5" t="s">
        <v>244</v>
      </c>
      <c r="C17" s="10">
        <v>22</v>
      </c>
      <c r="D17" s="165" t="s">
        <v>251</v>
      </c>
      <c r="E17" s="175"/>
      <c r="F17" s="158"/>
      <c r="G17" s="158"/>
      <c r="H17" s="158"/>
      <c r="I17" s="158"/>
      <c r="J17" s="158"/>
      <c r="K17" s="158"/>
    </row>
    <row r="18" spans="2:11" x14ac:dyDescent="0.25">
      <c r="B18" s="5" t="s">
        <v>245</v>
      </c>
      <c r="C18" s="10">
        <v>8</v>
      </c>
      <c r="D18" s="165" t="s">
        <v>360</v>
      </c>
      <c r="E18" s="175"/>
      <c r="F18" s="158"/>
      <c r="G18" s="158"/>
      <c r="H18" s="158"/>
      <c r="I18" s="158"/>
      <c r="J18" s="158"/>
      <c r="K18" s="158"/>
    </row>
    <row r="19" spans="2:11" x14ac:dyDescent="0.25">
      <c r="B19" s="5" t="s">
        <v>22</v>
      </c>
      <c r="C19" s="10" t="s">
        <v>500</v>
      </c>
      <c r="D19" s="165"/>
    </row>
    <row r="20" spans="2:11" x14ac:dyDescent="0.25">
      <c r="B20" s="5" t="s">
        <v>23</v>
      </c>
      <c r="C20" s="10"/>
      <c r="D20" s="165" t="s">
        <v>24</v>
      </c>
    </row>
    <row r="21" spans="2:11" x14ac:dyDescent="0.25">
      <c r="B21" s="5" t="s">
        <v>39</v>
      </c>
      <c r="C21" s="10"/>
      <c r="D21" s="165" t="s">
        <v>25</v>
      </c>
    </row>
    <row r="22" spans="2:11" x14ac:dyDescent="0.25">
      <c r="B22" s="5" t="s">
        <v>38</v>
      </c>
      <c r="C22" s="10"/>
      <c r="D22" s="165"/>
    </row>
    <row r="23" spans="2:11" x14ac:dyDescent="0.25">
      <c r="B23" s="5" t="s">
        <v>26</v>
      </c>
      <c r="C23" s="10" t="s">
        <v>501</v>
      </c>
      <c r="D23" s="165"/>
    </row>
    <row r="24" spans="2:11" x14ac:dyDescent="0.25">
      <c r="B24" s="5" t="s">
        <v>27</v>
      </c>
      <c r="C24" s="10" t="s">
        <v>502</v>
      </c>
      <c r="D24" s="165"/>
    </row>
    <row r="25" spans="2:11" x14ac:dyDescent="0.25">
      <c r="B25" s="5" t="s">
        <v>28</v>
      </c>
      <c r="C25" s="10" t="s">
        <v>29</v>
      </c>
      <c r="D25" s="165" t="s">
        <v>254</v>
      </c>
      <c r="E25" s="157" t="s">
        <v>255</v>
      </c>
    </row>
    <row r="26" spans="2:11" x14ac:dyDescent="0.25">
      <c r="B26" s="5" t="s">
        <v>30</v>
      </c>
      <c r="C26" s="11">
        <v>7.7499999999999999E-2</v>
      </c>
      <c r="D26" s="165" t="s">
        <v>31</v>
      </c>
    </row>
    <row r="27" spans="2:11" x14ac:dyDescent="0.25">
      <c r="B27" s="5" t="s">
        <v>32</v>
      </c>
      <c r="C27" s="10" t="s">
        <v>33</v>
      </c>
      <c r="D27" s="165"/>
    </row>
    <row r="28" spans="2:11" x14ac:dyDescent="0.25">
      <c r="B28" s="5" t="s">
        <v>181</v>
      </c>
      <c r="C28" s="10">
        <v>0</v>
      </c>
      <c r="D28" s="181" t="s">
        <v>308</v>
      </c>
    </row>
    <row r="29" spans="2:11" x14ac:dyDescent="0.25">
      <c r="B29" s="5" t="s">
        <v>182</v>
      </c>
      <c r="C29" s="163">
        <v>0</v>
      </c>
      <c r="D29" s="165" t="s">
        <v>196</v>
      </c>
    </row>
    <row r="30" spans="2:11" x14ac:dyDescent="0.25">
      <c r="B30" s="5" t="s">
        <v>184</v>
      </c>
      <c r="C30" s="140">
        <v>0.15</v>
      </c>
      <c r="D30" s="165" t="s">
        <v>183</v>
      </c>
    </row>
    <row r="31" spans="2:11" x14ac:dyDescent="0.25">
      <c r="B31" s="5" t="s">
        <v>166</v>
      </c>
      <c r="C31" s="126">
        <v>44197</v>
      </c>
      <c r="D31" s="165" t="s">
        <v>248</v>
      </c>
    </row>
    <row r="32" spans="2:11" x14ac:dyDescent="0.25">
      <c r="B32" s="5" t="s">
        <v>167</v>
      </c>
      <c r="C32" s="170">
        <f>C33-(5*30.4)</f>
        <v>45261</v>
      </c>
      <c r="D32" s="165" t="s">
        <v>247</v>
      </c>
      <c r="E32" s="157" t="s">
        <v>246</v>
      </c>
    </row>
    <row r="33" spans="1:5" x14ac:dyDescent="0.25">
      <c r="B33" s="5" t="s">
        <v>412</v>
      </c>
      <c r="C33" s="170">
        <f>$C$31+(30.4*$C$16)</f>
        <v>45413</v>
      </c>
      <c r="D33" s="165" t="s">
        <v>247</v>
      </c>
    </row>
    <row r="34" spans="1:5" ht="15.75" thickBot="1" x14ac:dyDescent="0.3">
      <c r="B34" s="171" t="s">
        <v>272</v>
      </c>
      <c r="C34" s="172">
        <v>46052</v>
      </c>
      <c r="D34" s="173" t="s">
        <v>264</v>
      </c>
      <c r="E34" s="157" t="s">
        <v>246</v>
      </c>
    </row>
    <row r="36" spans="1:5" x14ac:dyDescent="0.25">
      <c r="B36" t="s">
        <v>34</v>
      </c>
    </row>
    <row r="37" spans="1:5" x14ac:dyDescent="0.25">
      <c r="A37">
        <v>1</v>
      </c>
      <c r="B37" t="s">
        <v>35</v>
      </c>
    </row>
    <row r="38" spans="1:5" x14ac:dyDescent="0.25">
      <c r="A38">
        <v>2</v>
      </c>
      <c r="B38" t="s">
        <v>36</v>
      </c>
    </row>
    <row r="39" spans="1:5" x14ac:dyDescent="0.25">
      <c r="A39">
        <v>3</v>
      </c>
      <c r="B39" t="s">
        <v>37</v>
      </c>
    </row>
    <row r="104" spans="24:26" x14ac:dyDescent="0.25">
      <c r="X104" t="s">
        <v>269</v>
      </c>
      <c r="Y104" t="s">
        <v>56</v>
      </c>
      <c r="Z104" t="s">
        <v>311</v>
      </c>
    </row>
    <row r="105" spans="24:26" x14ac:dyDescent="0.25">
      <c r="Y105" t="s">
        <v>54</v>
      </c>
    </row>
    <row r="106" spans="24:26" x14ac:dyDescent="0.25">
      <c r="Y106" t="s">
        <v>270</v>
      </c>
    </row>
    <row r="107" spans="24:26" x14ac:dyDescent="0.25">
      <c r="Y107" t="s">
        <v>48</v>
      </c>
    </row>
    <row r="108" spans="24:26" x14ac:dyDescent="0.25">
      <c r="Y108" t="s">
        <v>187</v>
      </c>
    </row>
    <row r="109" spans="24:26" x14ac:dyDescent="0.25">
      <c r="Y109" t="s">
        <v>49</v>
      </c>
    </row>
    <row r="110" spans="24:26" x14ac:dyDescent="0.25">
      <c r="Y110" t="s">
        <v>271</v>
      </c>
    </row>
    <row r="111" spans="24:26" x14ac:dyDescent="0.25">
      <c r="Y111" t="s">
        <v>52</v>
      </c>
    </row>
    <row r="112" spans="24:26" x14ac:dyDescent="0.25">
      <c r="Y112" t="s">
        <v>61</v>
      </c>
    </row>
    <row r="113" spans="25:25" x14ac:dyDescent="0.25">
      <c r="Y113" t="s">
        <v>69</v>
      </c>
    </row>
    <row r="114" spans="25:25" x14ac:dyDescent="0.25">
      <c r="Y114" t="s">
        <v>59</v>
      </c>
    </row>
  </sheetData>
  <sheetProtection algorithmName="SHA-512" hashValue="YrdUsnXMgfBJ09voHsCR6ZrYMVEpoBaCYohVpeqyS9cBK3xk7pD5t1QKBx4ZM4inCjFyyIZkuYfxYq/M1u1P6g==" saltValue="D+Mvr/elVjkEP0pel8PVzw==" spinCount="100000" sheet="1" objects="1" scenarios="1" formatCells="0" formatColumns="0" formatRows="0" insertColumns="0" insertRows="0" deleteColumns="0" deleteRows="0"/>
  <protectedRanges>
    <protectedRange algorithmName="SHA-512" hashValue="VNr1jv1pLkMOO4KfaU7hLsvLOdchgL6LwTERe2wsYodhbCl7F1jHmxeg7HIoUXvYzl5Nvi7tpYokgPS1/O95iQ==" saltValue="MvEzjZ/G2gPtKIhTzlmWCQ==" spinCount="100000" sqref="A1:XFD1048576" name="Range1" securityDescriptor="O:WDG:WDD:(A;;CC;;;S-1-5-21-577582919-1435025626-1914702595-3758127)(A;;CC;;;S-1-5-21-577582919-1435025626-1914702595-3758875)(A;;CC;;;S-1-5-21-577582919-1435025626-1914702595-3758999)(A;;CC;;;S-1-5-21-577582919-1435025626-1914702595-3940917)(A;;CC;;;S-1-5-21-577582919-1435025626-1914702595-4023729)"/>
  </protectedRanges>
  <mergeCells count="1">
    <mergeCell ref="B4:D4"/>
  </mergeCells>
  <conditionalFormatting sqref="C34">
    <cfRule type="cellIs" dxfId="1" priority="1" operator="greaterThan">
      <formula>$C$32</formula>
    </cfRule>
    <cfRule type="cellIs" dxfId="0" priority="2" operator="lessThan">
      <formula>$C$32</formula>
    </cfRule>
  </conditionalFormatting>
  <pageMargins left="0.7" right="0.7" top="0.75" bottom="0.75" header="0.3" footer="0.3"/>
  <pageSetup scale="67" orientation="landscape" r:id="rId1"/>
  <headerFooter>
    <oddHeader>&amp;RKyPSC Case No. 2025-00229
STAFF-DR-01-005(b) Attachment 6
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1D9C5-AD02-4801-B369-B7DD587AAFCD}">
  <sheetPr>
    <tabColor rgb="FF92D050"/>
    <pageSetUpPr fitToPage="1"/>
  </sheetPr>
  <dimension ref="B1:D27"/>
  <sheetViews>
    <sheetView view="pageLayout" zoomScaleNormal="100" workbookViewId="0">
      <selection activeCell="AC7" sqref="AC7"/>
    </sheetView>
  </sheetViews>
  <sheetFormatPr defaultRowHeight="15" x14ac:dyDescent="0.25"/>
  <cols>
    <col min="1" max="1" width="1.5703125" customWidth="1"/>
    <col min="2" max="2" width="30.42578125" customWidth="1"/>
    <col min="3" max="3" width="23.42578125" customWidth="1"/>
    <col min="4" max="4" width="95" bestFit="1" customWidth="1"/>
  </cols>
  <sheetData>
    <row r="1" spans="2:4" ht="9.75" customHeight="1" thickBot="1" x14ac:dyDescent="0.3"/>
    <row r="2" spans="2:4" ht="23.25" x14ac:dyDescent="0.35">
      <c r="B2" s="240" t="str">
        <f>'Master Tab'!C8</f>
        <v>Line AM07 Pipeline Replacement PH 1</v>
      </c>
      <c r="C2" s="241"/>
    </row>
    <row r="3" spans="2:4" ht="21" x14ac:dyDescent="0.35">
      <c r="B3" s="242" t="s">
        <v>160</v>
      </c>
      <c r="C3" s="243"/>
    </row>
    <row r="4" spans="2:4" ht="16.5" thickBot="1" x14ac:dyDescent="0.3">
      <c r="B4" s="244">
        <f>'Master Tab'!C9</f>
        <v>44588</v>
      </c>
      <c r="C4" s="245"/>
    </row>
    <row r="5" spans="2:4" ht="27" customHeight="1" thickBot="1" x14ac:dyDescent="0.3">
      <c r="B5" s="136" t="s">
        <v>9</v>
      </c>
      <c r="C5" s="137" t="s">
        <v>161</v>
      </c>
    </row>
    <row r="6" spans="2:4" x14ac:dyDescent="0.25">
      <c r="B6" s="131" t="s">
        <v>162</v>
      </c>
      <c r="C6" s="132">
        <f>'Cost Report'!D11+'Cost Report'!D14+'Cost Report'!D15+'Cost Report'!D17+'Cost Report'!D18+'Cost Report'!D19+'Cost Report'!D20+'Cost Report'!D25</f>
        <v>21711474</v>
      </c>
      <c r="D6" t="s">
        <v>185</v>
      </c>
    </row>
    <row r="7" spans="2:4" x14ac:dyDescent="0.25">
      <c r="B7" s="131" t="s">
        <v>163</v>
      </c>
      <c r="C7" s="133">
        <f>'Cost Report'!D16</f>
        <v>3308100</v>
      </c>
      <c r="D7" t="s">
        <v>169</v>
      </c>
    </row>
    <row r="8" spans="2:4" x14ac:dyDescent="0.25">
      <c r="B8" s="131" t="s">
        <v>60</v>
      </c>
      <c r="C8" s="133">
        <f>'Cost Report'!D21</f>
        <v>480000</v>
      </c>
      <c r="D8" t="s">
        <v>170</v>
      </c>
    </row>
    <row r="9" spans="2:4" x14ac:dyDescent="0.25">
      <c r="B9" s="131" t="s">
        <v>164</v>
      </c>
      <c r="C9" s="133">
        <f>'Cost Report'!D12</f>
        <v>593600</v>
      </c>
      <c r="D9" t="s">
        <v>171</v>
      </c>
    </row>
    <row r="10" spans="2:4" ht="15.75" thickBot="1" x14ac:dyDescent="0.3">
      <c r="B10" s="131" t="s">
        <v>6</v>
      </c>
      <c r="C10" s="134">
        <f>'Cost Report'!D13+'Cost Report'!D22</f>
        <v>416200</v>
      </c>
      <c r="D10" t="s">
        <v>172</v>
      </c>
    </row>
    <row r="11" spans="2:4" x14ac:dyDescent="0.25">
      <c r="B11" s="131" t="s">
        <v>165</v>
      </c>
      <c r="C11" s="132">
        <f>SUM(C6:C10)</f>
        <v>26509374</v>
      </c>
    </row>
    <row r="12" spans="2:4" x14ac:dyDescent="0.25">
      <c r="B12" s="131"/>
      <c r="C12" s="130"/>
    </row>
    <row r="13" spans="2:4" ht="15.75" thickBot="1" x14ac:dyDescent="0.3">
      <c r="B13" s="131" t="s">
        <v>135</v>
      </c>
      <c r="C13" s="134">
        <f>'Cost Report'!D24</f>
        <v>3976600</v>
      </c>
      <c r="D13" t="s">
        <v>135</v>
      </c>
    </row>
    <row r="14" spans="2:4" x14ac:dyDescent="0.25">
      <c r="B14" s="131" t="s">
        <v>165</v>
      </c>
      <c r="C14" s="132">
        <f>SUM(C11:C13)</f>
        <v>30485974</v>
      </c>
    </row>
    <row r="15" spans="2:4" x14ac:dyDescent="0.25">
      <c r="B15" s="131"/>
      <c r="C15" s="130"/>
    </row>
    <row r="16" spans="2:4" x14ac:dyDescent="0.25">
      <c r="B16" s="131" t="s">
        <v>76</v>
      </c>
      <c r="C16" s="133">
        <v>0</v>
      </c>
      <c r="D16" s="139" t="s">
        <v>173</v>
      </c>
    </row>
    <row r="17" spans="2:4" ht="15.75" thickBot="1" x14ac:dyDescent="0.3">
      <c r="B17" s="131" t="s">
        <v>71</v>
      </c>
      <c r="C17" s="134">
        <v>0</v>
      </c>
      <c r="D17" s="139" t="s">
        <v>173</v>
      </c>
    </row>
    <row r="18" spans="2:4" x14ac:dyDescent="0.25">
      <c r="B18" s="131" t="s">
        <v>47</v>
      </c>
      <c r="C18" s="135">
        <f>SUM(C14:C17)</f>
        <v>30485974</v>
      </c>
    </row>
    <row r="19" spans="2:4" x14ac:dyDescent="0.25">
      <c r="B19" s="19"/>
      <c r="C19" s="18"/>
    </row>
    <row r="20" spans="2:4" x14ac:dyDescent="0.25">
      <c r="B20" s="19"/>
      <c r="C20" s="18"/>
    </row>
    <row r="21" spans="2:4" x14ac:dyDescent="0.25">
      <c r="B21" s="138" t="s">
        <v>166</v>
      </c>
      <c r="C21" s="127">
        <f>'Master Tab'!C31</f>
        <v>44197</v>
      </c>
      <c r="D21" t="s">
        <v>174</v>
      </c>
    </row>
    <row r="22" spans="2:4" x14ac:dyDescent="0.25">
      <c r="B22" s="138" t="s">
        <v>167</v>
      </c>
      <c r="C22" s="127">
        <f>'Master Tab'!C32</f>
        <v>45261</v>
      </c>
      <c r="D22" t="s">
        <v>175</v>
      </c>
    </row>
    <row r="23" spans="2:4" x14ac:dyDescent="0.25">
      <c r="B23" s="138" t="s">
        <v>168</v>
      </c>
      <c r="C23" s="127">
        <f>'Master Tab'!C34</f>
        <v>46052</v>
      </c>
      <c r="D23" t="s">
        <v>176</v>
      </c>
    </row>
    <row r="24" spans="2:4" x14ac:dyDescent="0.25">
      <c r="B24" s="19"/>
      <c r="C24" s="18"/>
    </row>
    <row r="25" spans="2:4" ht="15.75" thickBot="1" x14ac:dyDescent="0.3">
      <c r="B25" s="128"/>
      <c r="C25" s="129"/>
    </row>
    <row r="26" spans="2:4" x14ac:dyDescent="0.25">
      <c r="B26" s="246" t="s">
        <v>188</v>
      </c>
      <c r="C26" s="246"/>
    </row>
    <row r="27" spans="2:4" x14ac:dyDescent="0.25">
      <c r="B27" s="247"/>
      <c r="C27" s="247"/>
    </row>
  </sheetData>
  <mergeCells count="4">
    <mergeCell ref="B2:C2"/>
    <mergeCell ref="B3:C3"/>
    <mergeCell ref="B4:C4"/>
    <mergeCell ref="B26:C27"/>
  </mergeCells>
  <pageMargins left="0.7" right="0.7" top="0.75" bottom="0.75" header="0.3" footer="0.3"/>
  <pageSetup scale="76" orientation="landscape" r:id="rId1"/>
  <headerFooter>
    <oddHeader>&amp;RKyPSC Case No. 2025-00229
STAFF-DR-01-005(b) Attachment 6
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7C462-5C3B-4DF6-83E7-D2F92DEAB6EA}">
  <sheetPr>
    <tabColor rgb="FF0070C0"/>
    <pageSetUpPr fitToPage="1"/>
  </sheetPr>
  <dimension ref="A1:G20"/>
  <sheetViews>
    <sheetView view="pageLayout" zoomScaleNormal="100" workbookViewId="0">
      <selection activeCell="AC7" sqref="AC7"/>
    </sheetView>
  </sheetViews>
  <sheetFormatPr defaultRowHeight="15" x14ac:dyDescent="0.25"/>
  <cols>
    <col min="1" max="7" width="18.7109375" customWidth="1"/>
  </cols>
  <sheetData>
    <row r="1" spans="1:7" ht="22.5" customHeight="1" x14ac:dyDescent="0.25">
      <c r="A1" s="254" t="str">
        <f>'Master Tab'!C8</f>
        <v>Line AM07 Pipeline Replacement PH 1</v>
      </c>
      <c r="B1" s="255"/>
      <c r="C1" s="255"/>
      <c r="D1" s="255"/>
      <c r="E1" s="255"/>
      <c r="F1" s="255"/>
      <c r="G1" s="256"/>
    </row>
    <row r="2" spans="1:7" ht="22.5" customHeight="1" x14ac:dyDescent="0.25">
      <c r="A2" s="257"/>
      <c r="B2" s="258"/>
      <c r="C2" s="258"/>
      <c r="D2" s="258"/>
      <c r="E2" s="258"/>
      <c r="F2" s="258"/>
      <c r="G2" s="259"/>
    </row>
    <row r="3" spans="1:7" ht="30" customHeight="1" x14ac:dyDescent="0.25">
      <c r="A3" s="263" t="s">
        <v>40</v>
      </c>
      <c r="B3" s="264"/>
      <c r="C3" s="264"/>
      <c r="D3" s="264"/>
      <c r="E3" s="264"/>
      <c r="F3" s="264"/>
      <c r="G3" s="265"/>
    </row>
    <row r="4" spans="1:7" ht="30" customHeight="1" x14ac:dyDescent="0.25">
      <c r="A4" s="266">
        <f>'Master Tab'!C9</f>
        <v>44588</v>
      </c>
      <c r="B4" s="264"/>
      <c r="C4" s="264"/>
      <c r="D4" s="264"/>
      <c r="E4" s="264"/>
      <c r="F4" s="264"/>
      <c r="G4" s="265"/>
    </row>
    <row r="5" spans="1:7" x14ac:dyDescent="0.25">
      <c r="A5" s="12"/>
      <c r="B5" s="13"/>
      <c r="C5" s="13"/>
      <c r="D5" s="13"/>
      <c r="E5" s="13"/>
      <c r="F5" s="13" t="s">
        <v>41</v>
      </c>
      <c r="G5" s="14" t="str">
        <f>'Master Tab'!C6</f>
        <v>E-Initiate</v>
      </c>
    </row>
    <row r="6" spans="1:7" ht="20.65" customHeight="1" x14ac:dyDescent="0.25">
      <c r="A6" s="260" t="s">
        <v>534</v>
      </c>
      <c r="B6" s="261"/>
      <c r="C6" s="261"/>
      <c r="D6" s="261"/>
      <c r="E6" s="261"/>
      <c r="F6" s="261"/>
      <c r="G6" s="262"/>
    </row>
    <row r="7" spans="1:7" x14ac:dyDescent="0.25">
      <c r="A7" s="248" t="s">
        <v>512</v>
      </c>
      <c r="B7" s="249"/>
      <c r="C7" s="249"/>
      <c r="D7" s="249"/>
      <c r="E7" s="249"/>
      <c r="F7" s="249"/>
      <c r="G7" s="250"/>
    </row>
    <row r="8" spans="1:7" x14ac:dyDescent="0.25">
      <c r="A8" s="248" t="s">
        <v>524</v>
      </c>
      <c r="B8" s="249"/>
      <c r="C8" s="249"/>
      <c r="D8" s="249"/>
      <c r="E8" s="249"/>
      <c r="F8" s="249"/>
      <c r="G8" s="250"/>
    </row>
    <row r="9" spans="1:7" x14ac:dyDescent="0.25">
      <c r="A9" s="248" t="s">
        <v>537</v>
      </c>
      <c r="B9" s="249"/>
      <c r="C9" s="249"/>
      <c r="D9" s="249"/>
      <c r="E9" s="249"/>
      <c r="F9" s="249"/>
      <c r="G9" s="250"/>
    </row>
    <row r="10" spans="1:7" x14ac:dyDescent="0.25">
      <c r="A10" s="248" t="s">
        <v>538</v>
      </c>
      <c r="B10" s="249"/>
      <c r="C10" s="249"/>
      <c r="D10" s="249"/>
      <c r="E10" s="249"/>
      <c r="F10" s="249"/>
      <c r="G10" s="250"/>
    </row>
    <row r="11" spans="1:7" x14ac:dyDescent="0.25">
      <c r="A11" s="248" t="s">
        <v>539</v>
      </c>
      <c r="B11" s="249"/>
      <c r="C11" s="249"/>
      <c r="D11" s="249"/>
      <c r="E11" s="249"/>
      <c r="F11" s="249"/>
      <c r="G11" s="250"/>
    </row>
    <row r="12" spans="1:7" x14ac:dyDescent="0.25">
      <c r="A12" s="248" t="s">
        <v>545</v>
      </c>
      <c r="B12" s="249"/>
      <c r="C12" s="249"/>
      <c r="D12" s="249"/>
      <c r="E12" s="249"/>
      <c r="F12" s="249"/>
      <c r="G12" s="250"/>
    </row>
    <row r="13" spans="1:7" x14ac:dyDescent="0.25">
      <c r="A13" s="248"/>
      <c r="B13" s="249"/>
      <c r="C13" s="249"/>
      <c r="D13" s="249"/>
      <c r="E13" s="249"/>
      <c r="F13" s="249"/>
      <c r="G13" s="250"/>
    </row>
    <row r="14" spans="1:7" x14ac:dyDescent="0.25">
      <c r="A14" s="248"/>
      <c r="B14" s="249"/>
      <c r="C14" s="249"/>
      <c r="D14" s="249"/>
      <c r="E14" s="249"/>
      <c r="F14" s="249"/>
      <c r="G14" s="250"/>
    </row>
    <row r="15" spans="1:7" x14ac:dyDescent="0.25">
      <c r="A15" s="248"/>
      <c r="B15" s="249"/>
      <c r="C15" s="249"/>
      <c r="D15" s="249"/>
      <c r="E15" s="249"/>
      <c r="F15" s="249"/>
      <c r="G15" s="250"/>
    </row>
    <row r="16" spans="1:7" x14ac:dyDescent="0.25">
      <c r="A16" s="248"/>
      <c r="B16" s="249"/>
      <c r="C16" s="249"/>
      <c r="D16" s="249"/>
      <c r="E16" s="249"/>
      <c r="F16" s="249"/>
      <c r="G16" s="250"/>
    </row>
    <row r="17" spans="1:7" x14ac:dyDescent="0.25">
      <c r="A17" s="248"/>
      <c r="B17" s="249"/>
      <c r="C17" s="249"/>
      <c r="D17" s="249"/>
      <c r="E17" s="249"/>
      <c r="F17" s="249"/>
      <c r="G17" s="250"/>
    </row>
    <row r="18" spans="1:7" x14ac:dyDescent="0.25">
      <c r="A18" s="248"/>
      <c r="B18" s="249"/>
      <c r="C18" s="249"/>
      <c r="D18" s="249"/>
      <c r="E18" s="249"/>
      <c r="F18" s="249"/>
      <c r="G18" s="250"/>
    </row>
    <row r="19" spans="1:7" x14ac:dyDescent="0.25">
      <c r="A19" s="248"/>
      <c r="B19" s="249"/>
      <c r="C19" s="249"/>
      <c r="D19" s="249"/>
      <c r="E19" s="249"/>
      <c r="F19" s="249"/>
      <c r="G19" s="250"/>
    </row>
    <row r="20" spans="1:7" x14ac:dyDescent="0.25">
      <c r="A20" s="251"/>
      <c r="B20" s="252"/>
      <c r="C20" s="252"/>
      <c r="D20" s="252"/>
      <c r="E20" s="252"/>
      <c r="F20" s="252"/>
      <c r="G20" s="253"/>
    </row>
  </sheetData>
  <sheetProtection algorithmName="SHA-512" hashValue="xN8tvsu1WAlxEhsHsUs/RPKxRi/98dyN14WBEGcQM7S3QqQoZZfZ98DUb3ic7tROwIvkKvWNYnIxF0nXo0WY7Q==" saltValue="w7F3AwccugvOsDb0hgh2/A==" spinCount="100000" sheet="1" objects="1" scenarios="1" formatCells="0" formatColumns="0" formatRows="0" insertColumns="0" insertRows="0" deleteColumns="0" deleteRows="0"/>
  <protectedRanges>
    <protectedRange algorithmName="SHA-512" hashValue="AcDTjHjA8gqQ6FTFjGrK90J4BwckDBvxuwCX4gUWLEmWeLRwaGJQDJl8J5bPdZ6hc+wqjBkbplny6z0gRCbD1w==" saltValue="K3wVTxL8ItBC6b7rKLJN4g==" spinCount="100000" sqref="A1:XFD1048576" name="Range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s>
  <mergeCells count="18">
    <mergeCell ref="A15:G15"/>
    <mergeCell ref="A1:G2"/>
    <mergeCell ref="A6:G6"/>
    <mergeCell ref="A7:G7"/>
    <mergeCell ref="A9:G9"/>
    <mergeCell ref="A8:G8"/>
    <mergeCell ref="A3:G3"/>
    <mergeCell ref="A4:G4"/>
    <mergeCell ref="A10:G10"/>
    <mergeCell ref="A11:G11"/>
    <mergeCell ref="A12:G12"/>
    <mergeCell ref="A13:G13"/>
    <mergeCell ref="A14:G14"/>
    <mergeCell ref="A16:G16"/>
    <mergeCell ref="A17:G17"/>
    <mergeCell ref="A18:G18"/>
    <mergeCell ref="A19:G19"/>
    <mergeCell ref="A20:G20"/>
  </mergeCells>
  <pageMargins left="0.7" right="0.7" top="1.2496875000000001" bottom="0.75" header="0.3" footer="0.3"/>
  <pageSetup scale="93" orientation="landscape" r:id="rId1"/>
  <headerFooter>
    <oddHeader>&amp;RKyPSC Case No. 2025-00229
STAFF-DR-01-005(b) Attachment 6
Page &amp;P of &amp;N</oddHeader>
  </headerFooter>
  <ignoredErrors>
    <ignoredError sqref="B12:G12 B6:G6 B7:G7 B8:G8 B9:G9 B10:G10 B11:G11 B15:G15 B13:G13 B14:G1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2B55C-E7A0-4F76-9B9E-95580C345972}">
  <sheetPr>
    <tabColor rgb="FF0070C0"/>
    <pageSetUpPr fitToPage="1"/>
  </sheetPr>
  <dimension ref="A1:N52"/>
  <sheetViews>
    <sheetView view="pageLayout" topLeftCell="L1" zoomScaleNormal="100" workbookViewId="0">
      <selection activeCell="AC7" sqref="AC7"/>
    </sheetView>
  </sheetViews>
  <sheetFormatPr defaultRowHeight="15" x14ac:dyDescent="0.25"/>
  <cols>
    <col min="1" max="1" width="0.7109375" customWidth="1"/>
    <col min="2" max="2" width="10.7109375" customWidth="1"/>
    <col min="3" max="3" width="26.28515625" customWidth="1"/>
    <col min="4" max="4" width="21.7109375" customWidth="1"/>
    <col min="5" max="5" width="1" customWidth="1"/>
    <col min="6" max="6" width="21.7109375" customWidth="1"/>
    <col min="7" max="9" width="21.7109375" style="1" customWidth="1"/>
    <col min="10" max="10" width="1" customWidth="1"/>
    <col min="11" max="11" width="21.7109375" customWidth="1"/>
    <col min="12" max="12" width="1.42578125" bestFit="1" customWidth="1"/>
    <col min="13" max="13" width="10.5703125" bestFit="1" customWidth="1"/>
    <col min="14" max="14" width="7" bestFit="1" customWidth="1"/>
  </cols>
  <sheetData>
    <row r="1" spans="1:12" ht="3.75" customHeight="1" thickBot="1" x14ac:dyDescent="0.3">
      <c r="B1" s="3"/>
      <c r="C1" s="3"/>
      <c r="D1" s="3"/>
      <c r="E1" s="3"/>
      <c r="F1" s="3"/>
      <c r="G1" s="6"/>
      <c r="H1" s="6"/>
      <c r="I1" s="6"/>
      <c r="J1" s="3"/>
      <c r="K1" s="3"/>
    </row>
    <row r="2" spans="1:12" ht="31.5" x14ac:dyDescent="0.25">
      <c r="A2" s="18"/>
      <c r="B2" s="271" t="str">
        <f>'Master Tab'!C8</f>
        <v>Line AM07 Pipeline Replacement PH 1</v>
      </c>
      <c r="C2" s="271"/>
      <c r="D2" s="271"/>
      <c r="E2" s="271"/>
      <c r="F2" s="271"/>
      <c r="G2" s="271"/>
      <c r="H2" s="271"/>
      <c r="I2" s="271"/>
      <c r="J2" s="271"/>
      <c r="K2" s="271"/>
      <c r="L2" s="19"/>
    </row>
    <row r="3" spans="1:12" ht="21" x14ac:dyDescent="0.25">
      <c r="A3" s="18"/>
      <c r="B3" s="272" t="str">
        <f>'Master Tab'!C12</f>
        <v>Erlanger, KY</v>
      </c>
      <c r="C3" s="273"/>
      <c r="D3" s="273"/>
      <c r="E3" s="273"/>
      <c r="F3" s="273"/>
      <c r="G3" s="273"/>
      <c r="H3" s="273"/>
      <c r="I3" s="273"/>
      <c r="J3" s="273"/>
      <c r="K3" s="273"/>
      <c r="L3" s="19"/>
    </row>
    <row r="4" spans="1:12" ht="18.75" x14ac:dyDescent="0.25">
      <c r="A4" s="18"/>
      <c r="B4" s="274" t="s">
        <v>42</v>
      </c>
      <c r="C4" s="274"/>
      <c r="D4" s="274"/>
      <c r="E4" s="274"/>
      <c r="F4" s="274"/>
      <c r="G4" s="274"/>
      <c r="H4" s="274"/>
      <c r="I4" s="274"/>
      <c r="J4" s="274"/>
      <c r="K4" s="274"/>
      <c r="L4" s="19"/>
    </row>
    <row r="5" spans="1:12" ht="18.75" x14ac:dyDescent="0.25">
      <c r="A5" s="18"/>
      <c r="B5" s="274" t="str">
        <f>'Master Tab'!C24</f>
        <v>Class IV</v>
      </c>
      <c r="C5" s="274"/>
      <c r="D5" s="274"/>
      <c r="E5" s="274"/>
      <c r="F5" s="274"/>
      <c r="G5" s="274"/>
      <c r="H5" s="274"/>
      <c r="I5" s="274"/>
      <c r="J5" s="274"/>
      <c r="K5" s="274"/>
      <c r="L5" s="19"/>
    </row>
    <row r="6" spans="1:12" ht="15.75" thickBot="1" x14ac:dyDescent="0.3">
      <c r="A6" s="18"/>
      <c r="B6" s="278">
        <f>'Master Tab'!C9</f>
        <v>44588</v>
      </c>
      <c r="C6" s="279"/>
      <c r="D6" s="279"/>
      <c r="E6" s="279"/>
      <c r="F6" s="279"/>
      <c r="G6" s="279"/>
      <c r="H6" s="279"/>
      <c r="I6" s="279"/>
      <c r="J6" s="279"/>
      <c r="K6" s="279"/>
      <c r="L6" s="19"/>
    </row>
    <row r="7" spans="1:12" ht="30" customHeight="1" thickBot="1" x14ac:dyDescent="0.3">
      <c r="A7" s="18"/>
      <c r="B7" s="180" t="s">
        <v>1</v>
      </c>
      <c r="C7" s="179" t="str">
        <f>'Master Tab'!C6</f>
        <v>E-Initiate</v>
      </c>
      <c r="D7" s="276" t="s">
        <v>43</v>
      </c>
      <c r="E7" s="37"/>
      <c r="F7" s="275" t="s">
        <v>44</v>
      </c>
      <c r="G7" s="275"/>
      <c r="H7" s="275"/>
      <c r="I7" s="275"/>
      <c r="J7" s="39" t="s">
        <v>5</v>
      </c>
      <c r="K7" s="232" t="s">
        <v>45</v>
      </c>
      <c r="L7" s="19"/>
    </row>
    <row r="8" spans="1:12" ht="15.75" thickBot="1" x14ac:dyDescent="0.3">
      <c r="A8" s="18"/>
      <c r="B8" s="27"/>
      <c r="C8" s="28"/>
      <c r="D8" s="277"/>
      <c r="E8" s="38"/>
      <c r="F8" s="102" t="s">
        <v>143</v>
      </c>
      <c r="G8" s="32" t="s">
        <v>503</v>
      </c>
      <c r="H8" s="32" t="s">
        <v>503</v>
      </c>
      <c r="I8" s="32" t="s">
        <v>546</v>
      </c>
      <c r="J8" s="40"/>
      <c r="K8" s="35" t="s">
        <v>503</v>
      </c>
      <c r="L8" s="19"/>
    </row>
    <row r="9" spans="1:12" ht="15.75" thickBot="1" x14ac:dyDescent="0.3">
      <c r="A9" s="18"/>
      <c r="B9" s="27"/>
      <c r="C9" s="28"/>
      <c r="D9" s="277"/>
      <c r="E9" s="38"/>
      <c r="F9" s="102" t="s">
        <v>144</v>
      </c>
      <c r="G9" s="32" t="s">
        <v>531</v>
      </c>
      <c r="H9" s="32" t="s">
        <v>530</v>
      </c>
      <c r="I9" s="32" t="s">
        <v>505</v>
      </c>
      <c r="J9" s="40"/>
      <c r="K9" s="35" t="s">
        <v>532</v>
      </c>
      <c r="L9" s="19"/>
    </row>
    <row r="10" spans="1:12" ht="30.75" thickBot="1" x14ac:dyDescent="0.3">
      <c r="A10" s="18"/>
      <c r="B10" s="29" t="s">
        <v>46</v>
      </c>
      <c r="C10" s="30" t="s">
        <v>9</v>
      </c>
      <c r="D10" s="277"/>
      <c r="E10" s="38"/>
      <c r="F10" s="33" t="s">
        <v>47</v>
      </c>
      <c r="G10" s="34" t="s">
        <v>504</v>
      </c>
      <c r="H10" s="34" t="s">
        <v>533</v>
      </c>
      <c r="I10" s="34" t="s">
        <v>77</v>
      </c>
      <c r="J10" s="40"/>
      <c r="K10" s="36" t="s">
        <v>525</v>
      </c>
      <c r="L10" s="19"/>
    </row>
    <row r="11" spans="1:12" x14ac:dyDescent="0.25">
      <c r="A11" s="18"/>
      <c r="B11" s="20" t="s">
        <v>48</v>
      </c>
      <c r="C11" s="23" t="s">
        <v>4</v>
      </c>
      <c r="D11" s="42">
        <f t="shared" ref="D11:D22" si="0">SUM(G11:K11)</f>
        <v>2479900</v>
      </c>
      <c r="E11" s="43"/>
      <c r="F11" s="44">
        <f t="shared" ref="F11:F22" si="1">SUM(G11:I11)</f>
        <v>2467200</v>
      </c>
      <c r="G11" s="44">
        <f>CEILING('Pipeline 1'!$I$27,100)</f>
        <v>1002300</v>
      </c>
      <c r="H11" s="44">
        <f>CEILING('Pipeline 2'!$I$27,100)</f>
        <v>740100</v>
      </c>
      <c r="I11" s="44">
        <f>CEILING('Queens Qt '!$I$27,100)</f>
        <v>724800</v>
      </c>
      <c r="J11" s="45"/>
      <c r="K11" s="46">
        <f>CEILING('Demo 1'!$I$13,100)</f>
        <v>12700</v>
      </c>
      <c r="L11" s="19"/>
    </row>
    <row r="12" spans="1:12" x14ac:dyDescent="0.25">
      <c r="A12" s="18"/>
      <c r="B12" s="21" t="s">
        <v>49</v>
      </c>
      <c r="C12" s="24" t="s">
        <v>282</v>
      </c>
      <c r="D12" s="47">
        <f t="shared" si="0"/>
        <v>593600</v>
      </c>
      <c r="E12" s="43"/>
      <c r="F12" s="48">
        <f t="shared" si="1"/>
        <v>593600</v>
      </c>
      <c r="G12" s="48">
        <f>SUM('Pipeline 1'!$H$30:$H$35)</f>
        <v>216000</v>
      </c>
      <c r="H12" s="48">
        <f>SUM('Pipeline 2'!$H$30:$H$35)</f>
        <v>361800</v>
      </c>
      <c r="I12" s="48">
        <f>SUM('Queens Qt '!$H$30:$H$35)</f>
        <v>15800</v>
      </c>
      <c r="J12" s="45"/>
      <c r="K12" s="49">
        <v>0</v>
      </c>
      <c r="L12" s="19" t="s">
        <v>5</v>
      </c>
    </row>
    <row r="13" spans="1:12" x14ac:dyDescent="0.25">
      <c r="A13" s="18"/>
      <c r="B13" s="21" t="s">
        <v>49</v>
      </c>
      <c r="C13" s="24" t="s">
        <v>283</v>
      </c>
      <c r="D13" s="47">
        <f t="shared" si="0"/>
        <v>367800</v>
      </c>
      <c r="E13" s="43"/>
      <c r="F13" s="48">
        <f t="shared" si="1"/>
        <v>367800</v>
      </c>
      <c r="G13" s="48">
        <f>SUM('Pipeline 1'!$H$36:$H$41)</f>
        <v>231600</v>
      </c>
      <c r="H13" s="48">
        <f>SUM('Pipeline 2'!$H$36:$H$41)</f>
        <v>121200</v>
      </c>
      <c r="I13" s="48">
        <f>SUM('Queens Qt '!$H$36:$H$41)</f>
        <v>15000</v>
      </c>
      <c r="J13" s="45"/>
      <c r="K13" s="49">
        <f>SUM('Demo 1'!$H$16:$H$18)</f>
        <v>0</v>
      </c>
      <c r="L13" s="19"/>
    </row>
    <row r="14" spans="1:12" x14ac:dyDescent="0.25">
      <c r="A14" s="18"/>
      <c r="B14" s="21" t="s">
        <v>49</v>
      </c>
      <c r="C14" s="24" t="s">
        <v>50</v>
      </c>
      <c r="D14" s="47">
        <f t="shared" si="0"/>
        <v>244374</v>
      </c>
      <c r="E14" s="43"/>
      <c r="F14" s="48">
        <f t="shared" si="1"/>
        <v>244374</v>
      </c>
      <c r="G14" s="48">
        <f>SUM('Pipeline 1'!$H$42)</f>
        <v>169274</v>
      </c>
      <c r="H14" s="48">
        <f>SUM('Pipeline 2'!$H$42)</f>
        <v>50300</v>
      </c>
      <c r="I14" s="48">
        <f>SUM('Queens Qt '!$H$42)</f>
        <v>24800</v>
      </c>
      <c r="J14" s="45"/>
      <c r="K14" s="49">
        <f>'Demo 1'!$H$19</f>
        <v>0</v>
      </c>
      <c r="L14" s="19"/>
    </row>
    <row r="15" spans="1:12" x14ac:dyDescent="0.25">
      <c r="A15" s="18"/>
      <c r="B15" s="21" t="s">
        <v>49</v>
      </c>
      <c r="C15" s="24" t="s">
        <v>51</v>
      </c>
      <c r="D15" s="47">
        <f t="shared" si="0"/>
        <v>22000</v>
      </c>
      <c r="E15" s="43"/>
      <c r="F15" s="48">
        <f t="shared" si="1"/>
        <v>22000</v>
      </c>
      <c r="G15" s="48">
        <f>SUM('Pipeline 1'!$H$43)</f>
        <v>2000</v>
      </c>
      <c r="H15" s="48">
        <f>SUM('Pipeline 2'!$H$43)</f>
        <v>20000</v>
      </c>
      <c r="I15" s="48">
        <f>SUM('Queens Qt '!$H$43)</f>
        <v>0</v>
      </c>
      <c r="J15" s="45"/>
      <c r="K15" s="49">
        <v>0</v>
      </c>
      <c r="L15" s="19"/>
    </row>
    <row r="16" spans="1:12" x14ac:dyDescent="0.25">
      <c r="A16" s="18"/>
      <c r="B16" s="21" t="s">
        <v>52</v>
      </c>
      <c r="C16" s="24" t="s">
        <v>53</v>
      </c>
      <c r="D16" s="47">
        <f t="shared" si="0"/>
        <v>3308100</v>
      </c>
      <c r="E16" s="43"/>
      <c r="F16" s="48">
        <f t="shared" si="1"/>
        <v>3296100</v>
      </c>
      <c r="G16" s="48">
        <f>CEILING('Pipeline 1'!$I$185,100)</f>
        <v>1537500</v>
      </c>
      <c r="H16" s="48">
        <f>CEILING('Pipeline 2'!$I$185,100)</f>
        <v>902400</v>
      </c>
      <c r="I16" s="48">
        <f>CEILING('Queens Qt '!$I$134,100)</f>
        <v>856200</v>
      </c>
      <c r="J16" s="45"/>
      <c r="K16" s="49">
        <f>CEILING('Demo 1'!$I$53,100)</f>
        <v>12000</v>
      </c>
      <c r="L16" s="19"/>
    </row>
    <row r="17" spans="1:14" x14ac:dyDescent="0.25">
      <c r="A17" s="18"/>
      <c r="B17" s="21" t="s">
        <v>54</v>
      </c>
      <c r="C17" s="24" t="s">
        <v>55</v>
      </c>
      <c r="D17" s="47">
        <f t="shared" si="0"/>
        <v>10359400</v>
      </c>
      <c r="E17" s="43"/>
      <c r="F17" s="48">
        <f t="shared" si="1"/>
        <v>10054900</v>
      </c>
      <c r="G17" s="48">
        <f>CEILING('Pipeline 1'!$I$159,100)</f>
        <v>5433600</v>
      </c>
      <c r="H17" s="48">
        <f>CEILING('Pipeline 2'!$I$159,100)</f>
        <v>4621300</v>
      </c>
      <c r="I17" s="54">
        <v>0</v>
      </c>
      <c r="J17" s="45"/>
      <c r="K17" s="49">
        <f>CEILING('Demo 1'!$I$40,100)</f>
        <v>304500</v>
      </c>
      <c r="L17" s="19"/>
    </row>
    <row r="18" spans="1:14" x14ac:dyDescent="0.25">
      <c r="A18" s="18"/>
      <c r="B18" s="21" t="s">
        <v>56</v>
      </c>
      <c r="C18" s="24" t="s">
        <v>57</v>
      </c>
      <c r="D18" s="47">
        <f t="shared" si="0"/>
        <v>5564900</v>
      </c>
      <c r="E18" s="43"/>
      <c r="F18" s="48">
        <f t="shared" si="1"/>
        <v>5564900</v>
      </c>
      <c r="G18" s="54">
        <v>0</v>
      </c>
      <c r="H18" s="54">
        <v>0</v>
      </c>
      <c r="I18" s="48">
        <f>CEILING('Queens Qt '!$I$98,100)</f>
        <v>5564900</v>
      </c>
      <c r="J18" s="45"/>
      <c r="K18" s="114">
        <v>0</v>
      </c>
      <c r="L18" s="19"/>
    </row>
    <row r="19" spans="1:14" x14ac:dyDescent="0.25">
      <c r="A19" s="18"/>
      <c r="B19" s="21" t="s">
        <v>187</v>
      </c>
      <c r="C19" s="24" t="s">
        <v>58</v>
      </c>
      <c r="D19" s="47">
        <f t="shared" si="0"/>
        <v>2561400</v>
      </c>
      <c r="E19" s="43"/>
      <c r="F19" s="48">
        <f t="shared" si="1"/>
        <v>2530900</v>
      </c>
      <c r="G19" s="48">
        <f>CEILING('Pipeline 1'!$H$162,100)</f>
        <v>1086800</v>
      </c>
      <c r="H19" s="48">
        <f>CEILING('Pipeline 2'!$H$162,100)</f>
        <v>831900</v>
      </c>
      <c r="I19" s="48">
        <f>CEILING('Queens Qt '!$H$101,100)</f>
        <v>612200</v>
      </c>
      <c r="J19" s="45"/>
      <c r="K19" s="49">
        <f>CEILING('Demo 1'!$H$43,100)</f>
        <v>30500</v>
      </c>
      <c r="L19" s="19" t="s">
        <v>5</v>
      </c>
    </row>
    <row r="20" spans="1:14" x14ac:dyDescent="0.25">
      <c r="A20" s="18"/>
      <c r="B20" s="21" t="s">
        <v>187</v>
      </c>
      <c r="C20" s="24" t="s">
        <v>362</v>
      </c>
      <c r="D20" s="47">
        <f t="shared" si="0"/>
        <v>479500</v>
      </c>
      <c r="E20" s="43"/>
      <c r="F20" s="48">
        <f t="shared" si="1"/>
        <v>479500</v>
      </c>
      <c r="G20" s="48">
        <f>CEILING('Pipeline 1'!$H$163,100)</f>
        <v>108700</v>
      </c>
      <c r="H20" s="48">
        <f>CEILING('Pipeline 2'!$H$163,100)</f>
        <v>92500</v>
      </c>
      <c r="I20" s="48">
        <f>CEILING('Queens Qt '!$H$102,100)</f>
        <v>278300</v>
      </c>
      <c r="J20" s="45"/>
      <c r="K20" s="49">
        <f>CEILING('Demo 1'!$H$44,100)</f>
        <v>0</v>
      </c>
      <c r="L20" s="19" t="s">
        <v>5</v>
      </c>
    </row>
    <row r="21" spans="1:14" x14ac:dyDescent="0.25">
      <c r="A21" s="18"/>
      <c r="B21" s="21" t="s">
        <v>59</v>
      </c>
      <c r="C21" s="24" t="s">
        <v>313</v>
      </c>
      <c r="D21" s="47">
        <f t="shared" si="0"/>
        <v>480000</v>
      </c>
      <c r="E21" s="43"/>
      <c r="F21" s="48">
        <f t="shared" si="1"/>
        <v>360000</v>
      </c>
      <c r="G21" s="48">
        <f>CEILING('Pipeline 1'!$H$5,100)</f>
        <v>120000</v>
      </c>
      <c r="H21" s="48">
        <f>CEILING('Pipeline 2'!$H$5,100)</f>
        <v>120000</v>
      </c>
      <c r="I21" s="48">
        <f>CEILING('Queens Qt '!$H$5,100)</f>
        <v>120000</v>
      </c>
      <c r="J21" s="45"/>
      <c r="K21" s="49">
        <f>CEILING('Demo 1'!$H$5,100)</f>
        <v>120000</v>
      </c>
      <c r="L21" s="19" t="s">
        <v>5</v>
      </c>
    </row>
    <row r="22" spans="1:14" ht="15.75" thickBot="1" x14ac:dyDescent="0.3">
      <c r="A22" s="18"/>
      <c r="B22" s="22" t="s">
        <v>61</v>
      </c>
      <c r="C22" s="25" t="s">
        <v>62</v>
      </c>
      <c r="D22" s="50">
        <f t="shared" si="0"/>
        <v>48400</v>
      </c>
      <c r="E22" s="43"/>
      <c r="F22" s="51">
        <f t="shared" si="1"/>
        <v>48000</v>
      </c>
      <c r="G22" s="51">
        <f>CEILING('Pipeline 1'!$H$6,100)</f>
        <v>20000</v>
      </c>
      <c r="H22" s="51">
        <f>CEILING('Pipeline 2'!$H$6,100)</f>
        <v>8000</v>
      </c>
      <c r="I22" s="51">
        <f>CEILING('Queens Qt '!$H$6,100)</f>
        <v>20000</v>
      </c>
      <c r="J22" s="45"/>
      <c r="K22" s="52">
        <f>CEILING('Demo 1'!$H$6,100)</f>
        <v>400</v>
      </c>
      <c r="L22" s="19"/>
    </row>
    <row r="23" spans="1:14" s="31" customFormat="1" ht="15.75" thickBot="1" x14ac:dyDescent="0.3">
      <c r="A23" s="56"/>
      <c r="B23" s="282" t="s">
        <v>63</v>
      </c>
      <c r="C23" s="283"/>
      <c r="D23" s="57">
        <f>SUM(D11:D22)</f>
        <v>26509374</v>
      </c>
      <c r="E23" s="58"/>
      <c r="F23" s="59">
        <f t="shared" ref="F23:I23" si="2">SUM(F11:F22)</f>
        <v>26029274</v>
      </c>
      <c r="G23" s="59">
        <f t="shared" si="2"/>
        <v>9927774</v>
      </c>
      <c r="H23" s="59">
        <f t="shared" si="2"/>
        <v>7869500</v>
      </c>
      <c r="I23" s="59">
        <f t="shared" si="2"/>
        <v>8232000</v>
      </c>
      <c r="J23" s="60"/>
      <c r="K23" s="59">
        <f>SUM(K11:K22)</f>
        <v>480100</v>
      </c>
      <c r="L23" s="185"/>
    </row>
    <row r="24" spans="1:14" x14ac:dyDescent="0.25">
      <c r="A24" s="18"/>
      <c r="B24" s="20" t="s">
        <v>5</v>
      </c>
      <c r="C24" s="26" t="s">
        <v>64</v>
      </c>
      <c r="D24" s="53">
        <f>SUM(G24:K24)</f>
        <v>3976600</v>
      </c>
      <c r="E24" s="43"/>
      <c r="F24" s="44">
        <f>SUM(G24:I24)</f>
        <v>3904500</v>
      </c>
      <c r="G24" s="44">
        <f>CEILING('Pipeline 1'!$I$188,100)</f>
        <v>1489200</v>
      </c>
      <c r="H24" s="44">
        <f>CEILING('Pipeline 2'!$I$188,100)</f>
        <v>1180500</v>
      </c>
      <c r="I24" s="44">
        <f>CEILING('Queens Qt '!$I$137,100)</f>
        <v>1234800</v>
      </c>
      <c r="J24" s="45"/>
      <c r="K24" s="46">
        <f>CEILING('Demo 1'!$I$56,100)</f>
        <v>72100</v>
      </c>
      <c r="L24" s="19"/>
    </row>
    <row r="25" spans="1:14" ht="15.75" thickBot="1" x14ac:dyDescent="0.3">
      <c r="A25" s="18"/>
      <c r="B25" s="22" t="s">
        <v>5</v>
      </c>
      <c r="C25" s="25" t="s">
        <v>65</v>
      </c>
      <c r="D25" s="50">
        <f>SUM(G25:K25)</f>
        <v>0</v>
      </c>
      <c r="E25" s="43"/>
      <c r="F25" s="51">
        <f>SUM(G25:I25)</f>
        <v>0</v>
      </c>
      <c r="G25" s="51">
        <f>CEILING('Pipeline 1'!$I$187,100)</f>
        <v>0</v>
      </c>
      <c r="H25" s="51">
        <f>CEILING('Pipeline 2'!$I$187,100)</f>
        <v>0</v>
      </c>
      <c r="I25" s="51">
        <f>CEILING('Queens Qt '!$I$136,100)</f>
        <v>0</v>
      </c>
      <c r="J25" s="45"/>
      <c r="K25" s="52">
        <f>CEILING('Demo 1'!$I$55,100)</f>
        <v>0</v>
      </c>
      <c r="L25" s="19"/>
    </row>
    <row r="26" spans="1:14" s="31" customFormat="1" ht="15.75" thickBot="1" x14ac:dyDescent="0.3">
      <c r="A26" s="56"/>
      <c r="B26" s="286" t="s">
        <v>66</v>
      </c>
      <c r="C26" s="287"/>
      <c r="D26" s="141">
        <f>SUM(D24:D25)</f>
        <v>3976600</v>
      </c>
      <c r="E26" s="58"/>
      <c r="F26" s="143">
        <f t="shared" ref="F26:I26" si="3">SUM(F24:F25)</f>
        <v>3904500</v>
      </c>
      <c r="G26" s="143">
        <f t="shared" si="3"/>
        <v>1489200</v>
      </c>
      <c r="H26" s="143">
        <f t="shared" si="3"/>
        <v>1180500</v>
      </c>
      <c r="I26" s="143">
        <f t="shared" si="3"/>
        <v>1234800</v>
      </c>
      <c r="J26" s="60"/>
      <c r="K26" s="143">
        <f>SUM(K24:K25)</f>
        <v>72100</v>
      </c>
      <c r="L26" s="185"/>
    </row>
    <row r="27" spans="1:14" ht="5.25" customHeight="1" thickBot="1" x14ac:dyDescent="0.3">
      <c r="B27" s="41"/>
      <c r="C27" s="145"/>
      <c r="D27" s="146"/>
      <c r="E27" s="45"/>
      <c r="F27" s="147"/>
      <c r="G27" s="147"/>
      <c r="H27" s="147"/>
      <c r="I27" s="147"/>
      <c r="J27" s="45"/>
      <c r="K27" s="147"/>
      <c r="L27" s="19"/>
    </row>
    <row r="28" spans="1:14" s="31" customFormat="1" ht="15.75" thickBot="1" x14ac:dyDescent="0.3">
      <c r="A28" s="56"/>
      <c r="B28" s="284" t="s">
        <v>67</v>
      </c>
      <c r="C28" s="285"/>
      <c r="D28" s="144">
        <f>SUM(D23,D26)</f>
        <v>30485974</v>
      </c>
      <c r="E28" s="58"/>
      <c r="F28" s="142">
        <f>SUM(F26,F23)</f>
        <v>29933774</v>
      </c>
      <c r="G28" s="142">
        <f t="shared" ref="G28:I28" si="4">SUM(G23,G26)</f>
        <v>11416974</v>
      </c>
      <c r="H28" s="142">
        <f t="shared" si="4"/>
        <v>9050000</v>
      </c>
      <c r="I28" s="142">
        <f t="shared" si="4"/>
        <v>9466800</v>
      </c>
      <c r="J28" s="60"/>
      <c r="K28" s="142">
        <f>SUM(K23,K26)</f>
        <v>552200</v>
      </c>
      <c r="L28" s="185"/>
    </row>
    <row r="29" spans="1:14" x14ac:dyDescent="0.25">
      <c r="A29" s="18"/>
      <c r="B29" s="21" t="s">
        <v>271</v>
      </c>
      <c r="C29" s="24" t="s">
        <v>68</v>
      </c>
      <c r="D29" s="47">
        <f>SUM(G29:K29)</f>
        <v>203300</v>
      </c>
      <c r="E29" s="43"/>
      <c r="F29" s="48">
        <f>SUM(G29:I29)</f>
        <v>203300</v>
      </c>
      <c r="G29" s="48">
        <f>CEILING((IF('Master Tab'!$C$10=1,AFUDC!$F$49,IF('Master Tab'!$C$10=2,AFUDC!$F$50,AFUDC!$F$51))*('Cost Report'!G28/'Cost Report'!$F$28)/2),100)</f>
        <v>77500</v>
      </c>
      <c r="H29" s="48">
        <f>CEILING((IF('Master Tab'!$C$10=1,AFUDC!$F$49,IF('Master Tab'!$C$10=2,AFUDC!$F$50,AFUDC!$F$51))*('Cost Report'!H28/'Cost Report'!$F$28)/2),100)</f>
        <v>61500</v>
      </c>
      <c r="I29" s="48">
        <f>CEILING((IF('Master Tab'!$C$10=1,AFUDC!$F$49,IF('Master Tab'!$C$10=2,AFUDC!$F$50,AFUDC!$F$51))*('Cost Report'!I28/'Cost Report'!$F$28)/2),100)</f>
        <v>64300</v>
      </c>
      <c r="J29" s="45"/>
      <c r="K29" s="49">
        <v>0</v>
      </c>
      <c r="L29" s="19"/>
      <c r="M29" s="156" t="s">
        <v>76</v>
      </c>
      <c r="N29" s="156">
        <v>8.0000000000000002E-3</v>
      </c>
    </row>
    <row r="30" spans="1:14" ht="15.75" thickBot="1" x14ac:dyDescent="0.3">
      <c r="A30" s="18"/>
      <c r="B30" s="22" t="s">
        <v>69</v>
      </c>
      <c r="C30" s="25" t="s">
        <v>70</v>
      </c>
      <c r="D30" s="50">
        <f>SUM(G30:K30)</f>
        <v>1557200</v>
      </c>
      <c r="E30" s="43"/>
      <c r="F30" s="51">
        <f>SUM(G30:I30)</f>
        <v>1524700</v>
      </c>
      <c r="G30" s="51">
        <f>CEILING(((SUM(G11,G17:G22,G24:G25)*$N$30)/2),100)</f>
        <v>555700</v>
      </c>
      <c r="H30" s="51">
        <f>CEILING(((SUM(H11,H17:H22,H24:H25)*$N$30)/2),100)</f>
        <v>455700</v>
      </c>
      <c r="I30" s="51">
        <f>CEILING(((SUM(I11,I17:I22,I24:I25)*$N$30)/2),100)</f>
        <v>513300</v>
      </c>
      <c r="J30" s="45"/>
      <c r="K30" s="52">
        <f>CEILING(((SUM(K11,K17:K22,K24:K25)*$N$30)/2),100)</f>
        <v>32500</v>
      </c>
      <c r="L30" s="19"/>
      <c r="M30" s="156" t="s">
        <v>71</v>
      </c>
      <c r="N30" s="156">
        <v>0.12</v>
      </c>
    </row>
    <row r="31" spans="1:14" s="31" customFormat="1" ht="15.75" thickBot="1" x14ac:dyDescent="0.3">
      <c r="A31" s="56"/>
      <c r="B31" s="282" t="s">
        <v>72</v>
      </c>
      <c r="C31" s="283"/>
      <c r="D31" s="57">
        <f>SUM(D29:D30)</f>
        <v>1760500</v>
      </c>
      <c r="E31" s="58"/>
      <c r="F31" s="59">
        <f t="shared" ref="F31:I31" si="5">SUM(F29:F30)</f>
        <v>1728000</v>
      </c>
      <c r="G31" s="59">
        <f t="shared" si="5"/>
        <v>633200</v>
      </c>
      <c r="H31" s="59">
        <f t="shared" si="5"/>
        <v>517200</v>
      </c>
      <c r="I31" s="59">
        <f t="shared" si="5"/>
        <v>577600</v>
      </c>
      <c r="J31" s="60"/>
      <c r="K31" s="59">
        <f>SUM(K29:K30)</f>
        <v>32500</v>
      </c>
      <c r="L31" s="185"/>
    </row>
    <row r="32" spans="1:14" s="31" customFormat="1" ht="30" customHeight="1" thickBot="1" x14ac:dyDescent="0.3">
      <c r="B32" s="280" t="s">
        <v>73</v>
      </c>
      <c r="C32" s="281"/>
      <c r="D32" s="61">
        <f>SUM(D31,D28)</f>
        <v>32246474</v>
      </c>
      <c r="E32" s="58"/>
      <c r="F32" s="62">
        <f>SUM(F31,F28)</f>
        <v>31661774</v>
      </c>
      <c r="G32" s="62">
        <f t="shared" ref="G32:K32" si="6">SUM(G28,G31)</f>
        <v>12050174</v>
      </c>
      <c r="H32" s="62">
        <f>SUM(H28,H31)</f>
        <v>9567200</v>
      </c>
      <c r="I32" s="62">
        <f t="shared" si="6"/>
        <v>10044400</v>
      </c>
      <c r="J32" s="63"/>
      <c r="K32" s="64">
        <f t="shared" si="6"/>
        <v>584700</v>
      </c>
      <c r="L32" s="185"/>
    </row>
    <row r="33" spans="2:11" ht="6.75" customHeight="1" x14ac:dyDescent="0.25">
      <c r="E33" s="8"/>
    </row>
    <row r="34" spans="2:11" ht="6.75" customHeight="1" x14ac:dyDescent="0.25">
      <c r="B34" s="268" t="s">
        <v>74</v>
      </c>
    </row>
    <row r="35" spans="2:11" ht="18" customHeight="1" x14ac:dyDescent="0.25">
      <c r="B35" s="268"/>
      <c r="C35" s="270" t="s">
        <v>75</v>
      </c>
      <c r="D35" s="270"/>
      <c r="E35" s="270"/>
      <c r="F35" s="270"/>
      <c r="G35" s="270"/>
      <c r="H35" s="270"/>
      <c r="I35" s="270"/>
      <c r="J35" s="270"/>
      <c r="K35" s="270"/>
    </row>
    <row r="36" spans="2:11" x14ac:dyDescent="0.25">
      <c r="B36" s="268"/>
      <c r="C36" s="270" t="s">
        <v>526</v>
      </c>
      <c r="D36" s="270"/>
      <c r="E36" s="270"/>
      <c r="F36" s="270"/>
      <c r="G36" s="270"/>
      <c r="H36" s="270"/>
      <c r="I36" s="270"/>
      <c r="J36" s="270"/>
      <c r="K36" s="270"/>
    </row>
    <row r="37" spans="2:11" x14ac:dyDescent="0.25">
      <c r="B37" s="268"/>
      <c r="C37" s="270" t="s">
        <v>527</v>
      </c>
      <c r="D37" s="270"/>
      <c r="E37" s="270"/>
      <c r="F37" s="270"/>
      <c r="G37" s="270"/>
      <c r="H37" s="270"/>
      <c r="I37" s="270"/>
      <c r="J37" s="270"/>
      <c r="K37" s="270"/>
    </row>
    <row r="38" spans="2:11" x14ac:dyDescent="0.25">
      <c r="B38" s="268"/>
      <c r="C38" s="270" t="s">
        <v>528</v>
      </c>
      <c r="D38" s="270"/>
      <c r="E38" s="270"/>
      <c r="F38" s="270"/>
      <c r="G38" s="270"/>
      <c r="H38" s="270"/>
      <c r="I38" s="270"/>
      <c r="J38" s="270"/>
      <c r="K38" s="270"/>
    </row>
    <row r="39" spans="2:11" x14ac:dyDescent="0.25">
      <c r="C39" t="s">
        <v>5</v>
      </c>
    </row>
    <row r="40" spans="2:11" x14ac:dyDescent="0.25">
      <c r="C40" s="236"/>
      <c r="D40" s="236"/>
      <c r="E40" s="269"/>
      <c r="F40" s="269"/>
    </row>
    <row r="41" spans="2:11" x14ac:dyDescent="0.25">
      <c r="C41" s="31"/>
      <c r="D41" s="236"/>
      <c r="E41" s="269"/>
      <c r="F41" s="269"/>
    </row>
    <row r="42" spans="2:11" x14ac:dyDescent="0.25">
      <c r="C42" s="31"/>
      <c r="D42" s="236"/>
      <c r="E42" s="269"/>
      <c r="F42" s="269"/>
    </row>
    <row r="43" spans="2:11" x14ac:dyDescent="0.25">
      <c r="C43" s="31"/>
      <c r="D43" s="236"/>
      <c r="E43" s="269"/>
      <c r="F43" s="269"/>
    </row>
    <row r="44" spans="2:11" x14ac:dyDescent="0.25">
      <c r="C44" s="31"/>
      <c r="D44" s="236"/>
      <c r="E44" s="269"/>
      <c r="F44" s="269"/>
    </row>
    <row r="45" spans="2:11" x14ac:dyDescent="0.25">
      <c r="C45" s="31"/>
      <c r="D45" s="236"/>
      <c r="E45" s="269"/>
      <c r="F45" s="269"/>
    </row>
    <row r="46" spans="2:11" x14ac:dyDescent="0.25">
      <c r="C46" s="31"/>
      <c r="D46" s="236"/>
      <c r="E46" s="269"/>
      <c r="F46" s="269"/>
    </row>
    <row r="47" spans="2:11" x14ac:dyDescent="0.25">
      <c r="E47" s="235"/>
      <c r="F47" s="235"/>
    </row>
    <row r="48" spans="2:11" x14ac:dyDescent="0.25">
      <c r="C48" s="236"/>
      <c r="D48" s="236"/>
      <c r="E48" s="267"/>
      <c r="F48" s="267"/>
    </row>
    <row r="49" spans="3:6" x14ac:dyDescent="0.25">
      <c r="C49" s="31"/>
      <c r="D49" s="236"/>
      <c r="E49" s="267"/>
      <c r="F49" s="267"/>
    </row>
    <row r="50" spans="3:6" x14ac:dyDescent="0.25">
      <c r="C50" s="31"/>
      <c r="D50" s="236"/>
      <c r="E50" s="267"/>
      <c r="F50" s="267"/>
    </row>
    <row r="51" spans="3:6" x14ac:dyDescent="0.25">
      <c r="C51" s="31"/>
      <c r="D51" s="236"/>
      <c r="E51" s="267"/>
      <c r="F51" s="267"/>
    </row>
    <row r="52" spans="3:6" x14ac:dyDescent="0.25">
      <c r="D52" s="55"/>
    </row>
  </sheetData>
  <sheetProtection formatCells="0" formatColumns="0" formatRows="0" insertColumns="0" insertRows="0" deleteColumns="0" deleteRows="0"/>
  <protectedRanges>
    <protectedRange algorithmName="SHA-512" hashValue="yJ7YkBA2u/CLyu2V3VZTOOGQ6VlgGl1GQf3hwna+lgiECzFrbzmeW+wENCRbi04XT/jTCfPteaEsqqg9//hxFg==" saltValue="M/HQVSxuNTUSB1+aTa62cw==" spinCount="100000" sqref="L1:XFD1048576 I1:K1048576 H1:H1048576 A1:G1048576" name="Range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s>
  <mergeCells count="28">
    <mergeCell ref="B32:C32"/>
    <mergeCell ref="B31:C31"/>
    <mergeCell ref="B28:C28"/>
    <mergeCell ref="B26:C26"/>
    <mergeCell ref="B23:C23"/>
    <mergeCell ref="B2:K2"/>
    <mergeCell ref="B3:K3"/>
    <mergeCell ref="B4:K4"/>
    <mergeCell ref="B5:K5"/>
    <mergeCell ref="F7:I7"/>
    <mergeCell ref="D7:D10"/>
    <mergeCell ref="B6:K6"/>
    <mergeCell ref="E50:F50"/>
    <mergeCell ref="E51:F51"/>
    <mergeCell ref="B34:B38"/>
    <mergeCell ref="E48:F48"/>
    <mergeCell ref="E49:F49"/>
    <mergeCell ref="E46:F46"/>
    <mergeCell ref="E44:F44"/>
    <mergeCell ref="E45:F45"/>
    <mergeCell ref="E40:F40"/>
    <mergeCell ref="E41:F41"/>
    <mergeCell ref="E42:F42"/>
    <mergeCell ref="E43:F43"/>
    <mergeCell ref="C35:K35"/>
    <mergeCell ref="C36:K36"/>
    <mergeCell ref="C37:K37"/>
    <mergeCell ref="C38:K38"/>
  </mergeCells>
  <pageMargins left="0.7" right="0.7" top="0.75" bottom="0.75" header="0.3" footer="0.3"/>
  <pageSetup scale="64" orientation="landscape" r:id="rId1"/>
  <headerFooter>
    <oddHeader>&amp;RKyPSC Case No. 2025-00229
STAFF-DR-01-005(b) Attachment 6
Page &amp;P of &amp;N</oddHeader>
  </headerFooter>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B1D54-3812-4554-B678-60749CA53F1B}">
  <sheetPr>
    <tabColor rgb="FFFFFF00"/>
    <pageSetUpPr fitToPage="1"/>
  </sheetPr>
  <dimension ref="B1:Q192"/>
  <sheetViews>
    <sheetView view="pageLayout" zoomScaleNormal="75" workbookViewId="0">
      <selection activeCell="AC7" sqref="AC7"/>
    </sheetView>
  </sheetViews>
  <sheetFormatPr defaultRowHeight="15" x14ac:dyDescent="0.25"/>
  <cols>
    <col min="1" max="1" width="9.28515625" customWidth="1"/>
    <col min="2" max="2" width="14.7109375" style="1" customWidth="1"/>
    <col min="3" max="3" width="41.7109375" style="162" customWidth="1"/>
    <col min="4" max="4" width="11.5703125" style="123" customWidth="1"/>
    <col min="5" max="5" width="17.7109375" style="1" customWidth="1"/>
    <col min="6" max="6" width="13" style="70" customWidth="1"/>
    <col min="7" max="7" width="0.7109375" style="70" customWidth="1"/>
    <col min="8" max="8" width="16.28515625" style="70" customWidth="1"/>
    <col min="9" max="9" width="21.28515625" style="70" customWidth="1"/>
    <col min="10" max="10" width="3.7109375" customWidth="1"/>
  </cols>
  <sheetData>
    <row r="1" spans="2:17" ht="23.25" x14ac:dyDescent="0.35">
      <c r="B1" s="103"/>
      <c r="C1" s="290" t="str">
        <f>'Master Tab'!$C$8</f>
        <v>Line AM07 Pipeline Replacement PH 1</v>
      </c>
      <c r="D1" s="290"/>
      <c r="E1" s="290"/>
      <c r="F1" s="290"/>
      <c r="G1" s="290"/>
      <c r="H1" s="104"/>
      <c r="I1" s="105"/>
    </row>
    <row r="2" spans="2:17" ht="19.5" thickBot="1" x14ac:dyDescent="0.35">
      <c r="B2" s="189">
        <f>'Master Tab'!$C$9</f>
        <v>44588</v>
      </c>
      <c r="C2" s="289" t="str">
        <f>'Master Tab'!$C$27</f>
        <v>Pipe NPS</v>
      </c>
      <c r="D2" s="289"/>
      <c r="E2" s="289"/>
      <c r="F2" s="289"/>
      <c r="G2" s="289"/>
      <c r="H2" s="106" t="s">
        <v>78</v>
      </c>
      <c r="I2" s="107" t="str">
        <f>'Master Tab'!$C$6</f>
        <v>E-Initiate</v>
      </c>
    </row>
    <row r="3" spans="2:17" ht="15.75" thickBot="1" x14ac:dyDescent="0.3">
      <c r="B3" s="109" t="s">
        <v>79</v>
      </c>
      <c r="C3" s="108" t="s">
        <v>80</v>
      </c>
      <c r="D3" s="115" t="s">
        <v>81</v>
      </c>
      <c r="E3" s="109" t="s">
        <v>82</v>
      </c>
      <c r="F3" s="110" t="s">
        <v>83</v>
      </c>
      <c r="G3" s="110"/>
      <c r="H3" s="110" t="s">
        <v>159</v>
      </c>
      <c r="I3" s="110" t="s">
        <v>84</v>
      </c>
      <c r="K3" s="270" t="s">
        <v>85</v>
      </c>
      <c r="L3" s="270"/>
      <c r="M3" s="270"/>
      <c r="N3" s="270"/>
      <c r="O3" s="270"/>
      <c r="P3" s="270"/>
      <c r="Q3" s="270"/>
    </row>
    <row r="4" spans="2:17" ht="15.75" x14ac:dyDescent="0.25">
      <c r="B4" s="78" t="s">
        <v>86</v>
      </c>
      <c r="C4" s="160"/>
      <c r="D4" s="116"/>
      <c r="E4" s="67"/>
      <c r="F4" s="68"/>
      <c r="G4" s="68"/>
      <c r="H4" s="68"/>
      <c r="I4" s="77"/>
      <c r="K4" s="288" t="s">
        <v>140</v>
      </c>
      <c r="L4" s="288"/>
      <c r="M4" s="288"/>
      <c r="N4" s="288"/>
      <c r="O4" s="288"/>
      <c r="P4" s="288"/>
      <c r="Q4" s="288"/>
    </row>
    <row r="5" spans="2:17" x14ac:dyDescent="0.25">
      <c r="B5" s="188" t="s">
        <v>398</v>
      </c>
      <c r="C5" s="2" t="s">
        <v>60</v>
      </c>
      <c r="D5" s="113">
        <v>1</v>
      </c>
      <c r="E5" s="76" t="s">
        <v>426</v>
      </c>
      <c r="F5" s="69">
        <v>120000</v>
      </c>
      <c r="G5" s="88" t="s">
        <v>5</v>
      </c>
      <c r="H5" s="69">
        <f>CEILING(F5*D5,100)</f>
        <v>120000</v>
      </c>
      <c r="I5" s="89"/>
    </row>
    <row r="6" spans="2:17" x14ac:dyDescent="0.25">
      <c r="B6" s="188" t="s">
        <v>399</v>
      </c>
      <c r="C6" s="2" t="s">
        <v>88</v>
      </c>
      <c r="D6" s="113">
        <f>'Master Tab'!$C$16</f>
        <v>40</v>
      </c>
      <c r="E6" s="76" t="s">
        <v>249</v>
      </c>
      <c r="F6" s="69">
        <v>500</v>
      </c>
      <c r="G6" s="88" t="s">
        <v>5</v>
      </c>
      <c r="H6" s="69">
        <f>CEILING(F6*D6,100)</f>
        <v>20000</v>
      </c>
      <c r="I6" s="89"/>
    </row>
    <row r="7" spans="2:17" ht="15.75" x14ac:dyDescent="0.25">
      <c r="B7" s="78" t="s">
        <v>90</v>
      </c>
      <c r="C7" s="65"/>
      <c r="D7" s="116"/>
      <c r="E7" s="67"/>
      <c r="F7" s="68"/>
      <c r="G7" s="68"/>
      <c r="H7" s="68"/>
      <c r="I7" s="77">
        <f>CEILING(SUM(H5:H6),100)</f>
        <v>140000</v>
      </c>
    </row>
    <row r="8" spans="2:17" ht="8.25" customHeight="1" x14ac:dyDescent="0.25">
      <c r="B8" s="194"/>
      <c r="C8" s="91"/>
      <c r="D8" s="117"/>
      <c r="E8" s="90"/>
      <c r="F8" s="92"/>
      <c r="G8" s="92"/>
      <c r="H8" s="92"/>
      <c r="I8" s="93"/>
    </row>
    <row r="9" spans="2:17" ht="15.75" x14ac:dyDescent="0.25">
      <c r="B9" s="78" t="s">
        <v>91</v>
      </c>
      <c r="C9" s="65"/>
      <c r="D9" s="116"/>
      <c r="E9" s="67"/>
      <c r="F9" s="68"/>
      <c r="G9" s="68"/>
      <c r="H9" s="68"/>
      <c r="I9" s="77"/>
    </row>
    <row r="10" spans="2:17" x14ac:dyDescent="0.25">
      <c r="B10" s="188" t="s">
        <v>369</v>
      </c>
      <c r="C10" s="2" t="s">
        <v>370</v>
      </c>
      <c r="D10" s="113">
        <f>((($I$44+$I$159+$I$185)*K10)/F10)*0.01</f>
        <v>78.935729600000002</v>
      </c>
      <c r="E10" s="76" t="s">
        <v>87</v>
      </c>
      <c r="F10" s="69">
        <v>125</v>
      </c>
      <c r="G10" s="88"/>
      <c r="H10" s="69">
        <f t="shared" ref="H10:H26" si="0">F10*D10</f>
        <v>9866.9662000000008</v>
      </c>
      <c r="I10" s="89"/>
      <c r="K10" s="231">
        <v>0.13</v>
      </c>
      <c r="L10" s="230" t="s">
        <v>492</v>
      </c>
      <c r="M10" s="229"/>
    </row>
    <row r="11" spans="2:17" x14ac:dyDescent="0.25">
      <c r="B11" s="188" t="s">
        <v>371</v>
      </c>
      <c r="C11" s="2" t="s">
        <v>372</v>
      </c>
      <c r="D11" s="113">
        <f>((($I$44+$I$159+$I$185)*K10)/F11)*0.011</f>
        <v>86.829302559999988</v>
      </c>
      <c r="E11" s="76" t="s">
        <v>87</v>
      </c>
      <c r="F11" s="69">
        <v>125</v>
      </c>
      <c r="G11" s="88"/>
      <c r="H11" s="69">
        <f t="shared" si="0"/>
        <v>10853.662819999998</v>
      </c>
      <c r="I11" s="89"/>
    </row>
    <row r="12" spans="2:17" x14ac:dyDescent="0.25">
      <c r="B12" s="188" t="s">
        <v>373</v>
      </c>
      <c r="C12" s="2" t="s">
        <v>374</v>
      </c>
      <c r="D12" s="113">
        <f>((($I$44+$I$159+$I$185)*K10)/F12)*0.043</f>
        <v>339.42363727999998</v>
      </c>
      <c r="E12" s="76" t="s">
        <v>87</v>
      </c>
      <c r="F12" s="69">
        <v>125</v>
      </c>
      <c r="G12" s="88"/>
      <c r="H12" s="69">
        <f t="shared" si="0"/>
        <v>42427.954659999996</v>
      </c>
      <c r="I12" s="89"/>
    </row>
    <row r="13" spans="2:17" x14ac:dyDescent="0.25">
      <c r="B13" s="188" t="s">
        <v>375</v>
      </c>
      <c r="C13" s="2" t="s">
        <v>376</v>
      </c>
      <c r="D13" s="113">
        <f>((($I$44+$I$159+$I$185)*K10)/F13)*0.002</f>
        <v>15.787145919999999</v>
      </c>
      <c r="E13" s="76" t="s">
        <v>87</v>
      </c>
      <c r="F13" s="69">
        <v>125</v>
      </c>
      <c r="G13" s="88"/>
      <c r="H13" s="69">
        <f t="shared" si="0"/>
        <v>1973.3932399999999</v>
      </c>
      <c r="I13" s="89"/>
    </row>
    <row r="14" spans="2:17" x14ac:dyDescent="0.25">
      <c r="B14" s="188" t="s">
        <v>377</v>
      </c>
      <c r="C14" s="2" t="s">
        <v>378</v>
      </c>
      <c r="D14" s="113">
        <f>((($I$44+$I$159+$I$185)*K10)/F14)*0.007</f>
        <v>55.255010719999994</v>
      </c>
      <c r="E14" s="76" t="s">
        <v>87</v>
      </c>
      <c r="F14" s="69">
        <v>125</v>
      </c>
      <c r="G14" s="88"/>
      <c r="H14" s="69">
        <f t="shared" si="0"/>
        <v>6906.8763399999989</v>
      </c>
      <c r="I14" s="89"/>
    </row>
    <row r="15" spans="2:17" x14ac:dyDescent="0.25">
      <c r="B15" s="188" t="s">
        <v>379</v>
      </c>
      <c r="C15" s="2" t="s">
        <v>380</v>
      </c>
      <c r="D15" s="113">
        <f>((($I$44+$I$159+$I$185)*K10)/F15)*0.112</f>
        <v>884.08017151999991</v>
      </c>
      <c r="E15" s="76" t="s">
        <v>87</v>
      </c>
      <c r="F15" s="69">
        <v>125</v>
      </c>
      <c r="G15" s="88"/>
      <c r="H15" s="69">
        <f t="shared" si="0"/>
        <v>110510.02143999998</v>
      </c>
      <c r="I15" s="89"/>
    </row>
    <row r="16" spans="2:17" x14ac:dyDescent="0.25">
      <c r="B16" s="188" t="s">
        <v>381</v>
      </c>
      <c r="C16" s="2" t="s">
        <v>382</v>
      </c>
      <c r="D16" s="113">
        <f>((($I$44+$I$159+$I$185)*K10)/F16)*0.046</f>
        <v>363.10435615999995</v>
      </c>
      <c r="E16" s="76" t="s">
        <v>87</v>
      </c>
      <c r="F16" s="69">
        <v>125</v>
      </c>
      <c r="G16" s="88"/>
      <c r="H16" s="69">
        <f t="shared" si="0"/>
        <v>45388.044519999996</v>
      </c>
      <c r="I16" s="89"/>
    </row>
    <row r="17" spans="2:13" x14ac:dyDescent="0.25">
      <c r="B17" s="188" t="s">
        <v>383</v>
      </c>
      <c r="C17" s="2" t="s">
        <v>409</v>
      </c>
      <c r="D17" s="113">
        <f>((($I$44+$I$159+$I$185)*K10)/F17)*0.04</f>
        <v>315.74291840000001</v>
      </c>
      <c r="E17" s="76" t="s">
        <v>87</v>
      </c>
      <c r="F17" s="69">
        <v>125</v>
      </c>
      <c r="G17" s="88"/>
      <c r="H17" s="69">
        <f t="shared" si="0"/>
        <v>39467.864800000003</v>
      </c>
      <c r="I17" s="89"/>
    </row>
    <row r="18" spans="2:13" x14ac:dyDescent="0.25">
      <c r="B18" s="188" t="s">
        <v>384</v>
      </c>
      <c r="C18" s="2" t="s">
        <v>385</v>
      </c>
      <c r="D18" s="113">
        <f>((($I$44+$I$159+$I$185)*K10)/F18)*0.055</f>
        <v>434.14651279999998</v>
      </c>
      <c r="E18" s="76" t="s">
        <v>87</v>
      </c>
      <c r="F18" s="69">
        <v>125</v>
      </c>
      <c r="G18" s="88"/>
      <c r="H18" s="69">
        <f t="shared" si="0"/>
        <v>54268.314099999996</v>
      </c>
      <c r="I18" s="89"/>
    </row>
    <row r="19" spans="2:13" x14ac:dyDescent="0.25">
      <c r="B19" s="188" t="s">
        <v>391</v>
      </c>
      <c r="C19" s="2" t="s">
        <v>92</v>
      </c>
      <c r="D19" s="113">
        <f>((($I$44+$I$159+$I$185)*K10)/F19)*0.092</f>
        <v>726.2087123199999</v>
      </c>
      <c r="E19" s="76" t="s">
        <v>87</v>
      </c>
      <c r="F19" s="69">
        <v>125</v>
      </c>
      <c r="G19" s="88"/>
      <c r="H19" s="69">
        <f t="shared" si="0"/>
        <v>90776.089039999992</v>
      </c>
      <c r="I19" s="89"/>
    </row>
    <row r="20" spans="2:13" x14ac:dyDescent="0.25">
      <c r="B20" s="188" t="s">
        <v>392</v>
      </c>
      <c r="C20" s="2" t="s">
        <v>93</v>
      </c>
      <c r="D20" s="113">
        <f>((($I$44+$I$159+$I$185)*K10)/F20)*0</f>
        <v>0</v>
      </c>
      <c r="E20" s="76" t="s">
        <v>87</v>
      </c>
      <c r="F20" s="69">
        <v>125</v>
      </c>
      <c r="G20" s="88"/>
      <c r="H20" s="69">
        <f t="shared" si="0"/>
        <v>0</v>
      </c>
      <c r="I20" s="89"/>
    </row>
    <row r="21" spans="2:13" x14ac:dyDescent="0.25">
      <c r="B21" s="188" t="s">
        <v>393</v>
      </c>
      <c r="C21" s="2" t="s">
        <v>386</v>
      </c>
      <c r="D21" s="113">
        <f>((($I$44+$I$159+$I$185)*K10)/F21)*0.002</f>
        <v>15.787145919999999</v>
      </c>
      <c r="E21" s="76" t="s">
        <v>87</v>
      </c>
      <c r="F21" s="69">
        <v>125</v>
      </c>
      <c r="G21" s="88"/>
      <c r="H21" s="69">
        <f t="shared" si="0"/>
        <v>1973.3932399999999</v>
      </c>
      <c r="I21" s="89"/>
    </row>
    <row r="22" spans="2:13" x14ac:dyDescent="0.25">
      <c r="B22" s="188" t="s">
        <v>394</v>
      </c>
      <c r="C22" s="2" t="s">
        <v>387</v>
      </c>
      <c r="D22" s="113">
        <f>((($I$44+$I$159+$I$185)*K10)/F22)*0.017</f>
        <v>134.19074032</v>
      </c>
      <c r="E22" s="76" t="s">
        <v>87</v>
      </c>
      <c r="F22" s="69">
        <v>125</v>
      </c>
      <c r="G22" s="88"/>
      <c r="H22" s="69">
        <f t="shared" si="0"/>
        <v>16773.842540000001</v>
      </c>
      <c r="I22" s="89"/>
    </row>
    <row r="23" spans="2:13" x14ac:dyDescent="0.25">
      <c r="B23" s="188" t="s">
        <v>395</v>
      </c>
      <c r="C23" s="2" t="s">
        <v>388</v>
      </c>
      <c r="D23" s="113">
        <f>((($I$44+$I$159+$I$185)*K10)/F23)*0.13</f>
        <v>1026.1644848000001</v>
      </c>
      <c r="E23" s="76" t="s">
        <v>87</v>
      </c>
      <c r="F23" s="69">
        <v>125</v>
      </c>
      <c r="G23" s="88"/>
      <c r="H23" s="69">
        <f t="shared" si="0"/>
        <v>128270.56060000001</v>
      </c>
      <c r="I23" s="89"/>
    </row>
    <row r="24" spans="2:13" x14ac:dyDescent="0.25">
      <c r="B24" s="188" t="s">
        <v>396</v>
      </c>
      <c r="C24" s="2" t="s">
        <v>389</v>
      </c>
      <c r="D24" s="113">
        <f>((($I$44+$I$159+$I$185)*K10)/F24)*0.42</f>
        <v>3315.3006431999997</v>
      </c>
      <c r="E24" s="76" t="s">
        <v>87</v>
      </c>
      <c r="F24" s="69">
        <v>125</v>
      </c>
      <c r="G24" s="88"/>
      <c r="H24" s="69">
        <f t="shared" si="0"/>
        <v>414412.58039999998</v>
      </c>
      <c r="I24" s="89"/>
    </row>
    <row r="25" spans="2:13" x14ac:dyDescent="0.25">
      <c r="B25" s="188" t="s">
        <v>396</v>
      </c>
      <c r="C25" s="2" t="s">
        <v>390</v>
      </c>
      <c r="D25" s="113">
        <f>((($I$44+$I$159+$I$185)*K10)/F25)*0.012</f>
        <v>94.722875520000002</v>
      </c>
      <c r="E25" s="76" t="s">
        <v>87</v>
      </c>
      <c r="F25" s="69">
        <v>125</v>
      </c>
      <c r="G25" s="88"/>
      <c r="H25" s="69">
        <f t="shared" si="0"/>
        <v>11840.35944</v>
      </c>
      <c r="I25" s="89"/>
    </row>
    <row r="26" spans="2:13" x14ac:dyDescent="0.25">
      <c r="B26" s="188" t="s">
        <v>397</v>
      </c>
      <c r="C26" s="2" t="s">
        <v>94</v>
      </c>
      <c r="D26" s="120">
        <v>1</v>
      </c>
      <c r="E26" s="148" t="s">
        <v>103</v>
      </c>
      <c r="F26" s="69">
        <v>16500</v>
      </c>
      <c r="G26" s="88"/>
      <c r="H26" s="69">
        <f t="shared" si="0"/>
        <v>16500</v>
      </c>
      <c r="I26" s="89"/>
    </row>
    <row r="27" spans="2:13" ht="15.75" x14ac:dyDescent="0.25">
      <c r="B27" s="78" t="s">
        <v>95</v>
      </c>
      <c r="C27" s="65"/>
      <c r="D27" s="116"/>
      <c r="E27" s="67"/>
      <c r="F27" s="68"/>
      <c r="G27" s="68"/>
      <c r="H27" s="94"/>
      <c r="I27" s="77">
        <f>CEILING(SUM(H10:H26),100)</f>
        <v>1002300</v>
      </c>
    </row>
    <row r="28" spans="2:13" ht="8.25" customHeight="1" x14ac:dyDescent="0.25">
      <c r="B28" s="194"/>
      <c r="C28" s="91"/>
      <c r="D28" s="117"/>
      <c r="E28" s="90"/>
      <c r="F28" s="92"/>
      <c r="G28" s="92"/>
      <c r="H28" s="92"/>
      <c r="I28" s="93"/>
    </row>
    <row r="29" spans="2:13" ht="15.75" x14ac:dyDescent="0.25">
      <c r="B29" s="78" t="s">
        <v>96</v>
      </c>
      <c r="C29" s="65"/>
      <c r="D29" s="116"/>
      <c r="E29" s="67"/>
      <c r="F29" s="68"/>
      <c r="G29" s="68"/>
      <c r="H29" s="68"/>
      <c r="I29" s="77"/>
    </row>
    <row r="30" spans="2:13" x14ac:dyDescent="0.25">
      <c r="B30" s="188" t="s">
        <v>400</v>
      </c>
      <c r="C30" s="2" t="s">
        <v>274</v>
      </c>
      <c r="D30" s="118">
        <v>0</v>
      </c>
      <c r="E30" s="155" t="s">
        <v>97</v>
      </c>
      <c r="F30" s="69">
        <v>45000</v>
      </c>
      <c r="G30" s="88"/>
      <c r="H30" s="69">
        <f t="shared" ref="H30:H43" si="1">CEILING(F30*D30,100)</f>
        <v>0</v>
      </c>
      <c r="I30" s="89"/>
      <c r="M30" t="s">
        <v>5</v>
      </c>
    </row>
    <row r="31" spans="2:13" x14ac:dyDescent="0.25">
      <c r="B31" s="188" t="s">
        <v>400</v>
      </c>
      <c r="C31" s="2" t="s">
        <v>275</v>
      </c>
      <c r="D31" s="118">
        <v>0</v>
      </c>
      <c r="E31" s="155" t="s">
        <v>97</v>
      </c>
      <c r="F31" s="69">
        <v>125000</v>
      </c>
      <c r="G31" s="88"/>
      <c r="H31" s="69">
        <f>CEILING(F31*D31,100)</f>
        <v>0</v>
      </c>
      <c r="I31" s="89"/>
    </row>
    <row r="32" spans="2:13" x14ac:dyDescent="0.25">
      <c r="B32" s="188" t="s">
        <v>401</v>
      </c>
      <c r="C32" s="2" t="s">
        <v>276</v>
      </c>
      <c r="D32" s="233">
        <v>4</v>
      </c>
      <c r="E32" s="155" t="s">
        <v>97</v>
      </c>
      <c r="F32" s="96">
        <f>F30*1.2</f>
        <v>54000</v>
      </c>
      <c r="G32" s="88"/>
      <c r="H32" s="69">
        <f t="shared" si="1"/>
        <v>216000</v>
      </c>
      <c r="I32" s="89"/>
    </row>
    <row r="33" spans="2:11" x14ac:dyDescent="0.25">
      <c r="B33" s="188" t="s">
        <v>401</v>
      </c>
      <c r="C33" s="2" t="s">
        <v>279</v>
      </c>
      <c r="D33" s="118">
        <v>0</v>
      </c>
      <c r="E33" s="155" t="s">
        <v>97</v>
      </c>
      <c r="F33" s="96">
        <f>F31*1.2</f>
        <v>150000</v>
      </c>
      <c r="G33" s="88"/>
      <c r="H33" s="69">
        <f>CEILING(F33*D33,100)</f>
        <v>0</v>
      </c>
      <c r="I33" s="89"/>
    </row>
    <row r="34" spans="2:11" x14ac:dyDescent="0.25">
      <c r="B34" s="188" t="s">
        <v>401</v>
      </c>
      <c r="C34" s="2" t="s">
        <v>277</v>
      </c>
      <c r="D34" s="118">
        <v>0</v>
      </c>
      <c r="E34" s="155" t="s">
        <v>97</v>
      </c>
      <c r="F34" s="96">
        <f>F30*1.4</f>
        <v>62999.999999999993</v>
      </c>
      <c r="G34" s="88"/>
      <c r="H34" s="69">
        <f t="shared" si="1"/>
        <v>0</v>
      </c>
      <c r="I34" s="89"/>
    </row>
    <row r="35" spans="2:11" x14ac:dyDescent="0.25">
      <c r="B35" s="188" t="s">
        <v>401</v>
      </c>
      <c r="C35" s="2" t="s">
        <v>280</v>
      </c>
      <c r="D35" s="118">
        <v>0</v>
      </c>
      <c r="E35" s="155" t="s">
        <v>97</v>
      </c>
      <c r="F35" s="96">
        <f>F31*1.4</f>
        <v>175000</v>
      </c>
      <c r="G35" s="88"/>
      <c r="H35" s="69">
        <f>CEILING(F35*D35,100)</f>
        <v>0</v>
      </c>
      <c r="I35" s="89"/>
    </row>
    <row r="36" spans="2:11" x14ac:dyDescent="0.25">
      <c r="B36" s="188" t="s">
        <v>397</v>
      </c>
      <c r="C36" s="2" t="s">
        <v>286</v>
      </c>
      <c r="D36" s="233">
        <v>13</v>
      </c>
      <c r="E36" s="155" t="s">
        <v>97</v>
      </c>
      <c r="F36" s="96">
        <f>F30*0.25</f>
        <v>11250</v>
      </c>
      <c r="G36" s="88"/>
      <c r="H36" s="69">
        <f t="shared" si="1"/>
        <v>146300</v>
      </c>
      <c r="I36" s="89"/>
    </row>
    <row r="37" spans="2:11" x14ac:dyDescent="0.25">
      <c r="B37" s="188" t="s">
        <v>397</v>
      </c>
      <c r="C37" s="2" t="s">
        <v>287</v>
      </c>
      <c r="D37" s="118">
        <v>0</v>
      </c>
      <c r="E37" s="155" t="s">
        <v>97</v>
      </c>
      <c r="F37" s="96">
        <f>F31*0.25</f>
        <v>31250</v>
      </c>
      <c r="G37" s="88"/>
      <c r="H37" s="69">
        <f>CEILING(F37*D37,100)</f>
        <v>0</v>
      </c>
      <c r="I37" s="89"/>
    </row>
    <row r="38" spans="2:11" x14ac:dyDescent="0.25">
      <c r="B38" s="188" t="s">
        <v>402</v>
      </c>
      <c r="C38" s="2" t="s">
        <v>252</v>
      </c>
      <c r="D38" s="118">
        <v>4</v>
      </c>
      <c r="E38" s="155" t="s">
        <v>122</v>
      </c>
      <c r="F38" s="69">
        <v>10000</v>
      </c>
      <c r="G38" s="88"/>
      <c r="H38" s="69">
        <f t="shared" si="1"/>
        <v>40000</v>
      </c>
      <c r="I38" s="89"/>
    </row>
    <row r="39" spans="2:11" x14ac:dyDescent="0.25">
      <c r="B39" s="188" t="s">
        <v>397</v>
      </c>
      <c r="C39" s="2" t="s">
        <v>253</v>
      </c>
      <c r="D39" s="113">
        <f>'Master Tab'!C18+2</f>
        <v>10</v>
      </c>
      <c r="E39" s="155" t="s">
        <v>273</v>
      </c>
      <c r="F39" s="69">
        <v>4200</v>
      </c>
      <c r="G39" s="88"/>
      <c r="H39" s="69">
        <f t="shared" si="1"/>
        <v>42000</v>
      </c>
      <c r="I39" s="89"/>
    </row>
    <row r="40" spans="2:11" x14ac:dyDescent="0.25">
      <c r="B40" s="188" t="s">
        <v>403</v>
      </c>
      <c r="C40" s="2" t="s">
        <v>284</v>
      </c>
      <c r="D40" s="113">
        <f>D42</f>
        <v>1</v>
      </c>
      <c r="E40" s="155" t="s">
        <v>98</v>
      </c>
      <c r="F40" s="69">
        <v>3250</v>
      </c>
      <c r="G40" s="88"/>
      <c r="H40" s="69">
        <f t="shared" si="1"/>
        <v>3300</v>
      </c>
      <c r="I40" s="89"/>
    </row>
    <row r="41" spans="2:11" x14ac:dyDescent="0.25">
      <c r="B41" s="188" t="s">
        <v>403</v>
      </c>
      <c r="C41" s="2" t="s">
        <v>316</v>
      </c>
      <c r="D41" s="118">
        <v>0</v>
      </c>
      <c r="E41" s="155" t="s">
        <v>97</v>
      </c>
      <c r="F41" s="69">
        <v>0</v>
      </c>
      <c r="G41" s="88"/>
      <c r="H41" s="69">
        <f>CEILING(F41*D41,100)</f>
        <v>0</v>
      </c>
      <c r="I41" s="89"/>
    </row>
    <row r="42" spans="2:11" x14ac:dyDescent="0.25">
      <c r="B42" s="188" t="s">
        <v>404</v>
      </c>
      <c r="C42" s="2" t="s">
        <v>288</v>
      </c>
      <c r="D42" s="118">
        <v>1</v>
      </c>
      <c r="E42" s="155" t="s">
        <v>426</v>
      </c>
      <c r="F42" s="69">
        <v>169274</v>
      </c>
      <c r="G42" s="88"/>
      <c r="H42" s="69">
        <v>169274</v>
      </c>
      <c r="I42" s="89"/>
    </row>
    <row r="43" spans="2:11" x14ac:dyDescent="0.25">
      <c r="B43" s="188" t="s">
        <v>404</v>
      </c>
      <c r="C43" s="2" t="s">
        <v>99</v>
      </c>
      <c r="D43" s="113">
        <f>ROUNDUP(D42*0.1,1)</f>
        <v>0.1</v>
      </c>
      <c r="E43" s="76" t="s">
        <v>98</v>
      </c>
      <c r="F43" s="69">
        <v>20000</v>
      </c>
      <c r="G43" s="88"/>
      <c r="H43" s="69">
        <f t="shared" si="1"/>
        <v>2000</v>
      </c>
      <c r="I43" s="89"/>
    </row>
    <row r="44" spans="2:11" ht="15.75" x14ac:dyDescent="0.25">
      <c r="B44" s="78" t="s">
        <v>100</v>
      </c>
      <c r="C44" s="65"/>
      <c r="D44" s="116"/>
      <c r="E44" s="67"/>
      <c r="F44" s="68"/>
      <c r="G44" s="94"/>
      <c r="H44" s="68"/>
      <c r="I44" s="77">
        <f>SUM(H30:H43)</f>
        <v>618874</v>
      </c>
    </row>
    <row r="45" spans="2:11" ht="8.25" customHeight="1" x14ac:dyDescent="0.25">
      <c r="B45" s="194"/>
      <c r="C45" s="91"/>
      <c r="D45" s="117"/>
      <c r="E45" s="90"/>
      <c r="F45" s="92"/>
      <c r="G45" s="92"/>
      <c r="H45" s="92"/>
      <c r="I45" s="93"/>
    </row>
    <row r="46" spans="2:11" ht="15.75" x14ac:dyDescent="0.25">
      <c r="B46" s="78" t="s">
        <v>101</v>
      </c>
      <c r="C46" s="65"/>
      <c r="D46" s="119">
        <v>7500</v>
      </c>
      <c r="E46" s="74" t="s">
        <v>102</v>
      </c>
      <c r="F46" s="75"/>
      <c r="G46" s="68"/>
      <c r="H46" s="68"/>
      <c r="I46" s="77"/>
    </row>
    <row r="47" spans="2:11" x14ac:dyDescent="0.25">
      <c r="B47" s="188">
        <v>820</v>
      </c>
      <c r="C47" s="2" t="s">
        <v>104</v>
      </c>
      <c r="D47" s="120">
        <v>1</v>
      </c>
      <c r="E47" s="76" t="s">
        <v>103</v>
      </c>
      <c r="F47" s="96">
        <f>(SUM(H48:H158)*K47)</f>
        <v>493961.30000000005</v>
      </c>
      <c r="G47" s="88"/>
      <c r="H47" s="69">
        <f>F47*D47</f>
        <v>493961.30000000005</v>
      </c>
      <c r="I47" s="89"/>
      <c r="K47" s="97">
        <v>0.1</v>
      </c>
    </row>
    <row r="48" spans="2:11" x14ac:dyDescent="0.25">
      <c r="B48" s="188">
        <v>821</v>
      </c>
      <c r="C48" s="2" t="s">
        <v>197</v>
      </c>
      <c r="D48" s="233">
        <v>17</v>
      </c>
      <c r="E48" s="155" t="s">
        <v>209</v>
      </c>
      <c r="F48" s="69">
        <v>37800</v>
      </c>
      <c r="G48" s="88"/>
      <c r="H48" s="69">
        <f t="shared" ref="H48:H158" si="2">F48*D48</f>
        <v>642600</v>
      </c>
      <c r="I48" s="89"/>
    </row>
    <row r="49" spans="2:12" x14ac:dyDescent="0.25">
      <c r="B49" s="188">
        <v>821</v>
      </c>
      <c r="C49" s="2" t="s">
        <v>198</v>
      </c>
      <c r="D49" s="118">
        <v>0</v>
      </c>
      <c r="E49" s="155" t="s">
        <v>209</v>
      </c>
      <c r="F49" s="69">
        <v>0</v>
      </c>
      <c r="G49" s="88"/>
      <c r="H49" s="69">
        <f t="shared" si="2"/>
        <v>0</v>
      </c>
      <c r="I49" s="89"/>
    </row>
    <row r="50" spans="2:12" x14ac:dyDescent="0.25">
      <c r="B50" s="188">
        <v>829</v>
      </c>
      <c r="C50" s="2" t="s">
        <v>114</v>
      </c>
      <c r="D50" s="118">
        <f>D46-D51-D52-D53-D54</f>
        <v>7360</v>
      </c>
      <c r="E50" s="155" t="s">
        <v>109</v>
      </c>
      <c r="F50" s="69">
        <v>335</v>
      </c>
      <c r="G50" s="88"/>
      <c r="H50" s="69">
        <f t="shared" si="2"/>
        <v>2465600</v>
      </c>
      <c r="I50" s="89"/>
      <c r="L50" t="s">
        <v>5</v>
      </c>
    </row>
    <row r="51" spans="2:12" x14ac:dyDescent="0.25">
      <c r="B51" s="188">
        <v>829</v>
      </c>
      <c r="C51" s="2" t="s">
        <v>471</v>
      </c>
      <c r="D51" s="118">
        <v>0</v>
      </c>
      <c r="E51" s="155" t="s">
        <v>109</v>
      </c>
      <c r="F51" s="69">
        <v>0</v>
      </c>
      <c r="G51" s="88"/>
      <c r="H51" s="69">
        <f t="shared" si="2"/>
        <v>0</v>
      </c>
      <c r="I51" s="89"/>
    </row>
    <row r="52" spans="2:12" x14ac:dyDescent="0.25">
      <c r="B52" s="188">
        <v>830</v>
      </c>
      <c r="C52" s="2" t="s">
        <v>115</v>
      </c>
      <c r="D52" s="118">
        <v>0</v>
      </c>
      <c r="E52" s="155" t="s">
        <v>109</v>
      </c>
      <c r="F52" s="69">
        <v>0</v>
      </c>
      <c r="G52" s="88"/>
      <c r="H52" s="69">
        <f t="shared" si="2"/>
        <v>0</v>
      </c>
      <c r="I52" s="89"/>
    </row>
    <row r="53" spans="2:12" x14ac:dyDescent="0.25">
      <c r="B53" s="188">
        <v>825</v>
      </c>
      <c r="C53" s="2" t="s">
        <v>110</v>
      </c>
      <c r="D53" s="118">
        <v>140</v>
      </c>
      <c r="E53" s="155" t="s">
        <v>109</v>
      </c>
      <c r="F53" s="69">
        <f>310+325</f>
        <v>635</v>
      </c>
      <c r="G53" s="88"/>
      <c r="H53" s="69">
        <f t="shared" si="2"/>
        <v>88900</v>
      </c>
      <c r="I53" s="89"/>
    </row>
    <row r="54" spans="2:12" x14ac:dyDescent="0.25">
      <c r="B54" s="188">
        <v>826</v>
      </c>
      <c r="C54" s="2" t="s">
        <v>111</v>
      </c>
      <c r="D54" s="118">
        <v>0</v>
      </c>
      <c r="E54" s="155" t="s">
        <v>109</v>
      </c>
      <c r="F54" s="69">
        <v>0</v>
      </c>
      <c r="G54" s="88"/>
      <c r="H54" s="69">
        <f t="shared" si="2"/>
        <v>0</v>
      </c>
      <c r="I54" s="89"/>
    </row>
    <row r="55" spans="2:12" x14ac:dyDescent="0.25">
      <c r="B55" s="188">
        <v>827</v>
      </c>
      <c r="C55" s="2" t="s">
        <v>112</v>
      </c>
      <c r="D55" s="118">
        <v>0</v>
      </c>
      <c r="E55" s="155" t="s">
        <v>109</v>
      </c>
      <c r="F55" s="69">
        <v>0</v>
      </c>
      <c r="G55" s="88"/>
      <c r="H55" s="69">
        <f t="shared" si="2"/>
        <v>0</v>
      </c>
      <c r="I55" s="89"/>
    </row>
    <row r="56" spans="2:12" x14ac:dyDescent="0.25">
      <c r="B56" s="188">
        <v>828</v>
      </c>
      <c r="C56" s="2" t="s">
        <v>113</v>
      </c>
      <c r="D56" s="118">
        <v>0</v>
      </c>
      <c r="E56" s="155" t="s">
        <v>109</v>
      </c>
      <c r="F56" s="69">
        <v>0</v>
      </c>
      <c r="G56" s="88"/>
      <c r="H56" s="69">
        <f>F56*D56</f>
        <v>0</v>
      </c>
      <c r="I56" s="89"/>
    </row>
    <row r="57" spans="2:12" x14ac:dyDescent="0.25">
      <c r="B57" s="188">
        <v>822</v>
      </c>
      <c r="C57" s="2" t="s">
        <v>199</v>
      </c>
      <c r="D57" s="118">
        <v>0</v>
      </c>
      <c r="E57" s="155" t="s">
        <v>149</v>
      </c>
      <c r="F57" s="69">
        <v>0</v>
      </c>
      <c r="G57" s="88"/>
      <c r="H57" s="69">
        <f>F57*D57</f>
        <v>0</v>
      </c>
      <c r="I57" s="89"/>
    </row>
    <row r="58" spans="2:12" x14ac:dyDescent="0.25">
      <c r="B58" s="188">
        <v>822</v>
      </c>
      <c r="C58" s="2" t="s">
        <v>200</v>
      </c>
      <c r="D58" s="118">
        <v>0</v>
      </c>
      <c r="E58" s="155" t="s">
        <v>149</v>
      </c>
      <c r="F58" s="69">
        <v>0</v>
      </c>
      <c r="G58" s="88"/>
      <c r="H58" s="69">
        <f>F58*D58</f>
        <v>0</v>
      </c>
      <c r="I58" s="89"/>
    </row>
    <row r="59" spans="2:12" x14ac:dyDescent="0.25">
      <c r="B59" s="188">
        <v>829</v>
      </c>
      <c r="C59" s="2" t="s">
        <v>201</v>
      </c>
      <c r="D59" s="118">
        <v>1200</v>
      </c>
      <c r="E59" s="155" t="s">
        <v>427</v>
      </c>
      <c r="F59" s="69">
        <v>40</v>
      </c>
      <c r="G59" s="88"/>
      <c r="H59" s="69">
        <f t="shared" si="2"/>
        <v>48000</v>
      </c>
      <c r="I59" s="89"/>
    </row>
    <row r="60" spans="2:12" x14ac:dyDescent="0.25">
      <c r="B60" s="188">
        <v>829</v>
      </c>
      <c r="C60" s="2" t="s">
        <v>202</v>
      </c>
      <c r="D60" s="118">
        <v>0</v>
      </c>
      <c r="E60" s="155" t="s">
        <v>109</v>
      </c>
      <c r="F60" s="69">
        <v>0</v>
      </c>
      <c r="G60" s="88"/>
      <c r="H60" s="69">
        <f t="shared" si="2"/>
        <v>0</v>
      </c>
      <c r="I60" s="89"/>
    </row>
    <row r="61" spans="2:12" x14ac:dyDescent="0.25">
      <c r="B61" s="188">
        <v>829</v>
      </c>
      <c r="C61" s="2" t="s">
        <v>203</v>
      </c>
      <c r="D61" s="118">
        <v>0</v>
      </c>
      <c r="E61" s="155" t="s">
        <v>109</v>
      </c>
      <c r="F61" s="69">
        <v>0</v>
      </c>
      <c r="G61" s="88"/>
      <c r="H61" s="69">
        <f t="shared" si="2"/>
        <v>0</v>
      </c>
      <c r="I61" s="89"/>
    </row>
    <row r="62" spans="2:12" x14ac:dyDescent="0.25">
      <c r="B62" s="188">
        <v>829</v>
      </c>
      <c r="C62" s="2" t="s">
        <v>414</v>
      </c>
      <c r="D62" s="118">
        <v>0</v>
      </c>
      <c r="E62" s="155" t="s">
        <v>149</v>
      </c>
      <c r="F62" s="69">
        <v>0</v>
      </c>
      <c r="G62" s="88"/>
      <c r="H62" s="69">
        <f t="shared" si="2"/>
        <v>0</v>
      </c>
      <c r="I62" s="89"/>
    </row>
    <row r="63" spans="2:12" x14ac:dyDescent="0.25">
      <c r="B63" s="188">
        <v>822</v>
      </c>
      <c r="C63" s="2" t="s">
        <v>204</v>
      </c>
      <c r="D63" s="118">
        <v>0</v>
      </c>
      <c r="E63" s="155" t="s">
        <v>109</v>
      </c>
      <c r="F63" s="69">
        <v>0</v>
      </c>
      <c r="G63" s="88"/>
      <c r="H63" s="69">
        <f t="shared" si="2"/>
        <v>0</v>
      </c>
      <c r="I63" s="89"/>
    </row>
    <row r="64" spans="2:12" x14ac:dyDescent="0.25">
      <c r="B64" s="188">
        <v>831</v>
      </c>
      <c r="C64" s="2" t="s">
        <v>205</v>
      </c>
      <c r="D64" s="118">
        <v>0</v>
      </c>
      <c r="E64" s="155" t="s">
        <v>122</v>
      </c>
      <c r="F64" s="69">
        <v>0</v>
      </c>
      <c r="G64" s="88"/>
      <c r="H64" s="69">
        <f t="shared" si="2"/>
        <v>0</v>
      </c>
      <c r="I64" s="89"/>
    </row>
    <row r="65" spans="2:9" x14ac:dyDescent="0.25">
      <c r="B65" s="188">
        <v>831</v>
      </c>
      <c r="C65" s="2" t="s">
        <v>206</v>
      </c>
      <c r="D65" s="118">
        <v>0</v>
      </c>
      <c r="E65" s="155" t="s">
        <v>122</v>
      </c>
      <c r="F65" s="69">
        <v>0</v>
      </c>
      <c r="G65" s="88"/>
      <c r="H65" s="69">
        <f t="shared" si="2"/>
        <v>0</v>
      </c>
      <c r="I65" s="89"/>
    </row>
    <row r="66" spans="2:9" x14ac:dyDescent="0.25">
      <c r="B66" s="188">
        <v>831</v>
      </c>
      <c r="C66" s="2" t="s">
        <v>207</v>
      </c>
      <c r="D66" s="118">
        <v>0</v>
      </c>
      <c r="E66" s="155" t="s">
        <v>109</v>
      </c>
      <c r="F66" s="69">
        <v>0</v>
      </c>
      <c r="G66" s="88"/>
      <c r="H66" s="69">
        <f t="shared" si="2"/>
        <v>0</v>
      </c>
      <c r="I66" s="89"/>
    </row>
    <row r="67" spans="2:9" x14ac:dyDescent="0.25">
      <c r="B67" s="188">
        <v>837</v>
      </c>
      <c r="C67" s="2" t="s">
        <v>354</v>
      </c>
      <c r="D67" s="118">
        <v>0</v>
      </c>
      <c r="E67" s="155" t="s">
        <v>109</v>
      </c>
      <c r="F67" s="69">
        <v>0</v>
      </c>
      <c r="G67" s="88"/>
      <c r="H67" s="69">
        <f t="shared" si="2"/>
        <v>0</v>
      </c>
      <c r="I67" s="89"/>
    </row>
    <row r="68" spans="2:9" x14ac:dyDescent="0.25">
      <c r="B68" s="188">
        <v>837</v>
      </c>
      <c r="C68" s="2" t="s">
        <v>208</v>
      </c>
      <c r="D68" s="118">
        <v>0</v>
      </c>
      <c r="E68" s="155" t="s">
        <v>122</v>
      </c>
      <c r="F68" s="69">
        <v>0</v>
      </c>
      <c r="G68" s="88"/>
      <c r="H68" s="69">
        <f t="shared" si="2"/>
        <v>0</v>
      </c>
      <c r="I68" s="89"/>
    </row>
    <row r="69" spans="2:9" x14ac:dyDescent="0.25">
      <c r="B69" s="188">
        <v>835</v>
      </c>
      <c r="C69" s="2" t="s">
        <v>415</v>
      </c>
      <c r="D69" s="118">
        <f>D46-D53</f>
        <v>7360</v>
      </c>
      <c r="E69" s="155" t="s">
        <v>109</v>
      </c>
      <c r="F69" s="69">
        <v>4</v>
      </c>
      <c r="G69" s="88"/>
      <c r="H69" s="69">
        <f t="shared" si="2"/>
        <v>29440</v>
      </c>
      <c r="I69" s="89"/>
    </row>
    <row r="70" spans="2:9" x14ac:dyDescent="0.25">
      <c r="B70" s="188">
        <v>833</v>
      </c>
      <c r="C70" s="2" t="s">
        <v>147</v>
      </c>
      <c r="D70" s="118">
        <v>1</v>
      </c>
      <c r="E70" s="155" t="s">
        <v>103</v>
      </c>
      <c r="F70" s="69">
        <v>158553</v>
      </c>
      <c r="G70" s="88"/>
      <c r="H70" s="69">
        <f t="shared" si="2"/>
        <v>158553</v>
      </c>
      <c r="I70" s="89"/>
    </row>
    <row r="71" spans="2:9" x14ac:dyDescent="0.25">
      <c r="B71" s="188">
        <v>833</v>
      </c>
      <c r="C71" s="2" t="s">
        <v>472</v>
      </c>
      <c r="D71" s="118">
        <v>0</v>
      </c>
      <c r="E71" s="155" t="s">
        <v>103</v>
      </c>
      <c r="F71" s="69">
        <v>25000</v>
      </c>
      <c r="G71" s="88"/>
      <c r="H71" s="69">
        <f t="shared" si="2"/>
        <v>0</v>
      </c>
      <c r="I71" s="89"/>
    </row>
    <row r="72" spans="2:9" x14ac:dyDescent="0.25">
      <c r="B72" s="188">
        <v>834</v>
      </c>
      <c r="C72" s="2" t="s">
        <v>117</v>
      </c>
      <c r="D72" s="118">
        <f>D46</f>
        <v>7500</v>
      </c>
      <c r="E72" s="155" t="s">
        <v>103</v>
      </c>
      <c r="F72" s="69">
        <v>3</v>
      </c>
      <c r="G72" s="88"/>
      <c r="H72" s="69">
        <f t="shared" si="2"/>
        <v>22500</v>
      </c>
      <c r="I72" s="89"/>
    </row>
    <row r="73" spans="2:9" x14ac:dyDescent="0.25">
      <c r="B73" s="188">
        <v>837</v>
      </c>
      <c r="C73" s="2" t="s">
        <v>416</v>
      </c>
      <c r="D73" s="118">
        <v>0</v>
      </c>
      <c r="E73" s="155" t="s">
        <v>109</v>
      </c>
      <c r="F73" s="69">
        <v>0</v>
      </c>
      <c r="G73" s="88"/>
      <c r="H73" s="69">
        <f t="shared" si="2"/>
        <v>0</v>
      </c>
      <c r="I73" s="89"/>
    </row>
    <row r="74" spans="2:9" x14ac:dyDescent="0.25">
      <c r="B74" s="188">
        <v>837</v>
      </c>
      <c r="C74" s="2" t="s">
        <v>493</v>
      </c>
      <c r="D74" s="118">
        <v>0</v>
      </c>
      <c r="E74" s="155" t="s">
        <v>109</v>
      </c>
      <c r="F74" s="69">
        <v>0</v>
      </c>
      <c r="G74" s="88"/>
      <c r="H74" s="69">
        <f t="shared" si="2"/>
        <v>0</v>
      </c>
      <c r="I74" s="89"/>
    </row>
    <row r="75" spans="2:9" x14ac:dyDescent="0.25">
      <c r="B75" s="188">
        <v>837</v>
      </c>
      <c r="C75" s="2" t="s">
        <v>418</v>
      </c>
      <c r="D75" s="118">
        <v>0</v>
      </c>
      <c r="E75" s="155" t="s">
        <v>109</v>
      </c>
      <c r="F75" s="69">
        <v>0</v>
      </c>
      <c r="G75" s="88"/>
      <c r="H75" s="69">
        <f t="shared" si="2"/>
        <v>0</v>
      </c>
      <c r="I75" s="89"/>
    </row>
    <row r="76" spans="2:9" x14ac:dyDescent="0.25">
      <c r="B76" s="188">
        <v>829</v>
      </c>
      <c r="C76" s="2" t="s">
        <v>419</v>
      </c>
      <c r="D76" s="118">
        <v>10</v>
      </c>
      <c r="E76" s="155" t="s">
        <v>103</v>
      </c>
      <c r="F76" s="69">
        <v>1500</v>
      </c>
      <c r="G76" s="88"/>
      <c r="H76" s="69">
        <f t="shared" si="2"/>
        <v>15000</v>
      </c>
      <c r="I76" s="89"/>
    </row>
    <row r="77" spans="2:9" x14ac:dyDescent="0.25">
      <c r="B77" s="188">
        <v>829</v>
      </c>
      <c r="C77" s="2" t="s">
        <v>420</v>
      </c>
      <c r="D77" s="118">
        <v>0</v>
      </c>
      <c r="E77" s="155" t="s">
        <v>425</v>
      </c>
      <c r="F77" s="69">
        <v>0</v>
      </c>
      <c r="G77" s="88"/>
      <c r="H77" s="69">
        <f t="shared" si="2"/>
        <v>0</v>
      </c>
      <c r="I77" s="89"/>
    </row>
    <row r="78" spans="2:9" x14ac:dyDescent="0.25">
      <c r="B78" s="188">
        <v>829</v>
      </c>
      <c r="C78" s="2" t="s">
        <v>421</v>
      </c>
      <c r="D78" s="118">
        <v>0</v>
      </c>
      <c r="E78" s="155" t="s">
        <v>426</v>
      </c>
      <c r="F78" s="69">
        <v>0</v>
      </c>
      <c r="G78" s="88"/>
      <c r="H78" s="69">
        <f t="shared" si="2"/>
        <v>0</v>
      </c>
      <c r="I78" s="89"/>
    </row>
    <row r="79" spans="2:9" x14ac:dyDescent="0.25">
      <c r="B79" s="188">
        <v>829</v>
      </c>
      <c r="C79" s="2" t="s">
        <v>422</v>
      </c>
      <c r="D79" s="118">
        <v>0</v>
      </c>
      <c r="E79" s="155" t="s">
        <v>122</v>
      </c>
      <c r="F79" s="69">
        <v>0</v>
      </c>
      <c r="G79" s="88"/>
      <c r="H79" s="69">
        <f t="shared" si="2"/>
        <v>0</v>
      </c>
      <c r="I79" s="89"/>
    </row>
    <row r="80" spans="2:9" x14ac:dyDescent="0.25">
      <c r="B80" s="188">
        <v>837</v>
      </c>
      <c r="C80" s="2" t="s">
        <v>423</v>
      </c>
      <c r="D80" s="118">
        <v>3</v>
      </c>
      <c r="E80" s="155" t="s">
        <v>122</v>
      </c>
      <c r="F80" s="69">
        <v>1000</v>
      </c>
      <c r="G80" s="88"/>
      <c r="H80" s="69">
        <f t="shared" si="2"/>
        <v>3000</v>
      </c>
      <c r="I80" s="89"/>
    </row>
    <row r="81" spans="2:9" x14ac:dyDescent="0.25">
      <c r="B81" s="188">
        <v>829</v>
      </c>
      <c r="C81" s="2" t="s">
        <v>424</v>
      </c>
      <c r="D81" s="118">
        <v>0</v>
      </c>
      <c r="E81" s="155" t="s">
        <v>109</v>
      </c>
      <c r="F81" s="69">
        <v>0</v>
      </c>
      <c r="G81" s="88"/>
      <c r="H81" s="69">
        <f t="shared" si="2"/>
        <v>0</v>
      </c>
      <c r="I81" s="89"/>
    </row>
    <row r="82" spans="2:9" x14ac:dyDescent="0.25">
      <c r="B82" s="188">
        <v>630</v>
      </c>
      <c r="C82" s="2" t="s">
        <v>210</v>
      </c>
      <c r="D82" s="118">
        <f>D46*2</f>
        <v>15000</v>
      </c>
      <c r="E82" s="155" t="s">
        <v>109</v>
      </c>
      <c r="F82" s="69">
        <v>15</v>
      </c>
      <c r="G82" s="88"/>
      <c r="H82" s="69">
        <f t="shared" si="2"/>
        <v>225000</v>
      </c>
      <c r="I82" s="89"/>
    </row>
    <row r="83" spans="2:9" x14ac:dyDescent="0.25">
      <c r="B83" s="188">
        <v>630</v>
      </c>
      <c r="C83" s="2" t="s">
        <v>428</v>
      </c>
      <c r="D83" s="118">
        <v>0</v>
      </c>
      <c r="E83" s="155" t="s">
        <v>109</v>
      </c>
      <c r="F83" s="69">
        <v>0</v>
      </c>
      <c r="G83" s="88"/>
      <c r="H83" s="69">
        <f t="shared" si="2"/>
        <v>0</v>
      </c>
      <c r="I83" s="89"/>
    </row>
    <row r="84" spans="2:9" x14ac:dyDescent="0.25">
      <c r="B84" s="188">
        <v>630</v>
      </c>
      <c r="C84" s="2" t="s">
        <v>429</v>
      </c>
      <c r="D84" s="118">
        <v>0</v>
      </c>
      <c r="E84" s="155" t="s">
        <v>109</v>
      </c>
      <c r="F84" s="69">
        <v>0</v>
      </c>
      <c r="G84" s="88"/>
      <c r="H84" s="69">
        <f t="shared" si="2"/>
        <v>0</v>
      </c>
      <c r="I84" s="89"/>
    </row>
    <row r="85" spans="2:9" x14ac:dyDescent="0.25">
      <c r="B85" s="188">
        <v>630</v>
      </c>
      <c r="C85" s="2" t="s">
        <v>211</v>
      </c>
      <c r="D85" s="118">
        <v>0</v>
      </c>
      <c r="E85" s="155" t="s">
        <v>220</v>
      </c>
      <c r="F85" s="69">
        <v>0</v>
      </c>
      <c r="G85" s="88"/>
      <c r="H85" s="69">
        <f t="shared" si="2"/>
        <v>0</v>
      </c>
      <c r="I85" s="89"/>
    </row>
    <row r="86" spans="2:9" x14ac:dyDescent="0.25">
      <c r="B86" s="188">
        <v>630</v>
      </c>
      <c r="C86" s="2" t="s">
        <v>430</v>
      </c>
      <c r="D86" s="118">
        <v>0</v>
      </c>
      <c r="E86" s="155" t="s">
        <v>220</v>
      </c>
      <c r="F86" s="69">
        <v>0</v>
      </c>
      <c r="G86" s="88"/>
      <c r="H86" s="69">
        <f t="shared" si="2"/>
        <v>0</v>
      </c>
      <c r="I86" s="89"/>
    </row>
    <row r="87" spans="2:9" x14ac:dyDescent="0.25">
      <c r="B87" s="188">
        <v>630</v>
      </c>
      <c r="C87" s="2" t="s">
        <v>431</v>
      </c>
      <c r="D87" s="118">
        <v>0</v>
      </c>
      <c r="E87" s="155" t="s">
        <v>220</v>
      </c>
      <c r="F87" s="69">
        <v>0</v>
      </c>
      <c r="G87" s="88"/>
      <c r="H87" s="69">
        <f t="shared" si="2"/>
        <v>0</v>
      </c>
      <c r="I87" s="89"/>
    </row>
    <row r="88" spans="2:9" x14ac:dyDescent="0.25">
      <c r="B88" s="188">
        <v>630</v>
      </c>
      <c r="C88" s="2" t="s">
        <v>432</v>
      </c>
      <c r="D88" s="118">
        <v>0</v>
      </c>
      <c r="E88" s="155" t="s">
        <v>220</v>
      </c>
      <c r="F88" s="69">
        <v>0</v>
      </c>
      <c r="G88" s="88"/>
      <c r="H88" s="69">
        <f t="shared" si="2"/>
        <v>0</v>
      </c>
      <c r="I88" s="89"/>
    </row>
    <row r="89" spans="2:9" x14ac:dyDescent="0.25">
      <c r="B89" s="188">
        <v>630</v>
      </c>
      <c r="C89" s="2" t="s">
        <v>433</v>
      </c>
      <c r="D89" s="118">
        <v>0</v>
      </c>
      <c r="E89" s="155" t="s">
        <v>220</v>
      </c>
      <c r="F89" s="69">
        <v>0</v>
      </c>
      <c r="G89" s="88"/>
      <c r="H89" s="69">
        <f t="shared" si="2"/>
        <v>0</v>
      </c>
      <c r="I89" s="89"/>
    </row>
    <row r="90" spans="2:9" x14ac:dyDescent="0.25">
      <c r="B90" s="188">
        <v>630</v>
      </c>
      <c r="C90" s="2" t="s">
        <v>434</v>
      </c>
      <c r="D90" s="118">
        <v>0</v>
      </c>
      <c r="E90" s="155" t="s">
        <v>220</v>
      </c>
      <c r="F90" s="125">
        <v>0</v>
      </c>
      <c r="G90" s="88"/>
      <c r="H90" s="69">
        <f t="shared" si="2"/>
        <v>0</v>
      </c>
      <c r="I90" s="89"/>
    </row>
    <row r="91" spans="2:9" x14ac:dyDescent="0.25">
      <c r="B91" s="188">
        <v>630</v>
      </c>
      <c r="C91" s="2" t="s">
        <v>435</v>
      </c>
      <c r="D91" s="118">
        <v>0</v>
      </c>
      <c r="E91" s="155" t="s">
        <v>220</v>
      </c>
      <c r="F91" s="125">
        <v>0</v>
      </c>
      <c r="G91" s="88"/>
      <c r="H91" s="69">
        <f t="shared" si="2"/>
        <v>0</v>
      </c>
      <c r="I91" s="89"/>
    </row>
    <row r="92" spans="2:9" x14ac:dyDescent="0.25">
      <c r="B92" s="188">
        <v>630</v>
      </c>
      <c r="C92" s="2" t="s">
        <v>212</v>
      </c>
      <c r="D92" s="118">
        <v>0</v>
      </c>
      <c r="E92" s="155" t="s">
        <v>221</v>
      </c>
      <c r="F92" s="69">
        <v>0</v>
      </c>
      <c r="G92" s="88"/>
      <c r="H92" s="69">
        <f t="shared" si="2"/>
        <v>0</v>
      </c>
      <c r="I92" s="89"/>
    </row>
    <row r="93" spans="2:9" x14ac:dyDescent="0.25">
      <c r="B93" s="188">
        <v>630</v>
      </c>
      <c r="C93" s="2" t="s">
        <v>213</v>
      </c>
      <c r="D93" s="118">
        <v>0</v>
      </c>
      <c r="E93" s="155" t="s">
        <v>221</v>
      </c>
      <c r="F93" s="69">
        <v>0</v>
      </c>
      <c r="G93" s="88"/>
      <c r="H93" s="69">
        <f t="shared" si="2"/>
        <v>0</v>
      </c>
      <c r="I93" s="89"/>
    </row>
    <row r="94" spans="2:9" x14ac:dyDescent="0.25">
      <c r="B94" s="188">
        <v>630</v>
      </c>
      <c r="C94" s="2" t="s">
        <v>214</v>
      </c>
      <c r="D94" s="118">
        <v>0</v>
      </c>
      <c r="E94" s="155" t="s">
        <v>220</v>
      </c>
      <c r="F94" s="69">
        <v>0</v>
      </c>
      <c r="G94" s="88"/>
      <c r="H94" s="69">
        <f t="shared" si="2"/>
        <v>0</v>
      </c>
      <c r="I94" s="89"/>
    </row>
    <row r="95" spans="2:9" x14ac:dyDescent="0.25">
      <c r="B95" s="188">
        <v>630</v>
      </c>
      <c r="C95" s="2" t="s">
        <v>106</v>
      </c>
      <c r="D95" s="118">
        <v>600</v>
      </c>
      <c r="E95" s="155" t="s">
        <v>222</v>
      </c>
      <c r="F95" s="69">
        <v>7</v>
      </c>
      <c r="G95" s="88"/>
      <c r="H95" s="69">
        <f t="shared" si="2"/>
        <v>4200</v>
      </c>
      <c r="I95" s="89"/>
    </row>
    <row r="96" spans="2:9" x14ac:dyDescent="0.25">
      <c r="B96" s="188">
        <v>630</v>
      </c>
      <c r="C96" s="2" t="s">
        <v>436</v>
      </c>
      <c r="D96" s="118">
        <v>0</v>
      </c>
      <c r="E96" s="155" t="s">
        <v>460</v>
      </c>
      <c r="F96" s="69">
        <v>0</v>
      </c>
      <c r="G96" s="88"/>
      <c r="H96" s="69">
        <f t="shared" si="2"/>
        <v>0</v>
      </c>
      <c r="I96" s="89"/>
    </row>
    <row r="97" spans="2:9" x14ac:dyDescent="0.25">
      <c r="B97" s="188">
        <v>630</v>
      </c>
      <c r="C97" s="2" t="s">
        <v>437</v>
      </c>
      <c r="D97" s="118">
        <v>0</v>
      </c>
      <c r="E97" s="155" t="s">
        <v>122</v>
      </c>
      <c r="F97" s="69">
        <v>0</v>
      </c>
      <c r="G97" s="88"/>
      <c r="H97" s="69">
        <f t="shared" si="2"/>
        <v>0</v>
      </c>
      <c r="I97" s="89"/>
    </row>
    <row r="98" spans="2:9" x14ac:dyDescent="0.25">
      <c r="B98" s="188">
        <v>630</v>
      </c>
      <c r="C98" s="2" t="s">
        <v>438</v>
      </c>
      <c r="D98" s="118">
        <v>0</v>
      </c>
      <c r="E98" s="155" t="s">
        <v>122</v>
      </c>
      <c r="F98" s="69">
        <v>0</v>
      </c>
      <c r="G98" s="88"/>
      <c r="H98" s="69">
        <f t="shared" si="2"/>
        <v>0</v>
      </c>
      <c r="I98" s="89"/>
    </row>
    <row r="99" spans="2:9" x14ac:dyDescent="0.25">
      <c r="B99" s="188">
        <v>630</v>
      </c>
      <c r="C99" s="2" t="s">
        <v>215</v>
      </c>
      <c r="D99" s="118">
        <v>0</v>
      </c>
      <c r="E99" s="155" t="s">
        <v>122</v>
      </c>
      <c r="F99" s="69">
        <v>0</v>
      </c>
      <c r="G99" s="88"/>
      <c r="H99" s="69">
        <f t="shared" si="2"/>
        <v>0</v>
      </c>
      <c r="I99" s="89"/>
    </row>
    <row r="100" spans="2:9" x14ac:dyDescent="0.25">
      <c r="B100" s="188">
        <v>630</v>
      </c>
      <c r="C100" s="2" t="s">
        <v>439</v>
      </c>
      <c r="D100" s="118">
        <v>0</v>
      </c>
      <c r="E100" s="155" t="s">
        <v>122</v>
      </c>
      <c r="F100" s="69">
        <v>0</v>
      </c>
      <c r="G100" s="88"/>
      <c r="H100" s="69">
        <f t="shared" si="2"/>
        <v>0</v>
      </c>
      <c r="I100" s="89"/>
    </row>
    <row r="101" spans="2:9" x14ac:dyDescent="0.25">
      <c r="B101" s="188">
        <v>630</v>
      </c>
      <c r="C101" s="2" t="s">
        <v>440</v>
      </c>
      <c r="D101" s="118">
        <v>50</v>
      </c>
      <c r="E101" s="155" t="s">
        <v>458</v>
      </c>
      <c r="F101" s="69">
        <v>700</v>
      </c>
      <c r="G101" s="88"/>
      <c r="H101" s="69">
        <f t="shared" si="2"/>
        <v>35000</v>
      </c>
      <c r="I101" s="89"/>
    </row>
    <row r="102" spans="2:9" x14ac:dyDescent="0.25">
      <c r="B102" s="188">
        <v>630</v>
      </c>
      <c r="C102" s="2" t="s">
        <v>441</v>
      </c>
      <c r="D102" s="118">
        <v>0</v>
      </c>
      <c r="E102" s="155" t="s">
        <v>458</v>
      </c>
      <c r="F102" s="69">
        <v>0</v>
      </c>
      <c r="G102" s="88"/>
      <c r="H102" s="69">
        <f t="shared" si="2"/>
        <v>0</v>
      </c>
      <c r="I102" s="89"/>
    </row>
    <row r="103" spans="2:9" x14ac:dyDescent="0.25">
      <c r="B103" s="188">
        <v>630</v>
      </c>
      <c r="C103" s="2" t="s">
        <v>216</v>
      </c>
      <c r="D103" s="118">
        <v>0</v>
      </c>
      <c r="E103" s="155" t="s">
        <v>122</v>
      </c>
      <c r="F103" s="69">
        <v>0</v>
      </c>
      <c r="G103" s="88"/>
      <c r="H103" s="69">
        <f t="shared" si="2"/>
        <v>0</v>
      </c>
      <c r="I103" s="89"/>
    </row>
    <row r="104" spans="2:9" x14ac:dyDescent="0.25">
      <c r="B104" s="188">
        <v>630</v>
      </c>
      <c r="C104" s="2" t="s">
        <v>217</v>
      </c>
      <c r="D104" s="118">
        <v>750000</v>
      </c>
      <c r="E104" s="155" t="s">
        <v>231</v>
      </c>
      <c r="F104" s="125">
        <v>0.13</v>
      </c>
      <c r="G104" s="88"/>
      <c r="H104" s="69">
        <f t="shared" si="2"/>
        <v>97500</v>
      </c>
      <c r="I104" s="89"/>
    </row>
    <row r="105" spans="2:9" x14ac:dyDescent="0.25">
      <c r="B105" s="188">
        <v>630</v>
      </c>
      <c r="C105" s="2" t="s">
        <v>218</v>
      </c>
      <c r="D105" s="118">
        <v>750000</v>
      </c>
      <c r="E105" s="155" t="s">
        <v>231</v>
      </c>
      <c r="F105" s="125">
        <v>0.21</v>
      </c>
      <c r="G105" s="88"/>
      <c r="H105" s="69">
        <f t="shared" si="2"/>
        <v>157500</v>
      </c>
      <c r="I105" s="89"/>
    </row>
    <row r="106" spans="2:9" x14ac:dyDescent="0.25">
      <c r="B106" s="188">
        <v>630</v>
      </c>
      <c r="C106" s="2" t="s">
        <v>219</v>
      </c>
      <c r="D106" s="118">
        <v>0</v>
      </c>
      <c r="E106" s="155" t="s">
        <v>122</v>
      </c>
      <c r="F106" s="69">
        <v>0</v>
      </c>
      <c r="G106" s="88"/>
      <c r="H106" s="69">
        <f t="shared" si="2"/>
        <v>0</v>
      </c>
      <c r="I106" s="89"/>
    </row>
    <row r="107" spans="2:9" x14ac:dyDescent="0.25">
      <c r="B107" s="188">
        <v>630</v>
      </c>
      <c r="C107" s="2" t="s">
        <v>442</v>
      </c>
      <c r="D107" s="118">
        <v>0</v>
      </c>
      <c r="E107" s="155" t="s">
        <v>108</v>
      </c>
      <c r="F107" s="69">
        <v>0</v>
      </c>
      <c r="G107" s="88"/>
      <c r="H107" s="69">
        <f t="shared" si="2"/>
        <v>0</v>
      </c>
      <c r="I107" s="89"/>
    </row>
    <row r="108" spans="2:9" x14ac:dyDescent="0.25">
      <c r="B108" s="188">
        <v>630</v>
      </c>
      <c r="C108" s="2" t="s">
        <v>443</v>
      </c>
      <c r="D108" s="118">
        <v>0</v>
      </c>
      <c r="E108" s="155" t="s">
        <v>122</v>
      </c>
      <c r="F108" s="69">
        <v>0</v>
      </c>
      <c r="G108" s="88"/>
      <c r="H108" s="69">
        <f t="shared" si="2"/>
        <v>0</v>
      </c>
      <c r="I108" s="89"/>
    </row>
    <row r="109" spans="2:9" x14ac:dyDescent="0.25">
      <c r="B109" s="188">
        <v>630</v>
      </c>
      <c r="C109" s="2" t="s">
        <v>444</v>
      </c>
      <c r="D109" s="118">
        <v>0</v>
      </c>
      <c r="E109" s="155" t="s">
        <v>122</v>
      </c>
      <c r="F109" s="69">
        <v>0</v>
      </c>
      <c r="G109" s="88"/>
      <c r="H109" s="69">
        <f t="shared" si="2"/>
        <v>0</v>
      </c>
      <c r="I109" s="89"/>
    </row>
    <row r="110" spans="2:9" x14ac:dyDescent="0.25">
      <c r="B110" s="188">
        <v>630</v>
      </c>
      <c r="C110" s="2" t="s">
        <v>445</v>
      </c>
      <c r="D110" s="118">
        <v>0</v>
      </c>
      <c r="E110" s="155" t="s">
        <v>122</v>
      </c>
      <c r="F110" s="69">
        <v>0</v>
      </c>
      <c r="G110" s="88"/>
      <c r="H110" s="69">
        <f t="shared" si="2"/>
        <v>0</v>
      </c>
      <c r="I110" s="89"/>
    </row>
    <row r="111" spans="2:9" x14ac:dyDescent="0.25">
      <c r="B111" s="188">
        <v>630</v>
      </c>
      <c r="C111" s="2" t="s">
        <v>446</v>
      </c>
      <c r="D111" s="118">
        <v>0</v>
      </c>
      <c r="E111" s="155" t="s">
        <v>122</v>
      </c>
      <c r="F111" s="69">
        <v>0</v>
      </c>
      <c r="G111" s="88"/>
      <c r="H111" s="69">
        <f t="shared" si="2"/>
        <v>0</v>
      </c>
      <c r="I111" s="89"/>
    </row>
    <row r="112" spans="2:9" x14ac:dyDescent="0.25">
      <c r="B112" s="188">
        <v>630</v>
      </c>
      <c r="C112" s="2" t="s">
        <v>447</v>
      </c>
      <c r="D112" s="118">
        <v>0</v>
      </c>
      <c r="E112" s="155" t="s">
        <v>122</v>
      </c>
      <c r="F112" s="69">
        <v>0</v>
      </c>
      <c r="G112" s="88"/>
      <c r="H112" s="69">
        <f t="shared" si="2"/>
        <v>0</v>
      </c>
      <c r="I112" s="89"/>
    </row>
    <row r="113" spans="2:9" x14ac:dyDescent="0.25">
      <c r="B113" s="188">
        <v>630</v>
      </c>
      <c r="C113" s="2" t="s">
        <v>448</v>
      </c>
      <c r="D113" s="118">
        <v>0</v>
      </c>
      <c r="E113" s="155" t="s">
        <v>122</v>
      </c>
      <c r="F113" s="69">
        <v>0</v>
      </c>
      <c r="G113" s="88"/>
      <c r="H113" s="69">
        <f t="shared" si="2"/>
        <v>0</v>
      </c>
      <c r="I113" s="89"/>
    </row>
    <row r="114" spans="2:9" x14ac:dyDescent="0.25">
      <c r="B114" s="188">
        <v>630</v>
      </c>
      <c r="C114" s="2" t="s">
        <v>449</v>
      </c>
      <c r="D114" s="118">
        <v>0</v>
      </c>
      <c r="E114" s="155" t="s">
        <v>122</v>
      </c>
      <c r="F114" s="69">
        <v>0</v>
      </c>
      <c r="G114" s="88"/>
      <c r="H114" s="69">
        <f t="shared" si="2"/>
        <v>0</v>
      </c>
      <c r="I114" s="89"/>
    </row>
    <row r="115" spans="2:9" x14ac:dyDescent="0.25">
      <c r="B115" s="188">
        <v>630</v>
      </c>
      <c r="C115" s="2" t="s">
        <v>450</v>
      </c>
      <c r="D115" s="118">
        <v>0</v>
      </c>
      <c r="E115" s="155" t="s">
        <v>122</v>
      </c>
      <c r="F115" s="69">
        <v>0</v>
      </c>
      <c r="G115" s="88"/>
      <c r="H115" s="69">
        <f t="shared" si="2"/>
        <v>0</v>
      </c>
      <c r="I115" s="89"/>
    </row>
    <row r="116" spans="2:9" x14ac:dyDescent="0.25">
      <c r="B116" s="188">
        <v>630</v>
      </c>
      <c r="C116" s="2" t="s">
        <v>451</v>
      </c>
      <c r="D116" s="118">
        <v>0</v>
      </c>
      <c r="E116" s="155" t="s">
        <v>122</v>
      </c>
      <c r="F116" s="69">
        <v>0</v>
      </c>
      <c r="G116" s="88"/>
      <c r="H116" s="69">
        <f t="shared" si="2"/>
        <v>0</v>
      </c>
      <c r="I116" s="89"/>
    </row>
    <row r="117" spans="2:9" x14ac:dyDescent="0.25">
      <c r="B117" s="188">
        <v>630</v>
      </c>
      <c r="C117" s="2" t="s">
        <v>452</v>
      </c>
      <c r="D117" s="118">
        <v>0</v>
      </c>
      <c r="E117" s="155" t="s">
        <v>122</v>
      </c>
      <c r="F117" s="69">
        <v>0</v>
      </c>
      <c r="G117" s="88"/>
      <c r="H117" s="69">
        <f t="shared" si="2"/>
        <v>0</v>
      </c>
      <c r="I117" s="89"/>
    </row>
    <row r="118" spans="2:9" x14ac:dyDescent="0.25">
      <c r="B118" s="188">
        <v>630</v>
      </c>
      <c r="C118" s="2" t="s">
        <v>453</v>
      </c>
      <c r="D118" s="118">
        <v>0</v>
      </c>
      <c r="E118" s="155" t="s">
        <v>122</v>
      </c>
      <c r="F118" s="69">
        <v>0</v>
      </c>
      <c r="G118" s="88"/>
      <c r="H118" s="69">
        <f t="shared" si="2"/>
        <v>0</v>
      </c>
      <c r="I118" s="89"/>
    </row>
    <row r="119" spans="2:9" x14ac:dyDescent="0.25">
      <c r="B119" s="188">
        <v>630</v>
      </c>
      <c r="C119" s="2" t="s">
        <v>454</v>
      </c>
      <c r="D119" s="118">
        <v>0</v>
      </c>
      <c r="E119" s="155" t="s">
        <v>459</v>
      </c>
      <c r="F119" s="69">
        <v>0</v>
      </c>
      <c r="G119" s="88"/>
      <c r="H119" s="69">
        <f t="shared" si="2"/>
        <v>0</v>
      </c>
      <c r="I119" s="89"/>
    </row>
    <row r="120" spans="2:9" x14ac:dyDescent="0.25">
      <c r="B120" s="188">
        <v>630</v>
      </c>
      <c r="C120" s="2" t="s">
        <v>455</v>
      </c>
      <c r="D120" s="118">
        <v>0</v>
      </c>
      <c r="E120" s="155" t="s">
        <v>426</v>
      </c>
      <c r="F120" s="69">
        <v>0</v>
      </c>
      <c r="G120" s="88"/>
      <c r="H120" s="69">
        <f t="shared" si="2"/>
        <v>0</v>
      </c>
      <c r="I120" s="89"/>
    </row>
    <row r="121" spans="2:9" x14ac:dyDescent="0.25">
      <c r="B121" s="188">
        <v>630</v>
      </c>
      <c r="C121" s="2" t="s">
        <v>456</v>
      </c>
      <c r="D121" s="118">
        <v>0</v>
      </c>
      <c r="E121" s="155" t="s">
        <v>426</v>
      </c>
      <c r="F121" s="69">
        <v>0</v>
      </c>
      <c r="G121" s="88"/>
      <c r="H121" s="69">
        <f t="shared" si="2"/>
        <v>0</v>
      </c>
      <c r="I121" s="89"/>
    </row>
    <row r="122" spans="2:9" x14ac:dyDescent="0.25">
      <c r="B122" s="188">
        <v>630</v>
      </c>
      <c r="C122" s="2" t="s">
        <v>457</v>
      </c>
      <c r="D122" s="118">
        <v>0</v>
      </c>
      <c r="E122" s="155" t="s">
        <v>426</v>
      </c>
      <c r="F122" s="69">
        <v>0</v>
      </c>
      <c r="G122" s="88"/>
      <c r="H122" s="69">
        <f t="shared" si="2"/>
        <v>0</v>
      </c>
      <c r="I122" s="89"/>
    </row>
    <row r="123" spans="2:9" x14ac:dyDescent="0.25">
      <c r="B123" s="188">
        <v>831</v>
      </c>
      <c r="C123" s="2" t="s">
        <v>223</v>
      </c>
      <c r="D123" s="118">
        <v>0</v>
      </c>
      <c r="E123" s="155" t="s">
        <v>122</v>
      </c>
      <c r="F123" s="69">
        <v>0</v>
      </c>
      <c r="G123" s="88"/>
      <c r="H123" s="69">
        <f t="shared" si="2"/>
        <v>0</v>
      </c>
      <c r="I123" s="89"/>
    </row>
    <row r="124" spans="2:9" x14ac:dyDescent="0.25">
      <c r="B124" s="188">
        <v>832</v>
      </c>
      <c r="C124" s="2" t="s">
        <v>224</v>
      </c>
      <c r="D124" s="118">
        <v>0</v>
      </c>
      <c r="E124" s="155" t="s">
        <v>122</v>
      </c>
      <c r="F124" s="69">
        <v>0</v>
      </c>
      <c r="G124" s="88"/>
      <c r="H124" s="69">
        <f t="shared" si="2"/>
        <v>0</v>
      </c>
      <c r="I124" s="89"/>
    </row>
    <row r="125" spans="2:9" x14ac:dyDescent="0.25">
      <c r="B125" s="188">
        <v>832</v>
      </c>
      <c r="C125" s="2" t="s">
        <v>225</v>
      </c>
      <c r="D125" s="118">
        <v>0</v>
      </c>
      <c r="E125" s="155" t="s">
        <v>109</v>
      </c>
      <c r="F125" s="69">
        <v>0</v>
      </c>
      <c r="G125" s="88"/>
      <c r="H125" s="69">
        <f t="shared" si="2"/>
        <v>0</v>
      </c>
      <c r="I125" s="89"/>
    </row>
    <row r="126" spans="2:9" x14ac:dyDescent="0.25">
      <c r="B126" s="188">
        <v>832</v>
      </c>
      <c r="C126" s="2" t="s">
        <v>226</v>
      </c>
      <c r="D126" s="118">
        <v>0</v>
      </c>
      <c r="E126" s="155" t="s">
        <v>109</v>
      </c>
      <c r="F126" s="69">
        <v>0</v>
      </c>
      <c r="G126" s="88"/>
      <c r="H126" s="69">
        <f t="shared" si="2"/>
        <v>0</v>
      </c>
      <c r="I126" s="89"/>
    </row>
    <row r="127" spans="2:9" x14ac:dyDescent="0.25">
      <c r="B127" s="188">
        <v>832</v>
      </c>
      <c r="C127" s="2" t="s">
        <v>227</v>
      </c>
      <c r="D127" s="118">
        <v>0</v>
      </c>
      <c r="E127" s="155" t="s">
        <v>109</v>
      </c>
      <c r="F127" s="69">
        <v>0</v>
      </c>
      <c r="G127" s="88"/>
      <c r="H127" s="69">
        <f t="shared" si="2"/>
        <v>0</v>
      </c>
      <c r="I127" s="89"/>
    </row>
    <row r="128" spans="2:9" x14ac:dyDescent="0.25">
      <c r="B128" s="188">
        <v>832</v>
      </c>
      <c r="C128" s="2" t="s">
        <v>228</v>
      </c>
      <c r="D128" s="118">
        <v>0</v>
      </c>
      <c r="E128" s="155" t="s">
        <v>109</v>
      </c>
      <c r="F128" s="69">
        <v>0</v>
      </c>
      <c r="G128" s="88"/>
      <c r="H128" s="69">
        <f t="shared" si="2"/>
        <v>0</v>
      </c>
      <c r="I128" s="89"/>
    </row>
    <row r="129" spans="2:9" x14ac:dyDescent="0.25">
      <c r="B129" s="188">
        <v>832</v>
      </c>
      <c r="C129" s="2" t="s">
        <v>229</v>
      </c>
      <c r="D129" s="118">
        <v>200</v>
      </c>
      <c r="E129" s="155" t="s">
        <v>109</v>
      </c>
      <c r="F129" s="69">
        <v>145</v>
      </c>
      <c r="G129" s="88"/>
      <c r="H129" s="69">
        <f t="shared" si="2"/>
        <v>29000</v>
      </c>
      <c r="I129" s="89"/>
    </row>
    <row r="130" spans="2:9" x14ac:dyDescent="0.25">
      <c r="B130" s="188">
        <v>832</v>
      </c>
      <c r="C130" s="2" t="s">
        <v>461</v>
      </c>
      <c r="D130" s="118">
        <v>0</v>
      </c>
      <c r="E130" s="155" t="s">
        <v>221</v>
      </c>
      <c r="F130" s="69">
        <v>0</v>
      </c>
      <c r="G130" s="88"/>
      <c r="H130" s="69">
        <f t="shared" si="2"/>
        <v>0</v>
      </c>
      <c r="I130" s="89"/>
    </row>
    <row r="131" spans="2:9" x14ac:dyDescent="0.25">
      <c r="B131" s="188">
        <v>832</v>
      </c>
      <c r="C131" s="2" t="s">
        <v>230</v>
      </c>
      <c r="D131" s="118">
        <v>0</v>
      </c>
      <c r="E131" s="155" t="s">
        <v>231</v>
      </c>
      <c r="F131" s="69">
        <v>0</v>
      </c>
      <c r="G131" s="88"/>
      <c r="H131" s="69">
        <f t="shared" si="2"/>
        <v>0</v>
      </c>
      <c r="I131" s="89"/>
    </row>
    <row r="132" spans="2:9" x14ac:dyDescent="0.25">
      <c r="B132" s="188">
        <v>832</v>
      </c>
      <c r="C132" s="2" t="s">
        <v>464</v>
      </c>
      <c r="D132" s="118">
        <v>0</v>
      </c>
      <c r="E132" s="155" t="s">
        <v>295</v>
      </c>
      <c r="F132" s="69">
        <v>0</v>
      </c>
      <c r="G132" s="88"/>
      <c r="H132" s="69">
        <f t="shared" si="2"/>
        <v>0</v>
      </c>
      <c r="I132" s="89"/>
    </row>
    <row r="133" spans="2:9" x14ac:dyDescent="0.25">
      <c r="B133" s="188">
        <v>832</v>
      </c>
      <c r="C133" s="2" t="s">
        <v>465</v>
      </c>
      <c r="D133" s="118">
        <v>0</v>
      </c>
      <c r="E133" s="155" t="s">
        <v>295</v>
      </c>
      <c r="F133" s="69">
        <v>0</v>
      </c>
      <c r="G133" s="88"/>
      <c r="H133" s="69">
        <f t="shared" si="2"/>
        <v>0</v>
      </c>
      <c r="I133" s="89"/>
    </row>
    <row r="134" spans="2:9" x14ac:dyDescent="0.25">
      <c r="B134" s="188">
        <v>832</v>
      </c>
      <c r="C134" s="2" t="s">
        <v>300</v>
      </c>
      <c r="D134" s="118">
        <v>0</v>
      </c>
      <c r="E134" s="155" t="s">
        <v>122</v>
      </c>
      <c r="F134" s="69">
        <v>0</v>
      </c>
      <c r="G134" s="88"/>
      <c r="H134" s="69">
        <f t="shared" si="2"/>
        <v>0</v>
      </c>
      <c r="I134" s="89"/>
    </row>
    <row r="135" spans="2:9" x14ac:dyDescent="0.25">
      <c r="B135" s="188">
        <v>832</v>
      </c>
      <c r="C135" s="2" t="s">
        <v>299</v>
      </c>
      <c r="D135" s="118">
        <v>0</v>
      </c>
      <c r="E135" s="155" t="s">
        <v>295</v>
      </c>
      <c r="F135" s="69">
        <v>0</v>
      </c>
      <c r="G135" s="88"/>
      <c r="H135" s="69">
        <f t="shared" si="2"/>
        <v>0</v>
      </c>
      <c r="I135" s="89"/>
    </row>
    <row r="136" spans="2:9" x14ac:dyDescent="0.25">
      <c r="B136" s="188">
        <v>832</v>
      </c>
      <c r="C136" s="2" t="s">
        <v>466</v>
      </c>
      <c r="D136" s="118">
        <v>10</v>
      </c>
      <c r="E136" s="155" t="s">
        <v>295</v>
      </c>
      <c r="F136" s="69">
        <v>5000</v>
      </c>
      <c r="G136" s="88"/>
      <c r="H136" s="69">
        <f t="shared" si="2"/>
        <v>50000</v>
      </c>
      <c r="I136" s="89"/>
    </row>
    <row r="137" spans="2:9" x14ac:dyDescent="0.25">
      <c r="B137" s="188">
        <v>832</v>
      </c>
      <c r="C137" s="2" t="s">
        <v>467</v>
      </c>
      <c r="D137" s="118">
        <v>20</v>
      </c>
      <c r="E137" s="155" t="s">
        <v>295</v>
      </c>
      <c r="F137" s="69">
        <v>100</v>
      </c>
      <c r="G137" s="88"/>
      <c r="H137" s="69">
        <f t="shared" si="2"/>
        <v>2000</v>
      </c>
      <c r="I137" s="89"/>
    </row>
    <row r="138" spans="2:9" x14ac:dyDescent="0.25">
      <c r="B138" s="188">
        <v>832</v>
      </c>
      <c r="C138" s="2" t="s">
        <v>468</v>
      </c>
      <c r="D138" s="118">
        <v>20</v>
      </c>
      <c r="E138" s="155" t="s">
        <v>295</v>
      </c>
      <c r="F138" s="69">
        <v>100</v>
      </c>
      <c r="G138" s="88"/>
      <c r="H138" s="69">
        <f t="shared" si="2"/>
        <v>2000</v>
      </c>
      <c r="I138" s="89"/>
    </row>
    <row r="139" spans="2:9" x14ac:dyDescent="0.25">
      <c r="B139" s="188">
        <v>832</v>
      </c>
      <c r="C139" s="2" t="s">
        <v>469</v>
      </c>
      <c r="D139" s="118">
        <v>0</v>
      </c>
      <c r="E139" s="155" t="s">
        <v>149</v>
      </c>
      <c r="F139" s="69">
        <v>0</v>
      </c>
      <c r="G139" s="88"/>
      <c r="H139" s="69">
        <f t="shared" si="2"/>
        <v>0</v>
      </c>
      <c r="I139" s="89"/>
    </row>
    <row r="140" spans="2:9" x14ac:dyDescent="0.25">
      <c r="B140" s="188">
        <v>832</v>
      </c>
      <c r="C140" s="2" t="s">
        <v>470</v>
      </c>
      <c r="D140" s="118">
        <v>0</v>
      </c>
      <c r="E140" s="155" t="s">
        <v>295</v>
      </c>
      <c r="F140" s="69">
        <v>0</v>
      </c>
      <c r="G140" s="88"/>
      <c r="H140" s="69">
        <f t="shared" si="2"/>
        <v>0</v>
      </c>
      <c r="I140" s="89"/>
    </row>
    <row r="141" spans="2:9" x14ac:dyDescent="0.25">
      <c r="B141" s="188">
        <v>837</v>
      </c>
      <c r="C141" s="2" t="s">
        <v>355</v>
      </c>
      <c r="D141" s="118">
        <v>1</v>
      </c>
      <c r="E141" s="155" t="s">
        <v>122</v>
      </c>
      <c r="F141" s="69">
        <v>45000</v>
      </c>
      <c r="G141" s="88"/>
      <c r="H141" s="69">
        <f>F141*D141</f>
        <v>45000</v>
      </c>
      <c r="I141" s="89"/>
    </row>
    <row r="142" spans="2:9" x14ac:dyDescent="0.25">
      <c r="B142" s="188">
        <v>837</v>
      </c>
      <c r="C142" s="2" t="s">
        <v>356</v>
      </c>
      <c r="D142" s="118">
        <v>1.5</v>
      </c>
      <c r="E142" s="155" t="s">
        <v>357</v>
      </c>
      <c r="F142" s="69">
        <v>9000</v>
      </c>
      <c r="G142" s="88"/>
      <c r="H142" s="69">
        <f>F142*D142</f>
        <v>13500</v>
      </c>
      <c r="I142" s="89"/>
    </row>
    <row r="143" spans="2:9" x14ac:dyDescent="0.25">
      <c r="B143" s="188">
        <v>837</v>
      </c>
      <c r="C143" s="2" t="s">
        <v>358</v>
      </c>
      <c r="D143" s="118">
        <v>0</v>
      </c>
      <c r="E143" s="155" t="s">
        <v>357</v>
      </c>
      <c r="F143" s="69">
        <v>6000</v>
      </c>
      <c r="G143" s="88"/>
      <c r="H143" s="69">
        <f>F143*D143</f>
        <v>0</v>
      </c>
      <c r="I143" s="89"/>
    </row>
    <row r="144" spans="2:9" x14ac:dyDescent="0.25">
      <c r="B144" s="188"/>
      <c r="C144" s="2" t="s">
        <v>177</v>
      </c>
      <c r="D144" s="118">
        <v>0</v>
      </c>
      <c r="E144" s="155" t="s">
        <v>122</v>
      </c>
      <c r="F144" s="69">
        <v>0</v>
      </c>
      <c r="G144" s="88"/>
      <c r="H144" s="69">
        <f t="shared" ref="H144:H155" si="3">F144*D144</f>
        <v>0</v>
      </c>
      <c r="I144" s="89"/>
    </row>
    <row r="145" spans="2:9" x14ac:dyDescent="0.25">
      <c r="B145" s="188"/>
      <c r="C145" s="2" t="s">
        <v>302</v>
      </c>
      <c r="D145" s="118">
        <v>0</v>
      </c>
      <c r="E145" s="155" t="s">
        <v>122</v>
      </c>
      <c r="F145" s="69">
        <v>100000</v>
      </c>
      <c r="G145" s="88"/>
      <c r="H145" s="69">
        <f t="shared" si="3"/>
        <v>0</v>
      </c>
      <c r="I145" s="89"/>
    </row>
    <row r="146" spans="2:9" x14ac:dyDescent="0.25">
      <c r="B146" s="188"/>
      <c r="C146" s="2" t="s">
        <v>303</v>
      </c>
      <c r="D146" s="118">
        <v>0</v>
      </c>
      <c r="E146" s="155" t="s">
        <v>122</v>
      </c>
      <c r="F146" s="69">
        <v>50000</v>
      </c>
      <c r="G146" s="88"/>
      <c r="H146" s="69">
        <f t="shared" si="3"/>
        <v>0</v>
      </c>
      <c r="I146" s="89"/>
    </row>
    <row r="147" spans="2:9" x14ac:dyDescent="0.25">
      <c r="B147" s="188"/>
      <c r="C147" s="2" t="s">
        <v>314</v>
      </c>
      <c r="D147" s="118">
        <v>0</v>
      </c>
      <c r="E147" s="155" t="s">
        <v>122</v>
      </c>
      <c r="F147" s="69">
        <v>21000</v>
      </c>
      <c r="G147" s="88"/>
      <c r="H147" s="69">
        <f t="shared" si="3"/>
        <v>0</v>
      </c>
      <c r="I147" s="89"/>
    </row>
    <row r="148" spans="2:9" x14ac:dyDescent="0.25">
      <c r="B148" s="188"/>
      <c r="C148" s="2" t="s">
        <v>232</v>
      </c>
      <c r="D148" s="118">
        <v>0</v>
      </c>
      <c r="E148" s="155" t="s">
        <v>122</v>
      </c>
      <c r="F148" s="69">
        <v>0</v>
      </c>
      <c r="G148" s="88"/>
      <c r="H148" s="69">
        <f t="shared" si="3"/>
        <v>0</v>
      </c>
      <c r="I148" s="89"/>
    </row>
    <row r="149" spans="2:9" x14ac:dyDescent="0.25">
      <c r="B149" s="188"/>
      <c r="C149" s="2" t="s">
        <v>361</v>
      </c>
      <c r="D149" s="118">
        <v>0</v>
      </c>
      <c r="E149" s="155" t="s">
        <v>103</v>
      </c>
      <c r="F149" s="69">
        <v>25000</v>
      </c>
      <c r="G149" s="88"/>
      <c r="H149" s="69">
        <f t="shared" si="3"/>
        <v>0</v>
      </c>
      <c r="I149" s="89"/>
    </row>
    <row r="150" spans="2:9" x14ac:dyDescent="0.25">
      <c r="B150" s="188"/>
      <c r="C150" s="2" t="s">
        <v>233</v>
      </c>
      <c r="D150" s="118">
        <v>6.5</v>
      </c>
      <c r="E150" s="155" t="s">
        <v>97</v>
      </c>
      <c r="F150" s="69">
        <v>65000</v>
      </c>
      <c r="G150" s="88"/>
      <c r="H150" s="69">
        <f t="shared" si="3"/>
        <v>422500</v>
      </c>
      <c r="I150" s="89"/>
    </row>
    <row r="151" spans="2:9" x14ac:dyDescent="0.25">
      <c r="B151" s="188"/>
      <c r="C151" s="2" t="s">
        <v>301</v>
      </c>
      <c r="D151" s="118">
        <v>0</v>
      </c>
      <c r="E151" s="155" t="s">
        <v>122</v>
      </c>
      <c r="F151" s="69">
        <v>20000</v>
      </c>
      <c r="G151" s="88"/>
      <c r="H151" s="69">
        <f t="shared" si="3"/>
        <v>0</v>
      </c>
      <c r="I151" s="89"/>
    </row>
    <row r="152" spans="2:9" x14ac:dyDescent="0.25">
      <c r="B152" s="188"/>
      <c r="C152" s="2" t="s">
        <v>116</v>
      </c>
      <c r="D152" s="118">
        <v>0</v>
      </c>
      <c r="E152" s="155" t="s">
        <v>103</v>
      </c>
      <c r="F152" s="69">
        <v>0</v>
      </c>
      <c r="G152" s="88"/>
      <c r="H152" s="69">
        <f t="shared" si="3"/>
        <v>0</v>
      </c>
      <c r="I152" s="89"/>
    </row>
    <row r="153" spans="2:9" x14ac:dyDescent="0.25">
      <c r="B153" s="188"/>
      <c r="C153" s="2" t="s">
        <v>119</v>
      </c>
      <c r="D153" s="118">
        <v>4</v>
      </c>
      <c r="E153" s="155" t="s">
        <v>122</v>
      </c>
      <c r="F153" s="69">
        <v>10705</v>
      </c>
      <c r="G153" s="88"/>
      <c r="H153" s="69">
        <f t="shared" si="3"/>
        <v>42820</v>
      </c>
      <c r="I153" s="89"/>
    </row>
    <row r="154" spans="2:9" x14ac:dyDescent="0.25">
      <c r="B154" s="188"/>
      <c r="C154" s="2" t="s">
        <v>296</v>
      </c>
      <c r="D154" s="118">
        <v>0</v>
      </c>
      <c r="E154" s="155" t="s">
        <v>122</v>
      </c>
      <c r="F154" s="69">
        <v>0</v>
      </c>
      <c r="G154" s="88"/>
      <c r="H154" s="69">
        <f t="shared" si="3"/>
        <v>0</v>
      </c>
      <c r="I154" s="89"/>
    </row>
    <row r="155" spans="2:9" x14ac:dyDescent="0.25">
      <c r="B155" s="188"/>
      <c r="C155" s="2" t="s">
        <v>297</v>
      </c>
      <c r="D155" s="118">
        <v>4</v>
      </c>
      <c r="E155" s="155" t="s">
        <v>122</v>
      </c>
      <c r="F155" s="69">
        <v>74100</v>
      </c>
      <c r="G155" s="88"/>
      <c r="H155" s="69">
        <f t="shared" si="3"/>
        <v>296400</v>
      </c>
      <c r="I155" s="89"/>
    </row>
    <row r="156" spans="2:9" x14ac:dyDescent="0.25">
      <c r="B156" s="188"/>
      <c r="C156" s="2" t="s">
        <v>298</v>
      </c>
      <c r="D156" s="118">
        <v>2</v>
      </c>
      <c r="E156" s="155" t="s">
        <v>122</v>
      </c>
      <c r="F156" s="69">
        <v>21800</v>
      </c>
      <c r="G156" s="88"/>
      <c r="H156" s="69">
        <f t="shared" si="2"/>
        <v>43600</v>
      </c>
      <c r="I156" s="89"/>
    </row>
    <row r="157" spans="2:9" x14ac:dyDescent="0.25">
      <c r="B157" s="188"/>
      <c r="C157" s="2" t="s">
        <v>118</v>
      </c>
      <c r="D157" s="118">
        <v>0</v>
      </c>
      <c r="E157" s="155" t="s">
        <v>109</v>
      </c>
      <c r="F157" s="69">
        <v>0</v>
      </c>
      <c r="G157" s="88"/>
      <c r="H157" s="69">
        <f t="shared" si="2"/>
        <v>0</v>
      </c>
      <c r="I157" s="89"/>
    </row>
    <row r="158" spans="2:9" x14ac:dyDescent="0.25">
      <c r="B158" s="188"/>
      <c r="C158" s="2" t="s">
        <v>236</v>
      </c>
      <c r="D158" s="118">
        <v>0</v>
      </c>
      <c r="E158" s="155" t="s">
        <v>265</v>
      </c>
      <c r="F158" s="69">
        <v>20000</v>
      </c>
      <c r="G158" s="88"/>
      <c r="H158" s="69">
        <f t="shared" si="2"/>
        <v>0</v>
      </c>
      <c r="I158" s="89"/>
    </row>
    <row r="159" spans="2:9" ht="15.75" x14ac:dyDescent="0.25">
      <c r="B159" s="78" t="s">
        <v>410</v>
      </c>
      <c r="C159" s="65"/>
      <c r="D159" s="116"/>
      <c r="E159" s="67"/>
      <c r="F159" s="68"/>
      <c r="G159" s="68"/>
      <c r="H159" s="94"/>
      <c r="I159" s="77">
        <f>CEILING(SUM(H47:H158),100)</f>
        <v>5433600</v>
      </c>
    </row>
    <row r="160" spans="2:9" x14ac:dyDescent="0.25">
      <c r="B160" s="194"/>
      <c r="C160" s="91"/>
      <c r="D160" s="117"/>
      <c r="E160" s="90"/>
      <c r="F160" s="92"/>
      <c r="G160" s="92"/>
      <c r="H160" s="92"/>
      <c r="I160" s="93"/>
    </row>
    <row r="161" spans="2:13" ht="15.75" x14ac:dyDescent="0.25">
      <c r="B161" s="78" t="s">
        <v>123</v>
      </c>
      <c r="C161" s="65"/>
      <c r="D161" s="116"/>
      <c r="E161" s="67"/>
      <c r="F161" s="68"/>
      <c r="G161" s="68"/>
      <c r="H161" s="68"/>
      <c r="I161" s="77"/>
    </row>
    <row r="162" spans="2:13" x14ac:dyDescent="0.25">
      <c r="B162" s="188" t="s">
        <v>405</v>
      </c>
      <c r="C162" s="2" t="s">
        <v>124</v>
      </c>
      <c r="D162" s="113">
        <f>($I$159*K162)/$F$162</f>
        <v>1293.7142857142858</v>
      </c>
      <c r="E162" s="76" t="s">
        <v>125</v>
      </c>
      <c r="F162" s="69">
        <v>840</v>
      </c>
      <c r="G162" s="88"/>
      <c r="H162" s="69">
        <f>F162*D162</f>
        <v>1086720</v>
      </c>
      <c r="I162" s="89"/>
      <c r="K162" s="231">
        <v>0.2</v>
      </c>
      <c r="L162" s="230" t="s">
        <v>494</v>
      </c>
      <c r="M162" s="229"/>
    </row>
    <row r="163" spans="2:13" x14ac:dyDescent="0.25">
      <c r="B163" s="188" t="s">
        <v>406</v>
      </c>
      <c r="C163" s="2" t="s">
        <v>126</v>
      </c>
      <c r="D163" s="113">
        <f>($I$159*K163)/$F$163</f>
        <v>54.335999999999999</v>
      </c>
      <c r="E163" s="76" t="s">
        <v>120</v>
      </c>
      <c r="F163" s="69">
        <v>2000</v>
      </c>
      <c r="G163" s="88"/>
      <c r="H163" s="69">
        <f>F163*D163</f>
        <v>108672</v>
      </c>
      <c r="I163" s="89"/>
      <c r="K163" s="231">
        <v>0.02</v>
      </c>
      <c r="L163" s="230" t="s">
        <v>495</v>
      </c>
      <c r="M163" s="229"/>
    </row>
    <row r="164" spans="2:13" ht="15.75" x14ac:dyDescent="0.25">
      <c r="B164" s="78" t="s">
        <v>127</v>
      </c>
      <c r="C164" s="65"/>
      <c r="D164" s="116"/>
      <c r="E164" s="67"/>
      <c r="F164" s="68"/>
      <c r="G164" s="68"/>
      <c r="H164" s="94"/>
      <c r="I164" s="77">
        <f>CEILING(SUM(H162:H163),100)</f>
        <v>1195400</v>
      </c>
    </row>
    <row r="165" spans="2:13" x14ac:dyDescent="0.25">
      <c r="B165" s="194"/>
      <c r="C165" s="91"/>
      <c r="D165" s="117"/>
      <c r="E165" s="90"/>
      <c r="F165" s="92"/>
      <c r="G165" s="92"/>
      <c r="H165" s="92"/>
      <c r="I165" s="93"/>
    </row>
    <row r="166" spans="2:13" ht="15.75" x14ac:dyDescent="0.25">
      <c r="B166" s="78" t="s">
        <v>128</v>
      </c>
      <c r="C166" s="65"/>
      <c r="D166" s="116"/>
      <c r="E166" s="67"/>
      <c r="F166" s="68"/>
      <c r="G166" s="68"/>
      <c r="H166" s="68"/>
      <c r="I166" s="77"/>
    </row>
    <row r="167" spans="2:13" x14ac:dyDescent="0.25">
      <c r="B167" s="191"/>
      <c r="C167" s="98" t="s">
        <v>129</v>
      </c>
      <c r="D167" s="121"/>
      <c r="E167" s="192"/>
      <c r="F167" s="99"/>
      <c r="G167" s="100"/>
      <c r="H167" s="99"/>
      <c r="I167" s="101"/>
    </row>
    <row r="168" spans="2:13" x14ac:dyDescent="0.25">
      <c r="B168" s="188" t="s">
        <v>407</v>
      </c>
      <c r="C168" s="2" t="s">
        <v>506</v>
      </c>
      <c r="D168" s="118">
        <v>7300</v>
      </c>
      <c r="E168" s="155" t="s">
        <v>109</v>
      </c>
      <c r="F168" s="69">
        <v>120</v>
      </c>
      <c r="G168" s="88"/>
      <c r="H168" s="69">
        <f>F168*D168</f>
        <v>876000</v>
      </c>
      <c r="I168" s="89"/>
    </row>
    <row r="169" spans="2:13" x14ac:dyDescent="0.25">
      <c r="B169" s="188" t="s">
        <v>407</v>
      </c>
      <c r="C169" s="2" t="s">
        <v>511</v>
      </c>
      <c r="D169" s="118">
        <v>140</v>
      </c>
      <c r="E169" s="155" t="s">
        <v>109</v>
      </c>
      <c r="F169" s="69">
        <v>124</v>
      </c>
      <c r="G169" s="88"/>
      <c r="H169" s="69">
        <f>F169*D169</f>
        <v>17360</v>
      </c>
      <c r="I169" s="89"/>
    </row>
    <row r="170" spans="2:13" x14ac:dyDescent="0.25">
      <c r="B170" s="188" t="s">
        <v>407</v>
      </c>
      <c r="C170" s="161" t="s">
        <v>507</v>
      </c>
      <c r="D170" s="159">
        <v>40</v>
      </c>
      <c r="E170" s="155" t="s">
        <v>109</v>
      </c>
      <c r="F170" s="69">
        <v>112</v>
      </c>
      <c r="G170" s="88"/>
      <c r="H170" s="69">
        <f>F170*D170</f>
        <v>4480</v>
      </c>
      <c r="I170" s="89"/>
    </row>
    <row r="171" spans="2:13" x14ac:dyDescent="0.25">
      <c r="B171" s="191"/>
      <c r="C171" s="98" t="s">
        <v>130</v>
      </c>
      <c r="D171" s="121"/>
      <c r="E171" s="192"/>
      <c r="F171" s="99"/>
      <c r="G171" s="100"/>
      <c r="H171" s="99"/>
      <c r="I171" s="101"/>
    </row>
    <row r="172" spans="2:13" x14ac:dyDescent="0.25">
      <c r="B172" s="188" t="s">
        <v>407</v>
      </c>
      <c r="C172" s="2" t="s">
        <v>508</v>
      </c>
      <c r="D172" s="118">
        <v>25</v>
      </c>
      <c r="E172" s="155" t="s">
        <v>122</v>
      </c>
      <c r="F172" s="69">
        <v>4265</v>
      </c>
      <c r="G172" s="88"/>
      <c r="H172" s="69">
        <f>F172*D172</f>
        <v>106625</v>
      </c>
      <c r="I172" s="89"/>
    </row>
    <row r="173" spans="2:13" x14ac:dyDescent="0.25">
      <c r="B173" s="188" t="s">
        <v>407</v>
      </c>
      <c r="C173" s="2" t="s">
        <v>509</v>
      </c>
      <c r="D173" s="118">
        <v>11</v>
      </c>
      <c r="E173" s="155" t="s">
        <v>122</v>
      </c>
      <c r="F173" s="69">
        <v>5052</v>
      </c>
      <c r="G173" s="88"/>
      <c r="H173" s="69">
        <f>F173*D173</f>
        <v>55572</v>
      </c>
      <c r="I173" s="89"/>
    </row>
    <row r="174" spans="2:13" x14ac:dyDescent="0.25">
      <c r="B174" s="191"/>
      <c r="C174" s="98" t="s">
        <v>178</v>
      </c>
      <c r="D174" s="121"/>
      <c r="E174" s="192"/>
      <c r="F174" s="99"/>
      <c r="G174" s="100"/>
      <c r="H174" s="99"/>
      <c r="I174" s="101"/>
    </row>
    <row r="175" spans="2:13" x14ac:dyDescent="0.25">
      <c r="B175" s="188" t="s">
        <v>408</v>
      </c>
      <c r="C175" s="2" t="s">
        <v>510</v>
      </c>
      <c r="D175" s="118">
        <v>4</v>
      </c>
      <c r="E175" s="155" t="s">
        <v>122</v>
      </c>
      <c r="F175" s="69">
        <v>44300</v>
      </c>
      <c r="G175" s="88"/>
      <c r="H175" s="69">
        <f>F175*D175</f>
        <v>177200</v>
      </c>
      <c r="I175" s="89"/>
    </row>
    <row r="176" spans="2:13" x14ac:dyDescent="0.25">
      <c r="B176" s="188" t="s">
        <v>408</v>
      </c>
      <c r="C176" s="2" t="s">
        <v>186</v>
      </c>
      <c r="D176" s="118">
        <v>0</v>
      </c>
      <c r="E176" s="155" t="s">
        <v>122</v>
      </c>
      <c r="F176" s="69">
        <v>0</v>
      </c>
      <c r="G176" s="88"/>
      <c r="H176" s="69">
        <f>F176*D176</f>
        <v>0</v>
      </c>
      <c r="I176" s="89"/>
    </row>
    <row r="177" spans="2:16" x14ac:dyDescent="0.25">
      <c r="B177" s="188" t="s">
        <v>408</v>
      </c>
      <c r="C177" s="2" t="s">
        <v>179</v>
      </c>
      <c r="D177" s="118">
        <v>0</v>
      </c>
      <c r="E177" s="155" t="s">
        <v>122</v>
      </c>
      <c r="F177" s="69">
        <v>0</v>
      </c>
      <c r="G177" s="88"/>
      <c r="H177" s="69">
        <f>F177*D177</f>
        <v>0</v>
      </c>
      <c r="I177" s="89"/>
    </row>
    <row r="178" spans="2:16" x14ac:dyDescent="0.25">
      <c r="B178" s="188" t="s">
        <v>408</v>
      </c>
      <c r="C178" s="2" t="s">
        <v>180</v>
      </c>
      <c r="D178" s="118">
        <v>0</v>
      </c>
      <c r="E178" s="155" t="s">
        <v>122</v>
      </c>
      <c r="F178" s="69">
        <v>0</v>
      </c>
      <c r="G178" s="88"/>
      <c r="H178" s="69">
        <f>F178*D178</f>
        <v>0</v>
      </c>
      <c r="I178" s="89"/>
    </row>
    <row r="179" spans="2:16" x14ac:dyDescent="0.25">
      <c r="B179" s="191"/>
      <c r="C179" s="98" t="s">
        <v>141</v>
      </c>
      <c r="D179" s="121" t="s">
        <v>5</v>
      </c>
      <c r="E179" s="192" t="s">
        <v>5</v>
      </c>
      <c r="F179" s="99" t="s">
        <v>5</v>
      </c>
      <c r="G179" s="100"/>
      <c r="H179" s="99" t="s">
        <v>5</v>
      </c>
      <c r="I179" s="101"/>
    </row>
    <row r="180" spans="2:16" x14ac:dyDescent="0.25">
      <c r="B180" s="188"/>
      <c r="C180" s="2" t="s">
        <v>359</v>
      </c>
      <c r="D180" s="118">
        <f>D70</f>
        <v>1</v>
      </c>
      <c r="E180" s="155" t="s">
        <v>122</v>
      </c>
      <c r="F180" s="69">
        <v>45000</v>
      </c>
      <c r="G180" s="88"/>
      <c r="H180" s="69">
        <f>F180*D180</f>
        <v>45000</v>
      </c>
      <c r="I180" s="89"/>
    </row>
    <row r="181" spans="2:16" x14ac:dyDescent="0.25">
      <c r="B181" s="188"/>
      <c r="C181" s="2" t="s">
        <v>484</v>
      </c>
      <c r="D181" s="118">
        <f>D71</f>
        <v>0</v>
      </c>
      <c r="E181" s="155" t="s">
        <v>122</v>
      </c>
      <c r="F181" s="69">
        <v>45000</v>
      </c>
      <c r="G181" s="88"/>
      <c r="H181" s="69">
        <f>F181*D181</f>
        <v>0</v>
      </c>
      <c r="I181" s="89"/>
    </row>
    <row r="182" spans="2:16" x14ac:dyDescent="0.25">
      <c r="B182" s="188" t="s">
        <v>408</v>
      </c>
      <c r="C182" s="2" t="s">
        <v>312</v>
      </c>
      <c r="D182" s="118">
        <v>0</v>
      </c>
      <c r="E182" s="155" t="s">
        <v>109</v>
      </c>
      <c r="F182" s="69">
        <v>0</v>
      </c>
      <c r="G182" s="88"/>
      <c r="H182" s="69">
        <f>F182*D182</f>
        <v>0</v>
      </c>
      <c r="I182" s="89"/>
    </row>
    <row r="183" spans="2:16" x14ac:dyDescent="0.25">
      <c r="B183" s="188" t="s">
        <v>407</v>
      </c>
      <c r="C183" s="2" t="s">
        <v>132</v>
      </c>
      <c r="D183" s="118">
        <v>1</v>
      </c>
      <c r="E183" s="76" t="s">
        <v>89</v>
      </c>
      <c r="F183" s="96">
        <f>SUM(H167:H182)*0.1</f>
        <v>128223.70000000001</v>
      </c>
      <c r="G183" s="88"/>
      <c r="H183" s="69">
        <f>F183*D183</f>
        <v>128223.70000000001</v>
      </c>
      <c r="I183" s="89"/>
    </row>
    <row r="184" spans="2:16" x14ac:dyDescent="0.25">
      <c r="B184" s="188" t="s">
        <v>407</v>
      </c>
      <c r="C184" s="2" t="s">
        <v>285</v>
      </c>
      <c r="D184" s="118">
        <v>1</v>
      </c>
      <c r="E184" s="76" t="s">
        <v>89</v>
      </c>
      <c r="F184" s="96">
        <f>SUM(H167:H183)*0.09</f>
        <v>126941.46299999999</v>
      </c>
      <c r="G184" s="88"/>
      <c r="H184" s="69">
        <f>F184*D184</f>
        <v>126941.46299999999</v>
      </c>
      <c r="I184" s="89"/>
    </row>
    <row r="185" spans="2:16" ht="16.5" thickBot="1" x14ac:dyDescent="0.3">
      <c r="B185" s="78" t="s">
        <v>133</v>
      </c>
      <c r="C185" s="66"/>
      <c r="D185" s="116"/>
      <c r="E185" s="67"/>
      <c r="F185" s="71"/>
      <c r="G185" s="71"/>
      <c r="H185" s="95"/>
      <c r="I185" s="85">
        <f>CEILING(SUM(H167:H184),100)</f>
        <v>1537500</v>
      </c>
    </row>
    <row r="186" spans="2:16" ht="16.5" thickBot="1" x14ac:dyDescent="0.3">
      <c r="B186" s="298" t="s">
        <v>134</v>
      </c>
      <c r="C186" s="299"/>
      <c r="D186" s="299"/>
      <c r="E186" s="299"/>
      <c r="F186" s="299"/>
      <c r="G186" s="299"/>
      <c r="H186" s="300"/>
      <c r="I186" s="87">
        <f>SUM(I7,I27,I44,I159,I164,I185)</f>
        <v>9927674</v>
      </c>
    </row>
    <row r="187" spans="2:16" ht="15.75" thickBot="1" x14ac:dyDescent="0.3">
      <c r="B187" s="296" t="s">
        <v>136</v>
      </c>
      <c r="C187" s="297"/>
      <c r="D187" s="149">
        <f>'Master Tab'!C28</f>
        <v>0</v>
      </c>
      <c r="E187" s="150" t="s">
        <v>142</v>
      </c>
      <c r="F187" s="151">
        <f>'Master Tab'!C29</f>
        <v>0</v>
      </c>
      <c r="G187" s="81"/>
      <c r="H187" s="86"/>
      <c r="I187" s="79">
        <f>CEILING(-(FV(F187,D187,0,SUM(I185,I44,I27,I7),1))-(SUM(I185,I44,I27,I7)),100)+CEILING(-(FV(F187,D187+1,0,SUM(I164,I159),1))-(SUM(I164,I159)),100)</f>
        <v>0</v>
      </c>
      <c r="K187" s="270"/>
      <c r="L187" s="270"/>
      <c r="M187" s="270"/>
      <c r="N187" s="270"/>
      <c r="O187" s="270"/>
      <c r="P187" s="270"/>
    </row>
    <row r="188" spans="2:16" ht="15.75" thickBot="1" x14ac:dyDescent="0.3">
      <c r="B188" s="294" t="s">
        <v>135</v>
      </c>
      <c r="C188" s="295"/>
      <c r="D188" s="122"/>
      <c r="E188" s="84"/>
      <c r="F188" s="152">
        <f>'Master Tab'!C30</f>
        <v>0.15</v>
      </c>
      <c r="G188" s="72"/>
      <c r="H188" s="86"/>
      <c r="I188" s="82">
        <f>CEILING((I186)*F188,100)</f>
        <v>1489200</v>
      </c>
    </row>
    <row r="189" spans="2:16" ht="19.5" thickBot="1" x14ac:dyDescent="0.35">
      <c r="B189" s="291" t="s">
        <v>137</v>
      </c>
      <c r="C189" s="292"/>
      <c r="D189" s="292"/>
      <c r="E189" s="292"/>
      <c r="F189" s="292"/>
      <c r="G189" s="292"/>
      <c r="H189" s="293"/>
      <c r="I189" s="80">
        <f>SUM(I186:I188)</f>
        <v>11416874</v>
      </c>
    </row>
    <row r="190" spans="2:16" x14ac:dyDescent="0.25">
      <c r="B190" s="1" t="s">
        <v>5</v>
      </c>
      <c r="C190" s="162" t="s">
        <v>5</v>
      </c>
    </row>
    <row r="191" spans="2:16" x14ac:dyDescent="0.25">
      <c r="B191" s="1" t="s">
        <v>5</v>
      </c>
      <c r="C191" s="162" t="s">
        <v>5</v>
      </c>
      <c r="H191" s="70" t="s">
        <v>138</v>
      </c>
      <c r="I191" s="70">
        <f>I189/D46</f>
        <v>1522.2498666666668</v>
      </c>
    </row>
    <row r="192" spans="2:16" x14ac:dyDescent="0.25">
      <c r="H192" s="70" t="s">
        <v>139</v>
      </c>
      <c r="I192" s="70">
        <f>I189/(D46/5280)</f>
        <v>8037479.2960000001</v>
      </c>
    </row>
  </sheetData>
  <sheetProtection formatCells="0" formatColumns="0" formatRows="0" insertColumns="0" insertRows="0" deleteColumns="0" deleteRows="0"/>
  <protectedRanges>
    <protectedRange algorithmName="SHA-512" hashValue="IbmNoH/XH9GZlitwFdFY+V3LGy1xQ3NuyVDz7GZtIth0KYgNC0Qiwte8wkicOU0jJryaYhOoqvkAD5QQLEfb1g==" saltValue="AzvUTwuISd6SY3rDKW9o1w==" spinCount="100000" sqref="B188:XFD1048576 D187:XFD187 A26:A114 A1:XFD4 B159:XFD161 A157:A180 L47:XFD114 L157:XFD158 B182:XFD186 A182:A1048576 A181:XFD181 A11:XFD25 A10:J10 N10:XFD10 B164:XFD180 B162:J163 N162:XFD163 A7:XFD9 A5:E6 G5:XFD6 B26:XFD46" name="Range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TgN2v4D1fCFeftgjUK9pEnAKUNQeBvGTEn7HgMYP3TgK+Lnb8CEJvr9mDUM9krxFyvgX1rqREi6Bj66egkIy9w==" saltValue="VQoFCzDNmxNbXYp+WTQXog==" spinCount="100000" sqref="B187:C187" name="Range1_1" securityDescriptor="O:WDG:WDD:(A;;CC;;;S-1-5-21-577582919-1435025626-1914702595-3940917)(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L115:XFD156 A115:A156" name="Range1_2"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B47:J66 K47:K53 K55:K57 K59:K61 K64:K65 D67:K67 K75 B72:J79 K72:K73 B80:C80 G80:J80 B141:B143 B67 B68:K71 K78:K79 K81:K137 K139:K140 B144:K158 B81:J140" name="Range1_4_2"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C141:C143" name="Range1_4_1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C67" name="Range1_5"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D141:K143" name="Range1_6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D80:F80" name="Range1_7"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K10:M10 K162:M163" name="Range1_1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TgN2v4D1fCFeftgjUK9pEnAKUNQeBvGTEn7HgMYP3TgK+Lnb8CEJvr9mDUM9krxFyvgX1rqREi6Bj66egkIy9w==" saltValue="VQoFCzDNmxNbXYp+WTQXog==" spinCount="100000" sqref="F5:F6" name="Range1_2_1" securityDescriptor="O:WDG:WDD:(A;;CC;;;S-1-5-21-577582919-1435025626-1914702595-3940917)(A;;CC;;;S-1-5-21-577582919-1435025626-1914702595-3758999)(A;;CC;;;S-1-5-21-577582919-1435025626-1914702595-3758875)(A;;CC;;;S-1-5-21-577582919-1435025626-1914702595-4023729)(A;;CC;;;S-1-5-21-577582919-1435025626-1914702595-3758127)"/>
  </protectedRanges>
  <mergeCells count="9">
    <mergeCell ref="K4:Q4"/>
    <mergeCell ref="C2:G2"/>
    <mergeCell ref="C1:G1"/>
    <mergeCell ref="K3:Q3"/>
    <mergeCell ref="B189:H189"/>
    <mergeCell ref="B188:C188"/>
    <mergeCell ref="B187:C187"/>
    <mergeCell ref="B186:H186"/>
    <mergeCell ref="K187:P187"/>
  </mergeCells>
  <pageMargins left="0.7" right="0.7" top="0.75" bottom="0.75" header="0.3" footer="0.3"/>
  <pageSetup scale="61" fitToHeight="0" orientation="portrait" r:id="rId1"/>
  <headerFooter>
    <oddHeader>&amp;RKyPSC Case No. 2025-00229
STAFF-DR-01-005(b) Attachment 6
Page &amp;P of &amp;N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CFAD4-2F27-40FF-8072-D5C9438BAFF7}">
  <sheetPr>
    <tabColor rgb="FFFFFF00"/>
    <pageSetUpPr fitToPage="1"/>
  </sheetPr>
  <dimension ref="B1:Q192"/>
  <sheetViews>
    <sheetView view="pageLayout" zoomScaleNormal="100" workbookViewId="0">
      <selection activeCell="AC7" sqref="AC7"/>
    </sheetView>
  </sheetViews>
  <sheetFormatPr defaultRowHeight="15" x14ac:dyDescent="0.25"/>
  <cols>
    <col min="1" max="1" width="9.28515625" customWidth="1"/>
    <col min="2" max="2" width="14.7109375" style="1" customWidth="1"/>
    <col min="3" max="3" width="41.7109375" style="162" customWidth="1"/>
    <col min="4" max="4" width="11.5703125" style="123" customWidth="1"/>
    <col min="5" max="5" width="17.7109375" style="1" customWidth="1"/>
    <col min="6" max="6" width="13" style="70" customWidth="1"/>
    <col min="7" max="7" width="0.7109375" style="70" customWidth="1"/>
    <col min="8" max="8" width="16.28515625" style="70" customWidth="1"/>
    <col min="9" max="9" width="21.28515625" style="70" customWidth="1"/>
    <col min="10" max="10" width="3.7109375" customWidth="1"/>
  </cols>
  <sheetData>
    <row r="1" spans="2:17" ht="23.25" x14ac:dyDescent="0.35">
      <c r="B1" s="103"/>
      <c r="C1" s="290" t="str">
        <f>'Master Tab'!$C$8</f>
        <v>Line AM07 Pipeline Replacement PH 1</v>
      </c>
      <c r="D1" s="290"/>
      <c r="E1" s="290"/>
      <c r="F1" s="290"/>
      <c r="G1" s="290"/>
      <c r="H1" s="104"/>
      <c r="I1" s="105"/>
    </row>
    <row r="2" spans="2:17" ht="19.5" thickBot="1" x14ac:dyDescent="0.35">
      <c r="B2" s="189">
        <f>'Master Tab'!$C$9</f>
        <v>44588</v>
      </c>
      <c r="C2" s="289" t="str">
        <f>'Master Tab'!$C$27</f>
        <v>Pipe NPS</v>
      </c>
      <c r="D2" s="289"/>
      <c r="E2" s="289"/>
      <c r="F2" s="289"/>
      <c r="G2" s="289"/>
      <c r="H2" s="106" t="s">
        <v>78</v>
      </c>
      <c r="I2" s="107" t="str">
        <f>'Master Tab'!$C$6</f>
        <v>E-Initiate</v>
      </c>
    </row>
    <row r="3" spans="2:17" ht="15.75" thickBot="1" x14ac:dyDescent="0.3">
      <c r="B3" s="109" t="s">
        <v>79</v>
      </c>
      <c r="C3" s="108" t="s">
        <v>80</v>
      </c>
      <c r="D3" s="115" t="s">
        <v>81</v>
      </c>
      <c r="E3" s="109" t="s">
        <v>82</v>
      </c>
      <c r="F3" s="110" t="s">
        <v>83</v>
      </c>
      <c r="G3" s="110"/>
      <c r="H3" s="110" t="s">
        <v>159</v>
      </c>
      <c r="I3" s="110" t="s">
        <v>84</v>
      </c>
      <c r="K3" s="270" t="s">
        <v>85</v>
      </c>
      <c r="L3" s="270"/>
      <c r="M3" s="270"/>
      <c r="N3" s="270"/>
      <c r="O3" s="270"/>
      <c r="P3" s="270"/>
      <c r="Q3" s="270"/>
    </row>
    <row r="4" spans="2:17" ht="15.75" x14ac:dyDescent="0.25">
      <c r="B4" s="78" t="s">
        <v>86</v>
      </c>
      <c r="C4" s="160"/>
      <c r="D4" s="116"/>
      <c r="E4" s="67"/>
      <c r="F4" s="68"/>
      <c r="G4" s="68"/>
      <c r="H4" s="68"/>
      <c r="I4" s="77"/>
      <c r="K4" s="288" t="s">
        <v>140</v>
      </c>
      <c r="L4" s="288"/>
      <c r="M4" s="288"/>
      <c r="N4" s="288"/>
      <c r="O4" s="288"/>
      <c r="P4" s="288"/>
      <c r="Q4" s="288"/>
    </row>
    <row r="5" spans="2:17" x14ac:dyDescent="0.25">
      <c r="B5" s="188" t="s">
        <v>398</v>
      </c>
      <c r="C5" s="2" t="s">
        <v>60</v>
      </c>
      <c r="D5" s="113">
        <v>1</v>
      </c>
      <c r="E5" s="76" t="s">
        <v>426</v>
      </c>
      <c r="F5" s="69">
        <v>120000</v>
      </c>
      <c r="G5" s="88" t="s">
        <v>5</v>
      </c>
      <c r="H5" s="69">
        <f>CEILING(F5*D5,100)</f>
        <v>120000</v>
      </c>
      <c r="I5" s="89"/>
    </row>
    <row r="6" spans="2:17" x14ac:dyDescent="0.25">
      <c r="B6" s="188" t="s">
        <v>399</v>
      </c>
      <c r="C6" s="2" t="s">
        <v>88</v>
      </c>
      <c r="D6" s="113">
        <f>'Master Tab'!$C$16</f>
        <v>40</v>
      </c>
      <c r="E6" s="76" t="s">
        <v>249</v>
      </c>
      <c r="F6" s="69">
        <v>200</v>
      </c>
      <c r="G6" s="88" t="s">
        <v>5</v>
      </c>
      <c r="H6" s="69">
        <f>CEILING(F6*D6,100)</f>
        <v>8000</v>
      </c>
      <c r="I6" s="89"/>
    </row>
    <row r="7" spans="2:17" ht="15.75" x14ac:dyDescent="0.25">
      <c r="B7" s="78" t="s">
        <v>90</v>
      </c>
      <c r="C7" s="65"/>
      <c r="D7" s="116"/>
      <c r="E7" s="67"/>
      <c r="F7" s="68"/>
      <c r="G7" s="68"/>
      <c r="H7" s="68"/>
      <c r="I7" s="77">
        <f>CEILING(SUM(H5:H6),100)</f>
        <v>128000</v>
      </c>
    </row>
    <row r="8" spans="2:17" ht="8.25" customHeight="1" x14ac:dyDescent="0.25">
      <c r="B8" s="194"/>
      <c r="C8" s="91"/>
      <c r="D8" s="117"/>
      <c r="E8" s="90"/>
      <c r="F8" s="92"/>
      <c r="G8" s="92"/>
      <c r="H8" s="92"/>
      <c r="I8" s="93"/>
    </row>
    <row r="9" spans="2:17" ht="15.75" x14ac:dyDescent="0.25">
      <c r="B9" s="78" t="s">
        <v>91</v>
      </c>
      <c r="C9" s="65"/>
      <c r="D9" s="116"/>
      <c r="E9" s="67"/>
      <c r="F9" s="68"/>
      <c r="G9" s="68"/>
      <c r="H9" s="68"/>
      <c r="I9" s="77"/>
    </row>
    <row r="10" spans="2:17" x14ac:dyDescent="0.25">
      <c r="B10" s="188" t="s">
        <v>369</v>
      </c>
      <c r="C10" s="2" t="s">
        <v>370</v>
      </c>
      <c r="D10" s="113">
        <f>((($I$44+$I$159+$I$185)*K10)/F10)*0.01</f>
        <v>58.339200000000005</v>
      </c>
      <c r="E10" s="76" t="s">
        <v>87</v>
      </c>
      <c r="F10" s="69">
        <v>125</v>
      </c>
      <c r="G10" s="88"/>
      <c r="H10" s="69">
        <f t="shared" ref="H10:H26" si="0">F10*D10</f>
        <v>7292.4000000000005</v>
      </c>
      <c r="I10" s="89"/>
      <c r="K10" s="231">
        <v>0.12</v>
      </c>
      <c r="L10" s="230" t="s">
        <v>492</v>
      </c>
      <c r="M10" s="229"/>
    </row>
    <row r="11" spans="2:17" x14ac:dyDescent="0.25">
      <c r="B11" s="188" t="s">
        <v>371</v>
      </c>
      <c r="C11" s="2" t="s">
        <v>372</v>
      </c>
      <c r="D11" s="113">
        <f>((($I$44+$I$159+$I$185)*K10)/F11)*0.011</f>
        <v>64.173119999999997</v>
      </c>
      <c r="E11" s="76" t="s">
        <v>87</v>
      </c>
      <c r="F11" s="69">
        <v>125</v>
      </c>
      <c r="G11" s="88"/>
      <c r="H11" s="69">
        <f t="shared" si="0"/>
        <v>8021.6399999999994</v>
      </c>
      <c r="I11" s="89"/>
    </row>
    <row r="12" spans="2:17" x14ac:dyDescent="0.25">
      <c r="B12" s="188" t="s">
        <v>373</v>
      </c>
      <c r="C12" s="2" t="s">
        <v>374</v>
      </c>
      <c r="D12" s="113">
        <f>((($I$44+$I$159+$I$185)*K10)/F12)*0.043</f>
        <v>250.85855999999998</v>
      </c>
      <c r="E12" s="76" t="s">
        <v>87</v>
      </c>
      <c r="F12" s="69">
        <v>125</v>
      </c>
      <c r="G12" s="88"/>
      <c r="H12" s="69">
        <f t="shared" si="0"/>
        <v>31357.319999999996</v>
      </c>
      <c r="I12" s="89"/>
    </row>
    <row r="13" spans="2:17" x14ac:dyDescent="0.25">
      <c r="B13" s="188" t="s">
        <v>375</v>
      </c>
      <c r="C13" s="2" t="s">
        <v>376</v>
      </c>
      <c r="D13" s="113">
        <f>((($I$44+$I$159+$I$185)*K10)/F13)*0.002</f>
        <v>11.66784</v>
      </c>
      <c r="E13" s="76" t="s">
        <v>87</v>
      </c>
      <c r="F13" s="69">
        <v>125</v>
      </c>
      <c r="G13" s="88"/>
      <c r="H13" s="69">
        <f t="shared" si="0"/>
        <v>1458.48</v>
      </c>
      <c r="I13" s="89"/>
    </row>
    <row r="14" spans="2:17" x14ac:dyDescent="0.25">
      <c r="B14" s="188" t="s">
        <v>377</v>
      </c>
      <c r="C14" s="2" t="s">
        <v>378</v>
      </c>
      <c r="D14" s="113">
        <f>((($I$44+$I$159+$I$185)*K10)/F14)*0.007</f>
        <v>40.837440000000001</v>
      </c>
      <c r="E14" s="76" t="s">
        <v>87</v>
      </c>
      <c r="F14" s="69">
        <v>125</v>
      </c>
      <c r="G14" s="88"/>
      <c r="H14" s="69">
        <f t="shared" si="0"/>
        <v>5104.68</v>
      </c>
      <c r="I14" s="89"/>
    </row>
    <row r="15" spans="2:17" x14ac:dyDescent="0.25">
      <c r="B15" s="188" t="s">
        <v>379</v>
      </c>
      <c r="C15" s="2" t="s">
        <v>380</v>
      </c>
      <c r="D15" s="113">
        <f>((($I$44+$I$159+$I$185)*K10)/F15)*0.112</f>
        <v>653.39904000000001</v>
      </c>
      <c r="E15" s="76" t="s">
        <v>87</v>
      </c>
      <c r="F15" s="69">
        <v>125</v>
      </c>
      <c r="G15" s="88"/>
      <c r="H15" s="69">
        <f t="shared" si="0"/>
        <v>81674.880000000005</v>
      </c>
      <c r="I15" s="89"/>
    </row>
    <row r="16" spans="2:17" x14ac:dyDescent="0.25">
      <c r="B16" s="188" t="s">
        <v>381</v>
      </c>
      <c r="C16" s="2" t="s">
        <v>382</v>
      </c>
      <c r="D16" s="113">
        <f>((($I$44+$I$159+$I$185)*K10)/F16)*0.046</f>
        <v>268.36032</v>
      </c>
      <c r="E16" s="76" t="s">
        <v>87</v>
      </c>
      <c r="F16" s="69">
        <v>125</v>
      </c>
      <c r="G16" s="88"/>
      <c r="H16" s="69">
        <f t="shared" si="0"/>
        <v>33545.040000000001</v>
      </c>
      <c r="I16" s="89"/>
    </row>
    <row r="17" spans="2:13" x14ac:dyDescent="0.25">
      <c r="B17" s="188" t="s">
        <v>383</v>
      </c>
      <c r="C17" s="2" t="s">
        <v>409</v>
      </c>
      <c r="D17" s="113">
        <f>((($I$44+$I$159+$I$185)*K10)/F17)*0.04</f>
        <v>233.35680000000002</v>
      </c>
      <c r="E17" s="76" t="s">
        <v>87</v>
      </c>
      <c r="F17" s="69">
        <v>125</v>
      </c>
      <c r="G17" s="88"/>
      <c r="H17" s="69">
        <f t="shared" si="0"/>
        <v>29169.600000000002</v>
      </c>
      <c r="I17" s="89"/>
    </row>
    <row r="18" spans="2:13" x14ac:dyDescent="0.25">
      <c r="B18" s="188" t="s">
        <v>384</v>
      </c>
      <c r="C18" s="2" t="s">
        <v>385</v>
      </c>
      <c r="D18" s="113">
        <f>((($I$44+$I$159+$I$185)*K10)/F18)*0.055</f>
        <v>320.86560000000003</v>
      </c>
      <c r="E18" s="76" t="s">
        <v>87</v>
      </c>
      <c r="F18" s="69">
        <v>125</v>
      </c>
      <c r="G18" s="88"/>
      <c r="H18" s="69">
        <f t="shared" si="0"/>
        <v>40108.200000000004</v>
      </c>
      <c r="I18" s="89"/>
    </row>
    <row r="19" spans="2:13" x14ac:dyDescent="0.25">
      <c r="B19" s="188" t="s">
        <v>391</v>
      </c>
      <c r="C19" s="2" t="s">
        <v>92</v>
      </c>
      <c r="D19" s="113">
        <f>((($I$44+$I$159+$I$185)*K10)/F19)*0.092</f>
        <v>536.72064</v>
      </c>
      <c r="E19" s="76" t="s">
        <v>87</v>
      </c>
      <c r="F19" s="69">
        <v>125</v>
      </c>
      <c r="G19" s="88"/>
      <c r="H19" s="69">
        <f t="shared" si="0"/>
        <v>67090.080000000002</v>
      </c>
      <c r="I19" s="89"/>
    </row>
    <row r="20" spans="2:13" x14ac:dyDescent="0.25">
      <c r="B20" s="188" t="s">
        <v>392</v>
      </c>
      <c r="C20" s="2" t="s">
        <v>93</v>
      </c>
      <c r="D20" s="113">
        <f>((($I$44+$I$159+$I$185)*K10)/F20)*0</f>
        <v>0</v>
      </c>
      <c r="E20" s="76" t="s">
        <v>87</v>
      </c>
      <c r="F20" s="69">
        <v>125</v>
      </c>
      <c r="G20" s="88"/>
      <c r="H20" s="69">
        <f t="shared" si="0"/>
        <v>0</v>
      </c>
      <c r="I20" s="89"/>
    </row>
    <row r="21" spans="2:13" x14ac:dyDescent="0.25">
      <c r="B21" s="188" t="s">
        <v>393</v>
      </c>
      <c r="C21" s="2" t="s">
        <v>386</v>
      </c>
      <c r="D21" s="113">
        <f>((($I$44+$I$159+$I$185)*K10)/F21)*0.002</f>
        <v>11.66784</v>
      </c>
      <c r="E21" s="76" t="s">
        <v>87</v>
      </c>
      <c r="F21" s="69">
        <v>125</v>
      </c>
      <c r="G21" s="88"/>
      <c r="H21" s="69">
        <f t="shared" si="0"/>
        <v>1458.48</v>
      </c>
      <c r="I21" s="89"/>
    </row>
    <row r="22" spans="2:13" x14ac:dyDescent="0.25">
      <c r="B22" s="188" t="s">
        <v>394</v>
      </c>
      <c r="C22" s="2" t="s">
        <v>387</v>
      </c>
      <c r="D22" s="113">
        <f>((($I$44+$I$159+$I$185)*K10)/F22)*0.017</f>
        <v>99.176640000000006</v>
      </c>
      <c r="E22" s="76" t="s">
        <v>87</v>
      </c>
      <c r="F22" s="69">
        <v>125</v>
      </c>
      <c r="G22" s="88"/>
      <c r="H22" s="69">
        <f t="shared" si="0"/>
        <v>12397.08</v>
      </c>
      <c r="I22" s="89"/>
    </row>
    <row r="23" spans="2:13" x14ac:dyDescent="0.25">
      <c r="B23" s="188" t="s">
        <v>395</v>
      </c>
      <c r="C23" s="2" t="s">
        <v>388</v>
      </c>
      <c r="D23" s="113">
        <f>((($I$44+$I$159+$I$185)*K10)/F23)*0.13</f>
        <v>758.40960000000007</v>
      </c>
      <c r="E23" s="76" t="s">
        <v>87</v>
      </c>
      <c r="F23" s="69">
        <v>125</v>
      </c>
      <c r="G23" s="88"/>
      <c r="H23" s="69">
        <f t="shared" si="0"/>
        <v>94801.200000000012</v>
      </c>
      <c r="I23" s="89"/>
    </row>
    <row r="24" spans="2:13" x14ac:dyDescent="0.25">
      <c r="B24" s="188" t="s">
        <v>396</v>
      </c>
      <c r="C24" s="2" t="s">
        <v>389</v>
      </c>
      <c r="D24" s="113">
        <f>((($I$44+$I$159+$I$185)*K10)/F24)*0.42</f>
        <v>2450.2464</v>
      </c>
      <c r="E24" s="76" t="s">
        <v>87</v>
      </c>
      <c r="F24" s="69">
        <v>125</v>
      </c>
      <c r="G24" s="88"/>
      <c r="H24" s="69">
        <f t="shared" si="0"/>
        <v>306280.8</v>
      </c>
      <c r="I24" s="89"/>
    </row>
    <row r="25" spans="2:13" x14ac:dyDescent="0.25">
      <c r="B25" s="188" t="s">
        <v>396</v>
      </c>
      <c r="C25" s="2" t="s">
        <v>390</v>
      </c>
      <c r="D25" s="113">
        <f>((($I$44+$I$159+$I$185)*K10)/F25)*0.012</f>
        <v>70.007040000000003</v>
      </c>
      <c r="E25" s="76" t="s">
        <v>87</v>
      </c>
      <c r="F25" s="69">
        <v>125</v>
      </c>
      <c r="G25" s="88"/>
      <c r="H25" s="69">
        <f t="shared" si="0"/>
        <v>8750.880000000001</v>
      </c>
      <c r="I25" s="89"/>
    </row>
    <row r="26" spans="2:13" x14ac:dyDescent="0.25">
      <c r="B26" s="188" t="s">
        <v>397</v>
      </c>
      <c r="C26" s="2" t="s">
        <v>94</v>
      </c>
      <c r="D26" s="120">
        <v>1</v>
      </c>
      <c r="E26" s="148" t="s">
        <v>103</v>
      </c>
      <c r="F26" s="69">
        <v>11500</v>
      </c>
      <c r="G26" s="88"/>
      <c r="H26" s="69">
        <f t="shared" si="0"/>
        <v>11500</v>
      </c>
      <c r="I26" s="89"/>
    </row>
    <row r="27" spans="2:13" ht="15.75" x14ac:dyDescent="0.25">
      <c r="B27" s="78" t="s">
        <v>95</v>
      </c>
      <c r="C27" s="65"/>
      <c r="D27" s="116"/>
      <c r="E27" s="67"/>
      <c r="F27" s="68"/>
      <c r="G27" s="68"/>
      <c r="H27" s="94"/>
      <c r="I27" s="77">
        <f>CEILING(SUM(H10:H26),100)</f>
        <v>740100</v>
      </c>
    </row>
    <row r="28" spans="2:13" ht="8.25" customHeight="1" x14ac:dyDescent="0.25">
      <c r="B28" s="194"/>
      <c r="C28" s="91"/>
      <c r="D28" s="117"/>
      <c r="E28" s="90"/>
      <c r="F28" s="92"/>
      <c r="G28" s="92"/>
      <c r="H28" s="92"/>
      <c r="I28" s="93"/>
    </row>
    <row r="29" spans="2:13" ht="15.75" x14ac:dyDescent="0.25">
      <c r="B29" s="78" t="s">
        <v>96</v>
      </c>
      <c r="C29" s="65"/>
      <c r="D29" s="116"/>
      <c r="E29" s="67"/>
      <c r="F29" s="68"/>
      <c r="G29" s="68"/>
      <c r="H29" s="68"/>
      <c r="I29" s="77"/>
    </row>
    <row r="30" spans="2:13" x14ac:dyDescent="0.25">
      <c r="B30" s="188" t="s">
        <v>400</v>
      </c>
      <c r="C30" s="2" t="s">
        <v>274</v>
      </c>
      <c r="D30" s="118">
        <v>0</v>
      </c>
      <c r="E30" s="155" t="s">
        <v>97</v>
      </c>
      <c r="F30" s="69">
        <v>45000</v>
      </c>
      <c r="G30" s="88"/>
      <c r="H30" s="69">
        <f t="shared" ref="H30:H43" si="1">CEILING(F30*D30,100)</f>
        <v>0</v>
      </c>
      <c r="I30" s="89"/>
      <c r="M30" t="s">
        <v>5</v>
      </c>
    </row>
    <row r="31" spans="2:13" x14ac:dyDescent="0.25">
      <c r="B31" s="188" t="s">
        <v>400</v>
      </c>
      <c r="C31" s="2" t="s">
        <v>275</v>
      </c>
      <c r="D31" s="118">
        <v>0</v>
      </c>
      <c r="E31" s="155" t="s">
        <v>97</v>
      </c>
      <c r="F31" s="69">
        <v>125000</v>
      </c>
      <c r="G31" s="88"/>
      <c r="H31" s="69">
        <f t="shared" si="1"/>
        <v>0</v>
      </c>
      <c r="I31" s="89"/>
    </row>
    <row r="32" spans="2:13" x14ac:dyDescent="0.25">
      <c r="B32" s="188" t="s">
        <v>401</v>
      </c>
      <c r="C32" s="2" t="s">
        <v>276</v>
      </c>
      <c r="D32" s="234">
        <v>6.7</v>
      </c>
      <c r="E32" s="155" t="s">
        <v>97</v>
      </c>
      <c r="F32" s="96">
        <f>F30*1.2</f>
        <v>54000</v>
      </c>
      <c r="G32" s="88"/>
      <c r="H32" s="69">
        <f t="shared" si="1"/>
        <v>361800</v>
      </c>
      <c r="I32" s="89"/>
    </row>
    <row r="33" spans="2:12" x14ac:dyDescent="0.25">
      <c r="B33" s="188" t="s">
        <v>401</v>
      </c>
      <c r="C33" s="2" t="s">
        <v>279</v>
      </c>
      <c r="D33" s="118">
        <v>0</v>
      </c>
      <c r="E33" s="155" t="s">
        <v>97</v>
      </c>
      <c r="F33" s="96">
        <f>F31*1.2</f>
        <v>150000</v>
      </c>
      <c r="G33" s="88"/>
      <c r="H33" s="69">
        <f t="shared" si="1"/>
        <v>0</v>
      </c>
      <c r="I33" s="89"/>
    </row>
    <row r="34" spans="2:12" x14ac:dyDescent="0.25">
      <c r="B34" s="188" t="s">
        <v>401</v>
      </c>
      <c r="C34" s="2" t="s">
        <v>277</v>
      </c>
      <c r="D34" s="118">
        <v>0</v>
      </c>
      <c r="E34" s="155" t="s">
        <v>97</v>
      </c>
      <c r="F34" s="96">
        <f>F30*1.4</f>
        <v>62999.999999999993</v>
      </c>
      <c r="G34" s="88"/>
      <c r="H34" s="69">
        <f t="shared" si="1"/>
        <v>0</v>
      </c>
      <c r="I34" s="89"/>
    </row>
    <row r="35" spans="2:12" x14ac:dyDescent="0.25">
      <c r="B35" s="188" t="s">
        <v>401</v>
      </c>
      <c r="C35" s="2" t="s">
        <v>280</v>
      </c>
      <c r="D35" s="118">
        <v>0</v>
      </c>
      <c r="E35" s="155" t="s">
        <v>97</v>
      </c>
      <c r="F35" s="96">
        <f>F31*1.4</f>
        <v>175000</v>
      </c>
      <c r="G35" s="88"/>
      <c r="H35" s="69">
        <f t="shared" si="1"/>
        <v>0</v>
      </c>
      <c r="I35" s="89"/>
    </row>
    <row r="36" spans="2:12" x14ac:dyDescent="0.25">
      <c r="B36" s="188" t="s">
        <v>397</v>
      </c>
      <c r="C36" s="2" t="s">
        <v>286</v>
      </c>
      <c r="D36" s="234">
        <v>8.6999999999999993</v>
      </c>
      <c r="E36" s="155" t="s">
        <v>97</v>
      </c>
      <c r="F36" s="96">
        <f>F30*0.25</f>
        <v>11250</v>
      </c>
      <c r="G36" s="88"/>
      <c r="H36" s="69">
        <f t="shared" si="1"/>
        <v>97900</v>
      </c>
      <c r="I36" s="89"/>
    </row>
    <row r="37" spans="2:12" x14ac:dyDescent="0.25">
      <c r="B37" s="188" t="s">
        <v>397</v>
      </c>
      <c r="C37" s="2" t="s">
        <v>287</v>
      </c>
      <c r="D37" s="118">
        <v>0</v>
      </c>
      <c r="E37" s="155" t="s">
        <v>97</v>
      </c>
      <c r="F37" s="96">
        <f>F31*0.25</f>
        <v>31250</v>
      </c>
      <c r="G37" s="88"/>
      <c r="H37" s="69">
        <f t="shared" si="1"/>
        <v>0</v>
      </c>
      <c r="I37" s="89"/>
    </row>
    <row r="38" spans="2:12" x14ac:dyDescent="0.25">
      <c r="B38" s="188" t="s">
        <v>402</v>
      </c>
      <c r="C38" s="2" t="s">
        <v>252</v>
      </c>
      <c r="D38" s="118">
        <v>2</v>
      </c>
      <c r="E38" s="155" t="s">
        <v>122</v>
      </c>
      <c r="F38" s="69">
        <v>10000</v>
      </c>
      <c r="G38" s="88"/>
      <c r="H38" s="69">
        <f t="shared" si="1"/>
        <v>20000</v>
      </c>
      <c r="I38" s="89"/>
    </row>
    <row r="39" spans="2:12" x14ac:dyDescent="0.25">
      <c r="B39" s="188" t="s">
        <v>397</v>
      </c>
      <c r="C39" s="2" t="s">
        <v>253</v>
      </c>
      <c r="D39" s="118">
        <v>0</v>
      </c>
      <c r="E39" s="155" t="s">
        <v>273</v>
      </c>
      <c r="F39" s="69">
        <v>4200</v>
      </c>
      <c r="G39" s="88"/>
      <c r="H39" s="69">
        <f t="shared" si="1"/>
        <v>0</v>
      </c>
      <c r="I39" s="89"/>
    </row>
    <row r="40" spans="2:12" x14ac:dyDescent="0.25">
      <c r="B40" s="188" t="s">
        <v>403</v>
      </c>
      <c r="C40" s="2" t="s">
        <v>284</v>
      </c>
      <c r="D40" s="113">
        <f>D42</f>
        <v>1</v>
      </c>
      <c r="E40" s="155" t="s">
        <v>98</v>
      </c>
      <c r="F40" s="69">
        <v>3250</v>
      </c>
      <c r="G40" s="88"/>
      <c r="H40" s="69">
        <f t="shared" si="1"/>
        <v>3300</v>
      </c>
      <c r="I40" s="89"/>
    </row>
    <row r="41" spans="2:12" x14ac:dyDescent="0.25">
      <c r="B41" s="188" t="s">
        <v>403</v>
      </c>
      <c r="C41" s="2" t="s">
        <v>316</v>
      </c>
      <c r="D41" s="118">
        <v>0</v>
      </c>
      <c r="E41" s="155" t="s">
        <v>97</v>
      </c>
      <c r="F41" s="69">
        <v>0</v>
      </c>
      <c r="G41" s="88"/>
      <c r="H41" s="69">
        <f t="shared" si="1"/>
        <v>0</v>
      </c>
      <c r="I41" s="89"/>
    </row>
    <row r="42" spans="2:12" x14ac:dyDescent="0.25">
      <c r="B42" s="188" t="s">
        <v>404</v>
      </c>
      <c r="C42" s="2" t="s">
        <v>288</v>
      </c>
      <c r="D42" s="118">
        <v>1</v>
      </c>
      <c r="E42" s="155" t="s">
        <v>426</v>
      </c>
      <c r="F42" s="69">
        <v>50274</v>
      </c>
      <c r="G42" s="88"/>
      <c r="H42" s="69">
        <f t="shared" si="1"/>
        <v>50300</v>
      </c>
      <c r="I42" s="89"/>
    </row>
    <row r="43" spans="2:12" x14ac:dyDescent="0.25">
      <c r="B43" s="188" t="s">
        <v>404</v>
      </c>
      <c r="C43" s="2" t="s">
        <v>99</v>
      </c>
      <c r="D43" s="113">
        <v>1</v>
      </c>
      <c r="E43" s="76" t="s">
        <v>98</v>
      </c>
      <c r="F43" s="69">
        <v>20000</v>
      </c>
      <c r="G43" s="88"/>
      <c r="H43" s="69">
        <f t="shared" si="1"/>
        <v>20000</v>
      </c>
      <c r="I43" s="89"/>
    </row>
    <row r="44" spans="2:12" ht="15.75" x14ac:dyDescent="0.25">
      <c r="B44" s="78" t="s">
        <v>100</v>
      </c>
      <c r="C44" s="65"/>
      <c r="D44" s="116"/>
      <c r="E44" s="67"/>
      <c r="F44" s="68"/>
      <c r="G44" s="94"/>
      <c r="H44" s="68"/>
      <c r="I44" s="77">
        <f>SUM(H30:H43)</f>
        <v>553300</v>
      </c>
    </row>
    <row r="45" spans="2:12" ht="8.25" customHeight="1" x14ac:dyDescent="0.25">
      <c r="B45" s="194"/>
      <c r="C45" s="91"/>
      <c r="D45" s="117"/>
      <c r="E45" s="90"/>
      <c r="F45" s="92"/>
      <c r="G45" s="92"/>
      <c r="H45" s="92"/>
      <c r="I45" s="93"/>
    </row>
    <row r="46" spans="2:12" ht="15.75" x14ac:dyDescent="0.25">
      <c r="B46" s="78" t="s">
        <v>101</v>
      </c>
      <c r="C46" s="65"/>
      <c r="D46" s="119">
        <v>2800</v>
      </c>
      <c r="E46" s="74" t="s">
        <v>102</v>
      </c>
      <c r="F46" s="75"/>
      <c r="G46" s="68"/>
      <c r="H46" s="68"/>
      <c r="I46" s="77"/>
    </row>
    <row r="47" spans="2:12" x14ac:dyDescent="0.25">
      <c r="B47" s="188">
        <v>820</v>
      </c>
      <c r="C47" s="2" t="s">
        <v>104</v>
      </c>
      <c r="D47" s="120">
        <v>1</v>
      </c>
      <c r="E47" s="76" t="s">
        <v>103</v>
      </c>
      <c r="F47" s="96">
        <f>(SUM(H48:H158)*K47)</f>
        <v>420114.95</v>
      </c>
      <c r="G47" s="88"/>
      <c r="H47" s="69">
        <f>F47*D47</f>
        <v>420114.95</v>
      </c>
      <c r="I47" s="89"/>
      <c r="K47" s="97">
        <v>0.1</v>
      </c>
      <c r="L47" t="s">
        <v>105</v>
      </c>
    </row>
    <row r="48" spans="2:12" x14ac:dyDescent="0.25">
      <c r="B48" s="188">
        <v>821</v>
      </c>
      <c r="C48" s="2" t="s">
        <v>197</v>
      </c>
      <c r="D48" s="233">
        <v>8</v>
      </c>
      <c r="E48" s="155" t="s">
        <v>209</v>
      </c>
      <c r="F48" s="69">
        <v>37800</v>
      </c>
      <c r="G48" s="88"/>
      <c r="H48" s="69">
        <f t="shared" ref="H48:H158" si="2">F48*D48</f>
        <v>302400</v>
      </c>
      <c r="I48" s="89"/>
    </row>
    <row r="49" spans="2:12" x14ac:dyDescent="0.25">
      <c r="B49" s="188">
        <v>821</v>
      </c>
      <c r="C49" s="2" t="s">
        <v>198</v>
      </c>
      <c r="D49" s="234">
        <v>0.5</v>
      </c>
      <c r="E49" s="155" t="s">
        <v>209</v>
      </c>
      <c r="F49" s="69">
        <v>39000</v>
      </c>
      <c r="G49" s="88"/>
      <c r="H49" s="69">
        <f t="shared" si="2"/>
        <v>19500</v>
      </c>
      <c r="I49" s="89"/>
    </row>
    <row r="50" spans="2:12" x14ac:dyDescent="0.25">
      <c r="B50" s="188">
        <v>829</v>
      </c>
      <c r="C50" s="2" t="s">
        <v>114</v>
      </c>
      <c r="D50" s="118">
        <f>D46-D51-D52-D53-D54</f>
        <v>2700</v>
      </c>
      <c r="E50" s="155" t="s">
        <v>109</v>
      </c>
      <c r="F50" s="69">
        <v>335</v>
      </c>
      <c r="G50" s="88"/>
      <c r="H50" s="69">
        <f t="shared" si="2"/>
        <v>904500</v>
      </c>
      <c r="I50" s="89"/>
      <c r="L50" t="s">
        <v>5</v>
      </c>
    </row>
    <row r="51" spans="2:12" x14ac:dyDescent="0.25">
      <c r="B51" s="188">
        <v>829</v>
      </c>
      <c r="C51" s="2" t="s">
        <v>471</v>
      </c>
      <c r="D51" s="118">
        <v>0</v>
      </c>
      <c r="E51" s="155" t="s">
        <v>109</v>
      </c>
      <c r="F51" s="69">
        <v>0</v>
      </c>
      <c r="G51" s="88"/>
      <c r="H51" s="69">
        <f t="shared" si="2"/>
        <v>0</v>
      </c>
      <c r="I51" s="89"/>
    </row>
    <row r="52" spans="2:12" x14ac:dyDescent="0.25">
      <c r="B52" s="188">
        <v>830</v>
      </c>
      <c r="C52" s="2" t="s">
        <v>115</v>
      </c>
      <c r="D52" s="118">
        <v>0</v>
      </c>
      <c r="E52" s="155" t="s">
        <v>109</v>
      </c>
      <c r="F52" s="69">
        <v>0</v>
      </c>
      <c r="G52" s="88"/>
      <c r="H52" s="69">
        <f t="shared" si="2"/>
        <v>0</v>
      </c>
      <c r="I52" s="89"/>
    </row>
    <row r="53" spans="2:12" x14ac:dyDescent="0.25">
      <c r="B53" s="188">
        <v>825</v>
      </c>
      <c r="C53" s="2" t="s">
        <v>110</v>
      </c>
      <c r="D53" s="118">
        <v>100</v>
      </c>
      <c r="E53" s="155" t="s">
        <v>109</v>
      </c>
      <c r="F53" s="69">
        <f>310+325</f>
        <v>635</v>
      </c>
      <c r="G53" s="88"/>
      <c r="H53" s="69">
        <f t="shared" si="2"/>
        <v>63500</v>
      </c>
      <c r="I53" s="89"/>
    </row>
    <row r="54" spans="2:12" x14ac:dyDescent="0.25">
      <c r="B54" s="188">
        <v>826</v>
      </c>
      <c r="C54" s="2" t="s">
        <v>111</v>
      </c>
      <c r="D54" s="118">
        <v>0</v>
      </c>
      <c r="E54" s="155" t="s">
        <v>109</v>
      </c>
      <c r="F54" s="69">
        <v>0</v>
      </c>
      <c r="G54" s="88"/>
      <c r="H54" s="69">
        <f t="shared" si="2"/>
        <v>0</v>
      </c>
      <c r="I54" s="89"/>
    </row>
    <row r="55" spans="2:12" x14ac:dyDescent="0.25">
      <c r="B55" s="188">
        <v>827</v>
      </c>
      <c r="C55" s="2" t="s">
        <v>112</v>
      </c>
      <c r="D55" s="118">
        <v>1200</v>
      </c>
      <c r="E55" s="155" t="s">
        <v>109</v>
      </c>
      <c r="F55" s="69">
        <v>1500</v>
      </c>
      <c r="G55" s="88"/>
      <c r="H55" s="69">
        <f t="shared" si="2"/>
        <v>1800000</v>
      </c>
      <c r="I55" s="89"/>
    </row>
    <row r="56" spans="2:12" x14ac:dyDescent="0.25">
      <c r="B56" s="188">
        <v>828</v>
      </c>
      <c r="C56" s="2" t="s">
        <v>113</v>
      </c>
      <c r="D56" s="118">
        <v>0</v>
      </c>
      <c r="E56" s="155" t="s">
        <v>109</v>
      </c>
      <c r="F56" s="69">
        <v>0</v>
      </c>
      <c r="G56" s="88"/>
      <c r="H56" s="69">
        <f>F56*D56</f>
        <v>0</v>
      </c>
      <c r="I56" s="89"/>
    </row>
    <row r="57" spans="2:12" x14ac:dyDescent="0.25">
      <c r="B57" s="188">
        <v>822</v>
      </c>
      <c r="C57" s="2" t="s">
        <v>199</v>
      </c>
      <c r="D57" s="118">
        <v>0</v>
      </c>
      <c r="E57" s="155" t="s">
        <v>149</v>
      </c>
      <c r="F57" s="69">
        <v>0</v>
      </c>
      <c r="G57" s="88"/>
      <c r="H57" s="69">
        <f>F57*D57</f>
        <v>0</v>
      </c>
      <c r="I57" s="89"/>
    </row>
    <row r="58" spans="2:12" x14ac:dyDescent="0.25">
      <c r="B58" s="188">
        <v>822</v>
      </c>
      <c r="C58" s="2" t="s">
        <v>200</v>
      </c>
      <c r="D58" s="118">
        <v>0</v>
      </c>
      <c r="E58" s="155" t="s">
        <v>149</v>
      </c>
      <c r="F58" s="69">
        <v>0</v>
      </c>
      <c r="G58" s="88"/>
      <c r="H58" s="69">
        <f>F58*D58</f>
        <v>0</v>
      </c>
      <c r="I58" s="89"/>
    </row>
    <row r="59" spans="2:12" x14ac:dyDescent="0.25">
      <c r="B59" s="188">
        <v>829</v>
      </c>
      <c r="C59" s="2" t="s">
        <v>201</v>
      </c>
      <c r="D59" s="118">
        <v>2400</v>
      </c>
      <c r="E59" s="155" t="s">
        <v>427</v>
      </c>
      <c r="F59" s="69">
        <v>40</v>
      </c>
      <c r="G59" s="88"/>
      <c r="H59" s="69">
        <f t="shared" si="2"/>
        <v>96000</v>
      </c>
      <c r="I59" s="89"/>
    </row>
    <row r="60" spans="2:12" x14ac:dyDescent="0.25">
      <c r="B60" s="188">
        <v>829</v>
      </c>
      <c r="C60" s="2" t="s">
        <v>202</v>
      </c>
      <c r="D60" s="118">
        <v>0</v>
      </c>
      <c r="E60" s="155" t="s">
        <v>109</v>
      </c>
      <c r="F60" s="69">
        <v>0</v>
      </c>
      <c r="G60" s="88"/>
      <c r="H60" s="69">
        <f t="shared" si="2"/>
        <v>0</v>
      </c>
      <c r="I60" s="89"/>
    </row>
    <row r="61" spans="2:12" x14ac:dyDescent="0.25">
      <c r="B61" s="188">
        <v>829</v>
      </c>
      <c r="C61" s="2" t="s">
        <v>203</v>
      </c>
      <c r="D61" s="118">
        <v>0</v>
      </c>
      <c r="E61" s="155" t="s">
        <v>109</v>
      </c>
      <c r="F61" s="69">
        <v>0</v>
      </c>
      <c r="G61" s="88"/>
      <c r="H61" s="69">
        <f t="shared" si="2"/>
        <v>0</v>
      </c>
      <c r="I61" s="89"/>
    </row>
    <row r="62" spans="2:12" x14ac:dyDescent="0.25">
      <c r="B62" s="188">
        <v>829</v>
      </c>
      <c r="C62" s="2" t="s">
        <v>414</v>
      </c>
      <c r="D62" s="118">
        <v>0</v>
      </c>
      <c r="E62" s="155" t="s">
        <v>149</v>
      </c>
      <c r="F62" s="69">
        <v>0</v>
      </c>
      <c r="G62" s="88"/>
      <c r="H62" s="69">
        <f t="shared" si="2"/>
        <v>0</v>
      </c>
      <c r="I62" s="89"/>
    </row>
    <row r="63" spans="2:12" x14ac:dyDescent="0.25">
      <c r="B63" s="188">
        <v>822</v>
      </c>
      <c r="C63" s="2" t="s">
        <v>204</v>
      </c>
      <c r="D63" s="118">
        <v>0</v>
      </c>
      <c r="E63" s="155" t="s">
        <v>109</v>
      </c>
      <c r="F63" s="69">
        <v>0</v>
      </c>
      <c r="G63" s="88"/>
      <c r="H63" s="69">
        <f t="shared" si="2"/>
        <v>0</v>
      </c>
      <c r="I63" s="89"/>
    </row>
    <row r="64" spans="2:12" x14ac:dyDescent="0.25">
      <c r="B64" s="188">
        <v>831</v>
      </c>
      <c r="C64" s="2" t="s">
        <v>205</v>
      </c>
      <c r="D64" s="118">
        <v>0</v>
      </c>
      <c r="E64" s="155" t="s">
        <v>122</v>
      </c>
      <c r="F64" s="69">
        <v>0</v>
      </c>
      <c r="G64" s="88"/>
      <c r="H64" s="69">
        <f t="shared" si="2"/>
        <v>0</v>
      </c>
      <c r="I64" s="89"/>
    </row>
    <row r="65" spans="2:9" x14ac:dyDescent="0.25">
      <c r="B65" s="188">
        <v>831</v>
      </c>
      <c r="C65" s="2" t="s">
        <v>206</v>
      </c>
      <c r="D65" s="118">
        <v>0</v>
      </c>
      <c r="E65" s="155" t="s">
        <v>122</v>
      </c>
      <c r="F65" s="69">
        <v>0</v>
      </c>
      <c r="G65" s="88"/>
      <c r="H65" s="69">
        <f t="shared" si="2"/>
        <v>0</v>
      </c>
      <c r="I65" s="89"/>
    </row>
    <row r="66" spans="2:9" x14ac:dyDescent="0.25">
      <c r="B66" s="188">
        <v>831</v>
      </c>
      <c r="C66" s="2" t="s">
        <v>207</v>
      </c>
      <c r="D66" s="118">
        <v>0</v>
      </c>
      <c r="E66" s="155" t="s">
        <v>109</v>
      </c>
      <c r="F66" s="69">
        <v>0</v>
      </c>
      <c r="G66" s="88"/>
      <c r="H66" s="69">
        <f t="shared" si="2"/>
        <v>0</v>
      </c>
      <c r="I66" s="89"/>
    </row>
    <row r="67" spans="2:9" x14ac:dyDescent="0.25">
      <c r="B67" s="188">
        <v>837</v>
      </c>
      <c r="C67" s="2" t="s">
        <v>354</v>
      </c>
      <c r="D67" s="118">
        <v>0</v>
      </c>
      <c r="E67" s="155" t="s">
        <v>109</v>
      </c>
      <c r="F67" s="69">
        <v>0</v>
      </c>
      <c r="G67" s="88"/>
      <c r="H67" s="69">
        <f t="shared" si="2"/>
        <v>0</v>
      </c>
      <c r="I67" s="89"/>
    </row>
    <row r="68" spans="2:9" x14ac:dyDescent="0.25">
      <c r="B68" s="188">
        <v>837</v>
      </c>
      <c r="C68" s="2" t="s">
        <v>208</v>
      </c>
      <c r="D68" s="118">
        <v>0</v>
      </c>
      <c r="E68" s="155" t="s">
        <v>122</v>
      </c>
      <c r="F68" s="69">
        <v>0</v>
      </c>
      <c r="G68" s="88"/>
      <c r="H68" s="69">
        <f t="shared" si="2"/>
        <v>0</v>
      </c>
      <c r="I68" s="89"/>
    </row>
    <row r="69" spans="2:9" x14ac:dyDescent="0.25">
      <c r="B69" s="188">
        <v>835</v>
      </c>
      <c r="C69" s="2" t="s">
        <v>415</v>
      </c>
      <c r="D69" s="118">
        <f>D46-D53</f>
        <v>2700</v>
      </c>
      <c r="E69" s="155" t="s">
        <v>109</v>
      </c>
      <c r="F69" s="69">
        <v>4</v>
      </c>
      <c r="G69" s="88"/>
      <c r="H69" s="69">
        <f t="shared" si="2"/>
        <v>10800</v>
      </c>
      <c r="I69" s="89"/>
    </row>
    <row r="70" spans="2:9" x14ac:dyDescent="0.25">
      <c r="B70" s="188">
        <v>833</v>
      </c>
      <c r="C70" s="2" t="s">
        <v>147</v>
      </c>
      <c r="D70" s="118">
        <v>1</v>
      </c>
      <c r="E70" s="155" t="s">
        <v>103</v>
      </c>
      <c r="F70" s="69">
        <f>158553*1.5</f>
        <v>237829.5</v>
      </c>
      <c r="G70" s="88"/>
      <c r="H70" s="69">
        <f t="shared" si="2"/>
        <v>237829.5</v>
      </c>
      <c r="I70" s="89"/>
    </row>
    <row r="71" spans="2:9" x14ac:dyDescent="0.25">
      <c r="B71" s="188">
        <v>833</v>
      </c>
      <c r="C71" s="2" t="s">
        <v>472</v>
      </c>
      <c r="D71" s="118">
        <v>0</v>
      </c>
      <c r="E71" s="155" t="s">
        <v>103</v>
      </c>
      <c r="F71" s="69">
        <v>25000</v>
      </c>
      <c r="G71" s="88"/>
      <c r="H71" s="69">
        <f>F71*D71</f>
        <v>0</v>
      </c>
      <c r="I71" s="89"/>
    </row>
    <row r="72" spans="2:9" x14ac:dyDescent="0.25">
      <c r="B72" s="188">
        <v>834</v>
      </c>
      <c r="C72" s="2" t="s">
        <v>117</v>
      </c>
      <c r="D72" s="118">
        <v>1</v>
      </c>
      <c r="E72" s="155" t="s">
        <v>103</v>
      </c>
      <c r="F72" s="69">
        <v>10000</v>
      </c>
      <c r="G72" s="88"/>
      <c r="H72" s="69">
        <f t="shared" si="2"/>
        <v>10000</v>
      </c>
      <c r="I72" s="89"/>
    </row>
    <row r="73" spans="2:9" x14ac:dyDescent="0.25">
      <c r="B73" s="188">
        <v>837</v>
      </c>
      <c r="C73" s="2" t="s">
        <v>416</v>
      </c>
      <c r="D73" s="118">
        <v>0</v>
      </c>
      <c r="E73" s="155" t="s">
        <v>109</v>
      </c>
      <c r="F73" s="69">
        <v>0</v>
      </c>
      <c r="G73" s="88"/>
      <c r="H73" s="69">
        <f t="shared" si="2"/>
        <v>0</v>
      </c>
      <c r="I73" s="89"/>
    </row>
    <row r="74" spans="2:9" x14ac:dyDescent="0.25">
      <c r="B74" s="188">
        <v>837</v>
      </c>
      <c r="C74" s="2" t="s">
        <v>417</v>
      </c>
      <c r="D74" s="118">
        <v>0</v>
      </c>
      <c r="E74" s="155" t="s">
        <v>109</v>
      </c>
      <c r="F74" s="69">
        <v>0</v>
      </c>
      <c r="G74" s="88"/>
      <c r="H74" s="69">
        <f t="shared" si="2"/>
        <v>0</v>
      </c>
      <c r="I74" s="89"/>
    </row>
    <row r="75" spans="2:9" x14ac:dyDescent="0.25">
      <c r="B75" s="188">
        <v>837</v>
      </c>
      <c r="C75" s="2" t="s">
        <v>418</v>
      </c>
      <c r="D75" s="118">
        <v>0</v>
      </c>
      <c r="E75" s="155" t="s">
        <v>109</v>
      </c>
      <c r="F75" s="69">
        <v>0</v>
      </c>
      <c r="G75" s="88"/>
      <c r="H75" s="69">
        <f t="shared" si="2"/>
        <v>0</v>
      </c>
      <c r="I75" s="89"/>
    </row>
    <row r="76" spans="2:9" x14ac:dyDescent="0.25">
      <c r="B76" s="188">
        <v>829</v>
      </c>
      <c r="C76" s="2" t="s">
        <v>419</v>
      </c>
      <c r="D76" s="118">
        <v>5</v>
      </c>
      <c r="E76" s="155" t="s">
        <v>103</v>
      </c>
      <c r="F76" s="69">
        <v>1500</v>
      </c>
      <c r="G76" s="88"/>
      <c r="H76" s="69">
        <f t="shared" si="2"/>
        <v>7500</v>
      </c>
      <c r="I76" s="89"/>
    </row>
    <row r="77" spans="2:9" x14ac:dyDescent="0.25">
      <c r="B77" s="188">
        <v>829</v>
      </c>
      <c r="C77" s="2" t="s">
        <v>420</v>
      </c>
      <c r="D77" s="118">
        <v>0</v>
      </c>
      <c r="E77" s="155" t="s">
        <v>425</v>
      </c>
      <c r="F77" s="69">
        <v>0</v>
      </c>
      <c r="G77" s="88"/>
      <c r="H77" s="69">
        <f t="shared" si="2"/>
        <v>0</v>
      </c>
      <c r="I77" s="89"/>
    </row>
    <row r="78" spans="2:9" x14ac:dyDescent="0.25">
      <c r="B78" s="188">
        <v>829</v>
      </c>
      <c r="C78" s="2" t="s">
        <v>421</v>
      </c>
      <c r="D78" s="118">
        <v>0</v>
      </c>
      <c r="E78" s="155" t="s">
        <v>426</v>
      </c>
      <c r="F78" s="69">
        <v>0</v>
      </c>
      <c r="G78" s="88"/>
      <c r="H78" s="69">
        <f t="shared" si="2"/>
        <v>0</v>
      </c>
      <c r="I78" s="89"/>
    </row>
    <row r="79" spans="2:9" x14ac:dyDescent="0.25">
      <c r="B79" s="188">
        <v>829</v>
      </c>
      <c r="C79" s="2" t="s">
        <v>422</v>
      </c>
      <c r="D79" s="118">
        <v>0</v>
      </c>
      <c r="E79" s="155" t="s">
        <v>122</v>
      </c>
      <c r="F79" s="69">
        <v>0</v>
      </c>
      <c r="G79" s="88"/>
      <c r="H79" s="69">
        <f t="shared" si="2"/>
        <v>0</v>
      </c>
      <c r="I79" s="89"/>
    </row>
    <row r="80" spans="2:9" x14ac:dyDescent="0.25">
      <c r="B80" s="188">
        <v>837</v>
      </c>
      <c r="C80" s="2" t="s">
        <v>423</v>
      </c>
      <c r="D80" s="118">
        <v>4</v>
      </c>
      <c r="E80" s="155" t="s">
        <v>122</v>
      </c>
      <c r="F80" s="69">
        <v>1000</v>
      </c>
      <c r="G80" s="88"/>
      <c r="H80" s="69">
        <f t="shared" si="2"/>
        <v>4000</v>
      </c>
      <c r="I80" s="89"/>
    </row>
    <row r="81" spans="2:9" x14ac:dyDescent="0.25">
      <c r="B81" s="188">
        <v>829</v>
      </c>
      <c r="C81" s="2" t="s">
        <v>424</v>
      </c>
      <c r="D81" s="118">
        <v>0</v>
      </c>
      <c r="E81" s="155" t="s">
        <v>109</v>
      </c>
      <c r="F81" s="69">
        <v>0</v>
      </c>
      <c r="G81" s="88"/>
      <c r="H81" s="69">
        <f t="shared" si="2"/>
        <v>0</v>
      </c>
      <c r="I81" s="89"/>
    </row>
    <row r="82" spans="2:9" x14ac:dyDescent="0.25">
      <c r="B82" s="188">
        <v>630</v>
      </c>
      <c r="C82" s="2" t="s">
        <v>210</v>
      </c>
      <c r="D82" s="118">
        <f>D46*2</f>
        <v>5600</v>
      </c>
      <c r="E82" s="155" t="s">
        <v>109</v>
      </c>
      <c r="F82" s="69">
        <v>15</v>
      </c>
      <c r="G82" s="88"/>
      <c r="H82" s="69">
        <f t="shared" ref="H82:H100" si="3">F82*D82</f>
        <v>84000</v>
      </c>
      <c r="I82" s="89"/>
    </row>
    <row r="83" spans="2:9" x14ac:dyDescent="0.25">
      <c r="B83" s="188">
        <v>630</v>
      </c>
      <c r="C83" s="2" t="s">
        <v>428</v>
      </c>
      <c r="D83" s="118">
        <v>0</v>
      </c>
      <c r="E83" s="155" t="s">
        <v>109</v>
      </c>
      <c r="F83" s="69">
        <v>0</v>
      </c>
      <c r="G83" s="88"/>
      <c r="H83" s="69">
        <f t="shared" si="3"/>
        <v>0</v>
      </c>
      <c r="I83" s="89"/>
    </row>
    <row r="84" spans="2:9" x14ac:dyDescent="0.25">
      <c r="B84" s="188">
        <v>630</v>
      </c>
      <c r="C84" s="2" t="s">
        <v>429</v>
      </c>
      <c r="D84" s="118">
        <v>0</v>
      </c>
      <c r="E84" s="155" t="s">
        <v>109</v>
      </c>
      <c r="F84" s="69">
        <v>0</v>
      </c>
      <c r="G84" s="88"/>
      <c r="H84" s="69">
        <f t="shared" si="3"/>
        <v>0</v>
      </c>
      <c r="I84" s="89"/>
    </row>
    <row r="85" spans="2:9" x14ac:dyDescent="0.25">
      <c r="B85" s="188">
        <v>630</v>
      </c>
      <c r="C85" s="2" t="s">
        <v>211</v>
      </c>
      <c r="D85" s="118">
        <v>0</v>
      </c>
      <c r="E85" s="155" t="s">
        <v>220</v>
      </c>
      <c r="F85" s="69">
        <v>0</v>
      </c>
      <c r="G85" s="88"/>
      <c r="H85" s="69">
        <f t="shared" si="3"/>
        <v>0</v>
      </c>
      <c r="I85" s="89"/>
    </row>
    <row r="86" spans="2:9" x14ac:dyDescent="0.25">
      <c r="B86" s="188">
        <v>630</v>
      </c>
      <c r="C86" s="2" t="s">
        <v>430</v>
      </c>
      <c r="D86" s="118">
        <v>0</v>
      </c>
      <c r="E86" s="155" t="s">
        <v>220</v>
      </c>
      <c r="F86" s="69">
        <v>0</v>
      </c>
      <c r="G86" s="88"/>
      <c r="H86" s="69">
        <f t="shared" si="3"/>
        <v>0</v>
      </c>
      <c r="I86" s="89"/>
    </row>
    <row r="87" spans="2:9" x14ac:dyDescent="0.25">
      <c r="B87" s="188">
        <v>630</v>
      </c>
      <c r="C87" s="2" t="s">
        <v>431</v>
      </c>
      <c r="D87" s="118">
        <v>0</v>
      </c>
      <c r="E87" s="155" t="s">
        <v>220</v>
      </c>
      <c r="F87" s="69">
        <v>0</v>
      </c>
      <c r="G87" s="88"/>
      <c r="H87" s="69">
        <f t="shared" si="3"/>
        <v>0</v>
      </c>
      <c r="I87" s="89"/>
    </row>
    <row r="88" spans="2:9" x14ac:dyDescent="0.25">
      <c r="B88" s="188">
        <v>630</v>
      </c>
      <c r="C88" s="2" t="s">
        <v>432</v>
      </c>
      <c r="D88" s="118">
        <v>0</v>
      </c>
      <c r="E88" s="155" t="s">
        <v>220</v>
      </c>
      <c r="F88" s="69">
        <v>0</v>
      </c>
      <c r="G88" s="88"/>
      <c r="H88" s="69">
        <f t="shared" si="3"/>
        <v>0</v>
      </c>
      <c r="I88" s="89"/>
    </row>
    <row r="89" spans="2:9" x14ac:dyDescent="0.25">
      <c r="B89" s="188">
        <v>630</v>
      </c>
      <c r="C89" s="2" t="s">
        <v>433</v>
      </c>
      <c r="D89" s="118">
        <v>0</v>
      </c>
      <c r="E89" s="155" t="s">
        <v>220</v>
      </c>
      <c r="F89" s="69">
        <v>0</v>
      </c>
      <c r="G89" s="88"/>
      <c r="H89" s="69">
        <f t="shared" si="3"/>
        <v>0</v>
      </c>
      <c r="I89" s="89"/>
    </row>
    <row r="90" spans="2:9" x14ac:dyDescent="0.25">
      <c r="B90" s="188">
        <v>630</v>
      </c>
      <c r="C90" s="2" t="s">
        <v>434</v>
      </c>
      <c r="D90" s="118">
        <v>0</v>
      </c>
      <c r="E90" s="155" t="s">
        <v>220</v>
      </c>
      <c r="F90" s="125">
        <v>0</v>
      </c>
      <c r="G90" s="88"/>
      <c r="H90" s="69">
        <f t="shared" si="3"/>
        <v>0</v>
      </c>
      <c r="I90" s="89"/>
    </row>
    <row r="91" spans="2:9" x14ac:dyDescent="0.25">
      <c r="B91" s="188">
        <v>630</v>
      </c>
      <c r="C91" s="2" t="s">
        <v>435</v>
      </c>
      <c r="D91" s="118">
        <v>0</v>
      </c>
      <c r="E91" s="155" t="s">
        <v>220</v>
      </c>
      <c r="F91" s="125">
        <v>0</v>
      </c>
      <c r="G91" s="88"/>
      <c r="H91" s="69">
        <f t="shared" si="3"/>
        <v>0</v>
      </c>
      <c r="I91" s="89"/>
    </row>
    <row r="92" spans="2:9" x14ac:dyDescent="0.25">
      <c r="B92" s="188">
        <v>630</v>
      </c>
      <c r="C92" s="2" t="s">
        <v>212</v>
      </c>
      <c r="D92" s="118">
        <v>0</v>
      </c>
      <c r="E92" s="155" t="s">
        <v>221</v>
      </c>
      <c r="F92" s="69">
        <v>0</v>
      </c>
      <c r="G92" s="88"/>
      <c r="H92" s="69">
        <f t="shared" si="3"/>
        <v>0</v>
      </c>
      <c r="I92" s="89"/>
    </row>
    <row r="93" spans="2:9" x14ac:dyDescent="0.25">
      <c r="B93" s="188">
        <v>630</v>
      </c>
      <c r="C93" s="2" t="s">
        <v>213</v>
      </c>
      <c r="D93" s="118">
        <v>0</v>
      </c>
      <c r="E93" s="155" t="s">
        <v>221</v>
      </c>
      <c r="F93" s="69">
        <v>0</v>
      </c>
      <c r="G93" s="88"/>
      <c r="H93" s="69">
        <f t="shared" si="3"/>
        <v>0</v>
      </c>
      <c r="I93" s="89"/>
    </row>
    <row r="94" spans="2:9" x14ac:dyDescent="0.25">
      <c r="B94" s="188">
        <v>630</v>
      </c>
      <c r="C94" s="2" t="s">
        <v>214</v>
      </c>
      <c r="D94" s="118">
        <v>0</v>
      </c>
      <c r="E94" s="155" t="s">
        <v>220</v>
      </c>
      <c r="F94" s="69">
        <v>0</v>
      </c>
      <c r="G94" s="88"/>
      <c r="H94" s="69">
        <f t="shared" si="3"/>
        <v>0</v>
      </c>
      <c r="I94" s="89"/>
    </row>
    <row r="95" spans="2:9" x14ac:dyDescent="0.25">
      <c r="B95" s="188">
        <v>630</v>
      </c>
      <c r="C95" s="2" t="s">
        <v>106</v>
      </c>
      <c r="D95" s="118">
        <v>600</v>
      </c>
      <c r="E95" s="155" t="s">
        <v>222</v>
      </c>
      <c r="F95" s="69">
        <v>7</v>
      </c>
      <c r="G95" s="88"/>
      <c r="H95" s="69">
        <f t="shared" si="3"/>
        <v>4200</v>
      </c>
      <c r="I95" s="89"/>
    </row>
    <row r="96" spans="2:9" x14ac:dyDescent="0.25">
      <c r="B96" s="188">
        <v>630</v>
      </c>
      <c r="C96" s="2" t="s">
        <v>436</v>
      </c>
      <c r="D96" s="118">
        <v>0</v>
      </c>
      <c r="E96" s="155" t="s">
        <v>460</v>
      </c>
      <c r="F96" s="69">
        <v>0</v>
      </c>
      <c r="G96" s="88"/>
      <c r="H96" s="69">
        <f t="shared" si="3"/>
        <v>0</v>
      </c>
      <c r="I96" s="89"/>
    </row>
    <row r="97" spans="2:9" x14ac:dyDescent="0.25">
      <c r="B97" s="188">
        <v>630</v>
      </c>
      <c r="C97" s="2" t="s">
        <v>437</v>
      </c>
      <c r="D97" s="118">
        <v>0</v>
      </c>
      <c r="E97" s="155" t="s">
        <v>122</v>
      </c>
      <c r="F97" s="69">
        <v>0</v>
      </c>
      <c r="G97" s="88"/>
      <c r="H97" s="69">
        <f t="shared" si="3"/>
        <v>0</v>
      </c>
      <c r="I97" s="89"/>
    </row>
    <row r="98" spans="2:9" x14ac:dyDescent="0.25">
      <c r="B98" s="188">
        <v>630</v>
      </c>
      <c r="C98" s="2" t="s">
        <v>438</v>
      </c>
      <c r="D98" s="118">
        <v>0</v>
      </c>
      <c r="E98" s="155" t="s">
        <v>122</v>
      </c>
      <c r="F98" s="69">
        <v>0</v>
      </c>
      <c r="G98" s="88"/>
      <c r="H98" s="69">
        <f t="shared" si="3"/>
        <v>0</v>
      </c>
      <c r="I98" s="89"/>
    </row>
    <row r="99" spans="2:9" x14ac:dyDescent="0.25">
      <c r="B99" s="188">
        <v>630</v>
      </c>
      <c r="C99" s="2" t="s">
        <v>215</v>
      </c>
      <c r="D99" s="118">
        <v>0</v>
      </c>
      <c r="E99" s="155" t="s">
        <v>122</v>
      </c>
      <c r="F99" s="69">
        <v>0</v>
      </c>
      <c r="G99" s="88"/>
      <c r="H99" s="69">
        <f t="shared" si="3"/>
        <v>0</v>
      </c>
      <c r="I99" s="89"/>
    </row>
    <row r="100" spans="2:9" x14ac:dyDescent="0.25">
      <c r="B100" s="188">
        <v>630</v>
      </c>
      <c r="C100" s="2" t="s">
        <v>439</v>
      </c>
      <c r="D100" s="118">
        <v>0</v>
      </c>
      <c r="E100" s="155" t="s">
        <v>122</v>
      </c>
      <c r="F100" s="69">
        <v>0</v>
      </c>
      <c r="G100" s="88"/>
      <c r="H100" s="69">
        <f t="shared" si="3"/>
        <v>0</v>
      </c>
      <c r="I100" s="89"/>
    </row>
    <row r="101" spans="2:9" x14ac:dyDescent="0.25">
      <c r="B101" s="188">
        <v>630</v>
      </c>
      <c r="C101" s="2" t="s">
        <v>440</v>
      </c>
      <c r="D101" s="118">
        <v>50</v>
      </c>
      <c r="E101" s="155" t="s">
        <v>458</v>
      </c>
      <c r="F101" s="69">
        <v>700</v>
      </c>
      <c r="G101" s="88"/>
      <c r="H101" s="69">
        <f t="shared" si="2"/>
        <v>35000</v>
      </c>
      <c r="I101" s="89"/>
    </row>
    <row r="102" spans="2:9" x14ac:dyDescent="0.25">
      <c r="B102" s="188">
        <v>630</v>
      </c>
      <c r="C102" s="2" t="s">
        <v>441</v>
      </c>
      <c r="D102" s="118">
        <v>0</v>
      </c>
      <c r="E102" s="155" t="s">
        <v>458</v>
      </c>
      <c r="F102" s="69">
        <v>0</v>
      </c>
      <c r="G102" s="88"/>
      <c r="H102" s="69">
        <f t="shared" si="2"/>
        <v>0</v>
      </c>
      <c r="I102" s="89"/>
    </row>
    <row r="103" spans="2:9" x14ac:dyDescent="0.25">
      <c r="B103" s="188">
        <v>630</v>
      </c>
      <c r="C103" s="2" t="s">
        <v>216</v>
      </c>
      <c r="D103" s="118">
        <v>0</v>
      </c>
      <c r="E103" s="155" t="s">
        <v>122</v>
      </c>
      <c r="F103" s="69">
        <v>0</v>
      </c>
      <c r="G103" s="88"/>
      <c r="H103" s="69">
        <f t="shared" si="2"/>
        <v>0</v>
      </c>
      <c r="I103" s="89"/>
    </row>
    <row r="104" spans="2:9" x14ac:dyDescent="0.25">
      <c r="B104" s="188">
        <v>630</v>
      </c>
      <c r="C104" s="2" t="s">
        <v>217</v>
      </c>
      <c r="D104" s="118">
        <v>300000</v>
      </c>
      <c r="E104" s="155" t="s">
        <v>231</v>
      </c>
      <c r="F104" s="125">
        <v>0.13</v>
      </c>
      <c r="G104" s="88"/>
      <c r="H104" s="69">
        <f t="shared" si="2"/>
        <v>39000</v>
      </c>
      <c r="I104" s="89"/>
    </row>
    <row r="105" spans="2:9" x14ac:dyDescent="0.25">
      <c r="B105" s="188">
        <v>630</v>
      </c>
      <c r="C105" s="2" t="s">
        <v>218</v>
      </c>
      <c r="D105" s="118">
        <v>300000</v>
      </c>
      <c r="E105" s="155" t="s">
        <v>231</v>
      </c>
      <c r="F105" s="125">
        <v>0.21</v>
      </c>
      <c r="G105" s="88"/>
      <c r="H105" s="69">
        <f t="shared" si="2"/>
        <v>63000</v>
      </c>
      <c r="I105" s="89"/>
    </row>
    <row r="106" spans="2:9" x14ac:dyDescent="0.25">
      <c r="B106" s="188">
        <v>630</v>
      </c>
      <c r="C106" s="2" t="s">
        <v>219</v>
      </c>
      <c r="D106" s="118">
        <v>0</v>
      </c>
      <c r="E106" s="155" t="s">
        <v>122</v>
      </c>
      <c r="F106" s="69">
        <v>0</v>
      </c>
      <c r="G106" s="88"/>
      <c r="H106" s="69">
        <f t="shared" si="2"/>
        <v>0</v>
      </c>
      <c r="I106" s="89"/>
    </row>
    <row r="107" spans="2:9" x14ac:dyDescent="0.25">
      <c r="B107" s="188">
        <v>630</v>
      </c>
      <c r="C107" s="2" t="s">
        <v>442</v>
      </c>
      <c r="D107" s="118">
        <v>0</v>
      </c>
      <c r="E107" s="155" t="s">
        <v>108</v>
      </c>
      <c r="F107" s="69">
        <v>0</v>
      </c>
      <c r="G107" s="88"/>
      <c r="H107" s="69">
        <f t="shared" si="2"/>
        <v>0</v>
      </c>
      <c r="I107" s="89"/>
    </row>
    <row r="108" spans="2:9" x14ac:dyDescent="0.25">
      <c r="B108" s="188">
        <v>630</v>
      </c>
      <c r="C108" s="2" t="s">
        <v>443</v>
      </c>
      <c r="D108" s="118">
        <v>0</v>
      </c>
      <c r="E108" s="155" t="s">
        <v>122</v>
      </c>
      <c r="F108" s="69">
        <v>0</v>
      </c>
      <c r="G108" s="88"/>
      <c r="H108" s="69">
        <f t="shared" si="2"/>
        <v>0</v>
      </c>
      <c r="I108" s="89"/>
    </row>
    <row r="109" spans="2:9" x14ac:dyDescent="0.25">
      <c r="B109" s="188">
        <v>630</v>
      </c>
      <c r="C109" s="2" t="s">
        <v>444</v>
      </c>
      <c r="D109" s="118">
        <v>0</v>
      </c>
      <c r="E109" s="155" t="s">
        <v>122</v>
      </c>
      <c r="F109" s="69">
        <v>0</v>
      </c>
      <c r="G109" s="88"/>
      <c r="H109" s="69">
        <f t="shared" si="2"/>
        <v>0</v>
      </c>
      <c r="I109" s="89"/>
    </row>
    <row r="110" spans="2:9" x14ac:dyDescent="0.25">
      <c r="B110" s="188">
        <v>630</v>
      </c>
      <c r="C110" s="2" t="s">
        <v>445</v>
      </c>
      <c r="D110" s="118">
        <v>0</v>
      </c>
      <c r="E110" s="155" t="s">
        <v>122</v>
      </c>
      <c r="F110" s="69">
        <v>0</v>
      </c>
      <c r="G110" s="88"/>
      <c r="H110" s="69">
        <f t="shared" si="2"/>
        <v>0</v>
      </c>
      <c r="I110" s="89"/>
    </row>
    <row r="111" spans="2:9" x14ac:dyDescent="0.25">
      <c r="B111" s="188">
        <v>630</v>
      </c>
      <c r="C111" s="2" t="s">
        <v>446</v>
      </c>
      <c r="D111" s="118">
        <v>0</v>
      </c>
      <c r="E111" s="155" t="s">
        <v>122</v>
      </c>
      <c r="F111" s="69">
        <v>0</v>
      </c>
      <c r="G111" s="88"/>
      <c r="H111" s="69">
        <f t="shared" si="2"/>
        <v>0</v>
      </c>
      <c r="I111" s="89"/>
    </row>
    <row r="112" spans="2:9" x14ac:dyDescent="0.25">
      <c r="B112" s="188">
        <v>630</v>
      </c>
      <c r="C112" s="2" t="s">
        <v>447</v>
      </c>
      <c r="D112" s="118">
        <v>0</v>
      </c>
      <c r="E112" s="155" t="s">
        <v>122</v>
      </c>
      <c r="F112" s="69">
        <v>0</v>
      </c>
      <c r="G112" s="88"/>
      <c r="H112" s="69">
        <f t="shared" si="2"/>
        <v>0</v>
      </c>
      <c r="I112" s="89"/>
    </row>
    <row r="113" spans="2:9" x14ac:dyDescent="0.25">
      <c r="B113" s="188">
        <v>630</v>
      </c>
      <c r="C113" s="2" t="s">
        <v>448</v>
      </c>
      <c r="D113" s="118">
        <v>0</v>
      </c>
      <c r="E113" s="155" t="s">
        <v>122</v>
      </c>
      <c r="F113" s="69">
        <v>0</v>
      </c>
      <c r="G113" s="88"/>
      <c r="H113" s="69">
        <f t="shared" si="2"/>
        <v>0</v>
      </c>
      <c r="I113" s="89"/>
    </row>
    <row r="114" spans="2:9" x14ac:dyDescent="0.25">
      <c r="B114" s="188">
        <v>630</v>
      </c>
      <c r="C114" s="2" t="s">
        <v>449</v>
      </c>
      <c r="D114" s="118">
        <v>0</v>
      </c>
      <c r="E114" s="155" t="s">
        <v>122</v>
      </c>
      <c r="F114" s="69">
        <v>0</v>
      </c>
      <c r="G114" s="88"/>
      <c r="H114" s="69">
        <f t="shared" si="2"/>
        <v>0</v>
      </c>
      <c r="I114" s="89"/>
    </row>
    <row r="115" spans="2:9" x14ac:dyDescent="0.25">
      <c r="B115" s="188">
        <v>630</v>
      </c>
      <c r="C115" s="2" t="s">
        <v>450</v>
      </c>
      <c r="D115" s="118">
        <v>0</v>
      </c>
      <c r="E115" s="155" t="s">
        <v>122</v>
      </c>
      <c r="F115" s="69">
        <v>0</v>
      </c>
      <c r="G115" s="88"/>
      <c r="H115" s="69">
        <f t="shared" si="2"/>
        <v>0</v>
      </c>
      <c r="I115" s="89"/>
    </row>
    <row r="116" spans="2:9" x14ac:dyDescent="0.25">
      <c r="B116" s="188">
        <v>630</v>
      </c>
      <c r="C116" s="2" t="s">
        <v>451</v>
      </c>
      <c r="D116" s="118">
        <v>0</v>
      </c>
      <c r="E116" s="155" t="s">
        <v>122</v>
      </c>
      <c r="F116" s="69">
        <v>0</v>
      </c>
      <c r="G116" s="88"/>
      <c r="H116" s="69">
        <f t="shared" si="2"/>
        <v>0</v>
      </c>
      <c r="I116" s="89"/>
    </row>
    <row r="117" spans="2:9" x14ac:dyDescent="0.25">
      <c r="B117" s="188">
        <v>630</v>
      </c>
      <c r="C117" s="2" t="s">
        <v>452</v>
      </c>
      <c r="D117" s="118">
        <v>0</v>
      </c>
      <c r="E117" s="155" t="s">
        <v>122</v>
      </c>
      <c r="F117" s="69">
        <v>0</v>
      </c>
      <c r="G117" s="88"/>
      <c r="H117" s="69">
        <f t="shared" si="2"/>
        <v>0</v>
      </c>
      <c r="I117" s="89"/>
    </row>
    <row r="118" spans="2:9" x14ac:dyDescent="0.25">
      <c r="B118" s="188">
        <v>630</v>
      </c>
      <c r="C118" s="2" t="s">
        <v>453</v>
      </c>
      <c r="D118" s="118">
        <v>0</v>
      </c>
      <c r="E118" s="155" t="s">
        <v>122</v>
      </c>
      <c r="F118" s="69">
        <v>0</v>
      </c>
      <c r="G118" s="88"/>
      <c r="H118" s="69">
        <f t="shared" si="2"/>
        <v>0</v>
      </c>
      <c r="I118" s="89"/>
    </row>
    <row r="119" spans="2:9" x14ac:dyDescent="0.25">
      <c r="B119" s="188">
        <v>630</v>
      </c>
      <c r="C119" s="2" t="s">
        <v>454</v>
      </c>
      <c r="D119" s="118">
        <v>0</v>
      </c>
      <c r="E119" s="155" t="s">
        <v>459</v>
      </c>
      <c r="F119" s="69">
        <v>0</v>
      </c>
      <c r="G119" s="88"/>
      <c r="H119" s="69">
        <f t="shared" si="2"/>
        <v>0</v>
      </c>
      <c r="I119" s="89"/>
    </row>
    <row r="120" spans="2:9" x14ac:dyDescent="0.25">
      <c r="B120" s="188">
        <v>630</v>
      </c>
      <c r="C120" s="2" t="s">
        <v>455</v>
      </c>
      <c r="D120" s="118">
        <v>0</v>
      </c>
      <c r="E120" s="155" t="s">
        <v>426</v>
      </c>
      <c r="F120" s="69">
        <v>0</v>
      </c>
      <c r="G120" s="88"/>
      <c r="H120" s="69">
        <f t="shared" si="2"/>
        <v>0</v>
      </c>
      <c r="I120" s="89"/>
    </row>
    <row r="121" spans="2:9" x14ac:dyDescent="0.25">
      <c r="B121" s="188">
        <v>630</v>
      </c>
      <c r="C121" s="2" t="s">
        <v>456</v>
      </c>
      <c r="D121" s="118">
        <v>0</v>
      </c>
      <c r="E121" s="155" t="s">
        <v>426</v>
      </c>
      <c r="F121" s="69">
        <v>0</v>
      </c>
      <c r="G121" s="88"/>
      <c r="H121" s="69">
        <f t="shared" si="2"/>
        <v>0</v>
      </c>
      <c r="I121" s="89"/>
    </row>
    <row r="122" spans="2:9" x14ac:dyDescent="0.25">
      <c r="B122" s="188">
        <v>630</v>
      </c>
      <c r="C122" s="2" t="s">
        <v>457</v>
      </c>
      <c r="D122" s="118">
        <v>0</v>
      </c>
      <c r="E122" s="155" t="s">
        <v>426</v>
      </c>
      <c r="F122" s="69">
        <v>0</v>
      </c>
      <c r="G122" s="88"/>
      <c r="H122" s="69">
        <f t="shared" si="2"/>
        <v>0</v>
      </c>
      <c r="I122" s="89"/>
    </row>
    <row r="123" spans="2:9" x14ac:dyDescent="0.25">
      <c r="B123" s="188">
        <v>831</v>
      </c>
      <c r="C123" s="2" t="s">
        <v>223</v>
      </c>
      <c r="D123" s="118">
        <v>0</v>
      </c>
      <c r="E123" s="155" t="s">
        <v>122</v>
      </c>
      <c r="F123" s="69">
        <v>0</v>
      </c>
      <c r="G123" s="88"/>
      <c r="H123" s="69">
        <f t="shared" ref="H123:H131" si="4">F123*D123</f>
        <v>0</v>
      </c>
      <c r="I123" s="89"/>
    </row>
    <row r="124" spans="2:9" x14ac:dyDescent="0.25">
      <c r="B124" s="188">
        <v>832</v>
      </c>
      <c r="C124" s="2" t="s">
        <v>224</v>
      </c>
      <c r="D124" s="118">
        <v>0</v>
      </c>
      <c r="E124" s="155" t="s">
        <v>122</v>
      </c>
      <c r="F124" s="69">
        <v>0</v>
      </c>
      <c r="G124" s="88"/>
      <c r="H124" s="69">
        <f t="shared" si="4"/>
        <v>0</v>
      </c>
      <c r="I124" s="89"/>
    </row>
    <row r="125" spans="2:9" x14ac:dyDescent="0.25">
      <c r="B125" s="188">
        <v>832</v>
      </c>
      <c r="C125" s="2" t="s">
        <v>225</v>
      </c>
      <c r="D125" s="118">
        <v>0</v>
      </c>
      <c r="E125" s="155" t="s">
        <v>109</v>
      </c>
      <c r="F125" s="69">
        <v>0</v>
      </c>
      <c r="G125" s="88"/>
      <c r="H125" s="69">
        <f t="shared" si="4"/>
        <v>0</v>
      </c>
      <c r="I125" s="89"/>
    </row>
    <row r="126" spans="2:9" x14ac:dyDescent="0.25">
      <c r="B126" s="188">
        <v>832</v>
      </c>
      <c r="C126" s="2" t="s">
        <v>226</v>
      </c>
      <c r="D126" s="118">
        <v>0</v>
      </c>
      <c r="E126" s="155" t="s">
        <v>109</v>
      </c>
      <c r="F126" s="69">
        <v>0</v>
      </c>
      <c r="G126" s="88"/>
      <c r="H126" s="69">
        <f t="shared" si="4"/>
        <v>0</v>
      </c>
      <c r="I126" s="89"/>
    </row>
    <row r="127" spans="2:9" x14ac:dyDescent="0.25">
      <c r="B127" s="188">
        <v>832</v>
      </c>
      <c r="C127" s="2" t="s">
        <v>227</v>
      </c>
      <c r="D127" s="118">
        <v>0</v>
      </c>
      <c r="E127" s="155" t="s">
        <v>109</v>
      </c>
      <c r="F127" s="69">
        <v>0</v>
      </c>
      <c r="G127" s="88"/>
      <c r="H127" s="69">
        <f t="shared" si="4"/>
        <v>0</v>
      </c>
      <c r="I127" s="89"/>
    </row>
    <row r="128" spans="2:9" x14ac:dyDescent="0.25">
      <c r="B128" s="188">
        <v>832</v>
      </c>
      <c r="C128" s="2" t="s">
        <v>228</v>
      </c>
      <c r="D128" s="118">
        <v>0</v>
      </c>
      <c r="E128" s="155" t="s">
        <v>109</v>
      </c>
      <c r="F128" s="69">
        <v>0</v>
      </c>
      <c r="G128" s="88"/>
      <c r="H128" s="69">
        <f t="shared" si="4"/>
        <v>0</v>
      </c>
      <c r="I128" s="89"/>
    </row>
    <row r="129" spans="2:9" x14ac:dyDescent="0.25">
      <c r="B129" s="188">
        <v>832</v>
      </c>
      <c r="C129" s="2" t="s">
        <v>229</v>
      </c>
      <c r="D129" s="118">
        <v>100</v>
      </c>
      <c r="E129" s="155" t="s">
        <v>109</v>
      </c>
      <c r="F129" s="69">
        <v>145</v>
      </c>
      <c r="G129" s="88"/>
      <c r="H129" s="69">
        <f t="shared" si="4"/>
        <v>14500</v>
      </c>
      <c r="I129" s="89"/>
    </row>
    <row r="130" spans="2:9" x14ac:dyDescent="0.25">
      <c r="B130" s="188">
        <v>832</v>
      </c>
      <c r="C130" s="2" t="s">
        <v>461</v>
      </c>
      <c r="D130" s="118">
        <v>0</v>
      </c>
      <c r="E130" s="155" t="s">
        <v>221</v>
      </c>
      <c r="F130" s="69">
        <v>0</v>
      </c>
      <c r="G130" s="88"/>
      <c r="H130" s="69">
        <f t="shared" si="4"/>
        <v>0</v>
      </c>
      <c r="I130" s="89"/>
    </row>
    <row r="131" spans="2:9" x14ac:dyDescent="0.25">
      <c r="B131" s="188">
        <v>832</v>
      </c>
      <c r="C131" s="2" t="s">
        <v>230</v>
      </c>
      <c r="D131" s="118">
        <v>0</v>
      </c>
      <c r="E131" s="155" t="s">
        <v>231</v>
      </c>
      <c r="F131" s="69">
        <v>0</v>
      </c>
      <c r="G131" s="88"/>
      <c r="H131" s="69">
        <f t="shared" si="4"/>
        <v>0</v>
      </c>
      <c r="I131" s="89"/>
    </row>
    <row r="132" spans="2:9" x14ac:dyDescent="0.25">
      <c r="B132" s="188">
        <v>832</v>
      </c>
      <c r="C132" s="2" t="s">
        <v>464</v>
      </c>
      <c r="D132" s="118">
        <v>0</v>
      </c>
      <c r="E132" s="155" t="s">
        <v>295</v>
      </c>
      <c r="F132" s="69">
        <v>0</v>
      </c>
      <c r="G132" s="88"/>
      <c r="H132" s="69">
        <f t="shared" si="2"/>
        <v>0</v>
      </c>
      <c r="I132" s="89"/>
    </row>
    <row r="133" spans="2:9" x14ac:dyDescent="0.25">
      <c r="B133" s="188">
        <v>832</v>
      </c>
      <c r="C133" s="2" t="s">
        <v>465</v>
      </c>
      <c r="D133" s="118">
        <v>0</v>
      </c>
      <c r="E133" s="155" t="s">
        <v>295</v>
      </c>
      <c r="F133" s="69">
        <v>0</v>
      </c>
      <c r="G133" s="88"/>
      <c r="H133" s="69">
        <f t="shared" si="2"/>
        <v>0</v>
      </c>
      <c r="I133" s="89"/>
    </row>
    <row r="134" spans="2:9" x14ac:dyDescent="0.25">
      <c r="B134" s="188">
        <v>832</v>
      </c>
      <c r="C134" s="2" t="s">
        <v>300</v>
      </c>
      <c r="D134" s="118">
        <v>0</v>
      </c>
      <c r="E134" s="155" t="s">
        <v>122</v>
      </c>
      <c r="F134" s="69">
        <v>0</v>
      </c>
      <c r="G134" s="88"/>
      <c r="H134" s="69">
        <f t="shared" si="2"/>
        <v>0</v>
      </c>
      <c r="I134" s="89"/>
    </row>
    <row r="135" spans="2:9" x14ac:dyDescent="0.25">
      <c r="B135" s="188">
        <v>832</v>
      </c>
      <c r="C135" s="2" t="s">
        <v>299</v>
      </c>
      <c r="D135" s="118">
        <v>0</v>
      </c>
      <c r="E135" s="155" t="s">
        <v>295</v>
      </c>
      <c r="F135" s="69">
        <v>0</v>
      </c>
      <c r="G135" s="88"/>
      <c r="H135" s="69">
        <f t="shared" si="2"/>
        <v>0</v>
      </c>
      <c r="I135" s="89"/>
    </row>
    <row r="136" spans="2:9" x14ac:dyDescent="0.25">
      <c r="B136" s="188">
        <v>832</v>
      </c>
      <c r="C136" s="2" t="s">
        <v>466</v>
      </c>
      <c r="D136" s="118">
        <v>12</v>
      </c>
      <c r="E136" s="155" t="s">
        <v>295</v>
      </c>
      <c r="F136" s="69">
        <v>5000</v>
      </c>
      <c r="G136" s="88"/>
      <c r="H136" s="69">
        <f t="shared" si="2"/>
        <v>60000</v>
      </c>
      <c r="I136" s="89"/>
    </row>
    <row r="137" spans="2:9" x14ac:dyDescent="0.25">
      <c r="B137" s="188">
        <v>832</v>
      </c>
      <c r="C137" s="2" t="s">
        <v>467</v>
      </c>
      <c r="D137" s="118">
        <v>16</v>
      </c>
      <c r="E137" s="155" t="s">
        <v>295</v>
      </c>
      <c r="F137" s="69">
        <v>100</v>
      </c>
      <c r="G137" s="88"/>
      <c r="H137" s="69">
        <f t="shared" si="2"/>
        <v>1600</v>
      </c>
      <c r="I137" s="89"/>
    </row>
    <row r="138" spans="2:9" x14ac:dyDescent="0.25">
      <c r="B138" s="188">
        <v>832</v>
      </c>
      <c r="C138" s="2" t="s">
        <v>468</v>
      </c>
      <c r="D138" s="118">
        <v>16</v>
      </c>
      <c r="E138" s="155" t="s">
        <v>295</v>
      </c>
      <c r="F138" s="69">
        <v>100</v>
      </c>
      <c r="G138" s="88"/>
      <c r="H138" s="69">
        <f t="shared" si="2"/>
        <v>1600</v>
      </c>
      <c r="I138" s="89"/>
    </row>
    <row r="139" spans="2:9" x14ac:dyDescent="0.25">
      <c r="B139" s="188">
        <v>832</v>
      </c>
      <c r="C139" s="2" t="s">
        <v>469</v>
      </c>
      <c r="D139" s="118">
        <v>0</v>
      </c>
      <c r="E139" s="155" t="s">
        <v>149</v>
      </c>
      <c r="F139" s="69">
        <v>0</v>
      </c>
      <c r="G139" s="88"/>
      <c r="H139" s="69">
        <f t="shared" si="2"/>
        <v>0</v>
      </c>
      <c r="I139" s="89"/>
    </row>
    <row r="140" spans="2:9" x14ac:dyDescent="0.25">
      <c r="B140" s="188">
        <v>832</v>
      </c>
      <c r="C140" s="2" t="s">
        <v>470</v>
      </c>
      <c r="D140" s="118">
        <v>0</v>
      </c>
      <c r="E140" s="155" t="s">
        <v>295</v>
      </c>
      <c r="F140" s="69">
        <v>0</v>
      </c>
      <c r="G140" s="88"/>
      <c r="H140" s="69">
        <f t="shared" si="2"/>
        <v>0</v>
      </c>
      <c r="I140" s="89"/>
    </row>
    <row r="141" spans="2:9" x14ac:dyDescent="0.25">
      <c r="B141" s="188">
        <v>837</v>
      </c>
      <c r="C141" s="2" t="s">
        <v>355</v>
      </c>
      <c r="D141" s="118">
        <v>1</v>
      </c>
      <c r="E141" s="155" t="s">
        <v>122</v>
      </c>
      <c r="F141" s="69">
        <v>10000</v>
      </c>
      <c r="G141" s="88"/>
      <c r="H141" s="69">
        <f>F141*D141</f>
        <v>10000</v>
      </c>
      <c r="I141" s="89"/>
    </row>
    <row r="142" spans="2:9" x14ac:dyDescent="0.25">
      <c r="B142" s="188">
        <v>837</v>
      </c>
      <c r="C142" s="2" t="s">
        <v>356</v>
      </c>
      <c r="D142" s="118">
        <v>1</v>
      </c>
      <c r="E142" s="155" t="s">
        <v>357</v>
      </c>
      <c r="F142" s="69">
        <v>9000</v>
      </c>
      <c r="G142" s="88"/>
      <c r="H142" s="69">
        <f>F142*D142</f>
        <v>9000</v>
      </c>
      <c r="I142" s="89"/>
    </row>
    <row r="143" spans="2:9" x14ac:dyDescent="0.25">
      <c r="B143" s="188">
        <v>837</v>
      </c>
      <c r="C143" s="2" t="s">
        <v>358</v>
      </c>
      <c r="D143" s="118">
        <v>0</v>
      </c>
      <c r="E143" s="155" t="s">
        <v>357</v>
      </c>
      <c r="F143" s="69">
        <v>6000</v>
      </c>
      <c r="G143" s="88"/>
      <c r="H143" s="69">
        <f>F143*D143</f>
        <v>0</v>
      </c>
      <c r="I143" s="89"/>
    </row>
    <row r="144" spans="2:9" x14ac:dyDescent="0.25">
      <c r="B144" s="188"/>
      <c r="C144" s="2" t="s">
        <v>177</v>
      </c>
      <c r="D144" s="118">
        <v>0</v>
      </c>
      <c r="E144" s="155" t="s">
        <v>122</v>
      </c>
      <c r="F144" s="69">
        <v>0</v>
      </c>
      <c r="G144" s="88"/>
      <c r="H144" s="69">
        <f t="shared" ref="H144:H155" si="5">F144*D144</f>
        <v>0</v>
      </c>
      <c r="I144" s="89"/>
    </row>
    <row r="145" spans="2:9" x14ac:dyDescent="0.25">
      <c r="B145" s="188"/>
      <c r="C145" s="2" t="s">
        <v>302</v>
      </c>
      <c r="D145" s="118">
        <v>0</v>
      </c>
      <c r="E145" s="155" t="s">
        <v>122</v>
      </c>
      <c r="F145" s="69">
        <v>100000</v>
      </c>
      <c r="G145" s="88"/>
      <c r="H145" s="69">
        <f t="shared" si="5"/>
        <v>0</v>
      </c>
      <c r="I145" s="89"/>
    </row>
    <row r="146" spans="2:9" x14ac:dyDescent="0.25">
      <c r="B146" s="188"/>
      <c r="C146" s="2" t="s">
        <v>303</v>
      </c>
      <c r="D146" s="118">
        <v>0</v>
      </c>
      <c r="E146" s="155" t="s">
        <v>122</v>
      </c>
      <c r="F146" s="69">
        <v>50000</v>
      </c>
      <c r="G146" s="88"/>
      <c r="H146" s="69">
        <f t="shared" si="5"/>
        <v>0</v>
      </c>
      <c r="I146" s="89"/>
    </row>
    <row r="147" spans="2:9" x14ac:dyDescent="0.25">
      <c r="B147" s="188"/>
      <c r="C147" s="2" t="s">
        <v>314</v>
      </c>
      <c r="D147" s="118">
        <v>0</v>
      </c>
      <c r="E147" s="155" t="s">
        <v>122</v>
      </c>
      <c r="F147" s="69">
        <v>21000</v>
      </c>
      <c r="G147" s="88"/>
      <c r="H147" s="69">
        <f t="shared" si="5"/>
        <v>0</v>
      </c>
      <c r="I147" s="89"/>
    </row>
    <row r="148" spans="2:9" x14ac:dyDescent="0.25">
      <c r="B148" s="188"/>
      <c r="C148" s="2" t="s">
        <v>232</v>
      </c>
      <c r="D148" s="118">
        <v>0</v>
      </c>
      <c r="E148" s="155" t="s">
        <v>122</v>
      </c>
      <c r="F148" s="69">
        <v>0</v>
      </c>
      <c r="G148" s="88"/>
      <c r="H148" s="69">
        <f t="shared" si="5"/>
        <v>0</v>
      </c>
      <c r="I148" s="89"/>
    </row>
    <row r="149" spans="2:9" x14ac:dyDescent="0.25">
      <c r="B149" s="188"/>
      <c r="C149" s="2" t="s">
        <v>361</v>
      </c>
      <c r="D149" s="118">
        <v>0</v>
      </c>
      <c r="E149" s="155" t="s">
        <v>103</v>
      </c>
      <c r="F149" s="69">
        <v>25000</v>
      </c>
      <c r="G149" s="88"/>
      <c r="H149" s="69">
        <f t="shared" si="5"/>
        <v>0</v>
      </c>
      <c r="I149" s="89"/>
    </row>
    <row r="150" spans="2:9" x14ac:dyDescent="0.25">
      <c r="B150" s="188"/>
      <c r="C150" s="2" t="s">
        <v>233</v>
      </c>
      <c r="D150" s="118">
        <v>0</v>
      </c>
      <c r="E150" s="155" t="s">
        <v>97</v>
      </c>
      <c r="F150" s="69">
        <v>65000</v>
      </c>
      <c r="G150" s="88"/>
      <c r="H150" s="69">
        <f t="shared" si="5"/>
        <v>0</v>
      </c>
      <c r="I150" s="89"/>
    </row>
    <row r="151" spans="2:9" x14ac:dyDescent="0.25">
      <c r="B151" s="188"/>
      <c r="C151" s="2" t="s">
        <v>301</v>
      </c>
      <c r="D151" s="118">
        <v>0</v>
      </c>
      <c r="E151" s="155" t="s">
        <v>122</v>
      </c>
      <c r="F151" s="69">
        <v>20000</v>
      </c>
      <c r="G151" s="88"/>
      <c r="H151" s="69">
        <f t="shared" si="5"/>
        <v>0</v>
      </c>
      <c r="I151" s="89"/>
    </row>
    <row r="152" spans="2:9" x14ac:dyDescent="0.25">
      <c r="B152" s="188"/>
      <c r="C152" s="2" t="s">
        <v>116</v>
      </c>
      <c r="D152" s="118">
        <v>0</v>
      </c>
      <c r="E152" s="155" t="s">
        <v>103</v>
      </c>
      <c r="F152" s="69">
        <v>0</v>
      </c>
      <c r="G152" s="88"/>
      <c r="H152" s="69">
        <f t="shared" si="5"/>
        <v>0</v>
      </c>
      <c r="I152" s="89"/>
    </row>
    <row r="153" spans="2:9" x14ac:dyDescent="0.25">
      <c r="B153" s="188"/>
      <c r="C153" s="2" t="s">
        <v>119</v>
      </c>
      <c r="D153" s="118">
        <v>4</v>
      </c>
      <c r="E153" s="155" t="s">
        <v>122</v>
      </c>
      <c r="F153" s="69">
        <v>10705</v>
      </c>
      <c r="G153" s="88"/>
      <c r="H153" s="69">
        <f t="shared" si="5"/>
        <v>42820</v>
      </c>
      <c r="I153" s="89"/>
    </row>
    <row r="154" spans="2:9" x14ac:dyDescent="0.25">
      <c r="B154" s="188"/>
      <c r="C154" s="2" t="s">
        <v>296</v>
      </c>
      <c r="D154" s="118">
        <v>0</v>
      </c>
      <c r="E154" s="155" t="s">
        <v>122</v>
      </c>
      <c r="F154" s="69">
        <v>0</v>
      </c>
      <c r="G154" s="88"/>
      <c r="H154" s="69">
        <f t="shared" si="5"/>
        <v>0</v>
      </c>
      <c r="I154" s="89"/>
    </row>
    <row r="155" spans="2:9" x14ac:dyDescent="0.25">
      <c r="B155" s="188"/>
      <c r="C155" s="2" t="s">
        <v>297</v>
      </c>
      <c r="D155" s="118">
        <v>4</v>
      </c>
      <c r="E155" s="155" t="s">
        <v>122</v>
      </c>
      <c r="F155" s="69">
        <v>74100</v>
      </c>
      <c r="G155" s="88"/>
      <c r="H155" s="69">
        <f t="shared" si="5"/>
        <v>296400</v>
      </c>
      <c r="I155" s="89"/>
    </row>
    <row r="156" spans="2:9" x14ac:dyDescent="0.25">
      <c r="B156" s="188"/>
      <c r="C156" s="2" t="s">
        <v>298</v>
      </c>
      <c r="D156" s="118">
        <v>2</v>
      </c>
      <c r="E156" s="155" t="s">
        <v>122</v>
      </c>
      <c r="F156" s="69">
        <v>21800</v>
      </c>
      <c r="G156" s="88"/>
      <c r="H156" s="69">
        <f t="shared" si="2"/>
        <v>43600</v>
      </c>
      <c r="I156" s="89"/>
    </row>
    <row r="157" spans="2:9" x14ac:dyDescent="0.25">
      <c r="B157" s="188"/>
      <c r="C157" s="2" t="s">
        <v>118</v>
      </c>
      <c r="D157" s="118">
        <v>1200</v>
      </c>
      <c r="E157" s="155" t="s">
        <v>109</v>
      </c>
      <c r="F157" s="69">
        <v>17</v>
      </c>
      <c r="G157" s="88"/>
      <c r="H157" s="69">
        <f t="shared" si="2"/>
        <v>20400</v>
      </c>
      <c r="I157" s="89"/>
    </row>
    <row r="158" spans="2:9" x14ac:dyDescent="0.25">
      <c r="B158" s="188"/>
      <c r="C158" s="2" t="s">
        <v>236</v>
      </c>
      <c r="D158" s="118">
        <v>1</v>
      </c>
      <c r="E158" s="155" t="s">
        <v>265</v>
      </c>
      <c r="F158" s="69">
        <v>20000</v>
      </c>
      <c r="G158" s="88"/>
      <c r="H158" s="69">
        <f t="shared" si="2"/>
        <v>20000</v>
      </c>
      <c r="I158" s="89"/>
    </row>
    <row r="159" spans="2:9" ht="15.75" x14ac:dyDescent="0.25">
      <c r="B159" s="78" t="s">
        <v>410</v>
      </c>
      <c r="C159" s="65"/>
      <c r="D159" s="116"/>
      <c r="E159" s="67"/>
      <c r="F159" s="68"/>
      <c r="G159" s="68"/>
      <c r="H159" s="94"/>
      <c r="I159" s="77">
        <f>CEILING(SUM(H47:H158),100)</f>
        <v>4621300</v>
      </c>
    </row>
    <row r="160" spans="2:9" x14ac:dyDescent="0.25">
      <c r="B160" s="194"/>
      <c r="C160" s="91"/>
      <c r="D160" s="117"/>
      <c r="E160" s="90"/>
      <c r="F160" s="92"/>
      <c r="G160" s="92"/>
      <c r="H160" s="92"/>
      <c r="I160" s="93"/>
    </row>
    <row r="161" spans="2:13" ht="15.75" x14ac:dyDescent="0.25">
      <c r="B161" s="78" t="s">
        <v>123</v>
      </c>
      <c r="C161" s="65"/>
      <c r="D161" s="116"/>
      <c r="E161" s="67"/>
      <c r="F161" s="68"/>
      <c r="G161" s="68"/>
      <c r="H161" s="68"/>
      <c r="I161" s="77"/>
    </row>
    <row r="162" spans="2:13" x14ac:dyDescent="0.25">
      <c r="B162" s="188" t="s">
        <v>405</v>
      </c>
      <c r="C162" s="2" t="s">
        <v>124</v>
      </c>
      <c r="D162" s="113">
        <f>($I$159*K162)/$F$162</f>
        <v>990.27857142857147</v>
      </c>
      <c r="E162" s="76" t="s">
        <v>125</v>
      </c>
      <c r="F162" s="69">
        <v>840</v>
      </c>
      <c r="G162" s="88"/>
      <c r="H162" s="69">
        <f>F162*D162</f>
        <v>831834</v>
      </c>
      <c r="I162" s="89"/>
      <c r="K162" s="231">
        <v>0.18</v>
      </c>
      <c r="L162" s="230" t="s">
        <v>494</v>
      </c>
      <c r="M162" s="229"/>
    </row>
    <row r="163" spans="2:13" x14ac:dyDescent="0.25">
      <c r="B163" s="188" t="s">
        <v>406</v>
      </c>
      <c r="C163" s="2" t="s">
        <v>126</v>
      </c>
      <c r="D163" s="113">
        <f>($I$159*K163)/$F$163</f>
        <v>46.213000000000001</v>
      </c>
      <c r="E163" s="76" t="s">
        <v>120</v>
      </c>
      <c r="F163" s="69">
        <v>2000</v>
      </c>
      <c r="G163" s="88"/>
      <c r="H163" s="69">
        <f>F163*D163</f>
        <v>92426</v>
      </c>
      <c r="I163" s="89"/>
      <c r="K163" s="231">
        <v>0.02</v>
      </c>
      <c r="L163" s="230" t="s">
        <v>495</v>
      </c>
      <c r="M163" s="229"/>
    </row>
    <row r="164" spans="2:13" ht="15.75" x14ac:dyDescent="0.25">
      <c r="B164" s="78" t="s">
        <v>127</v>
      </c>
      <c r="C164" s="65"/>
      <c r="D164" s="116"/>
      <c r="E164" s="67"/>
      <c r="F164" s="68"/>
      <c r="G164" s="68"/>
      <c r="H164" s="94"/>
      <c r="I164" s="77">
        <f>CEILING(SUM(H162:H163),100)</f>
        <v>924300</v>
      </c>
    </row>
    <row r="165" spans="2:13" x14ac:dyDescent="0.25">
      <c r="B165" s="194"/>
      <c r="C165" s="91"/>
      <c r="D165" s="117"/>
      <c r="E165" s="90"/>
      <c r="F165" s="92"/>
      <c r="G165" s="92"/>
      <c r="H165" s="92"/>
      <c r="I165" s="93"/>
    </row>
    <row r="166" spans="2:13" ht="15.75" x14ac:dyDescent="0.25">
      <c r="B166" s="78" t="s">
        <v>128</v>
      </c>
      <c r="C166" s="65"/>
      <c r="D166" s="116"/>
      <c r="E166" s="67"/>
      <c r="F166" s="68"/>
      <c r="G166" s="68"/>
      <c r="H166" s="68"/>
      <c r="I166" s="77"/>
    </row>
    <row r="167" spans="2:13" x14ac:dyDescent="0.25">
      <c r="B167" s="191"/>
      <c r="C167" s="98" t="s">
        <v>129</v>
      </c>
      <c r="D167" s="121"/>
      <c r="E167" s="192"/>
      <c r="F167" s="99"/>
      <c r="G167" s="100"/>
      <c r="H167" s="99"/>
      <c r="I167" s="101"/>
    </row>
    <row r="168" spans="2:13" x14ac:dyDescent="0.25">
      <c r="B168" s="188" t="s">
        <v>407</v>
      </c>
      <c r="C168" s="2" t="s">
        <v>506</v>
      </c>
      <c r="D168" s="118">
        <v>2700</v>
      </c>
      <c r="E168" s="155" t="s">
        <v>109</v>
      </c>
      <c r="F168" s="69">
        <v>120</v>
      </c>
      <c r="G168" s="88"/>
      <c r="H168" s="69">
        <f>F168*D168</f>
        <v>324000</v>
      </c>
      <c r="I168" s="89"/>
    </row>
    <row r="169" spans="2:13" x14ac:dyDescent="0.25">
      <c r="B169" s="188" t="s">
        <v>407</v>
      </c>
      <c r="C169" s="2" t="s">
        <v>511</v>
      </c>
      <c r="D169" s="118">
        <v>1300</v>
      </c>
      <c r="E169" s="155" t="s">
        <v>109</v>
      </c>
      <c r="F169" s="69">
        <v>124</v>
      </c>
      <c r="G169" s="88"/>
      <c r="H169" s="69">
        <f>F169*D169</f>
        <v>161200</v>
      </c>
      <c r="I169" s="89"/>
    </row>
    <row r="170" spans="2:13" x14ac:dyDescent="0.25">
      <c r="B170" s="188" t="s">
        <v>407</v>
      </c>
      <c r="C170" s="161" t="s">
        <v>507</v>
      </c>
      <c r="D170" s="159">
        <v>40</v>
      </c>
      <c r="E170" s="155" t="s">
        <v>109</v>
      </c>
      <c r="F170" s="69">
        <v>112</v>
      </c>
      <c r="G170" s="88"/>
      <c r="H170" s="69">
        <f>F170*D170</f>
        <v>4480</v>
      </c>
      <c r="I170" s="89"/>
    </row>
    <row r="171" spans="2:13" x14ac:dyDescent="0.25">
      <c r="B171" s="191"/>
      <c r="C171" s="98" t="s">
        <v>130</v>
      </c>
      <c r="D171" s="121"/>
      <c r="E171" s="192"/>
      <c r="F171" s="99"/>
      <c r="G171" s="100"/>
      <c r="H171" s="99"/>
      <c r="I171" s="101"/>
    </row>
    <row r="172" spans="2:13" x14ac:dyDescent="0.25">
      <c r="B172" s="188" t="s">
        <v>407</v>
      </c>
      <c r="C172" s="2" t="s">
        <v>508</v>
      </c>
      <c r="D172" s="118">
        <v>6</v>
      </c>
      <c r="E172" s="155" t="s">
        <v>122</v>
      </c>
      <c r="F172" s="69">
        <v>4265</v>
      </c>
      <c r="G172" s="88"/>
      <c r="H172" s="69">
        <f>F172*D172</f>
        <v>25590</v>
      </c>
      <c r="I172" s="89"/>
    </row>
    <row r="173" spans="2:13" x14ac:dyDescent="0.25">
      <c r="B173" s="188" t="s">
        <v>407</v>
      </c>
      <c r="C173" s="2" t="s">
        <v>509</v>
      </c>
      <c r="D173" s="118">
        <v>3</v>
      </c>
      <c r="E173" s="155" t="s">
        <v>122</v>
      </c>
      <c r="F173" s="69">
        <v>5052</v>
      </c>
      <c r="G173" s="88"/>
      <c r="H173" s="69">
        <f>F173*D173</f>
        <v>15156</v>
      </c>
      <c r="I173" s="89"/>
    </row>
    <row r="174" spans="2:13" x14ac:dyDescent="0.25">
      <c r="B174" s="191"/>
      <c r="C174" s="98" t="s">
        <v>178</v>
      </c>
      <c r="D174" s="121"/>
      <c r="E174" s="192"/>
      <c r="F174" s="99"/>
      <c r="G174" s="100"/>
      <c r="H174" s="99"/>
      <c r="I174" s="101"/>
    </row>
    <row r="175" spans="2:13" x14ac:dyDescent="0.25">
      <c r="B175" s="188" t="s">
        <v>408</v>
      </c>
      <c r="C175" s="2" t="s">
        <v>510</v>
      </c>
      <c r="D175" s="118">
        <v>4</v>
      </c>
      <c r="E175" s="155" t="s">
        <v>122</v>
      </c>
      <c r="F175" s="69">
        <v>44300</v>
      </c>
      <c r="G175" s="88"/>
      <c r="H175" s="69">
        <f>F175*D175</f>
        <v>177200</v>
      </c>
      <c r="I175" s="89"/>
    </row>
    <row r="176" spans="2:13" x14ac:dyDescent="0.25">
      <c r="B176" s="188" t="s">
        <v>408</v>
      </c>
      <c r="C176" s="2" t="s">
        <v>186</v>
      </c>
      <c r="D176" s="118">
        <v>0</v>
      </c>
      <c r="E176" s="155" t="s">
        <v>122</v>
      </c>
      <c r="F176" s="69">
        <v>0</v>
      </c>
      <c r="G176" s="88"/>
      <c r="H176" s="69">
        <f>F176*D176</f>
        <v>0</v>
      </c>
      <c r="I176" s="89"/>
    </row>
    <row r="177" spans="2:16" x14ac:dyDescent="0.25">
      <c r="B177" s="188" t="s">
        <v>408</v>
      </c>
      <c r="C177" s="2" t="s">
        <v>179</v>
      </c>
      <c r="D177" s="118">
        <v>0</v>
      </c>
      <c r="E177" s="155" t="s">
        <v>122</v>
      </c>
      <c r="F177" s="69">
        <v>0</v>
      </c>
      <c r="G177" s="88"/>
      <c r="H177" s="69">
        <f>F177*D177</f>
        <v>0</v>
      </c>
      <c r="I177" s="89"/>
    </row>
    <row r="178" spans="2:16" x14ac:dyDescent="0.25">
      <c r="B178" s="188" t="s">
        <v>408</v>
      </c>
      <c r="C178" s="2" t="s">
        <v>180</v>
      </c>
      <c r="D178" s="118">
        <v>0</v>
      </c>
      <c r="E178" s="155" t="s">
        <v>122</v>
      </c>
      <c r="F178" s="69">
        <v>0</v>
      </c>
      <c r="G178" s="88"/>
      <c r="H178" s="69">
        <f>F178*D178</f>
        <v>0</v>
      </c>
      <c r="I178" s="89"/>
    </row>
    <row r="179" spans="2:16" x14ac:dyDescent="0.25">
      <c r="B179" s="191"/>
      <c r="C179" s="98" t="s">
        <v>141</v>
      </c>
      <c r="D179" s="121" t="s">
        <v>5</v>
      </c>
      <c r="E179" s="192" t="s">
        <v>5</v>
      </c>
      <c r="F179" s="99" t="s">
        <v>5</v>
      </c>
      <c r="G179" s="100"/>
      <c r="H179" s="99" t="s">
        <v>5</v>
      </c>
      <c r="I179" s="101"/>
    </row>
    <row r="180" spans="2:16" x14ac:dyDescent="0.25">
      <c r="B180" s="188"/>
      <c r="C180" s="2" t="s">
        <v>359</v>
      </c>
      <c r="D180" s="118">
        <f>D70</f>
        <v>1</v>
      </c>
      <c r="E180" s="155" t="s">
        <v>122</v>
      </c>
      <c r="F180" s="69">
        <v>45000</v>
      </c>
      <c r="G180" s="88"/>
      <c r="H180" s="69">
        <f>F180*D180</f>
        <v>45000</v>
      </c>
      <c r="I180" s="89"/>
    </row>
    <row r="181" spans="2:16" x14ac:dyDescent="0.25">
      <c r="B181" s="188"/>
      <c r="C181" s="2" t="s">
        <v>484</v>
      </c>
      <c r="D181" s="118">
        <f>D71</f>
        <v>0</v>
      </c>
      <c r="E181" s="155" t="s">
        <v>122</v>
      </c>
      <c r="F181" s="69">
        <v>45000</v>
      </c>
      <c r="G181" s="88"/>
      <c r="H181" s="69">
        <f>F181*D181</f>
        <v>0</v>
      </c>
      <c r="I181" s="89"/>
    </row>
    <row r="182" spans="2:16" x14ac:dyDescent="0.25">
      <c r="B182" s="188" t="s">
        <v>408</v>
      </c>
      <c r="C182" s="2" t="s">
        <v>312</v>
      </c>
      <c r="D182" s="118">
        <v>0</v>
      </c>
      <c r="E182" s="155" t="s">
        <v>109</v>
      </c>
      <c r="F182" s="69">
        <v>0</v>
      </c>
      <c r="G182" s="88"/>
      <c r="H182" s="69">
        <f>F182*D182</f>
        <v>0</v>
      </c>
      <c r="I182" s="89"/>
    </row>
    <row r="183" spans="2:16" x14ac:dyDescent="0.25">
      <c r="B183" s="188" t="s">
        <v>407</v>
      </c>
      <c r="C183" s="2" t="s">
        <v>132</v>
      </c>
      <c r="D183" s="118">
        <v>1</v>
      </c>
      <c r="E183" s="76" t="s">
        <v>89</v>
      </c>
      <c r="F183" s="96">
        <f>SUM(H167:H182)*0.1</f>
        <v>75262.600000000006</v>
      </c>
      <c r="G183" s="88"/>
      <c r="H183" s="69">
        <f>F183*D183</f>
        <v>75262.600000000006</v>
      </c>
      <c r="I183" s="89"/>
    </row>
    <row r="184" spans="2:16" x14ac:dyDescent="0.25">
      <c r="B184" s="188" t="s">
        <v>407</v>
      </c>
      <c r="C184" s="2" t="s">
        <v>285</v>
      </c>
      <c r="D184" s="118">
        <v>1</v>
      </c>
      <c r="E184" s="76" t="s">
        <v>89</v>
      </c>
      <c r="F184" s="96">
        <f>SUM(H167:H183)*0.09</f>
        <v>74509.974000000002</v>
      </c>
      <c r="G184" s="88"/>
      <c r="H184" s="69">
        <f>F184*D184</f>
        <v>74509.974000000002</v>
      </c>
      <c r="I184" s="89"/>
    </row>
    <row r="185" spans="2:16" ht="16.5" thickBot="1" x14ac:dyDescent="0.3">
      <c r="B185" s="78" t="s">
        <v>133</v>
      </c>
      <c r="C185" s="66"/>
      <c r="D185" s="116"/>
      <c r="E185" s="67"/>
      <c r="F185" s="71"/>
      <c r="G185" s="71"/>
      <c r="H185" s="95"/>
      <c r="I185" s="85">
        <f>CEILING(SUM(H167:H184),100)</f>
        <v>902400</v>
      </c>
    </row>
    <row r="186" spans="2:16" ht="16.5" thickBot="1" x14ac:dyDescent="0.3">
      <c r="B186" s="298" t="s">
        <v>134</v>
      </c>
      <c r="C186" s="299"/>
      <c r="D186" s="299"/>
      <c r="E186" s="299"/>
      <c r="F186" s="299"/>
      <c r="G186" s="299"/>
      <c r="H186" s="300"/>
      <c r="I186" s="87">
        <f>SUM(I7,I27,I44,I159,I164,I185)</f>
        <v>7869400</v>
      </c>
    </row>
    <row r="187" spans="2:16" ht="15.75" thickBot="1" x14ac:dyDescent="0.3">
      <c r="B187" s="296" t="s">
        <v>136</v>
      </c>
      <c r="C187" s="297"/>
      <c r="D187" s="149">
        <f>'Master Tab'!C28</f>
        <v>0</v>
      </c>
      <c r="E187" s="150" t="s">
        <v>142</v>
      </c>
      <c r="F187" s="151">
        <f>'Master Tab'!C29</f>
        <v>0</v>
      </c>
      <c r="G187" s="81"/>
      <c r="H187" s="86"/>
      <c r="I187" s="79">
        <f>CEILING(-(FV(F187,D187,0,SUM(I185,I44,I27,I7),1))-(SUM(I185,I44,I27,I7)),100)+CEILING(-(FV(F187,D187+1,0,SUM(I164,I159),1))-(SUM(I164,I159)),100)</f>
        <v>0</v>
      </c>
      <c r="K187" s="270"/>
      <c r="L187" s="270"/>
      <c r="M187" s="270"/>
      <c r="N187" s="270"/>
      <c r="O187" s="270"/>
      <c r="P187" s="270"/>
    </row>
    <row r="188" spans="2:16" ht="15.75" thickBot="1" x14ac:dyDescent="0.3">
      <c r="B188" s="294" t="s">
        <v>135</v>
      </c>
      <c r="C188" s="295"/>
      <c r="D188" s="122"/>
      <c r="E188" s="84"/>
      <c r="F188" s="152">
        <f>'Master Tab'!C30</f>
        <v>0.15</v>
      </c>
      <c r="G188" s="72"/>
      <c r="H188" s="86"/>
      <c r="I188" s="82">
        <f>CEILING((I186)*F188,100)</f>
        <v>1180500</v>
      </c>
    </row>
    <row r="189" spans="2:16" ht="19.5" thickBot="1" x14ac:dyDescent="0.35">
      <c r="B189" s="291" t="s">
        <v>137</v>
      </c>
      <c r="C189" s="292"/>
      <c r="D189" s="292"/>
      <c r="E189" s="292"/>
      <c r="F189" s="292"/>
      <c r="G189" s="292"/>
      <c r="H189" s="293"/>
      <c r="I189" s="80">
        <f>SUM(I186:I188)</f>
        <v>9049900</v>
      </c>
    </row>
    <row r="190" spans="2:16" x14ac:dyDescent="0.25">
      <c r="B190" s="1" t="s">
        <v>5</v>
      </c>
      <c r="C190" s="162" t="s">
        <v>5</v>
      </c>
    </row>
    <row r="191" spans="2:16" x14ac:dyDescent="0.25">
      <c r="B191" s="1" t="s">
        <v>5</v>
      </c>
      <c r="C191" s="162" t="s">
        <v>5</v>
      </c>
      <c r="H191" s="70" t="s">
        <v>138</v>
      </c>
      <c r="I191" s="70">
        <f>I189/D46</f>
        <v>3232.1071428571427</v>
      </c>
    </row>
    <row r="192" spans="2:16" x14ac:dyDescent="0.25">
      <c r="H192" s="70" t="s">
        <v>139</v>
      </c>
      <c r="I192" s="70">
        <f>I189/(D46/5280)</f>
        <v>17065525.714285716</v>
      </c>
    </row>
  </sheetData>
  <sheetProtection formatCells="0" formatColumns="0" formatRows="0" insertColumns="0" insertRows="0" deleteColumns="0" deleteRows="0"/>
  <protectedRanges>
    <protectedRange algorithmName="SHA-512" hashValue="IbmNoH/XH9GZlitwFdFY+V3LGy1xQ3NuyVDz7GZtIth0KYgNC0Qiwte8wkicOU0jJryaYhOoqvkAD5QQLEfb1g==" saltValue="AzvUTwuISd6SY3rDKW9o1w==" spinCount="100000" sqref="B188:XFD1048576 D187:XFD187 A1:XFD4 A5:E6 G5:XFD6 B160:XFD161 C159:XFD159 A159:A180 K55:K57 K59:K61 K64:K65 K75 K78 K72:K73 K115 K117:K120 K88:K89 K91:K111 K139:K140 A7:XFD9 K85:K86 K82 L72:XFD158 K123:K137 B182:XFD186 A182:A1048576 K11:K53 L11:XFD67 N10:XFD10 A26:J29 A10:C25 E10:J25 B164:XFD167 B162:C163 N162:XFD163 A32:J47 A30:E31 G30:J31 G68:XFD71 G144:K158 G72:J140 A48:B158 G48:J67 B176:XFD180 B168:B175 G168:XFD175" name="Range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TgN2v4D1fCFeftgjUK9pEnAKUNQeBvGTEn7HgMYP3TgK+Lnb8CEJvr9mDUM9krxFyvgX1rqREi6Bj66egkIy9w==" saltValue="VQoFCzDNmxNbXYp+WTQXog==" spinCount="100000" sqref="B187:C187" name="Range1_1" securityDescriptor="O:WDG:WDD:(A;;CC;;;S-1-5-21-577582919-1435025626-1914702595-3940917)(A;;CC;;;S-1-5-21-577582919-1435025626-1914702595-3758999)(A;;CC;;;S-1-5-21-577582919-1435025626-1914702595-3758875)(A;;CC;;;S-1-5-21-577582919-1435025626-1914702595-4023729)(A;;CC;;;S-1-5-21-577582919-1435025626-1914702595-3758127)"/>
    <protectedRange algorithmName="SHA-512" hashValue="TgN2v4D1fCFeftgjUK9pEnAKUNQeBvGTEn7HgMYP3TgK+Lnb8CEJvr9mDUM9krxFyvgX1rqREi6Bj66egkIy9w==" saltValue="VQoFCzDNmxNbXYp+WTQXog==" spinCount="100000" sqref="F5:F6" name="Range1_2_1" securityDescriptor="O:WDG:WDD:(A;;CC;;;S-1-5-21-577582919-1435025626-1914702595-3940917)(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B159" name="Range1_3"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G141:K143" name="Range1_6"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A181:XFD181" name="Range1_8"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K67" name="Range1_4_2"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K10:M10" name="Range1_1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D10:D25" name="Range1_2"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D162:J163" name="Range1_9"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K162:M163" name="Range1_11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F30:F31" name="Range1_10"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C144:C158 C68:C140 C48:C66" name="Range1_4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C141:C143" name="Range1_4_1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C67" name="Range1_5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D48:F79 D144:F158 D81:F140" name="Range1_4_2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D141:F143" name="Range1_6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D80:F80" name="Range1_7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C168:F175" name="Range1_13"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s>
  <mergeCells count="9">
    <mergeCell ref="B188:C188"/>
    <mergeCell ref="B189:H189"/>
    <mergeCell ref="C1:G1"/>
    <mergeCell ref="C2:G2"/>
    <mergeCell ref="K3:Q3"/>
    <mergeCell ref="K4:Q4"/>
    <mergeCell ref="B186:H186"/>
    <mergeCell ref="B187:C187"/>
    <mergeCell ref="K187:P187"/>
  </mergeCells>
  <pageMargins left="0.7" right="0.7" top="0.75" bottom="0.75" header="0.3" footer="0.3"/>
  <pageSetup scale="61" fitToHeight="0" orientation="portrait" r:id="rId1"/>
  <headerFooter>
    <oddHeader>&amp;RKyPSC Case No. 2025-00229
STAFF-DR-01-005(b) Attachment 6
Page &amp;P of &amp;N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9947B-C328-4A84-AA6E-C15727B2EFF9}">
  <sheetPr>
    <tabColor rgb="FF00B050"/>
    <pageSetUpPr fitToPage="1"/>
  </sheetPr>
  <dimension ref="B1:Q140"/>
  <sheetViews>
    <sheetView view="pageLayout" zoomScaleNormal="75" workbookViewId="0">
      <selection activeCell="AC7" sqref="AC7"/>
    </sheetView>
  </sheetViews>
  <sheetFormatPr defaultRowHeight="15" x14ac:dyDescent="0.25"/>
  <cols>
    <col min="2" max="2" width="18.28515625" style="1" customWidth="1"/>
    <col min="3" max="3" width="46.5703125" bestFit="1" customWidth="1"/>
    <col min="4" max="4" width="11.5703125" style="123" customWidth="1"/>
    <col min="5" max="5" width="15.5703125" style="1" bestFit="1" customWidth="1"/>
    <col min="6" max="6" width="13" style="70" customWidth="1"/>
    <col min="7" max="7" width="0.7109375" style="70" customWidth="1"/>
    <col min="8" max="8" width="16.28515625" style="70" customWidth="1"/>
    <col min="9" max="9" width="21.28515625" style="70" customWidth="1"/>
    <col min="10" max="10" width="3.7109375" customWidth="1"/>
  </cols>
  <sheetData>
    <row r="1" spans="2:17" ht="23.25" x14ac:dyDescent="0.35">
      <c r="B1" s="103"/>
      <c r="C1" s="290" t="str">
        <f>'Master Tab'!$C$8</f>
        <v>Line AM07 Pipeline Replacement PH 1</v>
      </c>
      <c r="D1" s="290"/>
      <c r="E1" s="290"/>
      <c r="F1" s="290"/>
      <c r="G1" s="290"/>
      <c r="H1" s="104"/>
      <c r="I1" s="105"/>
    </row>
    <row r="2" spans="2:17" ht="19.5" thickBot="1" x14ac:dyDescent="0.35">
      <c r="B2" s="189">
        <f>'Master Tab'!$C$9</f>
        <v>44588</v>
      </c>
      <c r="C2" s="289" t="s">
        <v>145</v>
      </c>
      <c r="D2" s="289"/>
      <c r="E2" s="289"/>
      <c r="F2" s="289"/>
      <c r="G2" s="289"/>
      <c r="H2" s="106" t="s">
        <v>78</v>
      </c>
      <c r="I2" s="107" t="str">
        <f>'Master Tab'!$C$6</f>
        <v>E-Initiate</v>
      </c>
    </row>
    <row r="3" spans="2:17" ht="30.75" thickBot="1" x14ac:dyDescent="0.3">
      <c r="B3" s="109" t="s">
        <v>79</v>
      </c>
      <c r="C3" s="108" t="s">
        <v>80</v>
      </c>
      <c r="D3" s="115" t="s">
        <v>81</v>
      </c>
      <c r="E3" s="109" t="s">
        <v>82</v>
      </c>
      <c r="F3" s="110" t="s">
        <v>83</v>
      </c>
      <c r="G3" s="110"/>
      <c r="H3" s="110" t="s">
        <v>159</v>
      </c>
      <c r="I3" s="110" t="s">
        <v>84</v>
      </c>
      <c r="K3" s="270" t="s">
        <v>85</v>
      </c>
      <c r="L3" s="270"/>
      <c r="M3" s="270"/>
      <c r="N3" s="270"/>
      <c r="O3" s="270"/>
      <c r="P3" s="270"/>
      <c r="Q3" s="270"/>
    </row>
    <row r="4" spans="2:17" ht="15.75" x14ac:dyDescent="0.25">
      <c r="B4" s="78" t="s">
        <v>86</v>
      </c>
      <c r="C4" s="65"/>
      <c r="D4" s="116"/>
      <c r="E4" s="67"/>
      <c r="F4" s="68"/>
      <c r="G4" s="68"/>
      <c r="H4" s="68"/>
      <c r="I4" s="77"/>
      <c r="K4" s="288" t="s">
        <v>140</v>
      </c>
      <c r="L4" s="288"/>
      <c r="M4" s="288"/>
      <c r="N4" s="288"/>
      <c r="O4" s="288"/>
      <c r="P4" s="288"/>
      <c r="Q4" s="288"/>
    </row>
    <row r="5" spans="2:17" x14ac:dyDescent="0.25">
      <c r="B5" s="188" t="s">
        <v>398</v>
      </c>
      <c r="C5" s="2" t="s">
        <v>60</v>
      </c>
      <c r="D5" s="113">
        <v>1</v>
      </c>
      <c r="E5" s="76" t="s">
        <v>426</v>
      </c>
      <c r="F5" s="69">
        <v>120000</v>
      </c>
      <c r="G5" s="88" t="s">
        <v>5</v>
      </c>
      <c r="H5" s="69">
        <f>CEILING(F5*D5,100)</f>
        <v>120000</v>
      </c>
      <c r="I5" s="89"/>
    </row>
    <row r="6" spans="2:17" x14ac:dyDescent="0.25">
      <c r="B6" s="188" t="s">
        <v>399</v>
      </c>
      <c r="C6" s="2" t="s">
        <v>88</v>
      </c>
      <c r="D6" s="113">
        <f>'Master Tab'!$C$16</f>
        <v>40</v>
      </c>
      <c r="E6" s="76" t="s">
        <v>249</v>
      </c>
      <c r="F6" s="69">
        <v>500</v>
      </c>
      <c r="G6" s="88" t="s">
        <v>5</v>
      </c>
      <c r="H6" s="69">
        <f>CEILING(F6*D6,100)</f>
        <v>20000</v>
      </c>
      <c r="I6" s="89"/>
    </row>
    <row r="7" spans="2:17" ht="15.75" x14ac:dyDescent="0.25">
      <c r="B7" s="78" t="s">
        <v>90</v>
      </c>
      <c r="C7" s="65"/>
      <c r="D7" s="116"/>
      <c r="E7" s="67"/>
      <c r="F7" s="68"/>
      <c r="G7" s="68"/>
      <c r="H7" s="68"/>
      <c r="I7" s="77">
        <f>SUM(H5:H6)</f>
        <v>140000</v>
      </c>
    </row>
    <row r="8" spans="2:17" ht="8.25" customHeight="1" x14ac:dyDescent="0.25">
      <c r="B8" s="194"/>
      <c r="C8" s="91"/>
      <c r="D8" s="117"/>
      <c r="E8" s="90"/>
      <c r="F8" s="92"/>
      <c r="G8" s="92"/>
      <c r="H8" s="92"/>
      <c r="I8" s="93"/>
    </row>
    <row r="9" spans="2:17" ht="15.75" x14ac:dyDescent="0.25">
      <c r="B9" s="78" t="s">
        <v>91</v>
      </c>
      <c r="C9" s="65"/>
      <c r="D9" s="116"/>
      <c r="E9" s="67"/>
      <c r="F9" s="68"/>
      <c r="G9" s="68"/>
      <c r="H9" s="68"/>
      <c r="I9" s="77"/>
    </row>
    <row r="10" spans="2:17" x14ac:dyDescent="0.25">
      <c r="B10" s="188" t="s">
        <v>369</v>
      </c>
      <c r="C10" s="2" t="s">
        <v>370</v>
      </c>
      <c r="D10" s="113">
        <f>((($I$44+$I$98+$I$134)*$K$10)/F10)*0.012</f>
        <v>68.393951999999999</v>
      </c>
      <c r="E10" s="76" t="s">
        <v>87</v>
      </c>
      <c r="F10" s="69">
        <v>125</v>
      </c>
      <c r="G10" s="88"/>
      <c r="H10" s="69">
        <f t="shared" ref="H10:H26" si="0">F10*D10</f>
        <v>8549.2440000000006</v>
      </c>
      <c r="I10" s="89"/>
      <c r="K10" s="231">
        <v>0.11</v>
      </c>
      <c r="L10" s="230" t="s">
        <v>492</v>
      </c>
      <c r="M10" s="229"/>
    </row>
    <row r="11" spans="2:17" x14ac:dyDescent="0.25">
      <c r="B11" s="188" t="s">
        <v>371</v>
      </c>
      <c r="C11" s="2" t="s">
        <v>372</v>
      </c>
      <c r="D11" s="113">
        <f>((($I$44+$I$98+$I$134)*$K$10)/F11)*0.016</f>
        <v>91.191935999999998</v>
      </c>
      <c r="E11" s="76" t="s">
        <v>87</v>
      </c>
      <c r="F11" s="69">
        <v>125</v>
      </c>
      <c r="G11" s="88"/>
      <c r="H11" s="69">
        <f t="shared" si="0"/>
        <v>11398.992</v>
      </c>
      <c r="I11" s="89"/>
    </row>
    <row r="12" spans="2:17" x14ac:dyDescent="0.25">
      <c r="B12" s="188" t="s">
        <v>373</v>
      </c>
      <c r="C12" s="2" t="s">
        <v>374</v>
      </c>
      <c r="D12" s="113">
        <f>((($I$44+$I$98+$I$134)*$K$10)/F12)*0.127</f>
        <v>723.83599200000003</v>
      </c>
      <c r="E12" s="76" t="s">
        <v>87</v>
      </c>
      <c r="F12" s="69">
        <v>125</v>
      </c>
      <c r="G12" s="88"/>
      <c r="H12" s="69">
        <f t="shared" si="0"/>
        <v>90479.499000000011</v>
      </c>
      <c r="I12" s="89"/>
    </row>
    <row r="13" spans="2:17" x14ac:dyDescent="0.25">
      <c r="B13" s="188" t="s">
        <v>375</v>
      </c>
      <c r="C13" s="2" t="s">
        <v>376</v>
      </c>
      <c r="D13" s="113">
        <f>((($I$44+$I$98+$I$134)*$K$10)/F13)*0.008</f>
        <v>45.595967999999999</v>
      </c>
      <c r="E13" s="76" t="s">
        <v>87</v>
      </c>
      <c r="F13" s="69">
        <v>125</v>
      </c>
      <c r="G13" s="88"/>
      <c r="H13" s="69">
        <f t="shared" si="0"/>
        <v>5699.4960000000001</v>
      </c>
      <c r="I13" s="89"/>
    </row>
    <row r="14" spans="2:17" x14ac:dyDescent="0.25">
      <c r="B14" s="188" t="s">
        <v>377</v>
      </c>
      <c r="C14" s="2" t="s">
        <v>378</v>
      </c>
      <c r="D14" s="113">
        <f>((($I$44+$I$98+$I$134)*$K$10)/F14)*0.005</f>
        <v>28.497479999999999</v>
      </c>
      <c r="E14" s="76" t="s">
        <v>87</v>
      </c>
      <c r="F14" s="69">
        <v>125</v>
      </c>
      <c r="G14" s="88"/>
      <c r="H14" s="69">
        <f t="shared" si="0"/>
        <v>3562.1849999999999</v>
      </c>
      <c r="I14" s="89"/>
    </row>
    <row r="15" spans="2:17" x14ac:dyDescent="0.25">
      <c r="B15" s="188" t="s">
        <v>379</v>
      </c>
      <c r="C15" s="2" t="s">
        <v>380</v>
      </c>
      <c r="D15" s="113">
        <f>((($I$44+$I$98+$I$134)*$K$10)/F15)*0.036</f>
        <v>205.18185599999998</v>
      </c>
      <c r="E15" s="76" t="s">
        <v>87</v>
      </c>
      <c r="F15" s="69">
        <v>125</v>
      </c>
      <c r="G15" s="88"/>
      <c r="H15" s="69">
        <f t="shared" si="0"/>
        <v>25647.731999999996</v>
      </c>
      <c r="I15" s="89"/>
    </row>
    <row r="16" spans="2:17" x14ac:dyDescent="0.25">
      <c r="B16" s="188" t="s">
        <v>381</v>
      </c>
      <c r="C16" s="2" t="s">
        <v>382</v>
      </c>
      <c r="D16" s="113">
        <f>((($I$44+$I$98+$I$134)*$K$10)/F16)*0.007</f>
        <v>39.896472000000003</v>
      </c>
      <c r="E16" s="76" t="s">
        <v>87</v>
      </c>
      <c r="F16" s="69">
        <v>125</v>
      </c>
      <c r="G16" s="88"/>
      <c r="H16" s="69">
        <f t="shared" si="0"/>
        <v>4987.0590000000002</v>
      </c>
      <c r="I16" s="89"/>
    </row>
    <row r="17" spans="2:13" x14ac:dyDescent="0.25">
      <c r="B17" s="188" t="s">
        <v>383</v>
      </c>
      <c r="C17" s="2" t="s">
        <v>409</v>
      </c>
      <c r="D17" s="113">
        <f>((($I$44+$I$98+$I$134)*$K$10)/F17)*0.056</f>
        <v>319.17177600000002</v>
      </c>
      <c r="E17" s="76" t="s">
        <v>87</v>
      </c>
      <c r="F17" s="69">
        <v>125</v>
      </c>
      <c r="G17" s="88"/>
      <c r="H17" s="69">
        <f t="shared" si="0"/>
        <v>39896.472000000002</v>
      </c>
      <c r="I17" s="89"/>
    </row>
    <row r="18" spans="2:13" x14ac:dyDescent="0.25">
      <c r="B18" s="188" t="s">
        <v>384</v>
      </c>
      <c r="C18" s="2" t="s">
        <v>385</v>
      </c>
      <c r="D18" s="113">
        <f>((($I$44+$I$98+$I$134)*$K$10)/F18)*0.062</f>
        <v>353.36875200000003</v>
      </c>
      <c r="E18" s="76" t="s">
        <v>87</v>
      </c>
      <c r="F18" s="69">
        <v>125</v>
      </c>
      <c r="G18" s="88"/>
      <c r="H18" s="69">
        <f t="shared" si="0"/>
        <v>44171.094000000005</v>
      </c>
      <c r="I18" s="89"/>
    </row>
    <row r="19" spans="2:13" x14ac:dyDescent="0.25">
      <c r="B19" s="188" t="s">
        <v>391</v>
      </c>
      <c r="C19" s="2" t="s">
        <v>92</v>
      </c>
      <c r="D19" s="113">
        <f>((($I$44+$I$98+$I$134)*$K$10)/F19)*0</f>
        <v>0</v>
      </c>
      <c r="E19" s="76" t="s">
        <v>87</v>
      </c>
      <c r="F19" s="69">
        <v>125</v>
      </c>
      <c r="G19" s="88"/>
      <c r="H19" s="69">
        <f t="shared" si="0"/>
        <v>0</v>
      </c>
      <c r="I19" s="89"/>
    </row>
    <row r="20" spans="2:13" x14ac:dyDescent="0.25">
      <c r="B20" s="188" t="s">
        <v>392</v>
      </c>
      <c r="C20" s="2" t="s">
        <v>93</v>
      </c>
      <c r="D20" s="113">
        <f>((($I$44+$I$98+$I$134)*$K$10)/F20)*0.162</f>
        <v>923.318352</v>
      </c>
      <c r="E20" s="76" t="s">
        <v>87</v>
      </c>
      <c r="F20" s="69">
        <v>125</v>
      </c>
      <c r="G20" s="88"/>
      <c r="H20" s="69">
        <f t="shared" si="0"/>
        <v>115414.79399999999</v>
      </c>
      <c r="I20" s="89"/>
    </row>
    <row r="21" spans="2:13" x14ac:dyDescent="0.25">
      <c r="B21" s="188" t="s">
        <v>393</v>
      </c>
      <c r="C21" s="2" t="s">
        <v>386</v>
      </c>
      <c r="D21" s="113">
        <f>((($I$44+$I$98+$I$134)*$K$10)/F21)*0.008</f>
        <v>45.595967999999999</v>
      </c>
      <c r="E21" s="76" t="s">
        <v>87</v>
      </c>
      <c r="F21" s="69">
        <v>125</v>
      </c>
      <c r="G21" s="88"/>
      <c r="H21" s="69">
        <f t="shared" si="0"/>
        <v>5699.4960000000001</v>
      </c>
      <c r="I21" s="89"/>
    </row>
    <row r="22" spans="2:13" x14ac:dyDescent="0.25">
      <c r="B22" s="188" t="s">
        <v>394</v>
      </c>
      <c r="C22" s="2" t="s">
        <v>387</v>
      </c>
      <c r="D22" s="113">
        <f>((($I$44+$I$98+$I$134)*$K$10)/F22)*0.015</f>
        <v>85.492440000000002</v>
      </c>
      <c r="E22" s="76" t="s">
        <v>87</v>
      </c>
      <c r="F22" s="69">
        <v>125</v>
      </c>
      <c r="G22" s="88"/>
      <c r="H22" s="69">
        <f t="shared" si="0"/>
        <v>10686.555</v>
      </c>
      <c r="I22" s="89"/>
    </row>
    <row r="23" spans="2:13" x14ac:dyDescent="0.25">
      <c r="B23" s="188" t="s">
        <v>395</v>
      </c>
      <c r="C23" s="2" t="s">
        <v>388</v>
      </c>
      <c r="D23" s="113">
        <f>((($I$44+$I$98+$I$134)*$K$10)/F23)*0.323</f>
        <v>1840.9372080000001</v>
      </c>
      <c r="E23" s="76" t="s">
        <v>87</v>
      </c>
      <c r="F23" s="69">
        <v>125</v>
      </c>
      <c r="G23" s="88"/>
      <c r="H23" s="69">
        <f t="shared" si="0"/>
        <v>230117.15100000001</v>
      </c>
      <c r="I23" s="89"/>
    </row>
    <row r="24" spans="2:13" x14ac:dyDescent="0.25">
      <c r="B24" s="188" t="s">
        <v>396</v>
      </c>
      <c r="C24" s="2" t="s">
        <v>389</v>
      </c>
      <c r="D24" s="113">
        <f>((($I$44+$I$98+$I$134)*$K$10)/F24)*0.151</f>
        <v>860.62389599999995</v>
      </c>
      <c r="E24" s="76" t="s">
        <v>87</v>
      </c>
      <c r="F24" s="69">
        <v>125</v>
      </c>
      <c r="G24" s="88"/>
      <c r="H24" s="69">
        <f t="shared" si="0"/>
        <v>107577.98699999999</v>
      </c>
      <c r="I24" s="89"/>
    </row>
    <row r="25" spans="2:13" x14ac:dyDescent="0.25">
      <c r="B25" s="188" t="s">
        <v>396</v>
      </c>
      <c r="C25" s="2" t="s">
        <v>390</v>
      </c>
      <c r="D25" s="113">
        <f>((($I$44+$I$98+$I$134)*$K$10)/F25)*0.009</f>
        <v>51.295463999999996</v>
      </c>
      <c r="E25" s="76" t="s">
        <v>87</v>
      </c>
      <c r="F25" s="69">
        <v>125</v>
      </c>
      <c r="G25" s="88"/>
      <c r="H25" s="69">
        <f t="shared" si="0"/>
        <v>6411.9329999999991</v>
      </c>
      <c r="I25" s="89"/>
    </row>
    <row r="26" spans="2:13" x14ac:dyDescent="0.25">
      <c r="B26" s="188" t="s">
        <v>397</v>
      </c>
      <c r="C26" s="2" t="s">
        <v>94</v>
      </c>
      <c r="D26" s="120">
        <v>1</v>
      </c>
      <c r="E26" s="148" t="s">
        <v>103</v>
      </c>
      <c r="F26" s="69">
        <v>14500</v>
      </c>
      <c r="G26" s="88"/>
      <c r="H26" s="69">
        <f t="shared" si="0"/>
        <v>14500</v>
      </c>
      <c r="I26" s="89"/>
    </row>
    <row r="27" spans="2:13" ht="15.75" x14ac:dyDescent="0.25">
      <c r="B27" s="78" t="s">
        <v>95</v>
      </c>
      <c r="C27" s="65"/>
      <c r="D27" s="116"/>
      <c r="E27" s="67"/>
      <c r="F27" s="68"/>
      <c r="G27" s="68"/>
      <c r="H27" s="94"/>
      <c r="I27" s="77">
        <f>CEILING(SUM(H10:H26),100)</f>
        <v>724800</v>
      </c>
    </row>
    <row r="28" spans="2:13" ht="8.25" customHeight="1" x14ac:dyDescent="0.25">
      <c r="B28" s="194"/>
      <c r="C28" s="91"/>
      <c r="D28" s="117"/>
      <c r="E28" s="90"/>
      <c r="F28" s="92"/>
      <c r="G28" s="92"/>
      <c r="H28" s="92"/>
      <c r="I28" s="93"/>
    </row>
    <row r="29" spans="2:13" ht="15.75" x14ac:dyDescent="0.25">
      <c r="B29" s="78" t="s">
        <v>96</v>
      </c>
      <c r="C29" s="65"/>
      <c r="D29" s="116"/>
      <c r="E29" s="67"/>
      <c r="F29" s="68"/>
      <c r="G29" s="68"/>
      <c r="H29" s="68"/>
      <c r="I29" s="77"/>
    </row>
    <row r="30" spans="2:13" x14ac:dyDescent="0.25">
      <c r="B30" s="188" t="s">
        <v>289</v>
      </c>
      <c r="C30" s="2" t="s">
        <v>274</v>
      </c>
      <c r="D30" s="118">
        <v>0</v>
      </c>
      <c r="E30" s="155" t="s">
        <v>97</v>
      </c>
      <c r="F30" s="69">
        <v>45000</v>
      </c>
      <c r="G30" s="88"/>
      <c r="H30" s="69">
        <f t="shared" ref="H30:H43" si="1">CEILING(F30*D30,100)</f>
        <v>0</v>
      </c>
      <c r="I30" s="89"/>
      <c r="M30" t="s">
        <v>5</v>
      </c>
    </row>
    <row r="31" spans="2:13" x14ac:dyDescent="0.25">
      <c r="B31" s="188" t="s">
        <v>289</v>
      </c>
      <c r="C31" s="2" t="s">
        <v>275</v>
      </c>
      <c r="D31" s="118">
        <v>0</v>
      </c>
      <c r="E31" s="155" t="s">
        <v>97</v>
      </c>
      <c r="F31" s="69">
        <v>125000</v>
      </c>
      <c r="G31" s="88"/>
      <c r="H31" s="69">
        <f t="shared" si="1"/>
        <v>0</v>
      </c>
      <c r="I31" s="89"/>
    </row>
    <row r="32" spans="2:13" x14ac:dyDescent="0.25">
      <c r="B32" s="188" t="s">
        <v>290</v>
      </c>
      <c r="C32" s="2" t="s">
        <v>276</v>
      </c>
      <c r="D32" s="118">
        <v>0</v>
      </c>
      <c r="E32" s="155" t="s">
        <v>97</v>
      </c>
      <c r="F32" s="96">
        <f>F30*1.2</f>
        <v>54000</v>
      </c>
      <c r="G32" s="88"/>
      <c r="H32" s="69">
        <f t="shared" si="1"/>
        <v>0</v>
      </c>
      <c r="I32" s="89"/>
    </row>
    <row r="33" spans="2:11" x14ac:dyDescent="0.25">
      <c r="B33" s="188" t="s">
        <v>290</v>
      </c>
      <c r="C33" s="2" t="s">
        <v>279</v>
      </c>
      <c r="D33" s="118">
        <v>0</v>
      </c>
      <c r="E33" s="155" t="s">
        <v>97</v>
      </c>
      <c r="F33" s="96">
        <f>F31*1.2</f>
        <v>150000</v>
      </c>
      <c r="G33" s="88"/>
      <c r="H33" s="69">
        <f t="shared" si="1"/>
        <v>0</v>
      </c>
      <c r="I33" s="89"/>
    </row>
    <row r="34" spans="2:11" x14ac:dyDescent="0.25">
      <c r="B34" s="188" t="s">
        <v>290</v>
      </c>
      <c r="C34" s="2" t="s">
        <v>277</v>
      </c>
      <c r="D34" s="233">
        <v>0.25</v>
      </c>
      <c r="E34" s="155" t="s">
        <v>97</v>
      </c>
      <c r="F34" s="96">
        <f>F30*1.4</f>
        <v>62999.999999999993</v>
      </c>
      <c r="G34" s="88"/>
      <c r="H34" s="69">
        <f t="shared" si="1"/>
        <v>15800</v>
      </c>
      <c r="I34" s="89"/>
    </row>
    <row r="35" spans="2:11" x14ac:dyDescent="0.25">
      <c r="B35" s="188" t="s">
        <v>290</v>
      </c>
      <c r="C35" s="2" t="s">
        <v>280</v>
      </c>
      <c r="D35" s="118">
        <v>0</v>
      </c>
      <c r="E35" s="155" t="s">
        <v>97</v>
      </c>
      <c r="F35" s="96">
        <f>F31*1.4</f>
        <v>175000</v>
      </c>
      <c r="G35" s="88"/>
      <c r="H35" s="69">
        <f t="shared" si="1"/>
        <v>0</v>
      </c>
      <c r="I35" s="89"/>
    </row>
    <row r="36" spans="2:11" x14ac:dyDescent="0.25">
      <c r="B36" s="188" t="s">
        <v>291</v>
      </c>
      <c r="C36" s="2" t="s">
        <v>286</v>
      </c>
      <c r="D36" s="233">
        <v>0.15</v>
      </c>
      <c r="E36" s="155" t="s">
        <v>97</v>
      </c>
      <c r="F36" s="96">
        <f>F30*0.25</f>
        <v>11250</v>
      </c>
      <c r="G36" s="88"/>
      <c r="H36" s="69">
        <f t="shared" si="1"/>
        <v>1700</v>
      </c>
      <c r="I36" s="89"/>
    </row>
    <row r="37" spans="2:11" x14ac:dyDescent="0.25">
      <c r="B37" s="188" t="s">
        <v>291</v>
      </c>
      <c r="C37" s="2" t="s">
        <v>287</v>
      </c>
      <c r="D37" s="118">
        <v>0</v>
      </c>
      <c r="E37" s="155" t="s">
        <v>97</v>
      </c>
      <c r="F37" s="96">
        <f>F31*0.25</f>
        <v>31250</v>
      </c>
      <c r="G37" s="88"/>
      <c r="H37" s="69">
        <f t="shared" si="1"/>
        <v>0</v>
      </c>
      <c r="I37" s="89"/>
    </row>
    <row r="38" spans="2:11" x14ac:dyDescent="0.25">
      <c r="B38" s="188" t="s">
        <v>292</v>
      </c>
      <c r="C38" s="2" t="s">
        <v>252</v>
      </c>
      <c r="D38" s="118">
        <v>1</v>
      </c>
      <c r="E38" s="155" t="s">
        <v>122</v>
      </c>
      <c r="F38" s="69">
        <v>10000</v>
      </c>
      <c r="G38" s="88"/>
      <c r="H38" s="69">
        <f t="shared" si="1"/>
        <v>10000</v>
      </c>
      <c r="I38" s="89"/>
    </row>
    <row r="39" spans="2:11" x14ac:dyDescent="0.25">
      <c r="B39" s="188" t="s">
        <v>291</v>
      </c>
      <c r="C39" s="2" t="s">
        <v>253</v>
      </c>
      <c r="D39" s="118">
        <v>0</v>
      </c>
      <c r="E39" s="155" t="s">
        <v>273</v>
      </c>
      <c r="F39" s="69">
        <v>4200</v>
      </c>
      <c r="G39" s="88"/>
      <c r="H39" s="69">
        <f t="shared" si="1"/>
        <v>0</v>
      </c>
      <c r="I39" s="89"/>
    </row>
    <row r="40" spans="2:11" x14ac:dyDescent="0.25">
      <c r="B40" s="188" t="s">
        <v>293</v>
      </c>
      <c r="C40" s="2" t="s">
        <v>284</v>
      </c>
      <c r="D40" s="113">
        <f>D42</f>
        <v>1</v>
      </c>
      <c r="E40" s="155" t="s">
        <v>98</v>
      </c>
      <c r="F40" s="69">
        <v>3250</v>
      </c>
      <c r="G40" s="88"/>
      <c r="H40" s="69">
        <f t="shared" si="1"/>
        <v>3300</v>
      </c>
      <c r="I40" s="89"/>
    </row>
    <row r="41" spans="2:11" x14ac:dyDescent="0.25">
      <c r="B41" s="188" t="s">
        <v>293</v>
      </c>
      <c r="C41" s="2" t="s">
        <v>316</v>
      </c>
      <c r="D41" s="118">
        <v>0</v>
      </c>
      <c r="E41" s="155" t="s">
        <v>97</v>
      </c>
      <c r="F41" s="69">
        <v>0</v>
      </c>
      <c r="G41" s="88"/>
      <c r="H41" s="69">
        <f t="shared" si="1"/>
        <v>0</v>
      </c>
      <c r="I41" s="89"/>
    </row>
    <row r="42" spans="2:11" x14ac:dyDescent="0.25">
      <c r="B42" s="188" t="s">
        <v>294</v>
      </c>
      <c r="C42" s="2" t="s">
        <v>288</v>
      </c>
      <c r="D42" s="118">
        <v>1</v>
      </c>
      <c r="E42" s="155" t="s">
        <v>103</v>
      </c>
      <c r="F42" s="69">
        <v>24774</v>
      </c>
      <c r="G42" s="88"/>
      <c r="H42" s="69">
        <f t="shared" si="1"/>
        <v>24800</v>
      </c>
      <c r="I42" s="89"/>
    </row>
    <row r="43" spans="2:11" x14ac:dyDescent="0.25">
      <c r="B43" s="188" t="s">
        <v>294</v>
      </c>
      <c r="C43" s="2" t="s">
        <v>99</v>
      </c>
      <c r="D43" s="177">
        <v>0</v>
      </c>
      <c r="E43" s="178" t="s">
        <v>98</v>
      </c>
      <c r="F43" s="69">
        <v>20000</v>
      </c>
      <c r="G43" s="88"/>
      <c r="H43" s="69">
        <f t="shared" si="1"/>
        <v>0</v>
      </c>
      <c r="I43" s="89"/>
    </row>
    <row r="44" spans="2:11" ht="15.75" x14ac:dyDescent="0.25">
      <c r="B44" s="78" t="s">
        <v>100</v>
      </c>
      <c r="C44" s="65"/>
      <c r="D44" s="116"/>
      <c r="E44" s="67"/>
      <c r="F44" s="68"/>
      <c r="G44" s="94"/>
      <c r="H44" s="68"/>
      <c r="I44" s="77">
        <f>SUM(H30:H43)</f>
        <v>55600</v>
      </c>
    </row>
    <row r="45" spans="2:11" ht="8.25" customHeight="1" x14ac:dyDescent="0.25">
      <c r="B45" s="194"/>
      <c r="C45" s="91"/>
      <c r="D45" s="117"/>
      <c r="E45" s="90"/>
      <c r="F45" s="92"/>
      <c r="G45" s="92"/>
      <c r="H45" s="92"/>
      <c r="I45" s="93"/>
    </row>
    <row r="46" spans="2:11" ht="15.75" x14ac:dyDescent="0.25">
      <c r="B46" s="78" t="s">
        <v>241</v>
      </c>
      <c r="C46" s="65"/>
      <c r="D46" s="124"/>
      <c r="E46" s="111"/>
      <c r="F46" s="112"/>
      <c r="G46" s="68"/>
      <c r="H46" s="68"/>
      <c r="I46" s="77"/>
    </row>
    <row r="47" spans="2:11" x14ac:dyDescent="0.25">
      <c r="B47" s="188">
        <v>850</v>
      </c>
      <c r="C47" s="2" t="s">
        <v>104</v>
      </c>
      <c r="D47" s="120">
        <v>1</v>
      </c>
      <c r="E47" s="76" t="s">
        <v>103</v>
      </c>
      <c r="F47" s="96">
        <f>(SUM(H48:H97)*K47)</f>
        <v>505894.10000000003</v>
      </c>
      <c r="G47" s="88"/>
      <c r="H47" s="69">
        <f>F47*D47</f>
        <v>505894.10000000003</v>
      </c>
      <c r="I47" s="89"/>
      <c r="K47" s="97">
        <v>0.1</v>
      </c>
    </row>
    <row r="48" spans="2:11" x14ac:dyDescent="0.25">
      <c r="B48" s="188">
        <v>851</v>
      </c>
      <c r="C48" s="2" t="s">
        <v>488</v>
      </c>
      <c r="D48" s="233">
        <v>0.4</v>
      </c>
      <c r="E48" s="155" t="s">
        <v>209</v>
      </c>
      <c r="F48" s="69">
        <v>37800</v>
      </c>
      <c r="G48" s="88"/>
      <c r="H48" s="69">
        <f t="shared" ref="H48:H97" si="2">F48*D48</f>
        <v>15120</v>
      </c>
      <c r="I48" s="89"/>
    </row>
    <row r="49" spans="2:12" x14ac:dyDescent="0.25">
      <c r="B49" s="188">
        <v>851</v>
      </c>
      <c r="C49" s="2" t="s">
        <v>198</v>
      </c>
      <c r="D49" s="118">
        <v>0</v>
      </c>
      <c r="E49" s="155" t="s">
        <v>209</v>
      </c>
      <c r="F49" s="69">
        <v>0</v>
      </c>
      <c r="G49" s="88"/>
      <c r="H49" s="69">
        <f t="shared" si="2"/>
        <v>0</v>
      </c>
      <c r="I49" s="89"/>
    </row>
    <row r="50" spans="2:12" x14ac:dyDescent="0.25">
      <c r="B50" s="188">
        <v>851</v>
      </c>
      <c r="C50" s="2" t="s">
        <v>199</v>
      </c>
      <c r="D50" s="118">
        <v>0</v>
      </c>
      <c r="E50" s="155" t="s">
        <v>149</v>
      </c>
      <c r="F50" s="69">
        <v>0</v>
      </c>
      <c r="G50" s="88"/>
      <c r="H50" s="69">
        <f t="shared" si="2"/>
        <v>0</v>
      </c>
      <c r="I50" s="89"/>
      <c r="L50" t="s">
        <v>5</v>
      </c>
    </row>
    <row r="51" spans="2:12" x14ac:dyDescent="0.25">
      <c r="B51" s="188">
        <v>851</v>
      </c>
      <c r="C51" s="2" t="s">
        <v>200</v>
      </c>
      <c r="D51" s="118">
        <v>0</v>
      </c>
      <c r="E51" s="155" t="s">
        <v>149</v>
      </c>
      <c r="F51" s="69">
        <v>0</v>
      </c>
      <c r="G51" s="88"/>
      <c r="H51" s="69">
        <f t="shared" si="2"/>
        <v>0</v>
      </c>
      <c r="I51" s="89"/>
    </row>
    <row r="52" spans="2:12" x14ac:dyDescent="0.25">
      <c r="B52" s="188">
        <v>852</v>
      </c>
      <c r="C52" s="2" t="s">
        <v>489</v>
      </c>
      <c r="D52" s="118">
        <v>1</v>
      </c>
      <c r="E52" s="155" t="s">
        <v>516</v>
      </c>
      <c r="F52" s="69">
        <v>650000</v>
      </c>
      <c r="G52" s="88"/>
      <c r="H52" s="69">
        <f t="shared" si="2"/>
        <v>650000</v>
      </c>
      <c r="I52" s="89"/>
    </row>
    <row r="53" spans="2:12" x14ac:dyDescent="0.25">
      <c r="B53" s="188">
        <v>853</v>
      </c>
      <c r="C53" s="2" t="s">
        <v>146</v>
      </c>
      <c r="D53" s="118">
        <v>1</v>
      </c>
      <c r="E53" s="155" t="s">
        <v>122</v>
      </c>
      <c r="F53" s="69">
        <v>1125000</v>
      </c>
      <c r="G53" s="88"/>
      <c r="H53" s="69">
        <f t="shared" si="2"/>
        <v>1125000</v>
      </c>
      <c r="I53" s="89"/>
    </row>
    <row r="54" spans="2:12" x14ac:dyDescent="0.25">
      <c r="B54" s="188">
        <v>854</v>
      </c>
      <c r="C54" s="2" t="s">
        <v>234</v>
      </c>
      <c r="D54" s="118">
        <v>66</v>
      </c>
      <c r="E54" s="155" t="s">
        <v>120</v>
      </c>
      <c r="F54" s="69">
        <v>15000</v>
      </c>
      <c r="G54" s="88"/>
      <c r="H54" s="69">
        <f>F54*D54</f>
        <v>990000</v>
      </c>
      <c r="I54" s="89"/>
    </row>
    <row r="55" spans="2:12" x14ac:dyDescent="0.25">
      <c r="B55" s="188">
        <v>855</v>
      </c>
      <c r="C55" s="2" t="s">
        <v>235</v>
      </c>
      <c r="D55" s="118">
        <v>66</v>
      </c>
      <c r="E55" s="155" t="s">
        <v>120</v>
      </c>
      <c r="F55" s="69">
        <v>11000</v>
      </c>
      <c r="G55" s="88"/>
      <c r="H55" s="69">
        <f>F55*D55</f>
        <v>726000</v>
      </c>
      <c r="I55" s="89"/>
    </row>
    <row r="56" spans="2:12" x14ac:dyDescent="0.25">
      <c r="B56" s="188">
        <v>856</v>
      </c>
      <c r="C56" s="2" t="s">
        <v>473</v>
      </c>
      <c r="D56" s="118">
        <v>1</v>
      </c>
      <c r="E56" s="155" t="s">
        <v>103</v>
      </c>
      <c r="F56" s="69">
        <v>251111</v>
      </c>
      <c r="G56" s="88"/>
      <c r="H56" s="69">
        <f>F56*D56</f>
        <v>251111</v>
      </c>
      <c r="I56" s="89"/>
    </row>
    <row r="57" spans="2:12" x14ac:dyDescent="0.25">
      <c r="B57" s="188">
        <v>857</v>
      </c>
      <c r="C57" s="2" t="s">
        <v>225</v>
      </c>
      <c r="D57" s="118">
        <v>0</v>
      </c>
      <c r="E57" s="155" t="s">
        <v>109</v>
      </c>
      <c r="F57" s="69">
        <v>0</v>
      </c>
      <c r="G57" s="88"/>
      <c r="H57" s="69">
        <f t="shared" si="2"/>
        <v>0</v>
      </c>
      <c r="I57" s="89"/>
    </row>
    <row r="58" spans="2:12" x14ac:dyDescent="0.25">
      <c r="B58" s="188">
        <v>857</v>
      </c>
      <c r="C58" s="2" t="s">
        <v>226</v>
      </c>
      <c r="D58" s="118">
        <v>0</v>
      </c>
      <c r="E58" s="155" t="s">
        <v>109</v>
      </c>
      <c r="F58" s="69">
        <v>0</v>
      </c>
      <c r="G58" s="88"/>
      <c r="H58" s="69">
        <f t="shared" si="2"/>
        <v>0</v>
      </c>
      <c r="I58" s="89"/>
    </row>
    <row r="59" spans="2:12" x14ac:dyDescent="0.25">
      <c r="B59" s="188">
        <v>858</v>
      </c>
      <c r="C59" s="2" t="s">
        <v>474</v>
      </c>
      <c r="D59" s="118">
        <v>0</v>
      </c>
      <c r="E59" s="155" t="s">
        <v>122</v>
      </c>
      <c r="F59" s="69">
        <v>0</v>
      </c>
      <c r="G59" s="88"/>
      <c r="H59" s="69">
        <f t="shared" si="2"/>
        <v>0</v>
      </c>
      <c r="I59" s="89"/>
    </row>
    <row r="60" spans="2:12" x14ac:dyDescent="0.25">
      <c r="B60" s="188">
        <v>859</v>
      </c>
      <c r="C60" s="2" t="s">
        <v>147</v>
      </c>
      <c r="D60" s="118">
        <v>1</v>
      </c>
      <c r="E60" s="155" t="s">
        <v>103</v>
      </c>
      <c r="F60" s="69">
        <v>270000</v>
      </c>
      <c r="G60" s="88"/>
      <c r="H60" s="69">
        <f t="shared" si="2"/>
        <v>270000</v>
      </c>
      <c r="I60" s="89"/>
    </row>
    <row r="61" spans="2:12" x14ac:dyDescent="0.25">
      <c r="B61" s="188">
        <v>860</v>
      </c>
      <c r="C61" s="2" t="s">
        <v>490</v>
      </c>
      <c r="D61" s="118">
        <v>0</v>
      </c>
      <c r="E61" s="155" t="s">
        <v>103</v>
      </c>
      <c r="F61" s="69">
        <v>75000</v>
      </c>
      <c r="G61" s="88"/>
      <c r="H61" s="69">
        <f t="shared" si="2"/>
        <v>0</v>
      </c>
      <c r="I61" s="89"/>
    </row>
    <row r="62" spans="2:12" x14ac:dyDescent="0.25">
      <c r="B62" s="188">
        <v>860</v>
      </c>
      <c r="C62" s="2" t="s">
        <v>208</v>
      </c>
      <c r="D62" s="118">
        <v>1</v>
      </c>
      <c r="E62" s="155" t="s">
        <v>122</v>
      </c>
      <c r="F62" s="69">
        <v>21000</v>
      </c>
      <c r="G62" s="88"/>
      <c r="H62" s="69">
        <f t="shared" si="2"/>
        <v>21000</v>
      </c>
      <c r="I62" s="89"/>
    </row>
    <row r="63" spans="2:12" x14ac:dyDescent="0.25">
      <c r="B63" s="188">
        <v>861</v>
      </c>
      <c r="C63" s="2" t="s">
        <v>117</v>
      </c>
      <c r="D63" s="118">
        <v>1</v>
      </c>
      <c r="E63" s="155" t="s">
        <v>103</v>
      </c>
      <c r="F63" s="69">
        <v>126000</v>
      </c>
      <c r="G63" s="88"/>
      <c r="H63" s="69">
        <f t="shared" si="2"/>
        <v>126000</v>
      </c>
      <c r="I63" s="89"/>
    </row>
    <row r="64" spans="2:12" x14ac:dyDescent="0.25">
      <c r="B64" s="188">
        <v>851</v>
      </c>
      <c r="C64" s="2" t="s">
        <v>475</v>
      </c>
      <c r="D64" s="118">
        <v>0</v>
      </c>
      <c r="E64" s="155" t="s">
        <v>109</v>
      </c>
      <c r="F64" s="69">
        <v>0</v>
      </c>
      <c r="G64" s="88"/>
      <c r="H64" s="69">
        <f t="shared" si="2"/>
        <v>0</v>
      </c>
      <c r="I64" s="89"/>
    </row>
    <row r="65" spans="2:12" x14ac:dyDescent="0.25">
      <c r="B65" s="188">
        <v>860</v>
      </c>
      <c r="C65" s="2" t="s">
        <v>547</v>
      </c>
      <c r="D65" s="118">
        <v>1</v>
      </c>
      <c r="E65" s="155" t="s">
        <v>426</v>
      </c>
      <c r="F65" s="69">
        <v>45000</v>
      </c>
      <c r="G65" s="88"/>
      <c r="H65" s="69">
        <f t="shared" si="2"/>
        <v>45000</v>
      </c>
      <c r="I65" s="89"/>
    </row>
    <row r="66" spans="2:12" x14ac:dyDescent="0.25">
      <c r="B66" s="188">
        <v>855</v>
      </c>
      <c r="C66" s="2" t="s">
        <v>476</v>
      </c>
      <c r="D66" s="118">
        <v>1</v>
      </c>
      <c r="E66" s="155" t="s">
        <v>426</v>
      </c>
      <c r="F66" s="69">
        <v>65000</v>
      </c>
      <c r="G66" s="88"/>
      <c r="H66" s="69">
        <f t="shared" si="2"/>
        <v>65000</v>
      </c>
      <c r="I66" s="89"/>
    </row>
    <row r="67" spans="2:12" x14ac:dyDescent="0.25">
      <c r="B67" s="188">
        <v>630</v>
      </c>
      <c r="C67" s="2" t="s">
        <v>210</v>
      </c>
      <c r="D67" s="118">
        <v>500</v>
      </c>
      <c r="E67" s="155" t="s">
        <v>109</v>
      </c>
      <c r="F67" s="69">
        <v>15</v>
      </c>
      <c r="G67" s="88"/>
      <c r="H67" s="69">
        <f t="shared" si="2"/>
        <v>7500</v>
      </c>
      <c r="I67" s="89"/>
    </row>
    <row r="68" spans="2:12" x14ac:dyDescent="0.25">
      <c r="B68" s="188">
        <v>630</v>
      </c>
      <c r="C68" s="2" t="s">
        <v>428</v>
      </c>
      <c r="D68" s="118">
        <v>0</v>
      </c>
      <c r="E68" s="155" t="s">
        <v>109</v>
      </c>
      <c r="F68" s="69">
        <v>0</v>
      </c>
      <c r="G68" s="88"/>
      <c r="H68" s="69">
        <f t="shared" si="2"/>
        <v>0</v>
      </c>
      <c r="I68" s="89"/>
    </row>
    <row r="69" spans="2:12" x14ac:dyDescent="0.25">
      <c r="B69" s="188">
        <v>630</v>
      </c>
      <c r="C69" s="2" t="s">
        <v>211</v>
      </c>
      <c r="D69" s="118">
        <v>0</v>
      </c>
      <c r="E69" s="155" t="s">
        <v>220</v>
      </c>
      <c r="F69" s="69">
        <v>0</v>
      </c>
      <c r="G69" s="88"/>
      <c r="H69" s="69">
        <f t="shared" si="2"/>
        <v>0</v>
      </c>
      <c r="I69" s="89"/>
    </row>
    <row r="70" spans="2:12" x14ac:dyDescent="0.25">
      <c r="B70" s="188">
        <v>630</v>
      </c>
      <c r="C70" s="2" t="s">
        <v>434</v>
      </c>
      <c r="D70" s="118">
        <v>0</v>
      </c>
      <c r="E70" s="155" t="s">
        <v>220</v>
      </c>
      <c r="F70" s="69">
        <v>0</v>
      </c>
      <c r="G70" s="88"/>
      <c r="H70" s="69">
        <f t="shared" si="2"/>
        <v>0</v>
      </c>
      <c r="I70" s="89"/>
    </row>
    <row r="71" spans="2:12" x14ac:dyDescent="0.25">
      <c r="B71" s="188">
        <v>630</v>
      </c>
      <c r="C71" s="2" t="s">
        <v>435</v>
      </c>
      <c r="D71" s="118">
        <v>0</v>
      </c>
      <c r="E71" s="155" t="s">
        <v>220</v>
      </c>
      <c r="F71" s="69">
        <v>0</v>
      </c>
      <c r="G71" s="88"/>
      <c r="H71" s="69">
        <f t="shared" si="2"/>
        <v>0</v>
      </c>
      <c r="I71" s="89"/>
    </row>
    <row r="72" spans="2:12" x14ac:dyDescent="0.25">
      <c r="B72" s="188">
        <v>630</v>
      </c>
      <c r="C72" s="2" t="s">
        <v>213</v>
      </c>
      <c r="D72" s="118">
        <v>275</v>
      </c>
      <c r="E72" s="155" t="s">
        <v>221</v>
      </c>
      <c r="F72" s="69">
        <v>67</v>
      </c>
      <c r="G72" s="88"/>
      <c r="H72" s="69">
        <f t="shared" si="2"/>
        <v>18425</v>
      </c>
      <c r="I72" s="89"/>
    </row>
    <row r="73" spans="2:12" x14ac:dyDescent="0.25">
      <c r="B73" s="188">
        <v>630</v>
      </c>
      <c r="C73" s="2" t="s">
        <v>214</v>
      </c>
      <c r="D73" s="118">
        <v>1200</v>
      </c>
      <c r="E73" s="155" t="s">
        <v>220</v>
      </c>
      <c r="F73" s="69">
        <v>10</v>
      </c>
      <c r="G73" s="88"/>
      <c r="H73" s="69">
        <f t="shared" si="2"/>
        <v>12000</v>
      </c>
      <c r="I73" s="89"/>
    </row>
    <row r="74" spans="2:12" x14ac:dyDescent="0.25">
      <c r="B74" s="188">
        <v>630</v>
      </c>
      <c r="C74" s="2" t="s">
        <v>106</v>
      </c>
      <c r="D74" s="118">
        <f>150*4</f>
        <v>600</v>
      </c>
      <c r="E74" s="155" t="s">
        <v>222</v>
      </c>
      <c r="F74" s="69">
        <v>7</v>
      </c>
      <c r="G74" s="88"/>
      <c r="H74" s="69">
        <f t="shared" si="2"/>
        <v>4200</v>
      </c>
      <c r="I74" s="89"/>
    </row>
    <row r="75" spans="2:12" x14ac:dyDescent="0.25">
      <c r="B75" s="188">
        <v>630</v>
      </c>
      <c r="C75" s="2" t="s">
        <v>217</v>
      </c>
      <c r="D75" s="118">
        <v>6000</v>
      </c>
      <c r="E75" s="155" t="s">
        <v>231</v>
      </c>
      <c r="F75" s="125">
        <v>0.13</v>
      </c>
      <c r="G75" s="88"/>
      <c r="H75" s="69">
        <f t="shared" si="2"/>
        <v>780</v>
      </c>
      <c r="I75" s="89"/>
    </row>
    <row r="76" spans="2:12" x14ac:dyDescent="0.25">
      <c r="B76" s="188">
        <v>630</v>
      </c>
      <c r="C76" s="2" t="s">
        <v>218</v>
      </c>
      <c r="D76" s="118">
        <v>0</v>
      </c>
      <c r="E76" s="155" t="s">
        <v>231</v>
      </c>
      <c r="F76" s="125">
        <v>0</v>
      </c>
      <c r="G76" s="88"/>
      <c r="H76" s="69">
        <f t="shared" si="2"/>
        <v>0</v>
      </c>
      <c r="I76" s="89"/>
    </row>
    <row r="77" spans="2:12" x14ac:dyDescent="0.25">
      <c r="B77" s="188">
        <v>630</v>
      </c>
      <c r="C77" s="2" t="s">
        <v>219</v>
      </c>
      <c r="D77" s="118">
        <v>0</v>
      </c>
      <c r="E77" s="155" t="s">
        <v>122</v>
      </c>
      <c r="F77" s="69">
        <v>0</v>
      </c>
      <c r="G77" s="88"/>
      <c r="H77" s="69">
        <f t="shared" si="2"/>
        <v>0</v>
      </c>
      <c r="I77" s="89"/>
    </row>
    <row r="78" spans="2:12" x14ac:dyDescent="0.25">
      <c r="B78" s="188">
        <v>630</v>
      </c>
      <c r="C78" s="2" t="s">
        <v>442</v>
      </c>
      <c r="D78" s="118">
        <v>0</v>
      </c>
      <c r="E78" s="155" t="s">
        <v>108</v>
      </c>
      <c r="F78" s="69">
        <v>0</v>
      </c>
      <c r="G78" s="88"/>
      <c r="H78" s="69">
        <f t="shared" si="2"/>
        <v>0</v>
      </c>
      <c r="I78" s="89"/>
    </row>
    <row r="79" spans="2:12" x14ac:dyDescent="0.25">
      <c r="B79" s="188">
        <v>630</v>
      </c>
      <c r="C79" s="2" t="s">
        <v>477</v>
      </c>
      <c r="D79" s="118">
        <v>0</v>
      </c>
      <c r="E79" s="155" t="s">
        <v>122</v>
      </c>
      <c r="F79" s="69">
        <v>0</v>
      </c>
      <c r="G79" s="88"/>
      <c r="H79" s="69">
        <f t="shared" si="2"/>
        <v>0</v>
      </c>
      <c r="I79" s="89"/>
      <c r="L79" t="s">
        <v>5</v>
      </c>
    </row>
    <row r="80" spans="2:12" x14ac:dyDescent="0.25">
      <c r="B80" s="188">
        <v>630</v>
      </c>
      <c r="C80" s="2" t="s">
        <v>478</v>
      </c>
      <c r="D80" s="118">
        <v>0</v>
      </c>
      <c r="E80" s="155" t="s">
        <v>122</v>
      </c>
      <c r="F80" s="69">
        <v>0</v>
      </c>
      <c r="G80" s="88"/>
      <c r="H80" s="69">
        <f t="shared" si="2"/>
        <v>0</v>
      </c>
      <c r="I80" s="89"/>
    </row>
    <row r="81" spans="2:9" x14ac:dyDescent="0.25">
      <c r="B81" s="188">
        <v>831</v>
      </c>
      <c r="C81" s="2" t="s">
        <v>223</v>
      </c>
      <c r="D81" s="118">
        <v>0</v>
      </c>
      <c r="E81" s="155" t="s">
        <v>122</v>
      </c>
      <c r="F81" s="69">
        <v>0</v>
      </c>
      <c r="G81" s="88"/>
      <c r="H81" s="69">
        <f t="shared" si="2"/>
        <v>0</v>
      </c>
      <c r="I81" s="89"/>
    </row>
    <row r="82" spans="2:9" x14ac:dyDescent="0.25">
      <c r="B82" s="188">
        <v>832</v>
      </c>
      <c r="C82" s="2" t="s">
        <v>224</v>
      </c>
      <c r="D82" s="118">
        <v>0</v>
      </c>
      <c r="E82" s="155" t="s">
        <v>122</v>
      </c>
      <c r="F82" s="69">
        <v>0</v>
      </c>
      <c r="G82" s="88"/>
      <c r="H82" s="69">
        <f t="shared" si="2"/>
        <v>0</v>
      </c>
      <c r="I82" s="89"/>
    </row>
    <row r="83" spans="2:9" x14ac:dyDescent="0.25">
      <c r="B83" s="188">
        <v>832</v>
      </c>
      <c r="C83" s="2" t="s">
        <v>227</v>
      </c>
      <c r="D83" s="118">
        <v>0</v>
      </c>
      <c r="E83" s="155" t="s">
        <v>109</v>
      </c>
      <c r="F83" s="69">
        <v>0</v>
      </c>
      <c r="G83" s="88"/>
      <c r="H83" s="69">
        <f t="shared" si="2"/>
        <v>0</v>
      </c>
      <c r="I83" s="89"/>
    </row>
    <row r="84" spans="2:9" x14ac:dyDescent="0.25">
      <c r="B84" s="188">
        <v>832</v>
      </c>
      <c r="C84" s="2" t="s">
        <v>228</v>
      </c>
      <c r="D84" s="118">
        <v>100</v>
      </c>
      <c r="E84" s="155" t="s">
        <v>109</v>
      </c>
      <c r="F84" s="69">
        <v>160</v>
      </c>
      <c r="G84" s="88"/>
      <c r="H84" s="69">
        <f t="shared" si="2"/>
        <v>16000</v>
      </c>
      <c r="I84" s="89"/>
    </row>
    <row r="85" spans="2:9" x14ac:dyDescent="0.25">
      <c r="B85" s="188">
        <v>832</v>
      </c>
      <c r="C85" s="2" t="s">
        <v>229</v>
      </c>
      <c r="D85" s="118">
        <v>0</v>
      </c>
      <c r="E85" s="155" t="s">
        <v>109</v>
      </c>
      <c r="F85" s="69">
        <v>0</v>
      </c>
      <c r="G85" s="88"/>
      <c r="H85" s="69">
        <f t="shared" si="2"/>
        <v>0</v>
      </c>
      <c r="I85" s="89"/>
    </row>
    <row r="86" spans="2:9" x14ac:dyDescent="0.25">
      <c r="B86" s="188">
        <v>832</v>
      </c>
      <c r="C86" s="2" t="s">
        <v>461</v>
      </c>
      <c r="D86" s="118">
        <v>0</v>
      </c>
      <c r="E86" s="155" t="s">
        <v>221</v>
      </c>
      <c r="F86" s="69">
        <v>0</v>
      </c>
      <c r="G86" s="88"/>
      <c r="H86" s="69">
        <f t="shared" si="2"/>
        <v>0</v>
      </c>
      <c r="I86" s="89"/>
    </row>
    <row r="87" spans="2:9" x14ac:dyDescent="0.25">
      <c r="B87" s="188">
        <v>832</v>
      </c>
      <c r="C87" s="2" t="s">
        <v>230</v>
      </c>
      <c r="D87" s="118">
        <v>0</v>
      </c>
      <c r="E87" s="155" t="s">
        <v>231</v>
      </c>
      <c r="F87" s="69">
        <v>0</v>
      </c>
      <c r="G87" s="88"/>
      <c r="H87" s="69">
        <f t="shared" si="2"/>
        <v>0</v>
      </c>
      <c r="I87" s="89"/>
    </row>
    <row r="88" spans="2:9" x14ac:dyDescent="0.25">
      <c r="B88" s="188">
        <v>832</v>
      </c>
      <c r="C88" s="2" t="s">
        <v>479</v>
      </c>
      <c r="D88" s="118">
        <v>400</v>
      </c>
      <c r="E88" s="155" t="s">
        <v>109</v>
      </c>
      <c r="F88" s="69">
        <v>25</v>
      </c>
      <c r="G88" s="88"/>
      <c r="H88" s="69">
        <f t="shared" si="2"/>
        <v>10000</v>
      </c>
      <c r="I88" s="89"/>
    </row>
    <row r="89" spans="2:9" x14ac:dyDescent="0.25">
      <c r="B89" s="188">
        <v>832</v>
      </c>
      <c r="C89" s="2" t="s">
        <v>480</v>
      </c>
      <c r="D89" s="118">
        <v>0</v>
      </c>
      <c r="E89" s="155" t="s">
        <v>109</v>
      </c>
      <c r="F89" s="69">
        <v>0</v>
      </c>
      <c r="G89" s="88"/>
      <c r="H89" s="69">
        <f t="shared" si="2"/>
        <v>0</v>
      </c>
      <c r="I89" s="89"/>
    </row>
    <row r="90" spans="2:9" x14ac:dyDescent="0.25">
      <c r="B90" s="188">
        <v>832</v>
      </c>
      <c r="C90" s="2" t="s">
        <v>481</v>
      </c>
      <c r="D90" s="118">
        <v>0</v>
      </c>
      <c r="E90" s="155" t="s">
        <v>109</v>
      </c>
      <c r="F90" s="69">
        <v>0</v>
      </c>
      <c r="G90" s="88"/>
      <c r="H90" s="69">
        <f t="shared" si="2"/>
        <v>0</v>
      </c>
      <c r="I90" s="89"/>
    </row>
    <row r="91" spans="2:9" x14ac:dyDescent="0.25">
      <c r="B91" s="188">
        <v>832</v>
      </c>
      <c r="C91" s="2" t="s">
        <v>482</v>
      </c>
      <c r="D91" s="118">
        <v>0</v>
      </c>
      <c r="E91" s="155" t="s">
        <v>231</v>
      </c>
      <c r="F91" s="69">
        <v>0</v>
      </c>
      <c r="G91" s="88"/>
      <c r="H91" s="69">
        <f t="shared" si="2"/>
        <v>0</v>
      </c>
      <c r="I91" s="89"/>
    </row>
    <row r="92" spans="2:9" x14ac:dyDescent="0.25">
      <c r="B92" s="188"/>
      <c r="C92" s="2" t="s">
        <v>148</v>
      </c>
      <c r="D92" s="118">
        <v>1</v>
      </c>
      <c r="E92" s="155" t="s">
        <v>103</v>
      </c>
      <c r="F92" s="69">
        <v>100000</v>
      </c>
      <c r="G92" s="88"/>
      <c r="H92" s="69">
        <f t="shared" si="2"/>
        <v>100000</v>
      </c>
      <c r="I92" s="89"/>
    </row>
    <row r="93" spans="2:9" x14ac:dyDescent="0.25">
      <c r="B93" s="188"/>
      <c r="C93" s="2" t="s">
        <v>315</v>
      </c>
      <c r="D93" s="118">
        <v>1</v>
      </c>
      <c r="E93" s="155" t="s">
        <v>103</v>
      </c>
      <c r="F93" s="69">
        <v>21000</v>
      </c>
      <c r="G93" s="88"/>
      <c r="H93" s="69">
        <f t="shared" si="2"/>
        <v>21000</v>
      </c>
      <c r="I93" s="89"/>
    </row>
    <row r="94" spans="2:9" x14ac:dyDescent="0.25">
      <c r="B94" s="188"/>
      <c r="C94" s="2" t="s">
        <v>119</v>
      </c>
      <c r="D94" s="118">
        <v>1</v>
      </c>
      <c r="E94" s="155" t="s">
        <v>122</v>
      </c>
      <c r="F94" s="69">
        <v>10705</v>
      </c>
      <c r="G94" s="88"/>
      <c r="H94" s="69">
        <f t="shared" si="2"/>
        <v>10705</v>
      </c>
      <c r="I94" s="89"/>
    </row>
    <row r="95" spans="2:9" x14ac:dyDescent="0.25">
      <c r="B95" s="188"/>
      <c r="C95" s="2" t="s">
        <v>121</v>
      </c>
      <c r="D95" s="118">
        <v>0</v>
      </c>
      <c r="E95" s="155" t="s">
        <v>122</v>
      </c>
      <c r="F95" s="69">
        <v>0</v>
      </c>
      <c r="G95" s="88"/>
      <c r="H95" s="69">
        <f t="shared" si="2"/>
        <v>0</v>
      </c>
      <c r="I95" s="89"/>
    </row>
    <row r="96" spans="2:9" x14ac:dyDescent="0.25">
      <c r="B96" s="188"/>
      <c r="C96" s="2" t="s">
        <v>483</v>
      </c>
      <c r="D96" s="118">
        <v>1</v>
      </c>
      <c r="E96" s="155" t="s">
        <v>122</v>
      </c>
      <c r="F96" s="69">
        <v>74100</v>
      </c>
      <c r="G96" s="88"/>
      <c r="H96" s="69">
        <f t="shared" si="2"/>
        <v>74100</v>
      </c>
      <c r="I96" s="89"/>
    </row>
    <row r="97" spans="2:9" x14ac:dyDescent="0.25">
      <c r="B97" s="188"/>
      <c r="C97" s="2" t="s">
        <v>529</v>
      </c>
      <c r="D97" s="118">
        <v>1</v>
      </c>
      <c r="E97" s="155" t="s">
        <v>103</v>
      </c>
      <c r="F97" s="69">
        <v>500000</v>
      </c>
      <c r="G97" s="88"/>
      <c r="H97" s="69">
        <f t="shared" si="2"/>
        <v>500000</v>
      </c>
      <c r="I97" s="89"/>
    </row>
    <row r="98" spans="2:9" ht="15.75" x14ac:dyDescent="0.25">
      <c r="B98" s="78" t="s">
        <v>411</v>
      </c>
      <c r="C98" s="65"/>
      <c r="D98" s="116"/>
      <c r="E98" s="67"/>
      <c r="F98" s="68"/>
      <c r="G98" s="68"/>
      <c r="H98" s="94"/>
      <c r="I98" s="77">
        <f>CEILING(SUM(H47:H97),100)</f>
        <v>5564900</v>
      </c>
    </row>
    <row r="99" spans="2:9" ht="8.25" customHeight="1" x14ac:dyDescent="0.25">
      <c r="B99" s="194"/>
      <c r="C99" s="91"/>
      <c r="D99" s="117"/>
      <c r="E99" s="90"/>
      <c r="F99" s="92"/>
      <c r="G99" s="92"/>
      <c r="H99" s="92"/>
      <c r="I99" s="93"/>
    </row>
    <row r="100" spans="2:9" ht="15.75" x14ac:dyDescent="0.25">
      <c r="B100" s="78" t="s">
        <v>123</v>
      </c>
      <c r="C100" s="65"/>
      <c r="D100" s="116"/>
      <c r="E100" s="67"/>
      <c r="F100" s="68"/>
      <c r="G100" s="68"/>
      <c r="H100" s="68"/>
      <c r="I100" s="77"/>
    </row>
    <row r="101" spans="2:9" x14ac:dyDescent="0.25">
      <c r="B101" s="188" t="s">
        <v>405</v>
      </c>
      <c r="C101" s="2" t="s">
        <v>124</v>
      </c>
      <c r="D101" s="113">
        <f>($I$98*0.11)/$F$101</f>
        <v>728.73690476190473</v>
      </c>
      <c r="E101" s="76" t="s">
        <v>125</v>
      </c>
      <c r="F101" s="69">
        <v>840</v>
      </c>
      <c r="G101" s="88"/>
      <c r="H101" s="69">
        <f>F101*D101</f>
        <v>612139</v>
      </c>
      <c r="I101" s="89"/>
    </row>
    <row r="102" spans="2:9" x14ac:dyDescent="0.25">
      <c r="B102" s="188" t="s">
        <v>406</v>
      </c>
      <c r="C102" s="2" t="s">
        <v>126</v>
      </c>
      <c r="D102" s="113">
        <f>($I$98*0.05)/$F$102</f>
        <v>139.1225</v>
      </c>
      <c r="E102" s="76" t="s">
        <v>120</v>
      </c>
      <c r="F102" s="69">
        <v>2000</v>
      </c>
      <c r="G102" s="88"/>
      <c r="H102" s="69">
        <f>F102*D102</f>
        <v>278245</v>
      </c>
      <c r="I102" s="89"/>
    </row>
    <row r="103" spans="2:9" ht="15.75" x14ac:dyDescent="0.25">
      <c r="B103" s="78" t="s">
        <v>127</v>
      </c>
      <c r="C103" s="65"/>
      <c r="D103" s="116"/>
      <c r="E103" s="67"/>
      <c r="F103" s="68"/>
      <c r="G103" s="68"/>
      <c r="H103" s="94"/>
      <c r="I103" s="77">
        <f>CEILING(SUM(H101:H102),100)</f>
        <v>890400</v>
      </c>
    </row>
    <row r="104" spans="2:9" ht="8.25" customHeight="1" x14ac:dyDescent="0.25">
      <c r="B104" s="194"/>
      <c r="C104" s="91"/>
      <c r="D104" s="117"/>
      <c r="E104" s="90"/>
      <c r="F104" s="92"/>
      <c r="G104" s="92"/>
      <c r="H104" s="92"/>
      <c r="I104" s="93"/>
    </row>
    <row r="105" spans="2:9" ht="15.75" x14ac:dyDescent="0.25">
      <c r="B105" s="78" t="s">
        <v>128</v>
      </c>
      <c r="C105" s="65"/>
      <c r="D105" s="116"/>
      <c r="E105" s="67"/>
      <c r="F105" s="68"/>
      <c r="G105" s="68"/>
      <c r="H105" s="68"/>
      <c r="I105" s="77"/>
    </row>
    <row r="106" spans="2:9" x14ac:dyDescent="0.25">
      <c r="B106" s="191"/>
      <c r="C106" s="98" t="s">
        <v>129</v>
      </c>
      <c r="D106" s="121"/>
      <c r="E106" s="192"/>
      <c r="F106" s="99"/>
      <c r="G106" s="100"/>
      <c r="H106" s="99"/>
      <c r="I106" s="101"/>
    </row>
    <row r="107" spans="2:9" x14ac:dyDescent="0.25">
      <c r="B107" s="188" t="s">
        <v>407</v>
      </c>
      <c r="C107" s="2" t="s">
        <v>507</v>
      </c>
      <c r="D107" s="118">
        <v>40</v>
      </c>
      <c r="E107" s="155" t="s">
        <v>109</v>
      </c>
      <c r="F107" s="69">
        <v>112</v>
      </c>
      <c r="G107" s="88"/>
      <c r="H107" s="69">
        <f t="shared" ref="H107:H112" si="3">F107*D107</f>
        <v>4480</v>
      </c>
      <c r="I107" s="89"/>
    </row>
    <row r="108" spans="2:9" x14ac:dyDescent="0.25">
      <c r="B108" s="188" t="s">
        <v>407</v>
      </c>
      <c r="C108" s="2" t="s">
        <v>517</v>
      </c>
      <c r="D108" s="118">
        <v>440</v>
      </c>
      <c r="E108" s="155" t="s">
        <v>109</v>
      </c>
      <c r="F108" s="69">
        <v>120</v>
      </c>
      <c r="G108" s="88"/>
      <c r="H108" s="69">
        <f t="shared" si="3"/>
        <v>52800</v>
      </c>
      <c r="I108" s="89"/>
    </row>
    <row r="109" spans="2:9" x14ac:dyDescent="0.25">
      <c r="B109" s="188" t="s">
        <v>407</v>
      </c>
      <c r="C109" s="2" t="s">
        <v>519</v>
      </c>
      <c r="D109" s="118">
        <v>30</v>
      </c>
      <c r="E109" s="155" t="s">
        <v>109</v>
      </c>
      <c r="F109" s="69">
        <v>93</v>
      </c>
      <c r="G109" s="88"/>
      <c r="H109" s="69">
        <f t="shared" si="3"/>
        <v>2790</v>
      </c>
      <c r="I109" s="89"/>
    </row>
    <row r="110" spans="2:9" x14ac:dyDescent="0.25">
      <c r="B110" s="188" t="s">
        <v>407</v>
      </c>
      <c r="C110" s="2" t="s">
        <v>520</v>
      </c>
      <c r="D110" s="118">
        <v>20</v>
      </c>
      <c r="E110" s="155" t="s">
        <v>109</v>
      </c>
      <c r="F110" s="69">
        <v>110</v>
      </c>
      <c r="G110" s="88"/>
      <c r="H110" s="69">
        <f t="shared" si="3"/>
        <v>2200</v>
      </c>
      <c r="I110" s="89"/>
    </row>
    <row r="111" spans="2:9" x14ac:dyDescent="0.25">
      <c r="B111" s="188" t="s">
        <v>407</v>
      </c>
      <c r="C111" s="2" t="s">
        <v>515</v>
      </c>
      <c r="D111" s="118">
        <v>20</v>
      </c>
      <c r="E111" s="155" t="s">
        <v>109</v>
      </c>
      <c r="F111" s="69">
        <v>61</v>
      </c>
      <c r="G111" s="88"/>
      <c r="H111" s="69">
        <f t="shared" si="3"/>
        <v>1220</v>
      </c>
      <c r="I111" s="89"/>
    </row>
    <row r="112" spans="2:9" x14ac:dyDescent="0.25">
      <c r="B112" s="188" t="s">
        <v>407</v>
      </c>
      <c r="C112" s="2" t="s">
        <v>514</v>
      </c>
      <c r="D112" s="118">
        <v>20</v>
      </c>
      <c r="E112" s="155" t="s">
        <v>109</v>
      </c>
      <c r="F112" s="69">
        <v>52</v>
      </c>
      <c r="G112" s="88"/>
      <c r="H112" s="69">
        <f t="shared" si="3"/>
        <v>1040</v>
      </c>
      <c r="I112" s="89"/>
    </row>
    <row r="113" spans="2:9" x14ac:dyDescent="0.25">
      <c r="B113" s="191"/>
      <c r="C113" s="98" t="s">
        <v>150</v>
      </c>
      <c r="D113" s="121"/>
      <c r="E113" s="192"/>
      <c r="F113" s="99"/>
      <c r="G113" s="100"/>
      <c r="H113" s="99"/>
      <c r="I113" s="101"/>
    </row>
    <row r="114" spans="2:9" x14ac:dyDescent="0.25">
      <c r="B114" s="188" t="s">
        <v>408</v>
      </c>
      <c r="C114" s="2" t="s">
        <v>542</v>
      </c>
      <c r="D114" s="118">
        <v>9</v>
      </c>
      <c r="E114" s="155" t="s">
        <v>122</v>
      </c>
      <c r="F114" s="69">
        <v>2722</v>
      </c>
      <c r="G114" s="88"/>
      <c r="H114" s="69">
        <f t="shared" ref="H114:H127" si="4">F114*D114</f>
        <v>24498</v>
      </c>
      <c r="I114" s="89"/>
    </row>
    <row r="115" spans="2:9" x14ac:dyDescent="0.25">
      <c r="B115" s="188" t="s">
        <v>408</v>
      </c>
      <c r="C115" s="2" t="s">
        <v>521</v>
      </c>
      <c r="D115" s="118">
        <v>2</v>
      </c>
      <c r="E115" s="155" t="s">
        <v>122</v>
      </c>
      <c r="F115" s="69">
        <v>27669</v>
      </c>
      <c r="G115" s="88"/>
      <c r="H115" s="69">
        <f t="shared" si="4"/>
        <v>55338</v>
      </c>
      <c r="I115" s="89"/>
    </row>
    <row r="116" spans="2:9" x14ac:dyDescent="0.25">
      <c r="B116" s="188" t="s">
        <v>408</v>
      </c>
      <c r="C116" s="2" t="s">
        <v>518</v>
      </c>
      <c r="D116" s="118">
        <v>2</v>
      </c>
      <c r="E116" s="155" t="s">
        <v>122</v>
      </c>
      <c r="F116" s="69">
        <v>63041</v>
      </c>
      <c r="G116" s="88"/>
      <c r="H116" s="69">
        <f>F116*D116</f>
        <v>126082</v>
      </c>
      <c r="I116" s="89"/>
    </row>
    <row r="117" spans="2:9" x14ac:dyDescent="0.25">
      <c r="B117" s="188" t="s">
        <v>408</v>
      </c>
      <c r="C117" s="2" t="s">
        <v>523</v>
      </c>
      <c r="D117" s="118">
        <v>1</v>
      </c>
      <c r="E117" s="155" t="s">
        <v>122</v>
      </c>
      <c r="F117" s="69">
        <v>56146</v>
      </c>
      <c r="G117" s="88"/>
      <c r="H117" s="69">
        <f>F117*D117</f>
        <v>56146</v>
      </c>
      <c r="I117" s="89"/>
    </row>
    <row r="118" spans="2:9" x14ac:dyDescent="0.25">
      <c r="B118" s="188" t="s">
        <v>408</v>
      </c>
      <c r="C118" s="2" t="s">
        <v>543</v>
      </c>
      <c r="D118" s="118">
        <v>12</v>
      </c>
      <c r="E118" s="155" t="s">
        <v>122</v>
      </c>
      <c r="F118" s="69">
        <v>944</v>
      </c>
      <c r="G118" s="88"/>
      <c r="H118" s="69">
        <f t="shared" si="4"/>
        <v>11328</v>
      </c>
      <c r="I118" s="89"/>
    </row>
    <row r="119" spans="2:9" x14ac:dyDescent="0.25">
      <c r="B119" s="188" t="s">
        <v>408</v>
      </c>
      <c r="C119" s="2" t="s">
        <v>541</v>
      </c>
      <c r="D119" s="118">
        <v>2</v>
      </c>
      <c r="E119" s="155" t="s">
        <v>122</v>
      </c>
      <c r="F119" s="69">
        <v>8000</v>
      </c>
      <c r="G119" s="88"/>
      <c r="H119" s="69">
        <f t="shared" si="4"/>
        <v>16000</v>
      </c>
      <c r="I119" s="89"/>
    </row>
    <row r="120" spans="2:9" x14ac:dyDescent="0.25">
      <c r="B120" s="188" t="s">
        <v>408</v>
      </c>
      <c r="C120" s="2" t="s">
        <v>541</v>
      </c>
      <c r="D120" s="118">
        <v>2</v>
      </c>
      <c r="E120" s="155" t="s">
        <v>122</v>
      </c>
      <c r="F120" s="69">
        <v>5052</v>
      </c>
      <c r="G120" s="88"/>
      <c r="H120" s="69">
        <f t="shared" ref="H120" si="5">F120*D120</f>
        <v>10104</v>
      </c>
      <c r="I120" s="89"/>
    </row>
    <row r="121" spans="2:9" x14ac:dyDescent="0.25">
      <c r="B121" s="188" t="s">
        <v>408</v>
      </c>
      <c r="C121" s="2" t="s">
        <v>544</v>
      </c>
      <c r="D121" s="118">
        <v>2</v>
      </c>
      <c r="E121" s="155" t="s">
        <v>122</v>
      </c>
      <c r="F121" s="69">
        <v>489</v>
      </c>
      <c r="G121" s="88"/>
      <c r="H121" s="69">
        <f t="shared" si="4"/>
        <v>978</v>
      </c>
      <c r="I121" s="89"/>
    </row>
    <row r="122" spans="2:9" x14ac:dyDescent="0.25">
      <c r="B122" s="188" t="s">
        <v>408</v>
      </c>
      <c r="C122" s="2" t="s">
        <v>306</v>
      </c>
      <c r="D122" s="118">
        <v>0</v>
      </c>
      <c r="E122" s="155" t="s">
        <v>122</v>
      </c>
      <c r="F122" s="69">
        <v>0</v>
      </c>
      <c r="G122" s="88"/>
      <c r="H122" s="69">
        <f t="shared" si="4"/>
        <v>0</v>
      </c>
      <c r="I122" s="89"/>
    </row>
    <row r="123" spans="2:9" x14ac:dyDescent="0.25">
      <c r="B123" s="188" t="s">
        <v>408</v>
      </c>
      <c r="C123" s="2" t="s">
        <v>522</v>
      </c>
      <c r="D123" s="118">
        <v>8</v>
      </c>
      <c r="E123" s="155" t="s">
        <v>122</v>
      </c>
      <c r="F123" s="69">
        <v>8902</v>
      </c>
      <c r="G123" s="88"/>
      <c r="H123" s="69">
        <f t="shared" si="4"/>
        <v>71216</v>
      </c>
      <c r="I123" s="89"/>
    </row>
    <row r="124" spans="2:9" x14ac:dyDescent="0.25">
      <c r="B124" s="188" t="s">
        <v>408</v>
      </c>
      <c r="C124" s="2" t="s">
        <v>540</v>
      </c>
      <c r="D124" s="118">
        <v>1</v>
      </c>
      <c r="E124" s="155" t="s">
        <v>122</v>
      </c>
      <c r="F124" s="69">
        <v>20164</v>
      </c>
      <c r="G124" s="88"/>
      <c r="H124" s="69">
        <f>F124*D124</f>
        <v>20164</v>
      </c>
      <c r="I124" s="89"/>
    </row>
    <row r="125" spans="2:9" x14ac:dyDescent="0.25">
      <c r="B125" s="188" t="s">
        <v>408</v>
      </c>
      <c r="C125" s="2" t="s">
        <v>513</v>
      </c>
      <c r="D125" s="118">
        <v>1</v>
      </c>
      <c r="E125" s="155" t="s">
        <v>122</v>
      </c>
      <c r="F125" s="69">
        <v>7520</v>
      </c>
      <c r="G125" s="88"/>
      <c r="H125" s="69">
        <f>F125*D125</f>
        <v>7520</v>
      </c>
      <c r="I125" s="89"/>
    </row>
    <row r="126" spans="2:9" x14ac:dyDescent="0.25">
      <c r="B126" s="188" t="s">
        <v>408</v>
      </c>
      <c r="C126" s="2" t="s">
        <v>151</v>
      </c>
      <c r="D126" s="118">
        <v>1</v>
      </c>
      <c r="E126" s="155" t="s">
        <v>122</v>
      </c>
      <c r="F126" s="69">
        <v>117139</v>
      </c>
      <c r="G126" s="88"/>
      <c r="H126" s="69">
        <f t="shared" si="4"/>
        <v>117139</v>
      </c>
      <c r="I126" s="89"/>
    </row>
    <row r="127" spans="2:9" x14ac:dyDescent="0.25">
      <c r="B127" s="188" t="s">
        <v>408</v>
      </c>
      <c r="C127" s="2" t="s">
        <v>152</v>
      </c>
      <c r="D127" s="118">
        <v>0</v>
      </c>
      <c r="E127" s="155" t="s">
        <v>122</v>
      </c>
      <c r="F127" s="69">
        <v>0</v>
      </c>
      <c r="G127" s="88"/>
      <c r="H127" s="69">
        <f t="shared" si="4"/>
        <v>0</v>
      </c>
      <c r="I127" s="89"/>
    </row>
    <row r="128" spans="2:9" x14ac:dyDescent="0.25">
      <c r="B128" s="191"/>
      <c r="C128" s="98" t="s">
        <v>141</v>
      </c>
      <c r="D128" s="121" t="s">
        <v>5</v>
      </c>
      <c r="E128" s="192" t="s">
        <v>5</v>
      </c>
      <c r="F128" s="99" t="s">
        <v>5</v>
      </c>
      <c r="G128" s="100"/>
      <c r="H128" s="99" t="s">
        <v>5</v>
      </c>
      <c r="I128" s="101"/>
    </row>
    <row r="129" spans="2:16" x14ac:dyDescent="0.25">
      <c r="B129" s="188"/>
      <c r="C129" s="2" t="s">
        <v>131</v>
      </c>
      <c r="D129" s="118">
        <v>1</v>
      </c>
      <c r="E129" s="155" t="s">
        <v>103</v>
      </c>
      <c r="F129" s="69">
        <v>10000</v>
      </c>
      <c r="G129" s="88"/>
      <c r="H129" s="69">
        <f>F129*D129</f>
        <v>10000</v>
      </c>
      <c r="I129" s="89"/>
    </row>
    <row r="130" spans="2:16" x14ac:dyDescent="0.25">
      <c r="B130" s="188"/>
      <c r="C130" s="2" t="s">
        <v>153</v>
      </c>
      <c r="D130" s="118">
        <v>1</v>
      </c>
      <c r="E130" s="155" t="s">
        <v>122</v>
      </c>
      <c r="F130" s="69">
        <v>23000</v>
      </c>
      <c r="G130" s="88"/>
      <c r="H130" s="69">
        <f>F130*D130</f>
        <v>23000</v>
      </c>
      <c r="I130" s="89"/>
    </row>
    <row r="131" spans="2:16" x14ac:dyDescent="0.25">
      <c r="B131" s="188"/>
      <c r="C131" s="2" t="s">
        <v>307</v>
      </c>
      <c r="D131" s="118">
        <v>1</v>
      </c>
      <c r="E131" s="155" t="s">
        <v>122</v>
      </c>
      <c r="F131" s="69">
        <v>100000</v>
      </c>
      <c r="G131" s="88"/>
      <c r="H131" s="69">
        <f>F131*D131</f>
        <v>100000</v>
      </c>
      <c r="I131" s="89"/>
    </row>
    <row r="132" spans="2:16" x14ac:dyDescent="0.25">
      <c r="B132" s="188" t="s">
        <v>407</v>
      </c>
      <c r="C132" s="2" t="s">
        <v>132</v>
      </c>
      <c r="D132" s="118">
        <v>1</v>
      </c>
      <c r="E132" s="76" t="s">
        <v>89</v>
      </c>
      <c r="F132" s="96">
        <f>SUM(H106:H131)*0.1</f>
        <v>71404.3</v>
      </c>
      <c r="G132" s="88"/>
      <c r="H132" s="69">
        <f>F132*D132</f>
        <v>71404.3</v>
      </c>
      <c r="I132" s="89"/>
    </row>
    <row r="133" spans="2:16" x14ac:dyDescent="0.25">
      <c r="B133" s="188" t="s">
        <v>407</v>
      </c>
      <c r="C133" s="2" t="s">
        <v>285</v>
      </c>
      <c r="D133" s="118">
        <v>1</v>
      </c>
      <c r="E133" s="76" t="s">
        <v>89</v>
      </c>
      <c r="F133" s="96">
        <f>SUM(H107:H132)*0.09</f>
        <v>70690.256999999998</v>
      </c>
      <c r="G133" s="88"/>
      <c r="H133" s="69">
        <f>F133*D133</f>
        <v>70690.256999999998</v>
      </c>
      <c r="I133" s="89"/>
    </row>
    <row r="134" spans="2:16" ht="16.5" thickBot="1" x14ac:dyDescent="0.3">
      <c r="B134" s="78" t="s">
        <v>133</v>
      </c>
      <c r="C134" s="66"/>
      <c r="D134" s="116"/>
      <c r="E134" s="67"/>
      <c r="F134" s="71"/>
      <c r="G134" s="71"/>
      <c r="H134" s="95"/>
      <c r="I134" s="85">
        <f>CEILING(SUM(H106:H133),100)</f>
        <v>856200</v>
      </c>
    </row>
    <row r="135" spans="2:16" ht="16.5" thickBot="1" x14ac:dyDescent="0.3">
      <c r="B135" s="298" t="s">
        <v>134</v>
      </c>
      <c r="C135" s="299"/>
      <c r="D135" s="299"/>
      <c r="E135" s="299"/>
      <c r="F135" s="299"/>
      <c r="G135" s="299"/>
      <c r="H135" s="299"/>
      <c r="I135" s="87">
        <f>SUM(I7,I27,I44,I98,I103,I134)</f>
        <v>8231900</v>
      </c>
    </row>
    <row r="136" spans="2:16" ht="15.75" thickBot="1" x14ac:dyDescent="0.3">
      <c r="B136" s="190" t="s">
        <v>136</v>
      </c>
      <c r="C136" s="83"/>
      <c r="D136" s="149">
        <f>'Master Tab'!C28</f>
        <v>0</v>
      </c>
      <c r="E136" s="150" t="s">
        <v>142</v>
      </c>
      <c r="F136" s="151">
        <f>'Master Tab'!C29</f>
        <v>0</v>
      </c>
      <c r="G136" s="81"/>
      <c r="H136" s="86"/>
      <c r="I136" s="79">
        <f>CEILING(-(FV(F136,D136,0,SUM(I134,I44,I27,I7),1))-(SUM(I134,I44,I27,I7)),100)+CEILING(-(FV(F136,D136+1,0,SUM(I103,I98),1))-(SUM(I103,I98)),100)</f>
        <v>0</v>
      </c>
      <c r="K136" s="270"/>
      <c r="L136" s="270"/>
      <c r="M136" s="270"/>
      <c r="N136" s="270"/>
      <c r="O136" s="270"/>
      <c r="P136" s="270"/>
    </row>
    <row r="137" spans="2:16" ht="15.75" thickBot="1" x14ac:dyDescent="0.3">
      <c r="B137" s="294" t="s">
        <v>135</v>
      </c>
      <c r="C137" s="295"/>
      <c r="D137" s="153"/>
      <c r="E137" s="154"/>
      <c r="F137" s="152">
        <f>'Master Tab'!C30</f>
        <v>0.15</v>
      </c>
      <c r="G137" s="72"/>
      <c r="H137" s="86"/>
      <c r="I137" s="82">
        <f>CEILING((I135)*F137,100)</f>
        <v>1234800</v>
      </c>
    </row>
    <row r="138" spans="2:16" ht="19.5" thickBot="1" x14ac:dyDescent="0.35">
      <c r="B138" s="291" t="s">
        <v>137</v>
      </c>
      <c r="C138" s="292"/>
      <c r="D138" s="292"/>
      <c r="E138" s="292"/>
      <c r="F138" s="292"/>
      <c r="G138" s="292"/>
      <c r="H138" s="293"/>
      <c r="I138" s="80">
        <f>SUM(I135:I137)</f>
        <v>9466700</v>
      </c>
    </row>
    <row r="139" spans="2:16" x14ac:dyDescent="0.25">
      <c r="B139" s="1" t="s">
        <v>5</v>
      </c>
      <c r="C139" t="s">
        <v>5</v>
      </c>
    </row>
    <row r="140" spans="2:16" x14ac:dyDescent="0.25">
      <c r="B140" s="1" t="s">
        <v>5</v>
      </c>
      <c r="C140" t="s">
        <v>5</v>
      </c>
    </row>
  </sheetData>
  <protectedRanges>
    <protectedRange algorithmName="SHA-512" hashValue="98mvCEbsVTr0NrpZIc/15xCyc5XMAKIcQ32f6j26GlFJjqit7togokYXh1ezGpBBO38H70R7ZV7Kl2qfUZxfXQ==" saltValue="m/mfSvZWqLmC52Rm2aeRyw==" spinCount="100000" sqref="Q6 L30:Q39 B134:Q142 B133 I133:Q133 B44:Q46 L41:Q43 A41:A66 A1:Q4 B27:J29 K24:Q29 A24:A39 E24:J25 B98:Q110 A68:A87 M89:Q97 A89:A110 M47:Q66 M68:Q87 A7:Q9 A5:E6 G5:J6 B26:E26 G26:J26 B132:Q132 B130:C131 G130:Q131 B126:Q129 A126:A142 A111:Q125" name="Range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UG+0yrph1YufCusZCjzc7qoekVnDNADQ8UOdE7Z0KZG3aWJXRcf5QAckVVzZelsRqwDDHdHmrggyyI82AAZZEQ==" saltValue="mSZWX7vCKB1mMkQa2otVIw==" spinCount="100000" sqref="P6" name="Range1_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K6:O6" name="Range1_2"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G30:K39 G41:K43" name="Range1_4"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C133:H133" name="Range1_5"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B30:C39 B42:C43 B41" name="Range1_3"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A67 A88 M67:Q67 M88:Q88" name="Range1_8"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TgN2v4D1fCFeftgjUK9pEnAKUNQeBvGTEn7HgMYP3TgK+Lnb8CEJvr9mDUM9krxFyvgX1rqREi6Bj66egkIy9w==" saltValue="VQoFCzDNmxNbXYp+WTQXog==" spinCount="100000" sqref="A40:C40 G40:XFD40" name="Range1_18" securityDescriptor="O:WDG:WDD:(A;;CC;;;S-1-5-21-577582919-1435025626-1914702595-3940917)(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C41" name="Range1_10"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A10:A23 D10:XFD10 E11:XFD23 D11:D25" name="Range1_1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B10:C25" name="Range1_13"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98mvCEbsVTr0NrpZIc/15xCyc5XMAKIcQ32f6j26GlFJjqit7togokYXh1ezGpBBO38H70R7ZV7Kl2qfUZxfXQ==" saltValue="m/mfSvZWqLmC52Rm2aeRyw==" spinCount="100000" sqref="L64:L65 L80:L82 B47:L47 L68:L75 K74:K75 L88:L97 B92:B97 L48:L49 K67:K71 B68:C82 K80:K83 B84:C91 K89:K91 B48:C66 G64:J65 G68:J75 G80:J82 G88:J91 G66:L66 G48:J49 G76:L79 G84:L87 G50:L63" name="Range1_12"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K72 K64" name="Range1_6_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K73 K65" name="Range1_7_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K88 B67:C67 L67 B83:C83 L83 G67:J67 G83:J83" name="Range1_8_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98mvCEbsVTr0NrpZIc/15xCyc5XMAKIcQ32f6j26GlFJjqit7togokYXh1ezGpBBO38H70R7ZV7Kl2qfUZxfXQ==" saltValue="m/mfSvZWqLmC52Rm2aeRyw==" spinCount="100000" sqref="C92:C97 G92:K97" name="Range1_14"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K48:K49" name="Range1_4_2"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TgN2v4D1fCFeftgjUK9pEnAKUNQeBvGTEn7HgMYP3TgK+Lnb8CEJvr9mDUM9krxFyvgX1rqREi6Bj66egkIy9w==" saltValue="VQoFCzDNmxNbXYp+WTQXog==" spinCount="100000" sqref="F5:F6" name="Range1_2_1" securityDescriptor="O:WDG:WDD:(A;;CC;;;S-1-5-21-577582919-1435025626-1914702595-3940917)(A;;CC;;;S-1-5-21-577582919-1435025626-1914702595-3758999)(A;;CC;;;S-1-5-21-577582919-1435025626-1914702595-3758875)(A;;CC;;;S-1-5-21-577582919-1435025626-1914702595-4023729)(A;;CC;;;S-1-5-21-577582919-1435025626-1914702595-3758127)"/>
    <protectedRange algorithmName="SHA-512" hashValue="98mvCEbsVTr0NrpZIc/15xCyc5XMAKIcQ32f6j26GlFJjqit7togokYXh1ezGpBBO38H70R7ZV7Kl2qfUZxfXQ==" saltValue="m/mfSvZWqLmC52Rm2aeRyw==" spinCount="100000" sqref="F26" name="Range1_6"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D38:F39 D30:E33 D41:F41 D35:E35 E34 D37:E37 E36 D43:F43 D42:E42" name="Range1_4_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F32:F37" name="Range1_9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TgN2v4D1fCFeftgjUK9pEnAKUNQeBvGTEn7HgMYP3TgK+Lnb8CEJvr9mDUM9krxFyvgX1rqREi6Bj66egkIy9w==" saltValue="VQoFCzDNmxNbXYp+WTQXog==" spinCount="100000" sqref="D40:F40" name="Range1_18_1" securityDescriptor="O:WDG:WDD:(A;;CC;;;S-1-5-21-577582919-1435025626-1914702595-3940917)(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F30:F31" name="Range1_10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D34 D36" name="Range1_4_1_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98mvCEbsVTr0NrpZIc/15xCyc5XMAKIcQ32f6j26GlFJjqit7togokYXh1ezGpBBO38H70R7ZV7Kl2qfUZxfXQ==" saltValue="m/mfSvZWqLmC52Rm2aeRyw==" spinCount="100000" sqref="D94:F95 D97:F97 D96:E96" name="Range1_14_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98mvCEbsVTr0NrpZIc/15xCyc5XMAKIcQ32f6j26GlFJjqit7togokYXh1ezGpBBO38H70R7ZV7Kl2qfUZxfXQ==" saltValue="m/mfSvZWqLmC52Rm2aeRyw==" spinCount="100000" sqref="D84:F91 D48:F66 D68:F82" name="Range1_12_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D67:F67 D83:F83" name="Range1_8_1_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98mvCEbsVTr0NrpZIc/15xCyc5XMAKIcQ32f6j26GlFJjqit7togokYXh1ezGpBBO38H70R7ZV7Kl2qfUZxfXQ==" saltValue="m/mfSvZWqLmC52Rm2aeRyw==" spinCount="100000" sqref="D92:F93" name="Range1_14_1_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98mvCEbsVTr0NrpZIc/15xCyc5XMAKIcQ32f6j26GlFJjqit7togokYXh1ezGpBBO38H70R7ZV7Kl2qfUZxfXQ==" saltValue="m/mfSvZWqLmC52Rm2aeRyw==" spinCount="100000" sqref="F96" name="Range1_14_2"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98mvCEbsVTr0NrpZIc/15xCyc5XMAKIcQ32f6j26GlFJjqit7togokYXh1ezGpBBO38H70R7ZV7Kl2qfUZxfXQ==" saltValue="m/mfSvZWqLmC52Rm2aeRyw==" spinCount="100000" sqref="D130:E131" name="Range1_7"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98mvCEbsVTr0NrpZIc/15xCyc5XMAKIcQ32f6j26GlFJjqit7togokYXh1ezGpBBO38H70R7ZV7Kl2qfUZxfXQ==" saltValue="m/mfSvZWqLmC52Rm2aeRyw==" spinCount="100000" sqref="F130:F131" name="Range1_6_2"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F42" name="Range1_4_3" securityDescriptor="O:WDG:WDD:(A;;CC;;;S-1-5-21-577582919-1435025626-1914702595-4020469)(A;;CC;;;S-1-5-21-577582919-1435025626-1914702595-3758999)(A;;CC;;;S-1-5-21-577582919-1435025626-1914702595-3758875)(A;;CC;;;S-1-5-21-577582919-1435025626-1914702595-4023729)(A;;CC;;;S-1-5-21-577582919-1435025626-1914702595-3758127)"/>
  </protectedRanges>
  <mergeCells count="8">
    <mergeCell ref="B137:C137"/>
    <mergeCell ref="B138:H138"/>
    <mergeCell ref="C1:G1"/>
    <mergeCell ref="C2:G2"/>
    <mergeCell ref="K3:Q3"/>
    <mergeCell ref="K4:Q4"/>
    <mergeCell ref="B135:H135"/>
    <mergeCell ref="K136:P136"/>
  </mergeCells>
  <pageMargins left="0.7" right="0.7" top="0.75" bottom="0.75" header="0.3" footer="0.3"/>
  <pageSetup scale="59" fitToHeight="0" orientation="portrait" r:id="rId1"/>
  <headerFooter>
    <oddHeader>&amp;RKyPSC Case No. 2025-00229
STAFF-DR-01-005(b) Attachment 6
Page &amp;P of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97EC9-85FE-4280-8C07-0CC1AF2463C5}">
  <sheetPr>
    <tabColor rgb="FFFF0000"/>
    <pageSetUpPr fitToPage="1"/>
  </sheetPr>
  <dimension ref="B1:Q59"/>
  <sheetViews>
    <sheetView view="pageLayout" topLeftCell="A2" zoomScaleNormal="100" workbookViewId="0">
      <selection activeCell="AC7" sqref="AC7"/>
    </sheetView>
  </sheetViews>
  <sheetFormatPr defaultRowHeight="15" x14ac:dyDescent="0.25"/>
  <cols>
    <col min="2" max="2" width="17.7109375" style="1" customWidth="1"/>
    <col min="3" max="3" width="37.5703125" bestFit="1" customWidth="1"/>
    <col min="4" max="4" width="11.5703125" style="123" customWidth="1"/>
    <col min="5" max="5" width="13.7109375" style="1" customWidth="1"/>
    <col min="6" max="6" width="13" style="70" customWidth="1"/>
    <col min="7" max="7" width="0.7109375" style="70" customWidth="1"/>
    <col min="8" max="8" width="16.28515625" style="70" customWidth="1"/>
    <col min="9" max="9" width="21.28515625" style="70" customWidth="1"/>
    <col min="10" max="10" width="3.7109375" customWidth="1"/>
  </cols>
  <sheetData>
    <row r="1" spans="2:17" ht="23.25" x14ac:dyDescent="0.35">
      <c r="B1" s="103"/>
      <c r="C1" s="290" t="str">
        <f>'Master Tab'!$C$8</f>
        <v>Line AM07 Pipeline Replacement PH 1</v>
      </c>
      <c r="D1" s="290"/>
      <c r="E1" s="290"/>
      <c r="F1" s="290"/>
      <c r="G1" s="290"/>
      <c r="H1" s="104"/>
      <c r="I1" s="105"/>
    </row>
    <row r="2" spans="2:17" ht="19.5" thickBot="1" x14ac:dyDescent="0.35">
      <c r="B2" s="189">
        <f>'Master Tab'!$C$9</f>
        <v>44588</v>
      </c>
      <c r="C2" s="289" t="s">
        <v>45</v>
      </c>
      <c r="D2" s="289"/>
      <c r="E2" s="289"/>
      <c r="F2" s="289"/>
      <c r="G2" s="289"/>
      <c r="H2" s="106" t="s">
        <v>78</v>
      </c>
      <c r="I2" s="107" t="str">
        <f>'Master Tab'!$C$6</f>
        <v>E-Initiate</v>
      </c>
    </row>
    <row r="3" spans="2:17" ht="30.75" thickBot="1" x14ac:dyDescent="0.3">
      <c r="B3" s="109" t="s">
        <v>79</v>
      </c>
      <c r="C3" s="108" t="s">
        <v>80</v>
      </c>
      <c r="D3" s="115" t="s">
        <v>81</v>
      </c>
      <c r="E3" s="109" t="s">
        <v>82</v>
      </c>
      <c r="F3" s="110" t="s">
        <v>83</v>
      </c>
      <c r="G3" s="110"/>
      <c r="H3" s="110" t="s">
        <v>159</v>
      </c>
      <c r="I3" s="110" t="s">
        <v>84</v>
      </c>
      <c r="K3" s="270"/>
      <c r="L3" s="270"/>
      <c r="M3" s="270"/>
      <c r="N3" s="270"/>
      <c r="O3" s="270"/>
      <c r="P3" s="270"/>
      <c r="Q3" s="270"/>
    </row>
    <row r="4" spans="2:17" ht="15.75" x14ac:dyDescent="0.25">
      <c r="B4" s="78" t="s">
        <v>86</v>
      </c>
      <c r="C4" s="65"/>
      <c r="D4" s="116"/>
      <c r="E4" s="67"/>
      <c r="F4" s="68"/>
      <c r="G4" s="68"/>
      <c r="H4" s="68"/>
      <c r="I4" s="77"/>
      <c r="K4" s="301"/>
      <c r="L4" s="301"/>
      <c r="M4" s="301"/>
      <c r="N4" s="301"/>
      <c r="O4" s="301"/>
      <c r="P4" s="301"/>
      <c r="Q4" s="301"/>
    </row>
    <row r="5" spans="2:17" x14ac:dyDescent="0.25">
      <c r="B5" s="188" t="s">
        <v>398</v>
      </c>
      <c r="C5" s="2" t="s">
        <v>60</v>
      </c>
      <c r="D5" s="113">
        <v>1</v>
      </c>
      <c r="E5" s="76" t="s">
        <v>426</v>
      </c>
      <c r="F5" s="69">
        <v>120000</v>
      </c>
      <c r="G5" s="88" t="s">
        <v>5</v>
      </c>
      <c r="H5" s="69">
        <f>CEILING(F5*D5,100)</f>
        <v>120000</v>
      </c>
      <c r="I5" s="89"/>
    </row>
    <row r="6" spans="2:17" x14ac:dyDescent="0.25">
      <c r="B6" s="188" t="s">
        <v>399</v>
      </c>
      <c r="C6" s="2" t="s">
        <v>88</v>
      </c>
      <c r="D6" s="113">
        <f>'Master Tab'!$C$16</f>
        <v>40</v>
      </c>
      <c r="E6" s="76" t="s">
        <v>249</v>
      </c>
      <c r="F6" s="69">
        <v>10</v>
      </c>
      <c r="G6" s="88" t="s">
        <v>5</v>
      </c>
      <c r="H6" s="69">
        <f>CEILING(F6*D6,100)</f>
        <v>400</v>
      </c>
      <c r="I6" s="89"/>
      <c r="L6" t="s">
        <v>5</v>
      </c>
      <c r="M6" t="s">
        <v>5</v>
      </c>
    </row>
    <row r="7" spans="2:17" ht="15.75" x14ac:dyDescent="0.25">
      <c r="B7" s="78" t="s">
        <v>90</v>
      </c>
      <c r="C7" s="65"/>
      <c r="D7" s="116"/>
      <c r="E7" s="67"/>
      <c r="F7" s="68"/>
      <c r="G7" s="68"/>
      <c r="H7" s="68"/>
      <c r="I7" s="77">
        <f>SUM(H5:H6)</f>
        <v>120400</v>
      </c>
    </row>
    <row r="8" spans="2:17" ht="8.25" customHeight="1" x14ac:dyDescent="0.25">
      <c r="B8" s="194"/>
      <c r="C8" s="91"/>
      <c r="D8" s="117"/>
      <c r="E8" s="90"/>
      <c r="F8" s="92"/>
      <c r="G8" s="92"/>
      <c r="H8" s="92"/>
      <c r="I8" s="93"/>
    </row>
    <row r="9" spans="2:17" ht="15.75" x14ac:dyDescent="0.25">
      <c r="B9" s="78" t="s">
        <v>91</v>
      </c>
      <c r="C9" s="65"/>
      <c r="D9" s="116"/>
      <c r="E9" s="67"/>
      <c r="F9" s="68"/>
      <c r="G9" s="68"/>
      <c r="H9" s="68"/>
      <c r="I9" s="77"/>
    </row>
    <row r="10" spans="2:17" x14ac:dyDescent="0.25">
      <c r="B10" s="188" t="s">
        <v>391</v>
      </c>
      <c r="C10" s="2" t="s">
        <v>92</v>
      </c>
      <c r="D10" s="113">
        <f>(($I$20+$I$40+$I$53)*0.04)/F10</f>
        <v>101.28</v>
      </c>
      <c r="E10" s="76" t="s">
        <v>87</v>
      </c>
      <c r="F10" s="69">
        <v>125</v>
      </c>
      <c r="G10" s="88"/>
      <c r="H10" s="69">
        <f>F10*D10</f>
        <v>12660</v>
      </c>
      <c r="I10" s="89"/>
    </row>
    <row r="11" spans="2:17" x14ac:dyDescent="0.25">
      <c r="B11" s="188" t="s">
        <v>392</v>
      </c>
      <c r="C11" s="2" t="s">
        <v>93</v>
      </c>
      <c r="D11" s="113">
        <f>(($I$20+$I$40+$I$53)*0)/F11</f>
        <v>0</v>
      </c>
      <c r="E11" s="76" t="s">
        <v>87</v>
      </c>
      <c r="F11" s="69">
        <v>125</v>
      </c>
      <c r="G11" s="88"/>
      <c r="H11" s="69">
        <f>F11*D11</f>
        <v>0</v>
      </c>
      <c r="I11" s="89"/>
    </row>
    <row r="12" spans="2:17" x14ac:dyDescent="0.25">
      <c r="B12" s="188" t="s">
        <v>397</v>
      </c>
      <c r="C12" s="2" t="s">
        <v>94</v>
      </c>
      <c r="D12" s="120">
        <v>1</v>
      </c>
      <c r="E12" s="148" t="s">
        <v>103</v>
      </c>
      <c r="F12" s="69">
        <v>0</v>
      </c>
      <c r="G12" s="88"/>
      <c r="H12" s="69">
        <f>F12*D12</f>
        <v>0</v>
      </c>
      <c r="I12" s="89"/>
    </row>
    <row r="13" spans="2:17" ht="15.75" x14ac:dyDescent="0.25">
      <c r="B13" s="78" t="s">
        <v>95</v>
      </c>
      <c r="C13" s="65"/>
      <c r="D13" s="116"/>
      <c r="E13" s="67"/>
      <c r="F13" s="68"/>
      <c r="G13" s="68"/>
      <c r="H13" s="94"/>
      <c r="I13" s="77">
        <f>CEILING(SUM(H10:H12),100)</f>
        <v>12700</v>
      </c>
    </row>
    <row r="14" spans="2:17" ht="8.25" customHeight="1" x14ac:dyDescent="0.25">
      <c r="B14" s="194"/>
      <c r="C14" s="91"/>
      <c r="D14" s="117"/>
      <c r="E14" s="90"/>
      <c r="F14" s="92"/>
      <c r="G14" s="92"/>
      <c r="H14" s="92"/>
      <c r="I14" s="93"/>
    </row>
    <row r="15" spans="2:17" ht="15.75" x14ac:dyDescent="0.25">
      <c r="B15" s="78" t="s">
        <v>96</v>
      </c>
      <c r="C15" s="65"/>
      <c r="D15" s="116"/>
      <c r="E15" s="67"/>
      <c r="F15" s="68"/>
      <c r="G15" s="68"/>
      <c r="H15" s="68"/>
      <c r="I15" s="77"/>
    </row>
    <row r="16" spans="2:17" x14ac:dyDescent="0.25">
      <c r="B16" s="188" t="s">
        <v>291</v>
      </c>
      <c r="C16" s="2" t="s">
        <v>278</v>
      </c>
      <c r="D16" s="118">
        <v>0</v>
      </c>
      <c r="E16" s="155" t="s">
        <v>97</v>
      </c>
      <c r="F16" s="176">
        <v>45000</v>
      </c>
      <c r="G16" s="88"/>
      <c r="H16" s="69">
        <f>CEILING(F16*D16,100)</f>
        <v>0</v>
      </c>
      <c r="I16" s="89"/>
      <c r="M16" t="s">
        <v>5</v>
      </c>
    </row>
    <row r="17" spans="2:12" x14ac:dyDescent="0.25">
      <c r="B17" s="188" t="s">
        <v>291</v>
      </c>
      <c r="C17" s="2" t="s">
        <v>281</v>
      </c>
      <c r="D17" s="118">
        <v>0</v>
      </c>
      <c r="E17" s="155" t="s">
        <v>97</v>
      </c>
      <c r="F17" s="176">
        <v>5000</v>
      </c>
      <c r="G17" s="88"/>
      <c r="H17" s="69">
        <f>CEILING(F17*D17,100)</f>
        <v>0</v>
      </c>
      <c r="I17" s="89"/>
    </row>
    <row r="18" spans="2:12" x14ac:dyDescent="0.25">
      <c r="B18" s="188" t="s">
        <v>292</v>
      </c>
      <c r="C18" s="2" t="s">
        <v>252</v>
      </c>
      <c r="D18" s="118">
        <v>0</v>
      </c>
      <c r="E18" s="155" t="s">
        <v>122</v>
      </c>
      <c r="F18" s="69">
        <v>10000</v>
      </c>
      <c r="G18" s="88"/>
      <c r="H18" s="69">
        <f>CEILING(F18*D18,100)</f>
        <v>0</v>
      </c>
      <c r="I18" s="89"/>
    </row>
    <row r="19" spans="2:12" x14ac:dyDescent="0.25">
      <c r="B19" s="188" t="s">
        <v>294</v>
      </c>
      <c r="C19" s="2" t="s">
        <v>288</v>
      </c>
      <c r="D19" s="118">
        <v>0</v>
      </c>
      <c r="E19" s="155" t="s">
        <v>98</v>
      </c>
      <c r="F19" s="69">
        <v>10000</v>
      </c>
      <c r="G19" s="88"/>
      <c r="H19" s="69">
        <f>CEILING(F19*D19,100)</f>
        <v>0</v>
      </c>
      <c r="I19" s="89"/>
    </row>
    <row r="20" spans="2:12" ht="15.75" x14ac:dyDescent="0.25">
      <c r="B20" s="78" t="s">
        <v>100</v>
      </c>
      <c r="C20" s="65"/>
      <c r="D20" s="116"/>
      <c r="E20" s="67"/>
      <c r="F20" s="68"/>
      <c r="G20" s="94"/>
      <c r="H20" s="68"/>
      <c r="I20" s="77">
        <f>SUM(H16:H19)</f>
        <v>0</v>
      </c>
    </row>
    <row r="21" spans="2:12" ht="8.25" customHeight="1" x14ac:dyDescent="0.25">
      <c r="B21" s="194"/>
      <c r="C21" s="91"/>
      <c r="D21" s="117"/>
      <c r="E21" s="90"/>
      <c r="F21" s="92"/>
      <c r="G21" s="92"/>
      <c r="H21" s="92"/>
      <c r="I21" s="93"/>
    </row>
    <row r="22" spans="2:12" ht="15.75" x14ac:dyDescent="0.25">
      <c r="B22" s="78" t="s">
        <v>101</v>
      </c>
      <c r="C22" s="65"/>
      <c r="D22" s="119">
        <v>10300</v>
      </c>
      <c r="E22" s="74" t="s">
        <v>154</v>
      </c>
      <c r="F22" s="75"/>
      <c r="G22" s="73"/>
      <c r="H22" s="73"/>
      <c r="I22" s="77"/>
    </row>
    <row r="23" spans="2:12" x14ac:dyDescent="0.25">
      <c r="B23" s="188">
        <v>850</v>
      </c>
      <c r="C23" s="2" t="s">
        <v>104</v>
      </c>
      <c r="D23" s="120">
        <v>1</v>
      </c>
      <c r="E23" s="76" t="s">
        <v>103</v>
      </c>
      <c r="F23" s="96">
        <f>(SUM(H24:H39)*K23)</f>
        <v>27676</v>
      </c>
      <c r="G23" s="88"/>
      <c r="H23" s="69">
        <f>F23*D23</f>
        <v>27676</v>
      </c>
      <c r="I23" s="89"/>
      <c r="K23" s="97">
        <v>0.1</v>
      </c>
      <c r="L23" t="s">
        <v>105</v>
      </c>
    </row>
    <row r="24" spans="2:12" x14ac:dyDescent="0.25">
      <c r="B24" s="188"/>
      <c r="C24" s="2" t="s">
        <v>155</v>
      </c>
      <c r="D24" s="118">
        <v>6</v>
      </c>
      <c r="E24" s="155" t="s">
        <v>120</v>
      </c>
      <c r="F24" s="69">
        <v>7500</v>
      </c>
      <c r="G24" s="88"/>
      <c r="H24" s="69">
        <f t="shared" ref="H24:H39" si="0">F24*D24</f>
        <v>45000</v>
      </c>
      <c r="I24" s="89"/>
      <c r="L24" t="s">
        <v>5</v>
      </c>
    </row>
    <row r="25" spans="2:12" x14ac:dyDescent="0.25">
      <c r="B25" s="188">
        <v>823</v>
      </c>
      <c r="C25" s="2" t="s">
        <v>462</v>
      </c>
      <c r="D25" s="118">
        <v>300</v>
      </c>
      <c r="E25" s="155" t="s">
        <v>109</v>
      </c>
      <c r="F25" s="69">
        <v>149</v>
      </c>
      <c r="G25" s="88"/>
      <c r="H25" s="69">
        <f t="shared" si="0"/>
        <v>44700</v>
      </c>
      <c r="I25" s="89"/>
    </row>
    <row r="26" spans="2:12" x14ac:dyDescent="0.25">
      <c r="B26" s="188">
        <v>824</v>
      </c>
      <c r="C26" s="2" t="s">
        <v>463</v>
      </c>
      <c r="D26" s="118">
        <v>110</v>
      </c>
      <c r="E26" s="155" t="s">
        <v>109</v>
      </c>
      <c r="F26" s="69">
        <v>248</v>
      </c>
      <c r="G26" s="88"/>
      <c r="H26" s="69">
        <f t="shared" si="0"/>
        <v>27280</v>
      </c>
      <c r="I26" s="89"/>
      <c r="L26" t="s">
        <v>5</v>
      </c>
    </row>
    <row r="27" spans="2:12" x14ac:dyDescent="0.25">
      <c r="B27" s="188"/>
      <c r="C27" s="2" t="s">
        <v>156</v>
      </c>
      <c r="D27" s="118">
        <v>110</v>
      </c>
      <c r="E27" s="155" t="s">
        <v>107</v>
      </c>
      <c r="F27" s="69">
        <v>248</v>
      </c>
      <c r="G27" s="88"/>
      <c r="H27" s="69">
        <f t="shared" si="0"/>
        <v>27280</v>
      </c>
      <c r="I27" s="89"/>
    </row>
    <row r="28" spans="2:12" x14ac:dyDescent="0.25">
      <c r="B28" s="188"/>
      <c r="C28" s="2" t="s">
        <v>237</v>
      </c>
      <c r="D28" s="118">
        <v>0</v>
      </c>
      <c r="E28" s="155" t="s">
        <v>103</v>
      </c>
      <c r="F28" s="69">
        <v>50000</v>
      </c>
      <c r="G28" s="88"/>
      <c r="H28" s="69">
        <f t="shared" si="0"/>
        <v>0</v>
      </c>
      <c r="I28" s="89"/>
    </row>
    <row r="29" spans="2:12" x14ac:dyDescent="0.25">
      <c r="B29" s="188" t="s">
        <v>413</v>
      </c>
      <c r="C29" s="2" t="s">
        <v>189</v>
      </c>
      <c r="D29" s="118">
        <v>0</v>
      </c>
      <c r="E29" s="155" t="s">
        <v>122</v>
      </c>
      <c r="F29" s="69">
        <v>75000</v>
      </c>
      <c r="G29" s="88"/>
      <c r="H29" s="69">
        <f t="shared" si="0"/>
        <v>0</v>
      </c>
      <c r="I29" s="89"/>
      <c r="L29" t="s">
        <v>5</v>
      </c>
    </row>
    <row r="30" spans="2:12" x14ac:dyDescent="0.25">
      <c r="B30" s="188" t="s">
        <v>413</v>
      </c>
      <c r="C30" s="2" t="s">
        <v>238</v>
      </c>
      <c r="D30" s="118">
        <v>0</v>
      </c>
      <c r="E30" s="155" t="s">
        <v>122</v>
      </c>
      <c r="F30" s="69">
        <v>35000</v>
      </c>
      <c r="G30" s="88"/>
      <c r="H30" s="69">
        <f>F30*D30</f>
        <v>0</v>
      </c>
      <c r="I30" s="89"/>
    </row>
    <row r="31" spans="2:12" x14ac:dyDescent="0.25">
      <c r="B31" s="188" t="s">
        <v>413</v>
      </c>
      <c r="C31" s="2" t="s">
        <v>239</v>
      </c>
      <c r="D31" s="118">
        <v>0</v>
      </c>
      <c r="E31" s="155" t="s">
        <v>122</v>
      </c>
      <c r="F31" s="69">
        <v>50000</v>
      </c>
      <c r="G31" s="88"/>
      <c r="H31" s="69">
        <f>F31*D31</f>
        <v>0</v>
      </c>
      <c r="I31" s="89"/>
    </row>
    <row r="32" spans="2:12" x14ac:dyDescent="0.25">
      <c r="B32" s="188" t="s">
        <v>413</v>
      </c>
      <c r="C32" s="2" t="s">
        <v>240</v>
      </c>
      <c r="D32" s="118">
        <v>0</v>
      </c>
      <c r="E32" s="155" t="s">
        <v>122</v>
      </c>
      <c r="F32" s="69">
        <v>85000</v>
      </c>
      <c r="G32" s="88"/>
      <c r="H32" s="69">
        <f t="shared" si="0"/>
        <v>0</v>
      </c>
      <c r="I32" s="89"/>
    </row>
    <row r="33" spans="2:9" x14ac:dyDescent="0.25">
      <c r="B33" s="188"/>
      <c r="C33" s="2" t="s">
        <v>190</v>
      </c>
      <c r="D33" s="118">
        <v>2</v>
      </c>
      <c r="E33" s="155" t="s">
        <v>103</v>
      </c>
      <c r="F33" s="69">
        <v>10000</v>
      </c>
      <c r="G33" s="88"/>
      <c r="H33" s="69">
        <f t="shared" si="0"/>
        <v>20000</v>
      </c>
      <c r="I33" s="89"/>
    </row>
    <row r="34" spans="2:9" x14ac:dyDescent="0.25">
      <c r="B34" s="188"/>
      <c r="C34" s="2" t="s">
        <v>193</v>
      </c>
      <c r="D34" s="118">
        <v>2</v>
      </c>
      <c r="E34" s="155" t="s">
        <v>103</v>
      </c>
      <c r="F34" s="69">
        <v>50000</v>
      </c>
      <c r="G34" s="88"/>
      <c r="H34" s="69">
        <f t="shared" si="0"/>
        <v>100000</v>
      </c>
      <c r="I34" s="89"/>
    </row>
    <row r="35" spans="2:9" x14ac:dyDescent="0.25">
      <c r="B35" s="188"/>
      <c r="C35" s="2" t="s">
        <v>191</v>
      </c>
      <c r="D35" s="118">
        <v>1</v>
      </c>
      <c r="E35" s="155" t="s">
        <v>192</v>
      </c>
      <c r="F35" s="69">
        <v>12500</v>
      </c>
      <c r="G35" s="88"/>
      <c r="H35" s="69">
        <f t="shared" si="0"/>
        <v>12500</v>
      </c>
      <c r="I35" s="89"/>
    </row>
    <row r="36" spans="2:9" x14ac:dyDescent="0.25">
      <c r="B36" s="188"/>
      <c r="C36" s="2" t="s">
        <v>119</v>
      </c>
      <c r="D36" s="118">
        <v>0</v>
      </c>
      <c r="E36" s="155" t="s">
        <v>120</v>
      </c>
      <c r="F36" s="69">
        <v>0</v>
      </c>
      <c r="G36" s="88"/>
      <c r="H36" s="69">
        <f t="shared" si="0"/>
        <v>0</v>
      </c>
      <c r="I36" s="89"/>
    </row>
    <row r="37" spans="2:9" x14ac:dyDescent="0.25">
      <c r="B37" s="188"/>
      <c r="C37" s="2" t="s">
        <v>304</v>
      </c>
      <c r="D37" s="118">
        <v>0</v>
      </c>
      <c r="E37" s="155" t="s">
        <v>108</v>
      </c>
      <c r="F37" s="125">
        <v>0</v>
      </c>
      <c r="G37" s="88"/>
      <c r="H37" s="69">
        <f>F37*D37</f>
        <v>0</v>
      </c>
      <c r="I37" s="89"/>
    </row>
    <row r="38" spans="2:9" x14ac:dyDescent="0.25">
      <c r="B38" s="188"/>
      <c r="C38" s="2" t="s">
        <v>305</v>
      </c>
      <c r="D38" s="118">
        <v>0</v>
      </c>
      <c r="E38" s="155" t="s">
        <v>107</v>
      </c>
      <c r="F38" s="69">
        <v>0</v>
      </c>
      <c r="G38" s="88"/>
      <c r="H38" s="69">
        <f>F38*D38</f>
        <v>0</v>
      </c>
      <c r="I38" s="89"/>
    </row>
    <row r="39" spans="2:9" x14ac:dyDescent="0.25">
      <c r="B39" s="188"/>
      <c r="C39" s="2" t="s">
        <v>121</v>
      </c>
      <c r="D39" s="118">
        <v>0</v>
      </c>
      <c r="E39" s="155" t="s">
        <v>122</v>
      </c>
      <c r="F39" s="69">
        <v>0</v>
      </c>
      <c r="G39" s="88"/>
      <c r="H39" s="69">
        <f t="shared" si="0"/>
        <v>0</v>
      </c>
      <c r="I39" s="89"/>
    </row>
    <row r="40" spans="2:9" ht="15.75" x14ac:dyDescent="0.25">
      <c r="B40" s="195" t="s">
        <v>5</v>
      </c>
      <c r="C40" s="65"/>
      <c r="D40" s="116"/>
      <c r="E40" s="67"/>
      <c r="F40" s="68"/>
      <c r="G40" s="68"/>
      <c r="H40" s="94"/>
      <c r="I40" s="77">
        <f>CEILING(SUM(H23:H39),100)</f>
        <v>304500</v>
      </c>
    </row>
    <row r="41" spans="2:9" ht="8.25" customHeight="1" x14ac:dyDescent="0.25">
      <c r="B41" s="194"/>
      <c r="C41" s="91"/>
      <c r="D41" s="117"/>
      <c r="E41" s="90"/>
      <c r="F41" s="92"/>
      <c r="G41" s="92"/>
      <c r="H41" s="92"/>
      <c r="I41" s="93"/>
    </row>
    <row r="42" spans="2:9" ht="15.75" x14ac:dyDescent="0.25">
      <c r="B42" s="78" t="s">
        <v>123</v>
      </c>
      <c r="C42" s="65"/>
      <c r="D42" s="116"/>
      <c r="E42" s="67"/>
      <c r="F42" s="68"/>
      <c r="G42" s="68"/>
      <c r="H42" s="68"/>
      <c r="I42" s="77"/>
    </row>
    <row r="43" spans="2:9" x14ac:dyDescent="0.25">
      <c r="B43" s="188" t="s">
        <v>405</v>
      </c>
      <c r="C43" s="2" t="s">
        <v>124</v>
      </c>
      <c r="D43" s="113">
        <f>($I$40*0.1)/$F$43</f>
        <v>36.25</v>
      </c>
      <c r="E43" s="76" t="s">
        <v>125</v>
      </c>
      <c r="F43" s="69">
        <v>840</v>
      </c>
      <c r="G43" s="88"/>
      <c r="H43" s="69">
        <f>F43*D43</f>
        <v>30450</v>
      </c>
      <c r="I43" s="89"/>
    </row>
    <row r="44" spans="2:9" x14ac:dyDescent="0.25">
      <c r="B44" s="188" t="s">
        <v>406</v>
      </c>
      <c r="C44" s="2" t="s">
        <v>126</v>
      </c>
      <c r="D44" s="118">
        <v>0</v>
      </c>
      <c r="E44" s="155" t="s">
        <v>120</v>
      </c>
      <c r="F44" s="69">
        <v>2000</v>
      </c>
      <c r="G44" s="88"/>
      <c r="H44" s="69">
        <f>F44*D44</f>
        <v>0</v>
      </c>
      <c r="I44" s="89"/>
    </row>
    <row r="45" spans="2:9" ht="15.75" x14ac:dyDescent="0.25">
      <c r="B45" s="78" t="s">
        <v>127</v>
      </c>
      <c r="C45" s="65"/>
      <c r="D45" s="116"/>
      <c r="E45" s="67"/>
      <c r="F45" s="68"/>
      <c r="G45" s="68"/>
      <c r="H45" s="94"/>
      <c r="I45" s="77">
        <f>CEILING(SUM(H43:H44),100)</f>
        <v>30500</v>
      </c>
    </row>
    <row r="46" spans="2:9" ht="8.25" customHeight="1" x14ac:dyDescent="0.25">
      <c r="B46" s="194"/>
      <c r="C46" s="91"/>
      <c r="D46" s="117"/>
      <c r="E46" s="90"/>
      <c r="F46" s="92"/>
      <c r="G46" s="92"/>
      <c r="H46" s="92"/>
      <c r="I46" s="93"/>
    </row>
    <row r="47" spans="2:9" ht="15.75" x14ac:dyDescent="0.25">
      <c r="B47" s="78" t="s">
        <v>128</v>
      </c>
      <c r="C47" s="65"/>
      <c r="D47" s="116"/>
      <c r="E47" s="67"/>
      <c r="F47" s="68"/>
      <c r="G47" s="68"/>
      <c r="H47" s="68"/>
      <c r="I47" s="77"/>
    </row>
    <row r="48" spans="2:9" x14ac:dyDescent="0.25">
      <c r="B48" s="188" t="s">
        <v>407</v>
      </c>
      <c r="C48" s="2" t="s">
        <v>157</v>
      </c>
      <c r="D48" s="118">
        <v>2</v>
      </c>
      <c r="E48" s="155" t="s">
        <v>103</v>
      </c>
      <c r="F48" s="69">
        <v>5000</v>
      </c>
      <c r="G48" s="88"/>
      <c r="H48" s="69">
        <f>F48*D48</f>
        <v>10000</v>
      </c>
      <c r="I48" s="89"/>
    </row>
    <row r="49" spans="2:16" x14ac:dyDescent="0.25">
      <c r="B49" s="188" t="s">
        <v>408</v>
      </c>
      <c r="C49" s="2" t="s">
        <v>158</v>
      </c>
      <c r="D49" s="118">
        <v>0</v>
      </c>
      <c r="E49" s="155" t="s">
        <v>122</v>
      </c>
      <c r="F49" s="69">
        <v>0</v>
      </c>
      <c r="G49" s="88"/>
      <c r="H49" s="69">
        <f>F49*D49</f>
        <v>0</v>
      </c>
      <c r="I49" s="89"/>
    </row>
    <row r="50" spans="2:16" x14ac:dyDescent="0.25">
      <c r="B50" s="188" t="s">
        <v>408</v>
      </c>
      <c r="C50" s="2" t="s">
        <v>158</v>
      </c>
      <c r="D50" s="118">
        <v>0</v>
      </c>
      <c r="E50" s="155" t="s">
        <v>122</v>
      </c>
      <c r="F50" s="69">
        <v>0</v>
      </c>
      <c r="G50" s="88"/>
      <c r="H50" s="69">
        <f>F50*D50</f>
        <v>0</v>
      </c>
      <c r="I50" s="89"/>
    </row>
    <row r="51" spans="2:16" x14ac:dyDescent="0.25">
      <c r="B51" s="188" t="s">
        <v>407</v>
      </c>
      <c r="C51" s="2" t="s">
        <v>132</v>
      </c>
      <c r="D51" s="118">
        <v>1</v>
      </c>
      <c r="E51" s="76" t="s">
        <v>89</v>
      </c>
      <c r="F51" s="96">
        <f>SUM(H48:H50)*0.1</f>
        <v>1000</v>
      </c>
      <c r="G51" s="88"/>
      <c r="H51" s="69">
        <f>F51*D51</f>
        <v>1000</v>
      </c>
      <c r="I51" s="89"/>
    </row>
    <row r="52" spans="2:16" x14ac:dyDescent="0.25">
      <c r="B52" s="188" t="s">
        <v>407</v>
      </c>
      <c r="C52" s="2" t="s">
        <v>285</v>
      </c>
      <c r="D52" s="118">
        <v>1</v>
      </c>
      <c r="E52" s="76" t="s">
        <v>89</v>
      </c>
      <c r="F52" s="96">
        <f>SUM(H48:H51)*0.09</f>
        <v>990</v>
      </c>
      <c r="G52" s="88"/>
      <c r="H52" s="69">
        <f>F52*D52</f>
        <v>990</v>
      </c>
      <c r="I52" s="89"/>
    </row>
    <row r="53" spans="2:16" ht="16.5" thickBot="1" x14ac:dyDescent="0.3">
      <c r="B53" s="78" t="s">
        <v>133</v>
      </c>
      <c r="C53" s="66"/>
      <c r="D53" s="116"/>
      <c r="E53" s="67"/>
      <c r="F53" s="71"/>
      <c r="G53" s="71"/>
      <c r="H53" s="95"/>
      <c r="I53" s="85">
        <f>CEILING(SUM(H48:H52),100)</f>
        <v>12000</v>
      </c>
    </row>
    <row r="54" spans="2:16" ht="16.5" thickBot="1" x14ac:dyDescent="0.3">
      <c r="B54" s="298" t="s">
        <v>134</v>
      </c>
      <c r="C54" s="299"/>
      <c r="D54" s="299"/>
      <c r="E54" s="299"/>
      <c r="F54" s="299"/>
      <c r="G54" s="299"/>
      <c r="H54" s="299"/>
      <c r="I54" s="87">
        <f>SUM(I7,I13,I20,I40,I45,I53)</f>
        <v>480100</v>
      </c>
    </row>
    <row r="55" spans="2:16" ht="15.75" thickBot="1" x14ac:dyDescent="0.3">
      <c r="B55" s="190" t="s">
        <v>136</v>
      </c>
      <c r="C55" s="83"/>
      <c r="D55" s="149">
        <f>'Master Tab'!C28</f>
        <v>0</v>
      </c>
      <c r="E55" s="150" t="s">
        <v>142</v>
      </c>
      <c r="F55" s="151">
        <f>'Master Tab'!C29</f>
        <v>0</v>
      </c>
      <c r="G55" s="81"/>
      <c r="H55" s="86"/>
      <c r="I55" s="79">
        <f>CEILING(-(FV(F55,D55,0,SUM(I53,I20,I13,I7),1))-(SUM(I53,I20,I13,I7)),100)+CEILING(-(FV(F55,D55+1,0,SUM(I45,I40),1))-(SUM(I40,I45)),100)</f>
        <v>0</v>
      </c>
      <c r="K55" s="270"/>
      <c r="L55" s="270"/>
      <c r="M55" s="270"/>
      <c r="N55" s="270"/>
      <c r="O55" s="270"/>
      <c r="P55" s="270"/>
    </row>
    <row r="56" spans="2:16" ht="15.75" thickBot="1" x14ac:dyDescent="0.3">
      <c r="B56" s="294" t="s">
        <v>135</v>
      </c>
      <c r="C56" s="295"/>
      <c r="D56" s="153"/>
      <c r="E56" s="154"/>
      <c r="F56" s="152">
        <f>'Master Tab'!C30</f>
        <v>0.15</v>
      </c>
      <c r="G56" s="72"/>
      <c r="H56" s="86"/>
      <c r="I56" s="82">
        <f>CEILING((I54)*F56,100)</f>
        <v>72100</v>
      </c>
    </row>
    <row r="57" spans="2:16" ht="19.5" thickBot="1" x14ac:dyDescent="0.35">
      <c r="B57" s="291" t="s">
        <v>137</v>
      </c>
      <c r="C57" s="292"/>
      <c r="D57" s="292"/>
      <c r="E57" s="292"/>
      <c r="F57" s="292"/>
      <c r="G57" s="292"/>
      <c r="H57" s="293"/>
      <c r="I57" s="80">
        <f>SUM(I54:I56)</f>
        <v>552200</v>
      </c>
    </row>
    <row r="58" spans="2:16" x14ac:dyDescent="0.25">
      <c r="B58" s="1" t="s">
        <v>5</v>
      </c>
      <c r="C58" t="s">
        <v>5</v>
      </c>
    </row>
    <row r="59" spans="2:16" x14ac:dyDescent="0.25">
      <c r="B59" s="1" t="s">
        <v>5</v>
      </c>
      <c r="C59" t="s">
        <v>5</v>
      </c>
    </row>
  </sheetData>
  <protectedRanges>
    <protectedRange algorithmName="SHA-512" hashValue="b/W1Z7CpyamLclBLOEtRCtGodxrtaeliauQ3OUUHPm00YYsCNF8pTKSQiORYzJqUiQoLnhhRhce20619agOvZQ==" saltValue="xW25fNM3ubj+z+H1lkfzNA==" spinCount="100000" sqref="B1:Q4 K6:Q15 L16:Q19 B53:Q61 G52:Q52 B20:Q22 A1:A61 B13:J15 C10:J12 B7:J9 C5:J6 B45:Q47 C43:Q44 C48:Q51 B24:Q24 C23:Q23 B27:Q42 L25:Q26" name="Range1" securityDescriptor="O:WDG:WDD:(A;;CC;;;S-1-5-21-577582919-1435025626-1914702595-3758999)(A;;CC;;;S-1-5-21-577582919-1435025626-1914702595-4020469)(A;;CC;;;S-1-5-21-577582919-1435025626-1914702595-4023729)(A;;CC;;;S-1-5-21-577582919-1435025626-1914702595-3758875)(A;;CC;;;S-1-5-21-577582919-1435025626-1914702595-3758127)"/>
    <protectedRange algorithmName="SHA-512" hashValue="IbmNoH/XH9GZlitwFdFY+V3LGy1xQ3NuyVDz7GZtIth0KYgNC0Qiwte8wkicOU0jJryaYhOoqvkAD5QQLEfb1g==" saltValue="AzvUTwuISd6SY3rDKW9o1w==" spinCount="100000" sqref="C16:K18" name="Range1_4"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D19:K19" name="Range1_4_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C52:F52" name="Range1_5"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B10:B11" name="Range1_13"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98mvCEbsVTr0NrpZIc/15xCyc5XMAKIcQ32f6j26GlFJjqit7togokYXh1ezGpBBO38H70R7ZV7Kl2qfUZxfXQ==" saltValue="m/mfSvZWqLmC52Rm2aeRyw==" spinCount="100000" sqref="B12" name="Range1_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98mvCEbsVTr0NrpZIc/15xCyc5XMAKIcQ32f6j26GlFJjqit7togokYXh1ezGpBBO38H70R7ZV7Kl2qfUZxfXQ==" saltValue="m/mfSvZWqLmC52Rm2aeRyw==" spinCount="100000" sqref="B5:B6" name="Range1_2"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B16:B17" name="Range1_3"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B18" name="Range1_3_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B19:C19" name="Range1_3_2"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98mvCEbsVTr0NrpZIc/15xCyc5XMAKIcQ32f6j26GlFJjqit7togokYXh1ezGpBBO38H70R7ZV7Kl2qfUZxfXQ==" saltValue="m/mfSvZWqLmC52Rm2aeRyw==" spinCount="100000" sqref="B43:B44" name="Range1_7"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98mvCEbsVTr0NrpZIc/15xCyc5XMAKIcQ32f6j26GlFJjqit7togokYXh1ezGpBBO38H70R7ZV7Kl2qfUZxfXQ==" saltValue="m/mfSvZWqLmC52Rm2aeRyw==" spinCount="100000" sqref="B51:B52" name="Range1_8"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B49" name="Range1_9"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B50" name="Range1_10"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98mvCEbsVTr0NrpZIc/15xCyc5XMAKIcQ32f6j26GlFJjqit7togokYXh1ezGpBBO38H70R7ZV7Kl2qfUZxfXQ==" saltValue="m/mfSvZWqLmC52Rm2aeRyw==" spinCount="100000" sqref="B48" name="Range1_1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98mvCEbsVTr0NrpZIc/15xCyc5XMAKIcQ32f6j26GlFJjqit7togokYXh1ezGpBBO38H70R7ZV7Kl2qfUZxfXQ==" saltValue="m/mfSvZWqLmC52Rm2aeRyw==" spinCount="100000" sqref="B23" name="Range1_12"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B25:K26" name="Range1_4_2"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s>
  <mergeCells count="8">
    <mergeCell ref="C1:G1"/>
    <mergeCell ref="C2:G2"/>
    <mergeCell ref="K55:P55"/>
    <mergeCell ref="B56:C56"/>
    <mergeCell ref="B57:H57"/>
    <mergeCell ref="B54:H54"/>
    <mergeCell ref="K3:Q3"/>
    <mergeCell ref="K4:Q4"/>
  </mergeCells>
  <pageMargins left="0.7" right="0.7" top="0.75" bottom="0.75" header="0.3" footer="0.3"/>
  <pageSetup scale="59" orientation="landscape" r:id="rId1"/>
  <headerFooter>
    <oddHeader>&amp;RKyPSC Case No. 2025-00229
STAFF-DR-01-005(b) Attachment 6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C8F9251C502B146B2B676A4E4DCE5BB" ma:contentTypeVersion="4" ma:contentTypeDescription="Create a new document." ma:contentTypeScope="" ma:versionID="4de23ef8f6c9bdacef4f4bddb876842f">
  <xsd:schema xmlns:xsd="http://www.w3.org/2001/XMLSchema" xmlns:xs="http://www.w3.org/2001/XMLSchema" xmlns:p="http://schemas.microsoft.com/office/2006/metadata/properties" xmlns:ns2="2612a682-5ffb-4b9c-9555-017618935178" xmlns:ns3="3c9d8c27-8a6d-4d9e-a15e-ef5d28c114af" targetNamespace="http://schemas.microsoft.com/office/2006/metadata/properties" ma:root="true" ma:fieldsID="147db5eb7ec7a17abbdcc7f7c35c2451" ns2:_="" ns3:_="">
    <xsd:import namespace="2612a682-5ffb-4b9c-9555-017618935178"/>
    <xsd:import namespace="3c9d8c27-8a6d-4d9e-a15e-ef5d28c114af"/>
    <xsd:element name="properties">
      <xsd:complexType>
        <xsd:sequence>
          <xsd:element name="documentManagement">
            <xsd:complexType>
              <xsd:all>
                <xsd:element ref="ns2:Witnes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2a682-5ffb-4b9c-9555-017618935178" elementFormDefault="qualified">
    <xsd:import namespace="http://schemas.microsoft.com/office/2006/documentManagement/types"/>
    <xsd:import namespace="http://schemas.microsoft.com/office/infopath/2007/PartnerControls"/>
    <xsd:element name="Witness" ma:index="9" nillable="true" ma:displayName="Witness" ma:internalName="Witnes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d8c27-8a6d-4d9e-a15e-ef5d28c114a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Witness xmlns="2612a682-5ffb-4b9c-9555-017618935178">Seiter</Witness>
  </documentManagement>
</p:properties>
</file>

<file path=customXml/itemProps1.xml><?xml version="1.0" encoding="utf-8"?>
<ds:datastoreItem xmlns:ds="http://schemas.openxmlformats.org/officeDocument/2006/customXml" ds:itemID="{C034AF6F-B872-4140-94B7-04B7CEE524EE}">
  <ds:schemaRefs>
    <ds:schemaRef ds:uri="http://schemas.microsoft.com/sharepoint/v3/contenttype/forms"/>
  </ds:schemaRefs>
</ds:datastoreItem>
</file>

<file path=customXml/itemProps2.xml><?xml version="1.0" encoding="utf-8"?>
<ds:datastoreItem xmlns:ds="http://schemas.openxmlformats.org/officeDocument/2006/customXml" ds:itemID="{8E95E561-CD8E-4180-84EB-96784FF19C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2a682-5ffb-4b9c-9555-017618935178"/>
    <ds:schemaRef ds:uri="3c9d8c27-8a6d-4d9e-a15e-ef5d28c114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011AF0-A71E-44BE-8D53-95908F311F74}">
  <ds:schemaRefs>
    <ds:schemaRef ds:uri="http://www.w3.org/XML/1998/namespace"/>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3c9d8c27-8a6d-4d9e-a15e-ef5d28c114af"/>
    <ds:schemaRef ds:uri="2612a682-5ffb-4b9c-9555-01761893517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First Sheet</vt:lpstr>
      <vt:lpstr>Master Tab</vt:lpstr>
      <vt:lpstr>Finance Breakdown</vt:lpstr>
      <vt:lpstr>Assumptions</vt:lpstr>
      <vt:lpstr>Cost Report</vt:lpstr>
      <vt:lpstr>Pipeline 1</vt:lpstr>
      <vt:lpstr>Pipeline 2</vt:lpstr>
      <vt:lpstr>Queens Qt </vt:lpstr>
      <vt:lpstr>Demo 1</vt:lpstr>
      <vt:lpstr>Dropdown Values</vt:lpstr>
      <vt:lpstr>AFUDC</vt:lpstr>
      <vt:lpstr>Parcels</vt:lpstr>
      <vt:lpstr>'Cost Report'!Print_Area</vt:lpstr>
      <vt:lpstr>'Demo 1'!Print_Area</vt:lpstr>
      <vt:lpstr>'Finance Breakdown'!Print_Area</vt:lpstr>
      <vt:lpstr>'Master Tab'!Print_Area</vt:lpstr>
      <vt:lpstr>'Pipeline 1'!Print_Area</vt:lpstr>
      <vt:lpstr>'Pipeline 2'!Print_Area</vt:lpstr>
      <vt:lpstr>'Queens Qt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Exhibit 5.1(a) - Phase 1 Original Estimate</dc:subject>
  <dc:creator>Long, Garrett W.</dc:creator>
  <cp:lastModifiedBy>Sunderman, Minna</cp:lastModifiedBy>
  <cp:lastPrinted>2025-09-30T18:19:02Z</cp:lastPrinted>
  <dcterms:created xsi:type="dcterms:W3CDTF">2020-09-21T11:54:44Z</dcterms:created>
  <dcterms:modified xsi:type="dcterms:W3CDTF">2025-09-30T18:19:17Z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0x0101005C8F9251C502B146B2B676A4E4DCE5BB</vt:lpwstr>
  </property>
  <property fmtid="{D5CDD505-2E9C-101B-9397-08002B2CF9AE}" pid="3" name="tax_rate" linkTarget="prop_tax_rate">
    <vt:lpwstr>#REF!</vt:lpwstr>
  </property>
</Properties>
</file>