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defaultThemeVersion="166925"/>
  <mc:AlternateContent xmlns:mc="http://schemas.openxmlformats.org/markup-compatibility/2006">
    <mc:Choice Requires="x15">
      <x15ac:absPath xmlns:x15ac="http://schemas.microsoft.com/office/spreadsheetml/2010/11/ac" url="https://team.duke-energy.com/sites/OHKYRegDiscovery/KY/202500xxx DEK Rider PMM Phase 4 Application/Discovery/STAFF's 1st Set of Data Requests/STAFF-DR-01-005(b) Attachments/"/>
    </mc:Choice>
  </mc:AlternateContent>
  <xr:revisionPtr revIDLastSave="0" documentId="13_ncr:1_{B5FBD68B-1A2C-4159-A03F-76485730E49D}" xr6:coauthVersionLast="47" xr6:coauthVersionMax="47" xr10:uidLastSave="{00000000-0000-0000-0000-000000000000}"/>
  <bookViews>
    <workbookView xWindow="-120" yWindow="-120" windowWidth="29040" windowHeight="15720" firstSheet="6" activeTab="13" xr2:uid="{05B0F650-E780-479E-86BD-F9625817C56A}"/>
  </bookViews>
  <sheets>
    <sheet name="First Sheet" sheetId="24" r:id="rId1"/>
    <sheet name="Master Tab" sheetId="2" r:id="rId2"/>
    <sheet name="Estimate Uncertainty Tool" sheetId="23" r:id="rId3"/>
    <sheet name="Finance Breakdown" sheetId="22" r:id="rId4"/>
    <sheet name="Assumptions" sheetId="3" r:id="rId5"/>
    <sheet name="Cost Change Log" sheetId="4" r:id="rId6"/>
    <sheet name="Cost Report" sheetId="5" r:id="rId7"/>
    <sheet name="Pipeline 1" sheetId="6" r:id="rId8"/>
    <sheet name="Demo 1" sheetId="18" r:id="rId9"/>
    <sheet name="Dropdown Values" sheetId="26" r:id="rId10"/>
    <sheet name="EJ Questionaire" sheetId="36" r:id="rId11"/>
    <sheet name="PE Level of Risk Template" sheetId="27" r:id="rId12"/>
    <sheet name="R&amp;D Credit Potential" sheetId="38" r:id="rId13"/>
    <sheet name="AFUDC" sheetId="35" r:id="rId14"/>
  </sheets>
  <externalReferences>
    <externalReference r:id="rId15"/>
    <externalReference r:id="rId16"/>
    <externalReference r:id="rId17"/>
    <externalReference r:id="rId18"/>
    <externalReference r:id="rId19"/>
    <externalReference r:id="rId20"/>
    <externalReference r:id="rId21"/>
  </externalReferences>
  <definedNames>
    <definedName name="____W.O.R.K.B.O.O.K..C.O.N.T.E.N.T.S____" localSheetId="11">#REF!</definedName>
    <definedName name="____W.O.R.K.B.O.O.K..C.O.N.T.E.N.T.S____">#REF!</definedName>
    <definedName name="___INDEX_SHEET___ASAP_Utilities" localSheetId="11">#REF!</definedName>
    <definedName name="___INDEX_SHEET___ASAP_Utilities">#REF!</definedName>
    <definedName name="ActCurAFUDC2">#REF!</definedName>
    <definedName name="Approval" localSheetId="11">#REF!</definedName>
    <definedName name="Approval">#REF!</definedName>
    <definedName name="AssetLoc">'[1]Data for DropDowns'!$B$84:$B$92</definedName>
    <definedName name="Close" localSheetId="11">#REF!</definedName>
    <definedName name="Close">#REF!</definedName>
    <definedName name="Compliance_Impact" localSheetId="11">#REF!</definedName>
    <definedName name="Compliance_Impact">#REF!</definedName>
    <definedName name="Copy" localSheetId="11">#REF!</definedName>
    <definedName name="Copy">#REF!</definedName>
    <definedName name="Frequency">[2]DropDown_Elements!$A$2:$A$30</definedName>
    <definedName name="FundingType">'[3]Project Financials Input'!$K$15:$K$17</definedName>
    <definedName name="Initiation" localSheetId="11">#REF!</definedName>
    <definedName name="Initiation">#REF!</definedName>
    <definedName name="inservice_date">'[4]IRR Calc Input sht IG'!$H$10</definedName>
    <definedName name="Kd">'[4]IRR Calc Input sht IG'!$H$50</definedName>
    <definedName name="Ke">'[4]IRR Calc Input sht IG'!$H$48</definedName>
    <definedName name="LastActualsDate">'[5]Lookup Lists'!$B$2:$B$26</definedName>
    <definedName name="Legal_Entities" localSheetId="11">#REF!</definedName>
    <definedName name="Legal_Entities">#REF!</definedName>
    <definedName name="OperatingUnits">'[1]Data for DropDowns'!$B$159:$B$213</definedName>
    <definedName name="Pal_Workbook_GUID" hidden="1">"ZJ7P2TD1JKBJAXD5DEBV833R"</definedName>
    <definedName name="Parcels">'Dropdown Values'!$B$14:$B$17</definedName>
    <definedName name="Plotting" localSheetId="11">#REF!</definedName>
    <definedName name="Plotting">#REF!</definedName>
    <definedName name="_xlnm.Print_Area" localSheetId="6">'Cost Report'!$A$1:$J$38</definedName>
    <definedName name="_xlnm.Print_Area" localSheetId="8">'Demo 1'!$A$1:$I$58</definedName>
    <definedName name="_xlnm.Print_Area" localSheetId="9">'Dropdown Values'!$A$1:$C$32</definedName>
    <definedName name="_xlnm.Print_Area" localSheetId="2">'Estimate Uncertainty Tool'!$B$1:$G$47</definedName>
    <definedName name="_xlnm.Print_Area" localSheetId="1">'Master Tab'!$A$4:$D$35</definedName>
    <definedName name="_xlnm.Print_Area" localSheetId="7">'Pipeline 1'!$A$1:$I$210</definedName>
    <definedName name="Priority" localSheetId="11">'[6]Action Item Log'!#REF!</definedName>
    <definedName name="Priority">'[6]Action Item Log'!#REF!</definedName>
    <definedName name="Probability" localSheetId="11">#REF!</definedName>
    <definedName name="Probability">#REF!</definedName>
    <definedName name="ProcessList">'[7]Process Drop Down'!$A$8:$A$98</definedName>
    <definedName name="ProjectClass">'[1]Data for DropDowns'!$B$104:$B$155</definedName>
    <definedName name="ProjectRank">#REF!</definedName>
    <definedName name="ProjRank">#REF!</definedName>
    <definedName name="prop_tax_rate">'[4]IRR Calc Input sht IG'!$H$60</definedName>
    <definedName name="Risk_Types" localSheetId="11">#REF!</definedName>
    <definedName name="Risk_Types">#REF!</definedName>
    <definedName name="Site">#REF!</definedName>
    <definedName name="Sites">'[5]Lookup Lists'!$D$3:$D$8</definedName>
    <definedName name="start_date">'[4]IRR Calc Input sht IG'!$H$9</definedName>
    <definedName name="Status" localSheetId="11">#REF!</definedName>
    <definedName name="Status">#REF!</definedName>
    <definedName name="tax_rate">'[4]IRR Calc Input sht IG'!$H$51</definedName>
    <definedName name="TC_Impact" localSheetId="11">#REF!</definedName>
    <definedName name="TC_Impact">#REF!</definedName>
    <definedName name="TDCategory">'[1]Data for DropDowns'!$B$29:$B$71</definedName>
    <definedName name="test" localSheetId="11">#REF!</definedName>
    <definedName name="test">#REF!</definedName>
    <definedName name="Treatment" localSheetId="11">#REF!</definedName>
    <definedName name="Treatment">#REF!</definedName>
    <definedName name="Val_Date" localSheetId="11">#REF!</definedName>
    <definedName name="Val_Date">#REF!</definedName>
    <definedName name="wacc">'[4]IRR Calc Input sht IG'!$H$52</definedName>
    <definedName name="We">'[4]IRR Calc Input sht IG'!$H$49</definedName>
    <definedName name="YESNO">'[1]Data for DropDowns'!$B$77:$B$79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38" i="6" l="1"/>
  <c r="F137" i="6"/>
  <c r="H33" i="6" l="1"/>
  <c r="H196" i="6" l="1"/>
  <c r="H195" i="6"/>
  <c r="H194" i="6"/>
  <c r="D26" i="18"/>
  <c r="F148" i="6"/>
  <c r="D110" i="6"/>
  <c r="D88" i="6"/>
  <c r="D78" i="6"/>
  <c r="D76" i="6"/>
  <c r="D75" i="6"/>
  <c r="D69" i="6"/>
  <c r="D60" i="6"/>
  <c r="D49" i="6"/>
  <c r="D48" i="6"/>
  <c r="D46" i="6"/>
  <c r="D141" i="6" l="1"/>
  <c r="H180" i="6" l="1"/>
  <c r="H182" i="6"/>
  <c r="D98" i="6" l="1"/>
  <c r="D55" i="6"/>
  <c r="H188" i="6"/>
  <c r="H187" i="6"/>
  <c r="H183" i="6"/>
  <c r="D50" i="6"/>
  <c r="H193" i="6" l="1"/>
  <c r="F42" i="6"/>
  <c r="F21" i="6"/>
  <c r="F18" i="6"/>
  <c r="F15" i="6"/>
  <c r="F17" i="6"/>
  <c r="F12" i="6"/>
  <c r="F12" i="4"/>
  <c r="D9" i="38" l="1"/>
  <c r="B5" i="38"/>
  <c r="B4" i="38"/>
  <c r="D197" i="6" l="1"/>
  <c r="F201" i="6"/>
  <c r="D201" i="6"/>
  <c r="D168" i="6"/>
  <c r="D169" i="6" s="1"/>
  <c r="D111" i="6"/>
  <c r="D58" i="6"/>
  <c r="C38" i="5"/>
  <c r="G8" i="24"/>
  <c r="G6" i="24"/>
  <c r="F3" i="24"/>
  <c r="F4" i="24"/>
  <c r="F5" i="24"/>
  <c r="F6" i="24"/>
  <c r="F7" i="24"/>
  <c r="F8" i="24"/>
  <c r="F9" i="24"/>
  <c r="F10" i="24"/>
  <c r="F11" i="24"/>
  <c r="F12" i="24"/>
  <c r="F13" i="24"/>
  <c r="F14" i="24"/>
  <c r="F15" i="24"/>
  <c r="D13" i="24"/>
  <c r="D14" i="24"/>
  <c r="D15" i="24"/>
  <c r="B15" i="24"/>
  <c r="B3" i="24"/>
  <c r="B4" i="24"/>
  <c r="B5" i="24"/>
  <c r="B6" i="24"/>
  <c r="B7" i="24"/>
  <c r="B8" i="24"/>
  <c r="B9" i="24"/>
  <c r="B10" i="24"/>
  <c r="B11" i="24"/>
  <c r="B12" i="24"/>
  <c r="B13" i="24"/>
  <c r="B14" i="24"/>
  <c r="D203" i="6" l="1"/>
  <c r="H51" i="6"/>
  <c r="D56" i="18"/>
  <c r="F56" i="18"/>
  <c r="L30" i="5" l="1" a="1"/>
  <c r="L30" i="5" s="1"/>
  <c r="B5" i="5"/>
  <c r="L29" i="5" a="1"/>
  <c r="L29" i="5" s="1"/>
  <c r="B5" i="36" l="1"/>
  <c r="B4" i="36"/>
  <c r="D9" i="36"/>
  <c r="H40" i="18" l="1"/>
  <c r="H39" i="18"/>
  <c r="H38" i="18"/>
  <c r="H37" i="18"/>
  <c r="H36" i="18"/>
  <c r="H35" i="18"/>
  <c r="H34" i="18"/>
  <c r="H33" i="18"/>
  <c r="H32" i="18"/>
  <c r="H31" i="18"/>
  <c r="H30" i="18"/>
  <c r="H29" i="18"/>
  <c r="H28" i="18"/>
  <c r="H27" i="18"/>
  <c r="H26" i="18"/>
  <c r="H25" i="18"/>
  <c r="H24" i="18"/>
  <c r="H63" i="6" l="1"/>
  <c r="H200" i="6" l="1"/>
  <c r="H157" i="6"/>
  <c r="H152" i="6"/>
  <c r="H137" i="6"/>
  <c r="H167" i="6"/>
  <c r="H62" i="6"/>
  <c r="H162" i="6"/>
  <c r="H61" i="6"/>
  <c r="H64" i="6"/>
  <c r="H58" i="6" l="1"/>
  <c r="F57" i="18" l="1"/>
  <c r="A3" i="35" l="1"/>
  <c r="A4" i="35" s="1"/>
  <c r="A5" i="35" s="1"/>
  <c r="A6" i="35" s="1"/>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H202" i="6" l="1"/>
  <c r="H169" i="6"/>
  <c r="H168" i="6"/>
  <c r="H166" i="6"/>
  <c r="H165" i="6"/>
  <c r="H164" i="6"/>
  <c r="H163" i="6"/>
  <c r="H161" i="6"/>
  <c r="H160" i="6"/>
  <c r="H159" i="6"/>
  <c r="H158" i="6"/>
  <c r="H156" i="6"/>
  <c r="H155" i="6"/>
  <c r="H154" i="6"/>
  <c r="H153" i="6"/>
  <c r="H151" i="6"/>
  <c r="H150" i="6"/>
  <c r="H149" i="6"/>
  <c r="H148" i="6"/>
  <c r="H147" i="6"/>
  <c r="H146" i="6"/>
  <c r="H145" i="6"/>
  <c r="H144" i="6"/>
  <c r="H143" i="6"/>
  <c r="H142" i="6"/>
  <c r="H141" i="6"/>
  <c r="H140" i="6"/>
  <c r="H139" i="6"/>
  <c r="H138"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0" i="6"/>
  <c r="H59" i="6"/>
  <c r="H57" i="6"/>
  <c r="H56" i="6"/>
  <c r="H55" i="6"/>
  <c r="H54" i="6"/>
  <c r="H53" i="6"/>
  <c r="H52" i="6"/>
  <c r="H50" i="6"/>
  <c r="H49" i="6"/>
  <c r="H48" i="6"/>
  <c r="F47" i="6" l="1"/>
  <c r="H47" i="6" s="1"/>
  <c r="B2" i="18" l="1"/>
  <c r="C34" i="2"/>
  <c r="C33" i="2" l="1"/>
  <c r="E14" i="24"/>
  <c r="E12" i="24"/>
  <c r="E13" i="24"/>
  <c r="E15" i="24"/>
  <c r="B2" i="6" l="1"/>
  <c r="H201" i="6" l="1"/>
  <c r="I45" i="27" l="1"/>
  <c r="H45" i="27"/>
  <c r="I44" i="27"/>
  <c r="H44" i="27"/>
  <c r="I43" i="27"/>
  <c r="H43" i="27"/>
  <c r="O42" i="27"/>
  <c r="I42" i="27"/>
  <c r="H42" i="27"/>
  <c r="O41" i="27"/>
  <c r="I41" i="27"/>
  <c r="H41" i="27"/>
  <c r="O40" i="27"/>
  <c r="I40" i="27"/>
  <c r="H40" i="27"/>
  <c r="O39" i="27"/>
  <c r="I39" i="27"/>
  <c r="H39" i="27"/>
  <c r="O38" i="27"/>
  <c r="I38" i="27"/>
  <c r="H38" i="27"/>
  <c r="O37" i="27"/>
  <c r="I37" i="27"/>
  <c r="H37" i="27"/>
  <c r="O36" i="27"/>
  <c r="I36" i="27"/>
  <c r="H36" i="27"/>
  <c r="O35" i="27"/>
  <c r="I35" i="27"/>
  <c r="H35" i="27"/>
  <c r="O34" i="27"/>
  <c r="I34" i="27"/>
  <c r="H34" i="27"/>
  <c r="O33" i="27"/>
  <c r="I33" i="27"/>
  <c r="H33" i="27"/>
  <c r="O32" i="27"/>
  <c r="I32" i="27"/>
  <c r="H32" i="27"/>
  <c r="O31" i="27"/>
  <c r="I31" i="27"/>
  <c r="H31" i="27"/>
  <c r="I30" i="27"/>
  <c r="H30" i="27"/>
  <c r="I29" i="27"/>
  <c r="H29" i="27"/>
  <c r="I28" i="27"/>
  <c r="H28" i="27"/>
  <c r="A28" i="27"/>
  <c r="A29" i="27" s="1"/>
  <c r="A30" i="27" s="1"/>
  <c r="A31" i="27" s="1"/>
  <c r="A32" i="27" s="1"/>
  <c r="A33" i="27" s="1"/>
  <c r="A34" i="27" s="1"/>
  <c r="A35" i="27" s="1"/>
  <c r="A36" i="27" s="1"/>
  <c r="A37" i="27" s="1"/>
  <c r="A38" i="27" s="1"/>
  <c r="A39" i="27" s="1"/>
  <c r="A40" i="27" s="1"/>
  <c r="A41" i="27" s="1"/>
  <c r="A42" i="27" s="1"/>
  <c r="A43" i="27" s="1"/>
  <c r="A44" i="27" s="1"/>
  <c r="A45" i="27" s="1"/>
  <c r="I27" i="27"/>
  <c r="H27" i="27"/>
  <c r="I26" i="27"/>
  <c r="H26" i="27"/>
  <c r="I25" i="27"/>
  <c r="H25" i="27"/>
  <c r="I23" i="27"/>
  <c r="H23" i="27"/>
  <c r="I22" i="27"/>
  <c r="H22" i="27"/>
  <c r="I21" i="27"/>
  <c r="H21" i="27"/>
  <c r="I20" i="27"/>
  <c r="H20" i="27"/>
  <c r="I19" i="27"/>
  <c r="H19" i="27"/>
  <c r="I17" i="27"/>
  <c r="H17" i="27"/>
  <c r="I16" i="27"/>
  <c r="H16" i="27"/>
  <c r="I15" i="27"/>
  <c r="H15" i="27"/>
  <c r="I14" i="27"/>
  <c r="H14" i="27"/>
  <c r="I13" i="27"/>
  <c r="H13" i="27"/>
  <c r="I11" i="27"/>
  <c r="H11" i="27"/>
  <c r="I10" i="27"/>
  <c r="H10" i="27"/>
  <c r="I9" i="27"/>
  <c r="H9" i="27"/>
  <c r="I8" i="27"/>
  <c r="H8" i="27"/>
  <c r="I7" i="27"/>
  <c r="H7" i="27"/>
  <c r="I6" i="27"/>
  <c r="H6" i="27"/>
  <c r="I5" i="27"/>
  <c r="H5" i="27"/>
  <c r="H46" i="27" l="1"/>
  <c r="S12" i="27" s="1"/>
  <c r="I46" i="27"/>
  <c r="O14" i="27" s="1"/>
  <c r="R12" i="27"/>
  <c r="Q11" i="27"/>
  <c r="S13" i="27" l="1"/>
  <c r="Q10" i="27"/>
  <c r="R11" i="27"/>
  <c r="R10" i="27"/>
  <c r="S11" i="27"/>
  <c r="O27" i="27" s="1"/>
  <c r="O43" i="27" s="1"/>
  <c r="Q12" i="27"/>
  <c r="O28" i="27" s="1"/>
  <c r="O44" i="27" s="1"/>
  <c r="O13" i="27"/>
  <c r="P13" i="27"/>
  <c r="Q14" i="27"/>
  <c r="P12" i="27"/>
  <c r="P10" i="27"/>
  <c r="P14" i="27"/>
  <c r="R13" i="27"/>
  <c r="S10" i="27"/>
  <c r="O12" i="27"/>
  <c r="S14" i="27"/>
  <c r="Q13" i="27"/>
  <c r="O10" i="27"/>
  <c r="R14" i="27"/>
  <c r="P11" i="27"/>
  <c r="O11" i="27"/>
  <c r="O30" i="27" l="1"/>
  <c r="O29" i="27"/>
  <c r="O45" i="27" s="1"/>
  <c r="Q63" i="27"/>
  <c r="R63" i="27" s="1"/>
  <c r="H40" i="6"/>
  <c r="F35" i="6"/>
  <c r="F34" i="6"/>
  <c r="F32" i="6"/>
  <c r="H203" i="6" l="1"/>
  <c r="F2" i="24" l="1"/>
  <c r="C7" i="5" l="1"/>
  <c r="B6" i="5"/>
  <c r="H19" i="18" l="1"/>
  <c r="I14" i="5" s="1"/>
  <c r="H18" i="18"/>
  <c r="H17" i="18"/>
  <c r="H16" i="18"/>
  <c r="I13" i="5" s="1"/>
  <c r="F37" i="6"/>
  <c r="H41" i="6"/>
  <c r="H31" i="6"/>
  <c r="H37" i="6" l="1"/>
  <c r="H35" i="6"/>
  <c r="G7" i="23" l="1"/>
  <c r="D3" i="24" l="1"/>
  <c r="D4" i="24"/>
  <c r="D5" i="24"/>
  <c r="D6" i="24"/>
  <c r="D7" i="24"/>
  <c r="D8" i="24"/>
  <c r="D9" i="24"/>
  <c r="D10" i="24"/>
  <c r="D11" i="24"/>
  <c r="D12" i="24"/>
  <c r="D2" i="24"/>
  <c r="B2" i="24"/>
  <c r="H198" i="6" l="1"/>
  <c r="H197" i="6"/>
  <c r="H192" i="6"/>
  <c r="H191" i="6"/>
  <c r="H189" i="6"/>
  <c r="H186" i="6"/>
  <c r="H184" i="6"/>
  <c r="H181" i="6"/>
  <c r="H179" i="6"/>
  <c r="H43" i="6"/>
  <c r="G15" i="5" s="1"/>
  <c r="H42" i="6"/>
  <c r="G14" i="5" s="1"/>
  <c r="H39" i="6"/>
  <c r="H38" i="6"/>
  <c r="H36" i="6"/>
  <c r="H34" i="6"/>
  <c r="H32" i="6"/>
  <c r="H30" i="6"/>
  <c r="H26" i="6"/>
  <c r="D6" i="6"/>
  <c r="H6" i="6" s="1"/>
  <c r="D5" i="6"/>
  <c r="H5" i="6" s="1"/>
  <c r="F204" i="6" l="1"/>
  <c r="H204" i="6" s="1"/>
  <c r="F205" i="6" s="1"/>
  <c r="G13" i="5"/>
  <c r="G12" i="5"/>
  <c r="I170" i="6"/>
  <c r="I44" i="6"/>
  <c r="I7" i="6"/>
  <c r="H205" i="6" l="1"/>
  <c r="I206" i="6" s="1"/>
  <c r="D174" i="6"/>
  <c r="H174" i="6" s="1"/>
  <c r="G20" i="5" s="1"/>
  <c r="D173" i="6"/>
  <c r="H173" i="6" s="1"/>
  <c r="G19" i="5" s="1"/>
  <c r="G17" i="5"/>
  <c r="D6" i="18"/>
  <c r="D5" i="18"/>
  <c r="H11" i="6" l="1"/>
  <c r="H13" i="6"/>
  <c r="H12" i="6"/>
  <c r="H19" i="6"/>
  <c r="H15" i="6"/>
  <c r="H24" i="6"/>
  <c r="H22" i="6"/>
  <c r="H25" i="6"/>
  <c r="H18" i="6"/>
  <c r="H17" i="6"/>
  <c r="H16" i="6"/>
  <c r="H10" i="6"/>
  <c r="H14" i="6"/>
  <c r="G16" i="5"/>
  <c r="H21" i="6"/>
  <c r="H20" i="6"/>
  <c r="H23" i="6"/>
  <c r="I175" i="6"/>
  <c r="E3" i="24"/>
  <c r="E11" i="24"/>
  <c r="E9" i="24"/>
  <c r="E4" i="24"/>
  <c r="E7" i="24"/>
  <c r="E10" i="24"/>
  <c r="E5" i="24"/>
  <c r="E2" i="24"/>
  <c r="E6" i="24"/>
  <c r="E8" i="24"/>
  <c r="G5" i="23"/>
  <c r="D5" i="23"/>
  <c r="C14" i="23"/>
  <c r="I27" i="6" l="1"/>
  <c r="I207" i="6" s="1"/>
  <c r="B18" i="23"/>
  <c r="B17" i="23"/>
  <c r="C18" i="23"/>
  <c r="C17" i="23"/>
  <c r="B15" i="23"/>
  <c r="C16" i="23"/>
  <c r="B20" i="23"/>
  <c r="B16" i="23"/>
  <c r="B13" i="23"/>
  <c r="B14" i="23"/>
  <c r="A14" i="23" s="1"/>
  <c r="C15" i="23"/>
  <c r="C21" i="23"/>
  <c r="B19" i="23"/>
  <c r="C20" i="23"/>
  <c r="C19" i="23"/>
  <c r="B21" i="23"/>
  <c r="C13" i="23"/>
  <c r="A13" i="23" l="1"/>
  <c r="A19" i="23"/>
  <c r="A18" i="23"/>
  <c r="A20" i="23"/>
  <c r="A17" i="23"/>
  <c r="A15" i="23"/>
  <c r="A16" i="23"/>
  <c r="A21" i="23"/>
  <c r="H51" i="18" l="1"/>
  <c r="H50" i="18"/>
  <c r="H49" i="18"/>
  <c r="F52" i="18" s="1"/>
  <c r="H12" i="18"/>
  <c r="H52" i="18" l="1"/>
  <c r="F53" i="18" s="1"/>
  <c r="D13" i="5"/>
  <c r="D15" i="5"/>
  <c r="D14" i="5"/>
  <c r="I20" i="18"/>
  <c r="D12" i="5" l="1"/>
  <c r="G9" i="24" s="1"/>
  <c r="F209" i="6" l="1"/>
  <c r="I209" i="6" s="1"/>
  <c r="F208" i="6"/>
  <c r="D208" i="6"/>
  <c r="I208" i="6" l="1"/>
  <c r="I210" i="6" s="1"/>
  <c r="C22" i="22"/>
  <c r="C23" i="22"/>
  <c r="C21" i="22"/>
  <c r="B4" i="22"/>
  <c r="B2" i="22"/>
  <c r="H53" i="18" l="1"/>
  <c r="I54" i="18" s="1"/>
  <c r="I2" i="18"/>
  <c r="C1" i="18"/>
  <c r="I2" i="6"/>
  <c r="C2" i="6"/>
  <c r="C1" i="6"/>
  <c r="I16" i="5" l="1"/>
  <c r="F23" i="18"/>
  <c r="H23" i="18" s="1"/>
  <c r="I41" i="18" s="1"/>
  <c r="D10" i="18" s="1"/>
  <c r="D44" i="18" l="1"/>
  <c r="H44" i="18" s="1"/>
  <c r="I19" i="5" s="1"/>
  <c r="I17" i="5"/>
  <c r="H10" i="18"/>
  <c r="H45" i="18"/>
  <c r="I20" i="5" s="1"/>
  <c r="D11" i="18"/>
  <c r="H11" i="18" s="1"/>
  <c r="G15" i="24" l="1"/>
  <c r="F20" i="5"/>
  <c r="D20" i="5"/>
  <c r="I13" i="18"/>
  <c r="D18" i="5"/>
  <c r="D16" i="5"/>
  <c r="G11" i="24" s="1"/>
  <c r="F14" i="23"/>
  <c r="G14" i="23" s="1"/>
  <c r="I46" i="18"/>
  <c r="I11" i="5" l="1"/>
  <c r="D17" i="5"/>
  <c r="F15" i="23"/>
  <c r="G15" i="23" s="1"/>
  <c r="E14" i="23"/>
  <c r="H6" i="18"/>
  <c r="I22" i="5" s="1"/>
  <c r="H5" i="18"/>
  <c r="I21" i="5" s="1"/>
  <c r="G11" i="5"/>
  <c r="F16" i="23" l="1"/>
  <c r="G16" i="23" s="1"/>
  <c r="D19" i="5"/>
  <c r="G7" i="24" s="1"/>
  <c r="E15" i="23"/>
  <c r="D11" i="5"/>
  <c r="G5" i="24" s="1"/>
  <c r="I7" i="18"/>
  <c r="G22" i="5"/>
  <c r="G21" i="5"/>
  <c r="I56" i="18" l="1"/>
  <c r="I25" i="5" s="1"/>
  <c r="E16" i="23"/>
  <c r="I55" i="18"/>
  <c r="I57" i="18" s="1"/>
  <c r="D21" i="5"/>
  <c r="G14" i="24" s="1"/>
  <c r="F13" i="23"/>
  <c r="G13" i="23" s="1"/>
  <c r="F17" i="23"/>
  <c r="G17" i="23" s="1"/>
  <c r="D22" i="5"/>
  <c r="G12" i="24" s="1"/>
  <c r="E13" i="23" l="1"/>
  <c r="E17" i="23"/>
  <c r="D23" i="5"/>
  <c r="F18" i="23"/>
  <c r="E18" i="23" s="1"/>
  <c r="I58" i="18"/>
  <c r="I24" i="5"/>
  <c r="I30" i="5" s="1"/>
  <c r="G25" i="5"/>
  <c r="D25" i="5" l="1"/>
  <c r="G18" i="23"/>
  <c r="F19" i="23"/>
  <c r="G24" i="5"/>
  <c r="G30" i="5" s="1"/>
  <c r="C6" i="22" l="1"/>
  <c r="E19" i="23"/>
  <c r="G19" i="23"/>
  <c r="I213" i="6"/>
  <c r="D24" i="5" l="1"/>
  <c r="G4" i="24" s="1"/>
  <c r="D30" i="5"/>
  <c r="G13" i="24" s="1"/>
  <c r="I212" i="6"/>
  <c r="B3" i="5"/>
  <c r="B2" i="5"/>
  <c r="I31" i="5"/>
  <c r="I26" i="5"/>
  <c r="I23" i="5"/>
  <c r="G26" i="5"/>
  <c r="G23" i="5"/>
  <c r="F30" i="5"/>
  <c r="F25" i="5"/>
  <c r="F24" i="5"/>
  <c r="F22" i="5"/>
  <c r="F21" i="5"/>
  <c r="C8" i="22" s="1"/>
  <c r="F19" i="5"/>
  <c r="F18" i="5"/>
  <c r="G2" i="24" s="1"/>
  <c r="F17" i="5"/>
  <c r="G3" i="24" s="1"/>
  <c r="F16" i="5"/>
  <c r="C7" i="22" s="1"/>
  <c r="F15" i="5"/>
  <c r="F14" i="5"/>
  <c r="F13" i="5"/>
  <c r="F12" i="5"/>
  <c r="C9" i="22" s="1"/>
  <c r="F11" i="5"/>
  <c r="F21" i="23" l="1"/>
  <c r="G21" i="23" s="1"/>
  <c r="I28" i="5"/>
  <c r="I32" i="5" s="1"/>
  <c r="F23" i="5"/>
  <c r="B4" i="35" s="1"/>
  <c r="C13" i="22"/>
  <c r="F26" i="5"/>
  <c r="C10" i="22"/>
  <c r="D26" i="5"/>
  <c r="G28" i="5"/>
  <c r="B4" i="4"/>
  <c r="J6" i="4"/>
  <c r="G5" i="3"/>
  <c r="A4" i="3"/>
  <c r="A1" i="3"/>
  <c r="B5" i="35" l="1"/>
  <c r="B13" i="35"/>
  <c r="B21" i="35"/>
  <c r="B29" i="35"/>
  <c r="B37" i="35"/>
  <c r="B45" i="35"/>
  <c r="B41" i="35"/>
  <c r="B26" i="35"/>
  <c r="B19" i="35"/>
  <c r="B28" i="35"/>
  <c r="B6" i="35"/>
  <c r="B14" i="35"/>
  <c r="B22" i="35"/>
  <c r="B30" i="35"/>
  <c r="B38" i="35"/>
  <c r="B46" i="35"/>
  <c r="B33" i="35"/>
  <c r="B18" i="35"/>
  <c r="B11" i="35"/>
  <c r="B36" i="35"/>
  <c r="B7" i="35"/>
  <c r="B15" i="35"/>
  <c r="B23" i="35"/>
  <c r="B31" i="35"/>
  <c r="B39" i="35"/>
  <c r="B47" i="35"/>
  <c r="B25" i="35"/>
  <c r="B34" i="35"/>
  <c r="B35" i="35"/>
  <c r="B12" i="35"/>
  <c r="B44" i="35"/>
  <c r="B8" i="35"/>
  <c r="B16" i="35"/>
  <c r="B24" i="35"/>
  <c r="B32" i="35"/>
  <c r="B40" i="35"/>
  <c r="B48" i="35"/>
  <c r="B17" i="35"/>
  <c r="B42" i="35"/>
  <c r="B27" i="35"/>
  <c r="B20" i="35"/>
  <c r="B9" i="35"/>
  <c r="B43" i="35"/>
  <c r="B10" i="35"/>
  <c r="E21" i="23"/>
  <c r="F28" i="5"/>
  <c r="C11" i="22"/>
  <c r="C14" i="22" s="1"/>
  <c r="C18" i="22" s="1"/>
  <c r="D28" i="5"/>
  <c r="D4" i="35" l="1"/>
  <c r="E4" i="35" s="1"/>
  <c r="F4" i="35" s="1"/>
  <c r="C4" i="35"/>
  <c r="C5" i="35" s="1"/>
  <c r="C6" i="35" s="1"/>
  <c r="C7" i="35" s="1"/>
  <c r="C8" i="35" s="1"/>
  <c r="C9" i="35" s="1"/>
  <c r="C10" i="35" s="1"/>
  <c r="C11" i="35" s="1"/>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C32" i="35" s="1"/>
  <c r="C33" i="35" s="1"/>
  <c r="C34" i="35" s="1"/>
  <c r="C35" i="35" s="1"/>
  <c r="C36" i="35" s="1"/>
  <c r="C37" i="35" s="1"/>
  <c r="C38" i="35" s="1"/>
  <c r="C39" i="35" s="1"/>
  <c r="C40" i="35" s="1"/>
  <c r="C41" i="35" s="1"/>
  <c r="C42" i="35" s="1"/>
  <c r="C43" i="35" s="1"/>
  <c r="C44" i="35" s="1"/>
  <c r="C45" i="35" s="1"/>
  <c r="C46" i="35" s="1"/>
  <c r="C47" i="35" s="1"/>
  <c r="C48" i="35" s="1"/>
  <c r="D16" i="35" l="1"/>
  <c r="E16" i="35" s="1"/>
  <c r="D35" i="35"/>
  <c r="E35" i="35" s="1"/>
  <c r="D6" i="35"/>
  <c r="E6" i="35" s="1"/>
  <c r="D43" i="35"/>
  <c r="E43" i="35" s="1"/>
  <c r="D7" i="35"/>
  <c r="E7" i="35" s="1"/>
  <c r="D20" i="35"/>
  <c r="E20" i="35" s="1"/>
  <c r="D30" i="35"/>
  <c r="E30" i="35" s="1"/>
  <c r="D34" i="35"/>
  <c r="E34" i="35" s="1"/>
  <c r="D13" i="35"/>
  <c r="E13" i="35" s="1"/>
  <c r="D8" i="35"/>
  <c r="E8" i="35" s="1"/>
  <c r="D25" i="35"/>
  <c r="E25" i="35" s="1"/>
  <c r="D24" i="35"/>
  <c r="E24" i="35" s="1"/>
  <c r="D11" i="35"/>
  <c r="E11" i="35" s="1"/>
  <c r="D23" i="35"/>
  <c r="E23" i="35" s="1"/>
  <c r="D31" i="35"/>
  <c r="E31" i="35" s="1"/>
  <c r="D38" i="35"/>
  <c r="E38" i="35" s="1"/>
  <c r="D17" i="35"/>
  <c r="E17" i="35" s="1"/>
  <c r="D32" i="35"/>
  <c r="E32" i="35" s="1"/>
  <c r="D29" i="35"/>
  <c r="E29" i="35" s="1"/>
  <c r="D19" i="35"/>
  <c r="E19" i="35" s="1"/>
  <c r="D37" i="35"/>
  <c r="E37" i="35" s="1"/>
  <c r="D27" i="35"/>
  <c r="E27" i="35" s="1"/>
  <c r="D9" i="35"/>
  <c r="E9" i="35" s="1"/>
  <c r="D33" i="35"/>
  <c r="E33" i="35" s="1"/>
  <c r="D14" i="35"/>
  <c r="E14" i="35" s="1"/>
  <c r="D10" i="35"/>
  <c r="E10" i="35" s="1"/>
  <c r="D18" i="35"/>
  <c r="E18" i="35" s="1"/>
  <c r="D44" i="35"/>
  <c r="E44" i="35" s="1"/>
  <c r="D26" i="35"/>
  <c r="E26" i="35" s="1"/>
  <c r="D47" i="35"/>
  <c r="E47" i="35" s="1"/>
  <c r="D39" i="35"/>
  <c r="E39" i="35" s="1"/>
  <c r="D46" i="35"/>
  <c r="E46" i="35" s="1"/>
  <c r="D48" i="35"/>
  <c r="E48" i="35" s="1"/>
  <c r="D40" i="35"/>
  <c r="E40" i="35" s="1"/>
  <c r="D12" i="35"/>
  <c r="E12" i="35" s="1"/>
  <c r="D36" i="35"/>
  <c r="E36" i="35" s="1"/>
  <c r="D28" i="35"/>
  <c r="E28" i="35" s="1"/>
  <c r="D15" i="35"/>
  <c r="E15" i="35" s="1"/>
  <c r="D41" i="35"/>
  <c r="E41" i="35" s="1"/>
  <c r="D22" i="35"/>
  <c r="E22" i="35" s="1"/>
  <c r="D21" i="35"/>
  <c r="E21" i="35" s="1"/>
  <c r="D42" i="35"/>
  <c r="E42" i="35" s="1"/>
  <c r="D5" i="35"/>
  <c r="E5" i="35" s="1"/>
  <c r="F5" i="35" s="1"/>
  <c r="D45" i="35"/>
  <c r="E45" i="35" s="1"/>
  <c r="F6" i="35" l="1"/>
  <c r="F7" i="35" s="1"/>
  <c r="F8" i="35" s="1"/>
  <c r="F9" i="35" s="1"/>
  <c r="F10" i="35" s="1"/>
  <c r="F11" i="35" s="1"/>
  <c r="F12" i="35" s="1"/>
  <c r="F13" i="35" s="1"/>
  <c r="F14" i="35" s="1"/>
  <c r="F15" i="35" s="1"/>
  <c r="F16" i="35" s="1"/>
  <c r="F17" i="35" s="1"/>
  <c r="F18" i="35" s="1"/>
  <c r="F19" i="35" s="1"/>
  <c r="F20" i="35" s="1"/>
  <c r="F49" i="35" l="1"/>
  <c r="F21" i="35"/>
  <c r="F22" i="35" s="1"/>
  <c r="F23" i="35" s="1"/>
  <c r="F24" i="35" s="1"/>
  <c r="F25" i="35" s="1"/>
  <c r="F26" i="35" s="1"/>
  <c r="F27" i="35" s="1"/>
  <c r="F28" i="35" s="1"/>
  <c r="F29" i="35" s="1"/>
  <c r="F30" i="35" s="1"/>
  <c r="F31" i="35" s="1"/>
  <c r="F32" i="35" s="1"/>
  <c r="F33" i="35" s="1"/>
  <c r="F34" i="35" s="1"/>
  <c r="F50" i="35" l="1"/>
  <c r="F35" i="35"/>
  <c r="F36" i="35" s="1"/>
  <c r="F37" i="35" s="1"/>
  <c r="F38" i="35" s="1"/>
  <c r="F39" i="35" s="1"/>
  <c r="F40" i="35" s="1"/>
  <c r="F41" i="35" s="1"/>
  <c r="F42" i="35" s="1"/>
  <c r="F43" i="35" s="1"/>
  <c r="F44" i="35" s="1"/>
  <c r="F45" i="35" s="1"/>
  <c r="F46" i="35" s="1"/>
  <c r="F47" i="35" s="1"/>
  <c r="F48" i="35" s="1"/>
  <c r="F51" i="35" s="1"/>
  <c r="G29" i="5" l="1"/>
  <c r="G31" i="5" s="1"/>
  <c r="D29" i="5" l="1"/>
  <c r="G10" i="24" s="1"/>
  <c r="F29" i="5"/>
  <c r="F31" i="5" s="1"/>
  <c r="F32" i="5" s="1"/>
  <c r="G32" i="5"/>
  <c r="D31" i="5" l="1"/>
  <c r="D32" i="5" s="1"/>
  <c r="G12" i="4" s="1"/>
  <c r="H12" i="4" s="1"/>
  <c r="F20" i="23"/>
  <c r="E20" i="23" s="1"/>
  <c r="E22" i="23" s="1"/>
  <c r="F22" i="23" l="1"/>
  <c r="K28" i="23" s="1"/>
  <c r="G20" i="23"/>
  <c r="G22" i="23" s="1"/>
  <c r="K24" i="23" s="1"/>
  <c r="E27" i="23"/>
  <c r="K22" i="23"/>
  <c r="K23" i="23" l="1"/>
  <c r="K25" i="23" s="1"/>
  <c r="K26" i="23" s="1"/>
  <c r="K29" i="23" s="1"/>
  <c r="K31" i="23"/>
  <c r="F25" i="23"/>
  <c r="F26" i="23" s="1"/>
  <c r="F27" i="23" s="1"/>
  <c r="E29" i="23" s="1"/>
  <c r="G27" i="23"/>
  <c r="C24" i="23" l="1"/>
  <c r="G29"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Steven Holmes</author>
  </authors>
  <commentList>
    <comment ref="B12" authorId="0" shapeId="0" xr:uid="{00000000-0006-0000-0100-000001000000}">
      <text>
        <r>
          <rPr>
            <b/>
            <sz val="9"/>
            <color indexed="81"/>
            <rFont val="Tahoma"/>
            <family val="2"/>
          </rPr>
          <t>PMCoE:</t>
        </r>
        <r>
          <rPr>
            <sz val="9"/>
            <color indexed="81"/>
            <rFont val="Tahoma"/>
            <family val="2"/>
          </rPr>
          <t xml:space="preserve">
The </t>
        </r>
        <r>
          <rPr>
            <b/>
            <sz val="9"/>
            <color indexed="81"/>
            <rFont val="Tahoma"/>
            <family val="2"/>
          </rPr>
          <t>maximum</t>
        </r>
        <r>
          <rPr>
            <sz val="9"/>
            <color indexed="81"/>
            <rFont val="Tahoma"/>
            <family val="2"/>
          </rPr>
          <t xml:space="preserve"> allowable value in the -% Informed Range Column is 0%</t>
        </r>
      </text>
    </comment>
    <comment ref="C12" authorId="0" shapeId="0" xr:uid="{00000000-0006-0000-0100-000002000000}">
      <text>
        <r>
          <rPr>
            <b/>
            <sz val="9"/>
            <color indexed="81"/>
            <rFont val="Tahoma"/>
            <family val="2"/>
          </rPr>
          <t>PMCoE:</t>
        </r>
        <r>
          <rPr>
            <sz val="9"/>
            <color indexed="81"/>
            <rFont val="Tahoma"/>
            <family val="2"/>
          </rPr>
          <t xml:space="preserve">
The </t>
        </r>
        <r>
          <rPr>
            <b/>
            <sz val="9"/>
            <color indexed="81"/>
            <rFont val="Tahoma"/>
            <family val="2"/>
          </rPr>
          <t>minimum</t>
        </r>
        <r>
          <rPr>
            <sz val="9"/>
            <color indexed="81"/>
            <rFont val="Tahoma"/>
            <family val="2"/>
          </rPr>
          <t xml:space="preserve"> allowable value in the +% Informed Range Column is 0%</t>
        </r>
      </text>
    </comment>
    <comment ref="A13" authorId="0" shapeId="0" xr:uid="{00000000-0006-0000-0100-000003000000}">
      <text>
        <r>
          <rPr>
            <b/>
            <sz val="9"/>
            <color indexed="81"/>
            <rFont val="Tahoma"/>
            <family val="2"/>
          </rPr>
          <t>PMCoE:</t>
        </r>
        <r>
          <rPr>
            <sz val="9"/>
            <color indexed="81"/>
            <rFont val="Tahoma"/>
            <family val="2"/>
          </rPr>
          <t xml:space="preserve">
Note that any items highlighted red require correction.</t>
        </r>
      </text>
    </comment>
    <comment ref="A14" authorId="0" shapeId="0" xr:uid="{00000000-0006-0000-0100-000004000000}">
      <text>
        <r>
          <rPr>
            <b/>
            <sz val="9"/>
            <color indexed="81"/>
            <rFont val="Tahoma"/>
            <family val="2"/>
          </rPr>
          <t>PMCoE:</t>
        </r>
        <r>
          <rPr>
            <sz val="9"/>
            <color indexed="81"/>
            <rFont val="Tahoma"/>
            <family val="2"/>
          </rPr>
          <t xml:space="preserve">
Note that any items highlighted red require correction.</t>
        </r>
      </text>
    </comment>
    <comment ref="A15" authorId="0" shapeId="0" xr:uid="{10225B12-EC14-44A7-A2A1-6821CF2DE69C}">
      <text>
        <r>
          <rPr>
            <b/>
            <sz val="9"/>
            <color indexed="81"/>
            <rFont val="Tahoma"/>
            <family val="2"/>
          </rPr>
          <t>PMCoE:</t>
        </r>
        <r>
          <rPr>
            <sz val="9"/>
            <color indexed="81"/>
            <rFont val="Tahoma"/>
            <family val="2"/>
          </rPr>
          <t xml:space="preserve">
Note that any items highlighted red require correction.</t>
        </r>
      </text>
    </comment>
    <comment ref="A16" authorId="0" shapeId="0" xr:uid="{76B683A7-9C0A-4ECF-804B-49D3DF04CFBC}">
      <text>
        <r>
          <rPr>
            <b/>
            <sz val="9"/>
            <color indexed="81"/>
            <rFont val="Tahoma"/>
            <family val="2"/>
          </rPr>
          <t>PMCoE:</t>
        </r>
        <r>
          <rPr>
            <sz val="9"/>
            <color indexed="81"/>
            <rFont val="Tahoma"/>
            <family val="2"/>
          </rPr>
          <t xml:space="preserve">
Note that any items highlighted red require correction.</t>
        </r>
      </text>
    </comment>
    <comment ref="A17" authorId="0" shapeId="0" xr:uid="{D4AD576D-E96D-45D4-8C40-39F1B13CB1F7}">
      <text>
        <r>
          <rPr>
            <b/>
            <sz val="9"/>
            <color indexed="81"/>
            <rFont val="Tahoma"/>
            <family val="2"/>
          </rPr>
          <t>PMCoE:</t>
        </r>
        <r>
          <rPr>
            <sz val="9"/>
            <color indexed="81"/>
            <rFont val="Tahoma"/>
            <family val="2"/>
          </rPr>
          <t xml:space="preserve">
Note that any items highlighted red require correction.</t>
        </r>
      </text>
    </comment>
    <comment ref="A18" authorId="0" shapeId="0" xr:uid="{00000000-0006-0000-0100-000005000000}">
      <text>
        <r>
          <rPr>
            <b/>
            <sz val="9"/>
            <color indexed="81"/>
            <rFont val="Tahoma"/>
            <family val="2"/>
          </rPr>
          <t>PMCoE:</t>
        </r>
        <r>
          <rPr>
            <sz val="9"/>
            <color indexed="81"/>
            <rFont val="Tahoma"/>
            <family val="2"/>
          </rPr>
          <t xml:space="preserve">
Note that any items highlighted red require correction.</t>
        </r>
      </text>
    </comment>
    <comment ref="A19" authorId="0" shapeId="0" xr:uid="{00000000-0006-0000-0100-000006000000}">
      <text>
        <r>
          <rPr>
            <b/>
            <sz val="9"/>
            <color indexed="81"/>
            <rFont val="Tahoma"/>
            <family val="2"/>
          </rPr>
          <t>PMCoE:</t>
        </r>
        <r>
          <rPr>
            <sz val="9"/>
            <color indexed="81"/>
            <rFont val="Tahoma"/>
            <family val="2"/>
          </rPr>
          <t xml:space="preserve">
Note that any items highlighted red require correction.</t>
        </r>
      </text>
    </comment>
    <comment ref="A20" authorId="0" shapeId="0" xr:uid="{00000000-0006-0000-0100-000007000000}">
      <text>
        <r>
          <rPr>
            <b/>
            <sz val="9"/>
            <color indexed="81"/>
            <rFont val="Tahoma"/>
            <family val="2"/>
          </rPr>
          <t>PMCoE:</t>
        </r>
        <r>
          <rPr>
            <sz val="9"/>
            <color indexed="81"/>
            <rFont val="Tahoma"/>
            <family val="2"/>
          </rPr>
          <t xml:space="preserve">
Note that any items highlighted red require correction.</t>
        </r>
      </text>
    </comment>
    <comment ref="A21" authorId="0" shapeId="0" xr:uid="{00000000-0006-0000-0100-00000E000000}">
      <text>
        <r>
          <rPr>
            <b/>
            <sz val="9"/>
            <color indexed="81"/>
            <rFont val="Tahoma"/>
            <family val="2"/>
          </rPr>
          <t>PMCoE:</t>
        </r>
        <r>
          <rPr>
            <sz val="9"/>
            <color indexed="81"/>
            <rFont val="Tahoma"/>
            <family val="2"/>
          </rPr>
          <t xml:space="preserve">
Note that any items highlighted red require correction.</t>
        </r>
      </text>
    </comment>
    <comment ref="F25" authorId="0" shapeId="0" xr:uid="{00000000-0006-0000-0100-00000F000000}">
      <text>
        <r>
          <rPr>
            <b/>
            <sz val="9"/>
            <color indexed="81"/>
            <rFont val="Tahoma"/>
            <family val="2"/>
          </rPr>
          <t>PMCoE:</t>
        </r>
        <r>
          <rPr>
            <sz val="9"/>
            <color indexed="81"/>
            <rFont val="Tahoma"/>
            <family val="2"/>
          </rPr>
          <t xml:space="preserve">
ML is subtracted from the PERT formula to show only the Estimate Uncertainty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Johnson, Kevin S</author>
  </authors>
  <commentList>
    <comment ref="C30" authorId="0" shapeId="0" xr:uid="{E1DF8100-9A44-4CC5-8E49-8B2769691318}">
      <text>
        <r>
          <rPr>
            <b/>
            <sz val="9"/>
            <color indexed="81"/>
            <rFont val="Tahoma"/>
            <family val="2"/>
          </rPr>
          <t>Johnson, Kevin S:</t>
        </r>
        <r>
          <rPr>
            <sz val="9"/>
            <color indexed="81"/>
            <rFont val="Tahoma"/>
            <family val="2"/>
          </rPr>
          <t xml:space="preserve">
The intent is to recognize that a significant portion of the line is in a residential area
</t>
        </r>
      </text>
    </comment>
    <comment ref="C33" authorId="0" shapeId="0" xr:uid="{F65C3F62-46EC-49EE-B5BF-F662DE63F3B8}">
      <text>
        <r>
          <rPr>
            <b/>
            <sz val="9"/>
            <color indexed="81"/>
            <rFont val="Tahoma"/>
            <family val="2"/>
          </rPr>
          <t>Johnson, Kevin S:</t>
        </r>
        <r>
          <rPr>
            <sz val="9"/>
            <color indexed="81"/>
            <rFont val="Tahoma"/>
            <family val="2"/>
          </rPr>
          <t xml:space="preserve">
High = Full Clearing / Danger Tree Removal
Med = Side Trimming
Low = Bushhogging</t>
        </r>
      </text>
    </comment>
    <comment ref="C34" authorId="0" shapeId="0" xr:uid="{5A6C302B-740C-44B0-BB5A-50C330438817}">
      <text>
        <r>
          <rPr>
            <b/>
            <sz val="9"/>
            <color indexed="81"/>
            <rFont val="Tahoma"/>
            <family val="2"/>
          </rPr>
          <t xml:space="preserve">Johnson, Kevin S:
</t>
        </r>
        <r>
          <rPr>
            <sz val="9"/>
            <color indexed="81"/>
            <rFont val="Tahoma"/>
            <family val="2"/>
          </rPr>
          <t>Consider if the r/w will be returned to the property owner or retained by DE as a response to this question</t>
        </r>
      </text>
    </comment>
    <comment ref="C43" authorId="0" shapeId="0" xr:uid="{9FB37CA1-A7DF-4683-A392-3410E19095EE}">
      <text>
        <r>
          <rPr>
            <b/>
            <sz val="9"/>
            <color indexed="81"/>
            <rFont val="Tahoma"/>
            <family val="2"/>
          </rPr>
          <t>Johnson, Kevin S:</t>
        </r>
        <r>
          <rPr>
            <sz val="9"/>
            <color indexed="81"/>
            <rFont val="Tahoma"/>
            <family val="2"/>
          </rPr>
          <t xml:space="preserve">
Examples would include wetlands, swamps, endangered species, sensitive natural resources, etc.
</t>
        </r>
      </text>
    </comment>
    <comment ref="C44" authorId="0" shapeId="0" xr:uid="{44F54F8F-07BB-44DA-B403-DF1056A5610A}">
      <text>
        <r>
          <rPr>
            <b/>
            <sz val="9"/>
            <color indexed="81"/>
            <rFont val="Tahoma"/>
            <family val="2"/>
          </rPr>
          <t>Johnson, Kevin S:</t>
        </r>
        <r>
          <rPr>
            <sz val="9"/>
            <color indexed="81"/>
            <rFont val="Tahoma"/>
            <family val="2"/>
          </rPr>
          <t xml:space="preserve">
Examples of Sensitive Areas are National Forest, National / State / Local Park, Federal Land, Nature Preserve,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SOA7348</author>
    <author>McGuire, Andrew E</author>
  </authors>
  <commentList>
    <comment ref="A6" authorId="0" shapeId="0" xr:uid="{E26D8DE5-B309-47BA-BD42-F662E7E7270D}">
      <text>
        <r>
          <rPr>
            <i/>
            <sz val="8"/>
            <color indexed="16"/>
            <rFont val="Tahoma"/>
            <family val="2"/>
          </rPr>
          <t>Note: If this project has retirement components, omit all retirement related costs. AFUDC is applied only to capital (not capital retirement) projects.</t>
        </r>
      </text>
    </comment>
    <comment ref="A22" authorId="1" shapeId="0" xr:uid="{17C32BF6-A7AA-4CDC-8C35-09D8F10899FE}">
      <text>
        <r>
          <rPr>
            <sz val="9"/>
            <color indexed="81"/>
            <rFont val="Tahoma"/>
            <family val="2"/>
          </rPr>
          <t>For example, if this template will be used for an Advance, enter the date of the projected Planning Funding.  If filling out template for a Fully Funded or last phase of phased project, leave blank.</t>
        </r>
      </text>
    </comment>
    <comment ref="A23" authorId="1" shapeId="0" xr:uid="{85E2C42E-153A-456E-B50D-7C6B874EA832}">
      <text>
        <r>
          <rPr>
            <sz val="9"/>
            <color indexed="81"/>
            <rFont val="Tahoma"/>
            <family val="2"/>
          </rPr>
          <t xml:space="preserve">A project number should be placed into closure when all of the assets (i.e. units of property) it covers are either “ready for service” or (more commonly) “placed in service”. The fact that a project number will accept charges for several additional months after it is placed into closure is irrelevant. </t>
        </r>
      </text>
    </comment>
    <comment ref="D46" authorId="0" shapeId="0" xr:uid="{4B3509E0-FC58-4745-90DB-93D64661C8F2}">
      <text>
        <r>
          <rPr>
            <sz val="8"/>
            <color indexed="81"/>
            <rFont val="Tahoma"/>
            <family val="2"/>
          </rPr>
          <t>AFUDC compounding changes this month.</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<sst xmlns="http://schemas.openxmlformats.org/spreadsheetml/2006/main" count="1314" uniqueCount="799">
  <si>
    <t>Project Name</t>
  </si>
  <si>
    <t>Class 5</t>
  </si>
  <si>
    <t>Revision:</t>
  </si>
  <si>
    <t>A</t>
  </si>
  <si>
    <t>Yes</t>
  </si>
  <si>
    <t>No</t>
  </si>
  <si>
    <t>Engineering</t>
  </si>
  <si>
    <t xml:space="preserve"> </t>
  </si>
  <si>
    <t>Other</t>
  </si>
  <si>
    <t>Input here will populate each tab with common information so that it does not need to be input on each tab.</t>
  </si>
  <si>
    <t>Master Input Data</t>
  </si>
  <si>
    <t>Description</t>
  </si>
  <si>
    <t>User Input</t>
  </si>
  <si>
    <t>Notes</t>
  </si>
  <si>
    <t>Estimate Revision Number</t>
  </si>
  <si>
    <t>Change number on each draft to be sent out</t>
  </si>
  <si>
    <t>Date:</t>
  </si>
  <si>
    <t>Update with each revision</t>
  </si>
  <si>
    <t>Customer</t>
  </si>
  <si>
    <t>Project manager</t>
  </si>
  <si>
    <t>Modeler</t>
  </si>
  <si>
    <t>System Planning</t>
  </si>
  <si>
    <t>Lead Estimator</t>
  </si>
  <si>
    <t>Person who does the estimate</t>
  </si>
  <si>
    <t>Estimate Requested By</t>
  </si>
  <si>
    <t>Rate Requested</t>
  </si>
  <si>
    <t>firm, interruptible, etc.</t>
  </si>
  <si>
    <t>change unit of measure as needed</t>
  </si>
  <si>
    <t>Resource Center</t>
  </si>
  <si>
    <t>Estimate Type</t>
  </si>
  <si>
    <t>Length of Pipeline</t>
  </si>
  <si>
    <t>Add Sales tax ( PNG Materials Only)</t>
  </si>
  <si>
    <t>Input Percentage - Will automatically apply to materials</t>
  </si>
  <si>
    <t>Pipe Size</t>
  </si>
  <si>
    <t>Estimate Steps</t>
  </si>
  <si>
    <t>Input information above - this transfers to headers on individual tabs</t>
  </si>
  <si>
    <t>Write Project description on the Review Format Tab (This can be updated as estimating progresses)</t>
  </si>
  <si>
    <t>Enter Pipe quantities on the Quantities Tab, enter quantities of HDD etc.</t>
  </si>
  <si>
    <t>Delivery Pressure (PSIG)</t>
  </si>
  <si>
    <t>Hourly Flow (MCFH)</t>
  </si>
  <si>
    <t>Notes and Assumptions</t>
  </si>
  <si>
    <t>Estimate Revision:</t>
  </si>
  <si>
    <t>This is to document the changes requested in the estimate from reviews.</t>
  </si>
  <si>
    <t>Revision</t>
  </si>
  <si>
    <t>Piedmont Natural Gas</t>
  </si>
  <si>
    <t>Estimate Change Log</t>
  </si>
  <si>
    <t>Item</t>
  </si>
  <si>
    <t>Date</t>
  </si>
  <si>
    <t>Price Before Change</t>
  </si>
  <si>
    <t>Price After Change</t>
  </si>
  <si>
    <t>Change Amount</t>
  </si>
  <si>
    <t>Estimate Changed By:</t>
  </si>
  <si>
    <t>XX/XX/XX</t>
  </si>
  <si>
    <t>Starting Estimate</t>
  </si>
  <si>
    <t xml:space="preserve">Revision: </t>
  </si>
  <si>
    <t>Change Directed By:</t>
  </si>
  <si>
    <t>Project Cost Breakdown</t>
  </si>
  <si>
    <t xml:space="preserve"> Capital Improvement and Retirement</t>
  </si>
  <si>
    <t>Capital Improvement</t>
  </si>
  <si>
    <t>Retirement</t>
  </si>
  <si>
    <t>WBS 1</t>
  </si>
  <si>
    <t>Total</t>
  </si>
  <si>
    <t>NGENGNC</t>
  </si>
  <si>
    <t>NGLANDC</t>
  </si>
  <si>
    <t>Land - Support</t>
  </si>
  <si>
    <t>Land Legal</t>
  </si>
  <si>
    <t>NGMATEC</t>
  </si>
  <si>
    <t>Materials/Equipment</t>
  </si>
  <si>
    <t>NGCONPC</t>
  </si>
  <si>
    <t>Construction Serv - Pipeline</t>
  </si>
  <si>
    <t>NGCONFC</t>
  </si>
  <si>
    <t>Construction Serv - Facility</t>
  </si>
  <si>
    <t>Field Inspections</t>
  </si>
  <si>
    <t>NGMPGL</t>
  </si>
  <si>
    <t>PNG Labor</t>
  </si>
  <si>
    <t>NGMOTH</t>
  </si>
  <si>
    <t>Other Direct Costs</t>
  </si>
  <si>
    <t>Subtotal Direct Cost</t>
  </si>
  <si>
    <t>Project Contingency</t>
  </si>
  <si>
    <t>Project Escalation</t>
  </si>
  <si>
    <t>Total Contingency &amp; Escalation</t>
  </si>
  <si>
    <t>Total Direct Cost</t>
  </si>
  <si>
    <t>AFUDC Debt</t>
  </si>
  <si>
    <t>NGMOVH</t>
  </si>
  <si>
    <t>Overhead and Allocations</t>
  </si>
  <si>
    <t>Overheads</t>
  </si>
  <si>
    <t>Total PNG Overhead Cost</t>
  </si>
  <si>
    <t>Project Total</t>
  </si>
  <si>
    <t>Notes:</t>
  </si>
  <si>
    <t>1. Contingency is not included on escalation.</t>
  </si>
  <si>
    <t>AFUDC</t>
  </si>
  <si>
    <t>Pipelay 1</t>
  </si>
  <si>
    <t>Revision #</t>
  </si>
  <si>
    <t>Control Code</t>
  </si>
  <si>
    <t>Component Description</t>
  </si>
  <si>
    <t>Units</t>
  </si>
  <si>
    <t>Unit of Measure</t>
  </si>
  <si>
    <t>Unit Cost</t>
  </si>
  <si>
    <t>Totals</t>
  </si>
  <si>
    <t>Internal Engineering &amp; Construction Management</t>
  </si>
  <si>
    <t>Hour</t>
  </si>
  <si>
    <t>Other Direct Cost</t>
  </si>
  <si>
    <t>Calculated</t>
  </si>
  <si>
    <t>Sub-Total - Internal E&amp;CM</t>
  </si>
  <si>
    <t>External Engineering</t>
  </si>
  <si>
    <t>Design - Pipeline</t>
  </si>
  <si>
    <t>Design - Facility</t>
  </si>
  <si>
    <t>MAOP</t>
  </si>
  <si>
    <t>Sub-Total -  External Engineering</t>
  </si>
  <si>
    <t>Land Services</t>
  </si>
  <si>
    <t>Acre</t>
  </si>
  <si>
    <t>Per Parcel</t>
  </si>
  <si>
    <t>Contract Labor - Legal</t>
  </si>
  <si>
    <t>Sub-Total - Land Services</t>
  </si>
  <si>
    <t>Construction Services - Pipeline</t>
  </si>
  <si>
    <t>Overall LF of Pipe installed</t>
  </si>
  <si>
    <t>Lump Sum</t>
  </si>
  <si>
    <t>Mob/Demob</t>
  </si>
  <si>
    <t>Safety Fence</t>
  </si>
  <si>
    <t>LF</t>
  </si>
  <si>
    <t>SF</t>
  </si>
  <si>
    <t>Linear Foot</t>
  </si>
  <si>
    <t>Conventional Bore - Dirt</t>
  </si>
  <si>
    <t>Directional Drill – Dirt</t>
  </si>
  <si>
    <t>Conventional Wetland Lay</t>
  </si>
  <si>
    <t>Civil or General Conditions</t>
  </si>
  <si>
    <t>Commissioning</t>
  </si>
  <si>
    <t>HDD Mudd Disposal</t>
  </si>
  <si>
    <t>Contractor Tap Support</t>
  </si>
  <si>
    <t>Days</t>
  </si>
  <si>
    <t>TDW Tap</t>
  </si>
  <si>
    <t>Each</t>
  </si>
  <si>
    <t>Field Inspection &amp; Testing</t>
  </si>
  <si>
    <t>Construction Inspection</t>
  </si>
  <si>
    <t>Man-Days</t>
  </si>
  <si>
    <t>Non-Destructive Testing</t>
  </si>
  <si>
    <t>Sub-Total - Field Inspection &amp; Testing</t>
  </si>
  <si>
    <t>Major Equipment &amp; Materials</t>
  </si>
  <si>
    <t>Pipe</t>
  </si>
  <si>
    <t>Fittings</t>
  </si>
  <si>
    <t>Misc. Materials (10% of Total Major)</t>
  </si>
  <si>
    <t xml:space="preserve">Sub-Total - Materials </t>
  </si>
  <si>
    <t xml:space="preserve">Sub-Total </t>
  </si>
  <si>
    <t>Contingency</t>
  </si>
  <si>
    <t>Escalation</t>
  </si>
  <si>
    <t>Pipeline Estimate Total</t>
  </si>
  <si>
    <t>Cost per foot</t>
  </si>
  <si>
    <t>Cost per mile</t>
  </si>
  <si>
    <t>Miscellaneous</t>
  </si>
  <si>
    <t>Year at</t>
  </si>
  <si>
    <t>Size / Name</t>
  </si>
  <si>
    <t>Length / Qty</t>
  </si>
  <si>
    <t>Hydro Test</t>
  </si>
  <si>
    <t>Cubic Yard</t>
  </si>
  <si>
    <t>Overall LF of Pipe to be Abandoned</t>
  </si>
  <si>
    <t>Demo Equipment</t>
  </si>
  <si>
    <t>Tar Coated Steel Remediation &amp; Removal</t>
  </si>
  <si>
    <t>Purge Materials</t>
  </si>
  <si>
    <t>Stopple</t>
  </si>
  <si>
    <t>Sub-totals</t>
  </si>
  <si>
    <t>Funding Breakdown</t>
  </si>
  <si>
    <t>Budget</t>
  </si>
  <si>
    <t>Contract Labor</t>
  </si>
  <si>
    <t>Material Purchased by PNG</t>
  </si>
  <si>
    <t>Land (Permanent Only)</t>
  </si>
  <si>
    <t>Sub-Total</t>
  </si>
  <si>
    <t>Start Date</t>
  </si>
  <si>
    <t>In-Service Date</t>
  </si>
  <si>
    <t>Completion Date</t>
  </si>
  <si>
    <t>Major Equipment and Testing</t>
  </si>
  <si>
    <t>Internal Engineering and Construction Management</t>
  </si>
  <si>
    <t>Permanent Land purchases only</t>
  </si>
  <si>
    <t>Land Rights (temporary land, land services, etc), Other Direct Costs - travel, meals, hotel, misc expenses</t>
  </si>
  <si>
    <t>By Finance</t>
  </si>
  <si>
    <t>By Project Manager</t>
  </si>
  <si>
    <t>From Project Charter or Project Mgr.</t>
  </si>
  <si>
    <t>From Estimating</t>
  </si>
  <si>
    <t>MLV Installation</t>
  </si>
  <si>
    <t>Equipment</t>
  </si>
  <si>
    <t>Escalation (in Years)</t>
  </si>
  <si>
    <t>Escalation Rate (%)</t>
  </si>
  <si>
    <t>Contingency %</t>
  </si>
  <si>
    <t>Contingency (%)</t>
  </si>
  <si>
    <t>External Engineering, Construction Services, Field Inspection &amp; Testing, Escalation</t>
  </si>
  <si>
    <t>XX" TDW Stopple</t>
  </si>
  <si>
    <t>NGFITSC</t>
  </si>
  <si>
    <t>*ENSURE DISTRIBUTION COSTS HAVE BEEN REMOVED FROM ABOVE</t>
  </si>
  <si>
    <t>Launcher/Receiver Removal</t>
  </si>
  <si>
    <t>Haul Materials</t>
  </si>
  <si>
    <t>Line Locating</t>
  </si>
  <si>
    <t>Week</t>
  </si>
  <si>
    <t>Nitrogen Clearing</t>
  </si>
  <si>
    <t>Rate of Escalation (use '0' only for commit and build gates)</t>
  </si>
  <si>
    <t>Clearing and Grubbing</t>
  </si>
  <si>
    <t>Tree Cutting Only/No Grubbing</t>
  </si>
  <si>
    <t>Rock Excavation – Blasting</t>
  </si>
  <si>
    <t>Rock Excavation – Mechanical</t>
  </si>
  <si>
    <t>Extra Depth Ditch</t>
  </si>
  <si>
    <t>Padding – Job Site</t>
  </si>
  <si>
    <t>Padding - Haul</t>
  </si>
  <si>
    <t>Rock Shield</t>
  </si>
  <si>
    <t>Saddle Bag Weight</t>
  </si>
  <si>
    <t>River Weight</t>
  </si>
  <si>
    <t>Concrete Coating</t>
  </si>
  <si>
    <t>Anode Bed</t>
  </si>
  <si>
    <t>acre</t>
  </si>
  <si>
    <t>Silt Fence (metal post &amp; wire backing)</t>
  </si>
  <si>
    <t>Curlex Blanket with Staples (4 x 100)</t>
  </si>
  <si>
    <t>Rip Rap Placement</t>
  </si>
  <si>
    <t>Gravel Placement</t>
  </si>
  <si>
    <t>Geo Textile Fabric</t>
  </si>
  <si>
    <t>Trench Breaker (Plug)</t>
  </si>
  <si>
    <t>Bentonite Trench Seals in Wetlands</t>
  </si>
  <si>
    <t>Permanent Seeding (seed straw, and tack)</t>
  </si>
  <si>
    <t>Intermediate Seeding (seed straw, and tack)</t>
  </si>
  <si>
    <t>Dry Crossing (Flume or Dam/Pump Method)</t>
  </si>
  <si>
    <t>Square Yard</t>
  </si>
  <si>
    <t>Ton</t>
  </si>
  <si>
    <t>linear ft</t>
  </si>
  <si>
    <t>Well Points</t>
  </si>
  <si>
    <t>Air Bridges</t>
  </si>
  <si>
    <t>Chain Link Fence &amp; Gates – New</t>
  </si>
  <si>
    <t>Chain Link Fence &amp; Gates - Repair</t>
  </si>
  <si>
    <t>Temporary Pasture Fencing</t>
  </si>
  <si>
    <t>Temporary Access Roads</t>
  </si>
  <si>
    <t>Square Foot</t>
  </si>
  <si>
    <t>Staging &amp; Laydown Yard</t>
  </si>
  <si>
    <t>HDD Mudd Engineer</t>
  </si>
  <si>
    <t>Install &amp; Remove Flare + Mob/Demob</t>
  </si>
  <si>
    <t>Small Station Removal</t>
  </si>
  <si>
    <t>Medium Station Removal</t>
  </si>
  <si>
    <t>Large Station Removal</t>
  </si>
  <si>
    <t>Class 1</t>
  </si>
  <si>
    <t>Detailed Unit Cost with Detailed Take-Off.</t>
  </si>
  <si>
    <t>Class 2</t>
  </si>
  <si>
    <t>Class 3</t>
  </si>
  <si>
    <t>Semi-Detailed Unit Costs with Assembly Level Line Items.</t>
  </si>
  <si>
    <t>Class 4</t>
  </si>
  <si>
    <t>Equipment Factored. Parametric Models.</t>
  </si>
  <si>
    <t>Capacity Factored. Parametric Models. Judgement, or Analogy</t>
  </si>
  <si>
    <t>High Range</t>
  </si>
  <si>
    <t>Low Range</t>
  </si>
  <si>
    <t>Typical Methodology</t>
  </si>
  <si>
    <t>Class</t>
  </si>
  <si>
    <t>AACEI Estimate Class Reference:</t>
  </si>
  <si>
    <t>* P10 and P90 are representitive values, but not statistically proven by this methodology.  These values do not include any Risk EMV and are shown to allow the project to assess if their Project Informed Range is aligned with the AACEI Class of Estimate expectations.</t>
  </si>
  <si>
    <t>P90</t>
  </si>
  <si>
    <t>P50</t>
  </si>
  <si>
    <t>P10</t>
  </si>
  <si>
    <t>Certainty*</t>
  </si>
  <si>
    <t>EU</t>
  </si>
  <si>
    <t>Project Informed Range</t>
  </si>
  <si>
    <t>ML</t>
  </si>
  <si>
    <t>Worst Case</t>
  </si>
  <si>
    <t>Expected Case</t>
  </si>
  <si>
    <t>Best Case</t>
  </si>
  <si>
    <t>Divided by 6</t>
  </si>
  <si>
    <t>C. Contingency (A+B)</t>
  </si>
  <si>
    <t>B. Estimate Uncertainty PERT ((O+P+(ML*4))/6)-ML</t>
  </si>
  <si>
    <t>P</t>
  </si>
  <si>
    <t>A. Cummulative Risk EMV</t>
  </si>
  <si>
    <t>ML*4</t>
  </si>
  <si>
    <t>O</t>
  </si>
  <si>
    <t>Sub Total</t>
  </si>
  <si>
    <t>Cost Description</t>
  </si>
  <si>
    <t>+ %</t>
  </si>
  <si>
    <t>- %</t>
  </si>
  <si>
    <t>Worst Case (Pessimistic: P)</t>
  </si>
  <si>
    <t>Estimate Value (Most Likely: ML)</t>
  </si>
  <si>
    <t>Best Case (Optimistic: O)</t>
  </si>
  <si>
    <t>Informed Range</t>
  </si>
  <si>
    <t>PMCoE Estimate Uncertainty Tool</t>
  </si>
  <si>
    <t>Build</t>
  </si>
  <si>
    <t>Minimum Class:</t>
  </si>
  <si>
    <t>Initiate</t>
  </si>
  <si>
    <t>Next Stage Gate:</t>
  </si>
  <si>
    <t>Commit</t>
  </si>
  <si>
    <t>Project Name:</t>
  </si>
  <si>
    <t>Identify</t>
  </si>
  <si>
    <t>Cell requires user entry</t>
  </si>
  <si>
    <t xml:space="preserve">Estimate Uncertainty
</t>
  </si>
  <si>
    <r>
      <rPr>
        <sz val="12"/>
        <color theme="0"/>
        <rFont val="Calibri"/>
        <family val="2"/>
        <scheme val="minor"/>
      </rPr>
      <t>PM</t>
    </r>
    <r>
      <rPr>
        <b/>
        <i/>
        <sz val="12"/>
        <color theme="0"/>
        <rFont val="Calibri"/>
        <family val="2"/>
        <scheme val="minor"/>
      </rPr>
      <t xml:space="preserve">CoE </t>
    </r>
    <r>
      <rPr>
        <sz val="12"/>
        <color theme="0"/>
        <rFont val="Calibri"/>
        <family val="2"/>
        <scheme val="minor"/>
      </rPr>
      <t xml:space="preserve"> </t>
    </r>
  </si>
  <si>
    <t>Land</t>
  </si>
  <si>
    <t>Construction Services</t>
  </si>
  <si>
    <t>Field Inspections &amp; Testing</t>
  </si>
  <si>
    <t>Overhead &amp; Allocations</t>
  </si>
  <si>
    <t>Total Project Schedule</t>
  </si>
  <si>
    <t>Engineering Project Schedule</t>
  </si>
  <si>
    <t>Construction Project Schedule</t>
  </si>
  <si>
    <t>*For Charters, if the in-service date does not match this date then we need to let Renee's group know</t>
  </si>
  <si>
    <t>*This will auto-populate when total project schedule is completed</t>
  </si>
  <si>
    <t>*Either start date from Ecosys or leave as 1/1/2022 for 2022 charters</t>
  </si>
  <si>
    <t>Month</t>
  </si>
  <si>
    <t>Transmission - Access Roads</t>
  </si>
  <si>
    <t>Transmission - Laydown Yard</t>
  </si>
  <si>
    <t xml:space="preserve">Enter the overall pipe line footage. </t>
  </si>
  <si>
    <t>*For Charters, use a 5% routing factor if proposed route appears to be thought out &amp; follows property boundaries. Use 14% if straight line/does not follow property boundaries.</t>
  </si>
  <si>
    <t>Land Services - Contractor</t>
  </si>
  <si>
    <t>Object Path ID</t>
  </si>
  <si>
    <t>Resource Type Path ID</t>
  </si>
  <si>
    <t>End Date</t>
  </si>
  <si>
    <t>Curve ID</t>
  </si>
  <si>
    <t>Cost</t>
  </si>
  <si>
    <t>Currency</t>
  </si>
  <si>
    <t>Transaction Date</t>
  </si>
  <si>
    <t>External Key</t>
  </si>
  <si>
    <t>*From Ecosys for Charters **IF HIGHLIGHTED RED THEN NOT FEASIBLE, CONTACT CHARTER GROUP**</t>
  </si>
  <si>
    <t>Ecosys Oppurtunity Number</t>
  </si>
  <si>
    <t>Need to complete from Ecosys for Charter estimates.</t>
  </si>
  <si>
    <t>.CP1.</t>
  </si>
  <si>
    <t>NGCONT</t>
  </si>
  <si>
    <t>NGMAFD</t>
  </si>
  <si>
    <t>Ecosys In-Service Date</t>
  </si>
  <si>
    <t>Months</t>
  </si>
  <si>
    <t>Transmission - Fee Purchase - Rural</t>
  </si>
  <si>
    <t>Transmission - Fee Purchase - Urban</t>
  </si>
  <si>
    <t>Transmission - Permanent Easements - Rural</t>
  </si>
  <si>
    <t>Transmission - Stations Easements - Rural</t>
  </si>
  <si>
    <t>Transmission - Temp Work Space - Rural</t>
  </si>
  <si>
    <t>Transmission - Stations Easements - Urban</t>
  </si>
  <si>
    <t>Transmission - Temp Work Space - Urban</t>
  </si>
  <si>
    <t>Land - Permanent</t>
  </si>
  <si>
    <t>Land - Temporary</t>
  </si>
  <si>
    <t>Transmission - Damages</t>
  </si>
  <si>
    <t>Transmission - Temporary Easements - Rural</t>
  </si>
  <si>
    <t>Transmission - Temporary Easements - Urban</t>
  </si>
  <si>
    <t>Contract Labor - Land Services</t>
  </si>
  <si>
    <t>G-663</t>
  </si>
  <si>
    <t>G-662 PA/G-663 TA</t>
  </si>
  <si>
    <t>G-301</t>
  </si>
  <si>
    <t>Day</t>
  </si>
  <si>
    <t>TDW - Tap &amp; Stop</t>
  </si>
  <si>
    <t>TDW - Bypass</t>
  </si>
  <si>
    <t>Trench Boxes</t>
  </si>
  <si>
    <t>Road Plates (10' Long)</t>
  </si>
  <si>
    <t>Railway Crossings</t>
  </si>
  <si>
    <t>SCADA for MLV Sites</t>
  </si>
  <si>
    <t>Electrical/Controls for MLV Sites</t>
  </si>
  <si>
    <t>Seeding</t>
  </si>
  <si>
    <t>Clean up</t>
  </si>
  <si>
    <r>
      <t xml:space="preserve">Years until </t>
    </r>
    <r>
      <rPr>
        <b/>
        <u/>
        <sz val="11"/>
        <color rgb="FFFF0000"/>
        <rFont val="Calibri"/>
        <family val="2"/>
        <scheme val="minor"/>
      </rPr>
      <t>start</t>
    </r>
    <r>
      <rPr>
        <b/>
        <sz val="11"/>
        <color rgb="FFFF0000"/>
        <rFont val="Calibri"/>
        <family val="2"/>
        <scheme val="minor"/>
      </rPr>
      <t xml:space="preserve"> date (not in-service date) (Put '0' if project is kicking off within 6 months)</t>
    </r>
  </si>
  <si>
    <t>Length of Indicative Schedule in Years</t>
  </si>
  <si>
    <r>
      <t xml:space="preserve">This is required for Ecosys spend curves. Need to put </t>
    </r>
    <r>
      <rPr>
        <b/>
        <sz val="11"/>
        <color rgb="FFFF0000"/>
        <rFont val="Calibri"/>
        <family val="2"/>
        <scheme val="minor"/>
      </rPr>
      <t>1</t>
    </r>
    <r>
      <rPr>
        <sz val="11"/>
        <color rgb="FFFF0000"/>
        <rFont val="Calibri"/>
        <family val="2"/>
        <scheme val="minor"/>
      </rPr>
      <t xml:space="preserve">, </t>
    </r>
    <r>
      <rPr>
        <b/>
        <sz val="11"/>
        <color rgb="FFFF0000"/>
        <rFont val="Calibri"/>
        <family val="2"/>
        <scheme val="minor"/>
      </rPr>
      <t>2</t>
    </r>
    <r>
      <rPr>
        <sz val="11"/>
        <color rgb="FFFF0000"/>
        <rFont val="Calibri"/>
        <family val="2"/>
        <scheme val="minor"/>
      </rPr>
      <t xml:space="preserve">, or </t>
    </r>
    <r>
      <rPr>
        <b/>
        <sz val="11"/>
        <color rgb="FFFF0000"/>
        <rFont val="Calibri"/>
        <family val="2"/>
        <scheme val="minor"/>
      </rPr>
      <t>3</t>
    </r>
    <r>
      <rPr>
        <sz val="11"/>
        <color rgb="FFFF0000"/>
        <rFont val="Calibri"/>
        <family val="2"/>
        <scheme val="minor"/>
      </rPr>
      <t xml:space="preserve">. </t>
    </r>
  </si>
  <si>
    <t>Y-</t>
  </si>
  <si>
    <t>Security for MLV Sites</t>
  </si>
  <si>
    <t>Transmission - Additional Damages</t>
  </si>
  <si>
    <t>DropDown Values</t>
  </si>
  <si>
    <t>Pipeline Length</t>
  </si>
  <si>
    <t>Less than 2000 feet</t>
  </si>
  <si>
    <t>&lt; 1 mile</t>
  </si>
  <si>
    <t>1-5 miles</t>
  </si>
  <si>
    <t>&gt; 5 miles</t>
  </si>
  <si>
    <t>Retrofit Length</t>
  </si>
  <si>
    <t>&lt; 5 miles</t>
  </si>
  <si>
    <t>5-10 miles</t>
  </si>
  <si>
    <t>&gt; 10 miles</t>
  </si>
  <si>
    <t>Yes/No</t>
  </si>
  <si>
    <t>Urban</t>
  </si>
  <si>
    <t>Rural</t>
  </si>
  <si>
    <t>Suburban</t>
  </si>
  <si>
    <t>Parcels</t>
  </si>
  <si>
    <t>0 parcels</t>
  </si>
  <si>
    <t>&lt; 20 parcels</t>
  </si>
  <si>
    <t>20 - 50 parcels</t>
  </si>
  <si>
    <t>&gt; 50 parcels</t>
  </si>
  <si>
    <t>Vegetation Management</t>
  </si>
  <si>
    <t>0-5%</t>
  </si>
  <si>
    <t>6-33%</t>
  </si>
  <si>
    <t>34%-66%</t>
  </si>
  <si>
    <t>67%-100%</t>
  </si>
  <si>
    <t>Zoning Type</t>
  </si>
  <si>
    <t>Farmlands</t>
  </si>
  <si>
    <t>Existing Utility Right of Way</t>
  </si>
  <si>
    <t>Electric Right of Way</t>
  </si>
  <si>
    <t>Commercial/Industrial</t>
  </si>
  <si>
    <t>Parks &amp; Recreation</t>
  </si>
  <si>
    <t>Residential</t>
  </si>
  <si>
    <t>Nature Preserves</t>
  </si>
  <si>
    <t>Mixed Use</t>
  </si>
  <si>
    <t>4.2 Permit requirement</t>
  </si>
  <si>
    <t>Open House</t>
  </si>
  <si>
    <t>Public Notice</t>
  </si>
  <si>
    <t>None of the above</t>
  </si>
  <si>
    <t>Nat Gas Project Public Engagement Level-of-Risk Assessment</t>
  </si>
  <si>
    <t>Charter/Project Name:</t>
  </si>
  <si>
    <t xml:space="preserve">Date: </t>
  </si>
  <si>
    <t>0-10 level</t>
  </si>
  <si>
    <r>
      <rPr>
        <b/>
        <sz val="16"/>
        <color rgb="FFFF0000"/>
        <rFont val="Calibri"/>
        <family val="2"/>
        <scheme val="minor"/>
      </rPr>
      <t xml:space="preserve">Impact </t>
    </r>
    <r>
      <rPr>
        <b/>
        <sz val="16"/>
        <color theme="1"/>
        <rFont val="Calibri"/>
        <family val="2"/>
        <scheme val="minor"/>
      </rPr>
      <t>- Magnitude of stateholder opposition (Defined by cost, or reputation)</t>
    </r>
  </si>
  <si>
    <t>Risk</t>
  </si>
  <si>
    <t>Public Engagement Questionaire</t>
  </si>
  <si>
    <t>Response</t>
  </si>
  <si>
    <t>Priority</t>
  </si>
  <si>
    <t>Calculation Menu</t>
  </si>
  <si>
    <t>Probability</t>
  </si>
  <si>
    <t>Impact</t>
  </si>
  <si>
    <t xml:space="preserve">Probability </t>
  </si>
  <si>
    <r>
      <rPr>
        <b/>
        <sz val="16"/>
        <color rgb="FFFF0000"/>
        <rFont val="Calibri"/>
        <family val="2"/>
        <scheme val="minor"/>
      </rPr>
      <t>Probabilty</t>
    </r>
    <r>
      <rPr>
        <b/>
        <sz val="16"/>
        <color theme="1"/>
        <rFont val="Calibri"/>
        <family val="2"/>
        <scheme val="minor"/>
      </rPr>
      <t xml:space="preserve"> - External stakeholder opposition</t>
    </r>
  </si>
  <si>
    <t>1. Attributes</t>
  </si>
  <si>
    <t>New Natural Gas Pipeline Length (in new footprint) (miles) (system infrastructure growth)?</t>
  </si>
  <si>
    <t>0,1,3,5</t>
  </si>
  <si>
    <t>Replace or Retrofit Natural Gas Pipeline Length (miles)(Integrity project)? *</t>
  </si>
  <si>
    <t>0,1,2</t>
  </si>
  <si>
    <t>0,1,1</t>
  </si>
  <si>
    <t>New Regulator Station(s)/Launcher/Receiver?</t>
  </si>
  <si>
    <t>0,3</t>
  </si>
  <si>
    <t>0,2</t>
  </si>
  <si>
    <t>Expanding the footprint of existing Regulator Station?</t>
  </si>
  <si>
    <t>New Compressor Station(s)?</t>
  </si>
  <si>
    <t>0,8</t>
  </si>
  <si>
    <t>0,7</t>
  </si>
  <si>
    <t>Community Engagement Heat Map</t>
  </si>
  <si>
    <t>Expanding the footprint of existing Compressor Station?</t>
  </si>
  <si>
    <t>Requires flaring?</t>
  </si>
  <si>
    <t>0,5</t>
  </si>
  <si>
    <t>2. Land</t>
  </si>
  <si>
    <t>Urban, Rural or Suburban?</t>
  </si>
  <si>
    <t>urban = 7,suburban=6,rural=0</t>
  </si>
  <si>
    <t>urban = 7,suburban=5,rural=0</t>
  </si>
  <si>
    <t>New Easement acquisition required?</t>
  </si>
  <si>
    <t>New Land acquisition required (in fee)?</t>
  </si>
  <si>
    <t>0,4</t>
  </si>
  <si>
    <t>Anticiapted number of parcels to be purchased?</t>
  </si>
  <si>
    <t>0,2,4,6</t>
  </si>
  <si>
    <t xml:space="preserve">Amount of new  Right of Way tree clearing required </t>
  </si>
  <si>
    <t>Notify Community Relations</t>
  </si>
  <si>
    <t>3. Environment, Historic, Archeological</t>
  </si>
  <si>
    <t>Local Community Relations Engagenment at Project Initiation</t>
  </si>
  <si>
    <t>Crossing navigable waterways?</t>
  </si>
  <si>
    <t>Enable Strike Team 24 months prior to Project Kickoff</t>
  </si>
  <si>
    <t>Larger environmentally sensitive areas? *</t>
  </si>
  <si>
    <t>State/Local permits required?</t>
  </si>
  <si>
    <t>Sensitive, Protected, Historical Sites, Cultural Areas? (Not environmental)</t>
  </si>
  <si>
    <t>Zoning Type? *</t>
  </si>
  <si>
    <t>See dropdown value sheet</t>
  </si>
  <si>
    <t>4. Additional Factors</t>
  </si>
  <si>
    <t>Past opposition from affected land owners and communities?</t>
  </si>
  <si>
    <t>Permiting process requires :</t>
  </si>
  <si>
    <t xml:space="preserve"> Open House =7,Public Notice=4, NA=0 </t>
  </si>
  <si>
    <t xml:space="preserve"> Open House =10,Public Notice=6, NA=0</t>
  </si>
  <si>
    <t>Is Easement Acquisition Required for New Nat Gas Project Line?</t>
  </si>
  <si>
    <t>YES</t>
  </si>
  <si>
    <t>New Nat Gas Project R/W Length (miles)?</t>
  </si>
  <si>
    <t>&lt;1</t>
  </si>
  <si>
    <t>NO</t>
  </si>
  <si>
    <t>Nat Gas Project Line Rebuild Length (Miles)?</t>
  </si>
  <si>
    <t>N/A</t>
  </si>
  <si>
    <t>Is Nat Gas Project traverse Commercial, Residential, Rural, Multiple or All land types</t>
  </si>
  <si>
    <t>Residential Only</t>
  </si>
  <si>
    <t>0-10</t>
  </si>
  <si>
    <t>Does Nat. Gas Proejct involve rebuild/replacement with larger size, pressure, controls, or systems?</t>
  </si>
  <si>
    <t>11-20</t>
  </si>
  <si>
    <t>What is the expected number range of parcels involved with this project?</t>
  </si>
  <si>
    <t>21+</t>
  </si>
  <si>
    <t>What level of vegetation management is required?</t>
  </si>
  <si>
    <t>Is this a line abandonment/relocation project that requires community engagement?</t>
  </si>
  <si>
    <t>Is a regulatory or state filing required? (ie: LIST SPECIFIC REG BODIES)</t>
  </si>
  <si>
    <t>Does this project include addition of new regulator station, compressor station, flare tower, etc. seen by the public?</t>
  </si>
  <si>
    <t>1-5</t>
  </si>
  <si>
    <t>Does this project expand exisiting regulator station, compressor station, flare tower, etc. seen by the public?</t>
  </si>
  <si>
    <t>&gt;5</t>
  </si>
  <si>
    <t>Is land acquisition/easement required for expanding right of way, new ROW, laydown space or access?</t>
  </si>
  <si>
    <t xml:space="preserve">Are there Current/Historic Community Sensitivities? </t>
  </si>
  <si>
    <t>Is zoning/rezoning required?</t>
  </si>
  <si>
    <t>Federal Permitting Required?</t>
  </si>
  <si>
    <t>High</t>
  </si>
  <si>
    <t>Special Use or Conditional Use Permit Required?</t>
  </si>
  <si>
    <t>Med</t>
  </si>
  <si>
    <t>Does project involve Environmentally Sensitive Areas</t>
  </si>
  <si>
    <t>Low</t>
  </si>
  <si>
    <t>Project involve Sensitive, Protected, Historical Sites, Cultural Areas?</t>
  </si>
  <si>
    <t>Estimated number of Property Owners Impacted?</t>
  </si>
  <si>
    <t>Final Total</t>
  </si>
  <si>
    <t>Commercial Only</t>
  </si>
  <si>
    <t>Rural Only</t>
  </si>
  <si>
    <t>2 of the Above</t>
  </si>
  <si>
    <t>All</t>
  </si>
  <si>
    <t>"Notify Community Relations</t>
  </si>
  <si>
    <t>Near term stakeholder engagement striketeam</t>
  </si>
  <si>
    <t>Lead In community engagement prior to project kickoff</t>
  </si>
  <si>
    <t>*Do Not Remove Below</t>
  </si>
  <si>
    <t>X Marks the Spot</t>
  </si>
  <si>
    <t>Heat Level</t>
  </si>
  <si>
    <t>* Notes</t>
  </si>
  <si>
    <t>1.2 Response should be reflective of actual footage of construction not mileage researched</t>
  </si>
  <si>
    <t>3.2 May not know environment sensitivity initially</t>
  </si>
  <si>
    <t>3.2 Environmentally Sensitive - Named Environmental areas (shows up on a map with a name)</t>
  </si>
  <si>
    <t>3.5 If entire project is in Utility ROW and no known preexisiting opposition to construction in or near that ROW then the project can default to 'Yellow' or Green'</t>
  </si>
  <si>
    <t>Zinc Ribbon (AC Mitigation)</t>
  </si>
  <si>
    <t>Rectifier/Groundbed (CP)</t>
  </si>
  <si>
    <t>ACVG Testing (less than 10 miles)</t>
  </si>
  <si>
    <t>Mile</t>
  </si>
  <si>
    <t>ACVG Testing (greater than 10 miles)</t>
  </si>
  <si>
    <t>Rectifier/Groundbed Material (CP)</t>
  </si>
  <si>
    <t>Painting &amp; Waxing Flanges</t>
  </si>
  <si>
    <t>Field Testing</t>
  </si>
  <si>
    <t>Projected</t>
  </si>
  <si>
    <t>Cumulative</t>
  </si>
  <si>
    <t>Cum. Charges</t>
  </si>
  <si>
    <t>Monthly</t>
  </si>
  <si>
    <t>Charges</t>
  </si>
  <si>
    <t>for AFUDC</t>
  </si>
  <si>
    <t>G801</t>
  </si>
  <si>
    <t>Pre-Design Activities</t>
  </si>
  <si>
    <t>G802</t>
  </si>
  <si>
    <t>Route Development</t>
  </si>
  <si>
    <t>G803</t>
  </si>
  <si>
    <t>Project Managemenet</t>
  </si>
  <si>
    <t>G804</t>
  </si>
  <si>
    <t>Records Research</t>
  </si>
  <si>
    <t>G805</t>
  </si>
  <si>
    <t>Estimating &amp; Scoping</t>
  </si>
  <si>
    <t>G806</t>
  </si>
  <si>
    <t>Land Survey</t>
  </si>
  <si>
    <t>G807</t>
  </si>
  <si>
    <t>Land Acquistion Support (Engineering)</t>
  </si>
  <si>
    <t>G808</t>
  </si>
  <si>
    <t>G809</t>
  </si>
  <si>
    <t>Geotechnical Services</t>
  </si>
  <si>
    <t>Cathodic Protection</t>
  </si>
  <si>
    <t>Bid Package Development</t>
  </si>
  <si>
    <t>Construction Support</t>
  </si>
  <si>
    <t>As-Built Survey</t>
  </si>
  <si>
    <t>Project Close-out</t>
  </si>
  <si>
    <t>G810</t>
  </si>
  <si>
    <t>G811</t>
  </si>
  <si>
    <t>G812</t>
  </si>
  <si>
    <t>G813</t>
  </si>
  <si>
    <t>G814</t>
  </si>
  <si>
    <t>G815</t>
  </si>
  <si>
    <t>G663</t>
  </si>
  <si>
    <t>G101</t>
  </si>
  <si>
    <t>OTH001</t>
  </si>
  <si>
    <t>G661</t>
  </si>
  <si>
    <t>G662</t>
  </si>
  <si>
    <t>G662 PA</t>
  </si>
  <si>
    <t>G656</t>
  </si>
  <si>
    <t>G301</t>
  </si>
  <si>
    <t>G880</t>
  </si>
  <si>
    <t>G881</t>
  </si>
  <si>
    <t>G205</t>
  </si>
  <si>
    <t>G204</t>
  </si>
  <si>
    <t>Environmental Services &amp; Permitting</t>
  </si>
  <si>
    <t>Sub-Total - Construction Services - Pipeline</t>
  </si>
  <si>
    <t>Close-Out Date</t>
  </si>
  <si>
    <t>G863</t>
  </si>
  <si>
    <t>Pipe Abandon 1</t>
  </si>
  <si>
    <t>Sand Padding over Existing Lines</t>
  </si>
  <si>
    <t xml:space="preserve">Temporary Clean-up / Temporary Stabilization </t>
  </si>
  <si>
    <t>Re-coating of Exposed Pipe (Hand Application)</t>
  </si>
  <si>
    <t xml:space="preserve">Armor Plate </t>
  </si>
  <si>
    <t>Daylight Existing Utilities (Pot Holing)</t>
  </si>
  <si>
    <t>AirVac/Hydro Vac Excavation</t>
  </si>
  <si>
    <t>Pipe Rack Construction (Dirt/Sand Berm)</t>
  </si>
  <si>
    <t>Transition Of Bevels</t>
  </si>
  <si>
    <t>Test Station Installation</t>
  </si>
  <si>
    <t xml:space="preserve">Temporary Stabilization </t>
  </si>
  <si>
    <t>Cubic Foot</t>
  </si>
  <si>
    <t xml:space="preserve">Lump Sum </t>
  </si>
  <si>
    <t>Per 1 ft depth / LF</t>
  </si>
  <si>
    <t>Conventional Silt Fence</t>
  </si>
  <si>
    <t>Super Silt Fence (metal post &amp; chainlink fence backing)</t>
  </si>
  <si>
    <t>Curlex Double Net Blanket with Staples  (4 x 100)</t>
  </si>
  <si>
    <t>Curlex Triple Net Blanket  with Staples (4 x 100)</t>
  </si>
  <si>
    <t>Curlex Premier Coconut Blanket with Staples (4 x 100)</t>
  </si>
  <si>
    <t>Curlex Premier Straw/Coconut Blanket with Staples      (4 x 100)</t>
  </si>
  <si>
    <t>Hydroseeding Temporary Stabilization</t>
  </si>
  <si>
    <t>Hydroseeding Permanent Stabilization</t>
  </si>
  <si>
    <t>Culvert Pipe (CMP)</t>
  </si>
  <si>
    <t>Sack Breakers</t>
  </si>
  <si>
    <t>Sediment Basin (excludes rock)</t>
  </si>
  <si>
    <t>Foam Breakers</t>
  </si>
  <si>
    <t>Construction (Timber) Mats</t>
  </si>
  <si>
    <t>Laminated (Truck) Mats</t>
  </si>
  <si>
    <t>Sod</t>
  </si>
  <si>
    <t xml:space="preserve">Straw Wattle  9'' x 10' </t>
  </si>
  <si>
    <t>Sediment Log 8''</t>
  </si>
  <si>
    <t>Sediment Log 10''</t>
  </si>
  <si>
    <t>Sediment Log 12''</t>
  </si>
  <si>
    <t>Sediment Log 20''</t>
  </si>
  <si>
    <t>Erosion Eel 10''</t>
  </si>
  <si>
    <t>Erosion Eel 12''</t>
  </si>
  <si>
    <t>Erosion Eel 14''</t>
  </si>
  <si>
    <t>Erosion Eel 20''</t>
  </si>
  <si>
    <t xml:space="preserve">Permanent Waterbar Installation </t>
  </si>
  <si>
    <t>Temporary Waterbar Installation</t>
  </si>
  <si>
    <t>Filtration Sediment Bags 10' x 15'</t>
  </si>
  <si>
    <t xml:space="preserve">Dewater Structure </t>
  </si>
  <si>
    <t xml:space="preserve">Clear Water Diversion Pit </t>
  </si>
  <si>
    <t>Stabilized Construction Entrance 20'W x 50'L x 6''D</t>
  </si>
  <si>
    <t>Linear Foot (Width)</t>
  </si>
  <si>
    <t xml:space="preserve">Each </t>
  </si>
  <si>
    <t>Inch Dia per LF</t>
  </si>
  <si>
    <t>Grouting of Abandoned Pipe</t>
  </si>
  <si>
    <t>Removal of Existing Pipeline</t>
  </si>
  <si>
    <t xml:space="preserve">Sheet Piling </t>
  </si>
  <si>
    <t xml:space="preserve">Ditch Shoring </t>
  </si>
  <si>
    <t>Traffic Control (Flaggers)</t>
  </si>
  <si>
    <t>Traffic Control (Signage)</t>
  </si>
  <si>
    <t>Traffic Control (Barriers)</t>
  </si>
  <si>
    <t xml:space="preserve">Flowable Fill </t>
  </si>
  <si>
    <t>Noise Reduction Barriers</t>
  </si>
  <si>
    <t>Conventional Upland Lay (Residential)</t>
  </si>
  <si>
    <t>Hydro Water Testing</t>
  </si>
  <si>
    <t>1 Year Proj AFUDC</t>
  </si>
  <si>
    <t>2 Year Proj AFUDC</t>
  </si>
  <si>
    <t>3 Year Proj AFUDC</t>
  </si>
  <si>
    <t>**ADD +3 MONTHS IF RED STAKEHOLDER ENGAGEMENT</t>
  </si>
  <si>
    <t>Re-coating of Exposed Pipe (Spray Application)</t>
  </si>
  <si>
    <t>Inspection Rate</t>
  </si>
  <si>
    <t>NDT Rate</t>
  </si>
  <si>
    <t>Erlanger</t>
  </si>
  <si>
    <t>GDKO</t>
  </si>
  <si>
    <t>Kellogg</t>
  </si>
  <si>
    <t>Monfort Heights</t>
  </si>
  <si>
    <t>Todhunter</t>
  </si>
  <si>
    <t>GD10 - Ohio</t>
  </si>
  <si>
    <t>PGOC - Greensboro</t>
  </si>
  <si>
    <t>PNOV - Nashville</t>
  </si>
  <si>
    <t>PFOC - Fayetteville</t>
  </si>
  <si>
    <t>PGRO - Greenville</t>
  </si>
  <si>
    <t>GD70 - Kentucky</t>
  </si>
  <si>
    <t>PBLN - Bentonville LNG</t>
  </si>
  <si>
    <t>PROC - Reidsville</t>
  </si>
  <si>
    <t>PIOC - Indian Trail</t>
  </si>
  <si>
    <t>PWOC - Winston Salem</t>
  </si>
  <si>
    <t>PCOC - Charlotte</t>
  </si>
  <si>
    <t>PGDO - Goldsboro</t>
  </si>
  <si>
    <t>PEOC - Elizabeth City</t>
  </si>
  <si>
    <t>PTOC - Tarboro</t>
  </si>
  <si>
    <t>PAOC - Anderson</t>
  </si>
  <si>
    <t>PSOC - Salisbury</t>
  </si>
  <si>
    <t>PROO - Rockingham</t>
  </si>
  <si>
    <t>PSPO - Spartanburg</t>
  </si>
  <si>
    <t>PNOC - New Bern</t>
  </si>
  <si>
    <t>OVERHEAD RATE</t>
  </si>
  <si>
    <t>AFUDC RATE</t>
  </si>
  <si>
    <t>FBRG - Fort Bragg</t>
  </si>
  <si>
    <t>PHLN - Huntersville LNG</t>
  </si>
  <si>
    <t>PHOC - Hickory</t>
  </si>
  <si>
    <t>PHPC - High Point</t>
  </si>
  <si>
    <t>PMOC - Mayland</t>
  </si>
  <si>
    <t>PBOC - Burlington</t>
  </si>
  <si>
    <t>PCLN - PNG Carolina LNG</t>
  </si>
  <si>
    <t>PWIO - Wilmington</t>
  </si>
  <si>
    <t>PSOP - South Carolina</t>
  </si>
  <si>
    <t>3. Estimate assumes basic environmental control design.</t>
  </si>
  <si>
    <t>Anomoly Dig</t>
  </si>
  <si>
    <t>Stopple Pit</t>
  </si>
  <si>
    <t>Retrofit Cost</t>
  </si>
  <si>
    <t>HDD Geo-analytical Design</t>
  </si>
  <si>
    <t>Asphalt Removal</t>
  </si>
  <si>
    <t>Asphalt Restoration</t>
  </si>
  <si>
    <t>MLV Foundations</t>
  </si>
  <si>
    <t>L/R Foundations</t>
  </si>
  <si>
    <t>Taxes &amp; Freight (11% of All Material)</t>
  </si>
  <si>
    <t>Methane Recapture</t>
  </si>
  <si>
    <t>Per Dig/Site</t>
  </si>
  <si>
    <t>Per Site</t>
  </si>
  <si>
    <t>Material Verification</t>
  </si>
  <si>
    <t>Environmental Justice Assessment Trigger Questionnaire</t>
  </si>
  <si>
    <t xml:space="preserve">Activity/Project Name: </t>
  </si>
  <si>
    <t>Business Unit:</t>
  </si>
  <si>
    <t xml:space="preserve">Project Staff: </t>
  </si>
  <si>
    <t xml:space="preserve">Activity/Project Scope or Description: </t>
  </si>
  <si>
    <t>NGBU</t>
  </si>
  <si>
    <t>Major Projects</t>
  </si>
  <si>
    <t>The intent of this questionnaire is to identify Duke Energy projects /activities that might have significant environmental or community impacts or required regulatory approvals and/or that are located in or near communities of environmental justice (EJ) concern to further assess for potential EJ risks and planning.</t>
  </si>
  <si>
    <t>Review activity/project and answer the following questions:</t>
  </si>
  <si>
    <t>Answer  (Yes, No, Unknown)</t>
  </si>
  <si>
    <r>
      <t xml:space="preserve">Does the activity/project anticipate a public regulatory approval that may trigger EJ Assessment requirements? </t>
    </r>
    <r>
      <rPr>
        <sz val="11"/>
        <color rgb="FFFF0000"/>
        <rFont val="Calibri"/>
        <family val="2"/>
        <scheme val="minor"/>
      </rPr>
      <t>(i.e. federal permitting, NRC licensing, state Public Utility Commission approval) Transmission only, Should only apply to Ohio (OPSB) &amp; Kentucky (CPCN).</t>
    </r>
  </si>
  <si>
    <r>
      <t xml:space="preserve">Does the activity/project anticipate creating significant new, modifying, or increasing discharge, emissions, or waste generation - either amount or type? </t>
    </r>
    <r>
      <rPr>
        <sz val="11"/>
        <color rgb="FFFF0000"/>
        <rFont val="Calibri"/>
        <family val="2"/>
        <scheme val="minor"/>
      </rPr>
      <t>Compressor Station, Permanent Flare, Heaters over 10 mmBTU/hr (not associated with Duke M&amp;R), Station located near Paper Mill, Pellet, Concrete, Brick Plant, chemical (large emission or smell producing plants)</t>
    </r>
  </si>
  <si>
    <r>
      <t>Does the activity/project anticipate significant land use modification, land acquisition, easement acquisition and/or modifications to community aesthetics?</t>
    </r>
    <r>
      <rPr>
        <sz val="11"/>
        <color rgb="FFFF0000"/>
        <rFont val="Calibri"/>
        <family val="2"/>
        <scheme val="minor"/>
      </rPr>
      <t xml:space="preserve"> Large Stations immediately outside or in the middle of developments, neighborhoods. 20+ miles of pipeline</t>
    </r>
  </si>
  <si>
    <r>
      <t xml:space="preserve">Does the activity/project trigger routing or site selection studies? </t>
    </r>
    <r>
      <rPr>
        <sz val="11"/>
        <color rgb="FFFF0000"/>
        <rFont val="Calibri"/>
        <family val="2"/>
        <scheme val="minor"/>
      </rPr>
      <t>OPSB, 20+ miles of pipeline, if charter states a routing/site selection study will be required</t>
    </r>
  </si>
  <si>
    <r>
      <t xml:space="preserve">Is the activity/project in a community with known, previous and/or on-going EJ concerns? </t>
    </r>
    <r>
      <rPr>
        <sz val="11"/>
        <color rgb="FFFF0000"/>
        <rFont val="Calibri"/>
        <family val="2"/>
        <scheme val="minor"/>
      </rPr>
      <t>ACP corridor, Tribal Lands, Known Opposition</t>
    </r>
  </si>
  <si>
    <t>If the answer is “Yes” or “Unknown” to any of the questions above, consult with Environmental and External Engagement Staff (Nicole Kiser) to determine if an initial EJ Assessment is needed.</t>
  </si>
  <si>
    <t>1 Year Project - 17 months | 2 Year Project - 35 months | 3 Year Project -  46 months</t>
  </si>
  <si>
    <t>1 Year Project - 5 months | 2 Year Project - 15 months | 3 Year Project -  16 months</t>
  </si>
  <si>
    <t>1 Year Project - 4 months | 2 Year Project - 9 months | 3 Year Project -  10 months</t>
  </si>
  <si>
    <t>Duke Energy/PNG</t>
  </si>
  <si>
    <t>Select from the Drop-down list</t>
  </si>
  <si>
    <t>City / County / Township</t>
  </si>
  <si>
    <t>State</t>
  </si>
  <si>
    <t>North Carolina</t>
  </si>
  <si>
    <t>South Carolina</t>
  </si>
  <si>
    <t>Tennessee</t>
  </si>
  <si>
    <t>Ohio</t>
  </si>
  <si>
    <t>Kentucky</t>
  </si>
  <si>
    <t>2-State (LNG)</t>
  </si>
  <si>
    <t>Select State</t>
  </si>
  <si>
    <t>ScarGuard Application</t>
  </si>
  <si>
    <t>ScarGuard</t>
  </si>
  <si>
    <t>Anode Bed Material</t>
  </si>
  <si>
    <t>NGEXCEP</t>
  </si>
  <si>
    <t>NGILIPC</t>
  </si>
  <si>
    <t>NGREMPC</t>
  </si>
  <si>
    <t xml:space="preserve"> per year with the project kicking off on </t>
  </si>
  <si>
    <t>.</t>
  </si>
  <si>
    <t>Duke/PNG Labor</t>
  </si>
  <si>
    <t xml:space="preserve">4. Escalation was assumed at </t>
  </si>
  <si>
    <t>MAOP Oversight</t>
  </si>
  <si>
    <t>*Per Farsnworth costs that Robin provided.</t>
  </si>
  <si>
    <t>Bore/Drill Pits</t>
  </si>
  <si>
    <t>Per Bore/Drill</t>
  </si>
  <si>
    <t>Per Man-Days</t>
  </si>
  <si>
    <t>R&amp;D Credit Potential Checklist</t>
  </si>
  <si>
    <t>The intent of this questionnaire is to identify Duke Energy projects /activities that may qualify for the Duke R&amp;D Credit Incentive Program.</t>
  </si>
  <si>
    <t>ELIMINATION OF UNCERTAINTY: Is the activity intended to discover information to eliminate uncertainty concerning the Capability, Method, and/or Design for developing/improving a business component?</t>
  </si>
  <si>
    <t>TECHNOLOGICAL IN NATURE: Does the activity performed fundamentally rely on principles of Physical/Biological Science, Engineering, and Computer Science?</t>
  </si>
  <si>
    <t>PROCESS OF EXPERIMENTATION: Will the taxpayer engage in an evaluative process that is capable of identifying and evaluating one or more alternatives to achieve a result (this may include modeling, simulation, or systematic trial &amp; error methodology)?</t>
  </si>
  <si>
    <t>PERMITTED PURPOSE: Does the activity relate to a new/improved business component (Function, Performance, Reliability, Quality)? *A business component includes any product, process, computer software, technique, formula, or invention which is to be(A)held for sale, lease, or license, or (B)used by the taxpayer in a trade or business of the taxpayer.</t>
  </si>
  <si>
    <t>Erlanger, KY</t>
  </si>
  <si>
    <t>R. Fredericks</t>
  </si>
  <si>
    <t>Kelsey Pace</t>
  </si>
  <si>
    <t>E-Initiate</t>
  </si>
  <si>
    <t>Line AM07 Pipeline Replacement-Phase 4</t>
  </si>
  <si>
    <r>
      <t xml:space="preserve">1. 2023 Ecosys SOW:
</t>
    </r>
    <r>
      <rPr>
        <strike/>
        <sz val="11"/>
        <rFont val="Calibri"/>
        <family val="2"/>
        <scheme val="minor"/>
      </rPr>
      <t xml:space="preserve">Phase 4 (of 5 Phases) includes the following:
*Perform detailed engineering to support replacement of 11,690 feet (2.2 miles) of 24" pipe designed for a pressure of 1000 psig.
*Install new 24" steel pipeline that starts on the South side of the I-275 crossing near Licking Pk (tying into existing piping) and ending at Cold Springs Station. 
</t>
    </r>
    <r>
      <rPr>
        <sz val="11"/>
        <rFont val="Calibri"/>
        <family val="2"/>
        <scheme val="minor"/>
      </rPr>
      <t xml:space="preserve">*Install necessary infrastructure at the Cold Springs Station, including a launcher for the new line. </t>
    </r>
    <r>
      <rPr>
        <strike/>
        <sz val="11"/>
        <rFont val="Calibri"/>
        <family val="2"/>
        <scheme val="minor"/>
      </rPr>
      <t xml:space="preserve">
*Abandon Line AM07 along this section.
*Address remaining farm taps.
*Preliminary proposed pipeline route that was field reviewed by Implementation is included in attachment. Right of Way (ROW) reclamation will be required.  
2023 Revised Scope per the Project Manager:
*Perform detailed engineering to support replacement of 17,424 LF (3.3 Miles) of 24" Pipe designed for a pressure of 1000psig.
*Install new 24" pipeline along the route proposed by the Map Exhibit below.
</t>
    </r>
    <r>
      <rPr>
        <sz val="11"/>
        <rFont val="Calibri"/>
        <family val="2"/>
        <scheme val="minor"/>
      </rPr>
      <t>*Install necessary infrastructure at the Cold Springs Station, including a launcher for the new line.</t>
    </r>
    <r>
      <rPr>
        <strike/>
        <sz val="11"/>
        <rFont val="Calibri"/>
        <family val="2"/>
        <scheme val="minor"/>
      </rPr>
      <t xml:space="preserve">
</t>
    </r>
    <r>
      <rPr>
        <sz val="11"/>
        <rFont val="Calibri"/>
        <family val="2"/>
        <scheme val="minor"/>
      </rPr>
      <t>*Abandon Line AM07 along this section.</t>
    </r>
    <r>
      <rPr>
        <strike/>
        <sz val="11"/>
        <rFont val="Calibri"/>
        <family val="2"/>
        <scheme val="minor"/>
      </rPr>
      <t xml:space="preserve">
</t>
    </r>
    <r>
      <rPr>
        <sz val="11"/>
        <rFont val="Calibri"/>
        <family val="2"/>
        <scheme val="minor"/>
      </rPr>
      <t>*Address remaining Farm Taps.</t>
    </r>
    <r>
      <rPr>
        <strike/>
        <sz val="11"/>
        <rFont val="Calibri"/>
        <family val="2"/>
        <scheme val="minor"/>
      </rPr>
      <t xml:space="preserve">
</t>
    </r>
    <r>
      <rPr>
        <sz val="11"/>
        <rFont val="Calibri"/>
        <family val="2"/>
        <scheme val="minor"/>
      </rPr>
      <t>*Right of Way Reclamation will be required.</t>
    </r>
  </si>
  <si>
    <t>2. Estimate assumes AC Mitigation is required.</t>
  </si>
  <si>
    <t>4. A Routing factor has been assumed for the pipeline. Estimate revision assumes 17,424 LF of total Pipelay per the proposed High Level Routing with a 14% Routing Factor. Total Pipelay estimated is 19,863 LF.</t>
  </si>
  <si>
    <t>5. Estimate assumes SCADA is not required.</t>
  </si>
  <si>
    <t>6. Estimate assumes that a laydown yard is required.</t>
  </si>
  <si>
    <t>7. Estimate assumes that traffic control is not required.</t>
  </si>
  <si>
    <t>8. Estimate assumes 20% Pipelay/0% Rock Bores per completed Phase Project AM07 Replacements.</t>
  </si>
  <si>
    <t>9. Estimate revision assumes one existing Line Crossing.</t>
  </si>
  <si>
    <t>10. Revision assumes 6 Open Cut Streams and associated Wetland Lay. Assumed 50 LF Open Cut Ea. &amp; 25 LF Wetland Lay per Stream.</t>
  </si>
  <si>
    <t>11. Revision assumes 3 Road Bores, Alexandria Pike (150 LF), Industrial Rd. (100 LF) &amp; Winters Ln. (100 LF).</t>
  </si>
  <si>
    <t>12. Revision assumes Asphalt Removal and Repair along the Eastern section of the route.</t>
  </si>
  <si>
    <r>
      <t xml:space="preserve">13. </t>
    </r>
    <r>
      <rPr>
        <strike/>
        <sz val="11"/>
        <rFont val="Calibri"/>
        <family val="2"/>
        <scheme val="minor"/>
      </rPr>
      <t>Revision assumes 80% of the current route to require Tree Cutting.</t>
    </r>
  </si>
  <si>
    <t>14. Revision assumes Coal Tar and Asbestos Remediation for all Tie-Ins and Pipeline Cut and Removal for the existing line retirement. 4 Tie-Ins and 42 LF of 24" Cut-Outs.</t>
  </si>
  <si>
    <t>Rev D-2024 Revised Scope per provided KMZ file:</t>
  </si>
  <si>
    <t>1. Revision assumes a new route and reduced footage to 13,390 LF Pipelay per the KMZ file. Reduced Stream Crossings, Number of Parcels, Number of Access Roads.</t>
  </si>
  <si>
    <t>2. Revision assumes no actual costs have been reported or Materials purchased, or Proposals received at the time of this estimate.</t>
  </si>
  <si>
    <t>3. Revision assumes adequate DOT &amp; Private Easement along the route to not require work in the road.</t>
  </si>
  <si>
    <t>4. Per Project Controls, the Project has no Purchase Orders, Proposals or actuals at the time of this estimate.</t>
  </si>
  <si>
    <t>5. Revision assumes no Wetlands or Stream Crossings along the route.</t>
  </si>
  <si>
    <t>REV E-Initiate: 60% Design Issued</t>
  </si>
  <si>
    <t>B</t>
  </si>
  <si>
    <t>Charter estimate</t>
  </si>
  <si>
    <t>Charter</t>
  </si>
  <si>
    <t>K. Gillow</t>
  </si>
  <si>
    <t>C</t>
  </si>
  <si>
    <t>Revised Estimate-Class 5 Scope change in Pipelay footage and Routing Change-Route is High Level and a 14% routing factor is included. 14,716 LF to 19,863 LF and updated Unit Costs.</t>
  </si>
  <si>
    <t>Brad Seiter</t>
  </si>
  <si>
    <t>Benton Jones</t>
  </si>
  <si>
    <t>D</t>
  </si>
  <si>
    <t>Revised Estimate-Class 5 Scope change in Pipelay Reduced footage and Routing Change. 19,863 LF to 13,900 LF and updated Unit Costs. Estimate assumes no Routing Factor.</t>
  </si>
  <si>
    <t>E</t>
  </si>
  <si>
    <t>K. Pace</t>
  </si>
  <si>
    <t>Actuator Valve</t>
  </si>
  <si>
    <t>Per Tri-State Valves and Controls PO 12033713</t>
  </si>
  <si>
    <t>24" Standard Wall, X52, Coated, DRL</t>
  </si>
  <si>
    <t>24" Standard Wall, X52, Powercrete</t>
  </si>
  <si>
    <t>4" Standard Wall, X52, Bare</t>
  </si>
  <si>
    <t>1" Standard Wall, X52, Bare</t>
  </si>
  <si>
    <t>24" 3R - 45 deg ell -  Segmentable</t>
  </si>
  <si>
    <t>24" 3R - 90 deg ell -  Segmentable</t>
  </si>
  <si>
    <t>4" 3R - 90 deg ell -  Segmentable</t>
  </si>
  <si>
    <t>1" 3R - 90 deg ell -  Segmentable</t>
  </si>
  <si>
    <t>Ball Valve 1"</t>
  </si>
  <si>
    <t>24" TDW Spherical Tee</t>
  </si>
  <si>
    <t>Conventional Upland Lay 24"</t>
  </si>
  <si>
    <t>Conventional Upland Lay 4"</t>
  </si>
  <si>
    <t>24", Bare (L/R)</t>
  </si>
  <si>
    <t>24" Standard Wall, X52, Coated, DRL (L/R)</t>
  </si>
  <si>
    <t>24" Insulator</t>
  </si>
  <si>
    <t>Ball Valve 2"</t>
  </si>
  <si>
    <t>Ball Valve 4"</t>
  </si>
  <si>
    <t>Per B&amp;McD PO 11588956</t>
  </si>
  <si>
    <t>Per B&amp;McD PO 12146048 and Perchron PO 12146048</t>
  </si>
  <si>
    <t>Top Soil (L/R)</t>
  </si>
  <si>
    <t>L/R Installation (24")</t>
  </si>
  <si>
    <t>24"/4" Steel</t>
  </si>
  <si>
    <t>12,000 LF/80 LF</t>
  </si>
  <si>
    <t>1. Estimate assumes 20% Rock. HDD and Bore in 100% Rock.</t>
  </si>
  <si>
    <t>3. A routing factor has not been applied.</t>
  </si>
  <si>
    <t>4. Estimate assumes SCADA not required.</t>
  </si>
  <si>
    <t>5. Estimate assumes a laydown yard is required.</t>
  </si>
  <si>
    <t>6. Estimate assumes traffic control is required.</t>
  </si>
  <si>
    <t>8. Engineering cost per B&amp;McD PO 11588956 of $2,169,624.</t>
  </si>
  <si>
    <t>10. Contract Labor Land Services per PPS of $36,500.</t>
  </si>
  <si>
    <t>11. Equipment cost per Tri-State PO 12033713 of $67,198.</t>
  </si>
  <si>
    <t>9. Contract Labor Land Services per B&amp;McD PO 11824861 of $321,792.</t>
  </si>
  <si>
    <t>Permanent Access Roads (L/R 140LF)</t>
  </si>
  <si>
    <t>Lump sum</t>
  </si>
  <si>
    <t>Contractor Tap Support 24"</t>
  </si>
  <si>
    <t>TDW - Hot Tap 24"</t>
  </si>
  <si>
    <t>24" L/R Module</t>
  </si>
  <si>
    <r>
      <t xml:space="preserve">2. Overheads and Allocations calculated using </t>
    </r>
    <r>
      <rPr>
        <sz val="11"/>
        <color theme="1"/>
        <rFont val="Calibri"/>
        <family val="2"/>
        <scheme val="minor"/>
      </rPr>
      <t>19% of Total Direct Cost less Land Purchase, Materials/Equipment and FERC cost.</t>
    </r>
  </si>
  <si>
    <r>
      <t xml:space="preserve">3. AFUDC calculated using </t>
    </r>
    <r>
      <rPr>
        <sz val="11"/>
        <color theme="1"/>
        <rFont val="Calibri"/>
        <family val="2"/>
        <scheme val="minor"/>
      </rPr>
      <t>7% of total Direct Cost. (No AFUDC on Retirement Cost.)</t>
    </r>
  </si>
  <si>
    <t>Conventional Bore - Rock 24"</t>
  </si>
  <si>
    <t>Directional Drill – Rock 24"</t>
  </si>
  <si>
    <t>Per Land Group</t>
  </si>
  <si>
    <t>12. New route total 12,080 Linear Feet per 60% Design.</t>
  </si>
  <si>
    <t>7. Estimate follows 60% design release. 2 Road bores (484 linear feet total) and 1 HDD (948 linear feet) are required.</t>
  </si>
  <si>
    <t>13,862 LF</t>
  </si>
  <si>
    <t>24" Steel Retirement</t>
  </si>
  <si>
    <t>Initiate Estimate: 60% Design issued-Pipeline reduced to 12,080 Linear Feet. Directional Drill Scope added and bore cope increased.</t>
  </si>
  <si>
    <t>Easments: Permanaent</t>
  </si>
  <si>
    <t>13. PNG Labor increased to $1M at PC request.</t>
  </si>
  <si>
    <t>AC Mitigation Material (included with AC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</si>
</sst>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_(* #,##0_);_(* \(#,##0\);_(* &quot;-&quot;??_);_(@_)"/>
    <numFmt numFmtId="168" formatCode="mmm\ yyyy"/>
    <numFmt numFmtId="169" formatCode="0.0000"/>
  </numFmts>
  <fonts count="59">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4"/>
      <color theme="1"/>
      <name val="Calibri"/>
      <family val="2"/>
      <scheme val="minor"/>
    </font>
    <font>
      <b/>
      <sz val="11"/>
      <color theme="8" tint="-0.249977111117893"/>
      <name val="Calibri"/>
      <family val="2"/>
      <scheme val="minor"/>
    </font>
    <font>
      <sz val="10"/>
      <name val="Arial"/>
      <family val="2"/>
    </font>
    <font>
      <b/>
      <sz val="22"/>
      <color theme="0"/>
      <name val="Calibri"/>
      <family val="2"/>
      <scheme val="minor"/>
    </font>
    <font>
      <b/>
      <sz val="16"/>
      <color theme="0"/>
      <name val="Calibri"/>
      <family val="2"/>
      <scheme val="minor"/>
    </font>
    <font>
      <b/>
      <sz val="14"/>
      <color theme="0"/>
      <name val="Calibri"/>
      <family val="2"/>
      <scheme val="minor"/>
    </font>
    <font>
      <b/>
      <sz val="20"/>
      <color theme="0"/>
      <name val="Calibri"/>
      <family val="2"/>
      <scheme val="minor"/>
    </font>
    <font>
      <b/>
      <sz val="24"/>
      <color theme="0"/>
      <name val="Calibri"/>
      <family val="2"/>
      <scheme val="minor"/>
    </font>
    <font>
      <b/>
      <sz val="14"/>
      <name val="Calibri"/>
      <family val="2"/>
      <scheme val="minor"/>
    </font>
    <font>
      <b/>
      <sz val="12"/>
      <color theme="1"/>
      <name val="Calibri"/>
      <family val="2"/>
      <scheme val="minor"/>
    </font>
    <font>
      <b/>
      <sz val="12"/>
      <color theme="0"/>
      <name val="Calibri"/>
      <family val="2"/>
      <scheme val="minor"/>
    </font>
    <font>
      <b/>
      <sz val="12"/>
      <name val="Calibri"/>
      <family val="2"/>
      <scheme val="minor"/>
    </font>
    <font>
      <sz val="12"/>
      <color theme="0"/>
      <name val="Calibri"/>
      <family val="2"/>
      <scheme val="minor"/>
    </font>
    <font>
      <sz val="11"/>
      <name val="Calibri"/>
      <family val="2"/>
      <scheme val="minor"/>
    </font>
    <font>
      <b/>
      <sz val="18"/>
      <color theme="0"/>
      <name val="Calibri"/>
      <family val="2"/>
      <scheme val="minor"/>
    </font>
    <font>
      <b/>
      <sz val="11"/>
      <color theme="8" tint="0.59999389629810485"/>
      <name val="Calibri"/>
      <family val="2"/>
      <scheme val="minor"/>
    </font>
    <font>
      <sz val="11"/>
      <color theme="1"/>
      <name val="Calibri"/>
      <family val="2"/>
      <scheme val="minor"/>
    </font>
    <font>
      <sz val="10"/>
      <color theme="1"/>
      <name val="Calibri"/>
      <family val="2"/>
      <scheme val="minor"/>
    </font>
    <font>
      <i/>
      <sz val="8"/>
      <color theme="1"/>
      <name val="Calibri"/>
      <family val="2"/>
      <scheme val="minor"/>
    </font>
    <font>
      <b/>
      <sz val="10"/>
      <color theme="1"/>
      <name val="Calibri"/>
      <family val="2"/>
      <scheme val="minor"/>
    </font>
    <font>
      <b/>
      <sz val="11"/>
      <color theme="3" tint="0.39997558519241921"/>
      <name val="Calibri"/>
      <family val="2"/>
      <scheme val="minor"/>
    </font>
    <font>
      <u val="singleAccounting"/>
      <sz val="11"/>
      <color theme="1"/>
      <name val="Calibri"/>
      <family val="2"/>
      <scheme val="minor"/>
    </font>
    <font>
      <b/>
      <sz val="8"/>
      <color theme="1"/>
      <name val="Calibri"/>
      <family val="2"/>
      <scheme val="minor"/>
    </font>
    <font>
      <b/>
      <i/>
      <sz val="14"/>
      <color theme="1"/>
      <name val="Calibri"/>
      <family val="2"/>
      <scheme val="minor"/>
    </font>
    <font>
      <sz val="12"/>
      <color theme="1"/>
      <name val="Calibri"/>
      <family val="2"/>
      <scheme val="minor"/>
    </font>
    <font>
      <i/>
      <sz val="10"/>
      <color theme="1"/>
      <name val="Calibri"/>
      <family val="2"/>
      <scheme val="minor"/>
    </font>
    <font>
      <b/>
      <sz val="16"/>
      <color rgb="FFFFFFFF"/>
      <name val="Calibri"/>
      <family val="2"/>
      <scheme val="minor"/>
    </font>
    <font>
      <b/>
      <i/>
      <sz val="12"/>
      <color theme="0"/>
      <name val="Calibri"/>
      <family val="2"/>
      <scheme val="minor"/>
    </font>
    <font>
      <b/>
      <sz val="9"/>
      <color indexed="81"/>
      <name val="Tahoma"/>
      <family val="2"/>
    </font>
    <font>
      <sz val="9"/>
      <color indexed="81"/>
      <name val="Tahoma"/>
      <family val="2"/>
    </font>
    <font>
      <sz val="11"/>
      <color theme="5" tint="-0.249977111117893"/>
      <name val="Calibri"/>
      <family val="2"/>
      <scheme val="minor"/>
    </font>
    <font>
      <sz val="9"/>
      <color rgb="FF000000"/>
      <name val="Arial"/>
      <family val="2"/>
    </font>
    <font>
      <b/>
      <u/>
      <sz val="11"/>
      <color rgb="FFFF0000"/>
      <name val="Calibri"/>
      <family val="2"/>
      <scheme val="minor"/>
    </font>
    <font>
      <b/>
      <u/>
      <sz val="11"/>
      <color theme="1"/>
      <name val="Calibri"/>
      <family val="2"/>
      <scheme val="minor"/>
    </font>
    <font>
      <b/>
      <sz val="16"/>
      <color theme="1"/>
      <name val="Calibri"/>
      <family val="2"/>
      <scheme val="minor"/>
    </font>
    <font>
      <b/>
      <sz val="16"/>
      <color rgb="FFFF0000"/>
      <name val="Calibri"/>
      <family val="2"/>
      <scheme val="minor"/>
    </font>
    <font>
      <b/>
      <sz val="11"/>
      <name val="Calibri"/>
      <family val="2"/>
      <scheme val="minor"/>
    </font>
    <font>
      <b/>
      <sz val="11"/>
      <name val="Arial"/>
      <family val="2"/>
    </font>
    <font>
      <b/>
      <sz val="28"/>
      <name val="Vineta BT"/>
      <family val="5"/>
    </font>
    <font>
      <sz val="11"/>
      <name val="Arial"/>
      <family val="2"/>
    </font>
    <font>
      <b/>
      <strike/>
      <sz val="11"/>
      <color theme="1"/>
      <name val="Calibri"/>
      <family val="2"/>
      <scheme val="minor"/>
    </font>
    <font>
      <strike/>
      <sz val="11"/>
      <color theme="1"/>
      <name val="Calibri"/>
      <family val="2"/>
      <scheme val="minor"/>
    </font>
    <font>
      <strike/>
      <sz val="11"/>
      <color rgb="FFFF0000"/>
      <name val="Calibri"/>
      <family val="2"/>
      <scheme val="minor"/>
    </font>
    <font>
      <sz val="24"/>
      <color theme="1"/>
      <name val="Calibri"/>
      <family val="2"/>
      <scheme val="minor"/>
    </font>
    <font>
      <sz val="9"/>
      <color indexed="8"/>
      <name val="Arial"/>
      <family val="2"/>
    </font>
    <font>
      <sz val="9"/>
      <color indexed="12"/>
      <name val="Arial"/>
      <family val="2"/>
    </font>
    <font>
      <b/>
      <sz val="10"/>
      <name val="Arial"/>
      <family val="2"/>
    </font>
    <font>
      <sz val="8"/>
      <color indexed="81"/>
      <name val="Tahoma"/>
      <family val="2"/>
    </font>
    <font>
      <i/>
      <sz val="8"/>
      <color indexed="16"/>
      <name val="Tahoma"/>
      <family val="2"/>
    </font>
    <font>
      <sz val="11"/>
      <color rgb="FF000000"/>
      <name val="Calibri"/>
      <family val="2"/>
      <scheme val="minor"/>
    </font>
    <font>
      <b/>
      <sz val="11"/>
      <color rgb="FF000000"/>
      <name val="Calibri"/>
      <family val="2"/>
      <scheme val="minor"/>
    </font>
    <font>
      <b/>
      <u/>
      <sz val="14"/>
      <color theme="1"/>
      <name val="Calibri"/>
      <family val="2"/>
      <scheme val="minor"/>
    </font>
    <font>
      <strike/>
      <sz val="11"/>
      <name val="Calibri"/>
      <family val="2"/>
      <scheme val="minor"/>
    </font>
  </fonts>
  <fills count="38">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59999389629810485"/>
        <bgColor indexed="64"/>
      </patternFill>
    </fill>
    <fill>
      <patternFill patternType="darkGray">
        <bgColor theme="9" tint="0.59999389629810485"/>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24994659260841701"/>
        <bgColor indexed="64"/>
      </patternFill>
    </fill>
    <fill>
      <patternFill patternType="solid">
        <fgColor rgb="FFFFFF00"/>
        <bgColor indexed="64"/>
      </patternFill>
    </fill>
    <fill>
      <patternFill patternType="mediumGray"/>
    </fill>
    <fill>
      <patternFill patternType="solid">
        <fgColor theme="0" tint="-0.14999847407452621"/>
        <bgColor indexed="64"/>
      </patternFill>
    </fill>
    <fill>
      <patternFill patternType="solid">
        <fgColor theme="9" tint="0.39997558519241921"/>
        <bgColor indexed="64"/>
      </patternFill>
    </fill>
    <fill>
      <patternFill patternType="mediumGray">
        <bgColor theme="0" tint="-0.14999847407452621"/>
      </patternFill>
    </fill>
    <fill>
      <patternFill patternType="darkGray">
        <bgColor theme="5" tint="0.59999389629810485"/>
      </patternFill>
    </fill>
    <fill>
      <patternFill patternType="solid">
        <fgColor theme="0" tint="-0.14996795556505021"/>
        <bgColor indexed="64"/>
      </patternFill>
    </fill>
    <fill>
      <patternFill patternType="solid">
        <fgColor theme="3" tint="-0.249977111117893"/>
        <bgColor indexed="64"/>
      </patternFill>
    </fill>
    <fill>
      <patternFill patternType="solid">
        <fgColor rgb="FFEFEBDE"/>
        <bgColor rgb="FF000000"/>
      </patternFill>
    </fill>
    <fill>
      <patternFill patternType="solid">
        <fgColor rgb="FFFFFFFF"/>
        <bgColor rgb="FF000000"/>
      </patternFill>
    </fill>
    <fill>
      <patternFill patternType="solid">
        <fgColor theme="1" tint="0.34998626667073579"/>
        <bgColor indexed="64"/>
      </patternFill>
    </fill>
    <fill>
      <patternFill patternType="solid">
        <fgColor theme="3" tint="0.79998168889431442"/>
        <bgColor indexed="64"/>
      </patternFill>
    </fill>
    <fill>
      <patternFill patternType="solid">
        <fgColor rgb="FFFFFF00"/>
        <bgColor rgb="FF000000"/>
      </patternFill>
    </fill>
    <fill>
      <patternFill patternType="solid">
        <fgColor rgb="FFFF0000"/>
        <bgColor rgb="FF000000"/>
      </patternFill>
    </fill>
    <fill>
      <patternFill patternType="solid">
        <fgColor theme="4" tint="0.39997558519241921"/>
        <bgColor indexed="64"/>
      </patternFill>
    </fill>
    <fill>
      <patternFill patternType="solid">
        <fgColor rgb="FF00FF00"/>
        <bgColor rgb="FF000000"/>
      </patternFill>
    </fill>
    <fill>
      <patternFill patternType="solid">
        <fgColor rgb="FF00B050"/>
        <bgColor indexed="64"/>
      </patternFill>
    </fill>
    <fill>
      <patternFill patternType="solid">
        <fgColor theme="7"/>
        <bgColor indexed="64"/>
      </patternFill>
    </fill>
    <fill>
      <patternFill patternType="solid">
        <fgColor rgb="FFFFC00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FFF99"/>
        <bgColor indexed="64"/>
      </patternFill>
    </fill>
    <fill>
      <patternFill patternType="gray0625">
        <fgColor indexed="8"/>
      </patternFill>
    </fill>
    <fill>
      <patternFill patternType="solid">
        <fgColor rgb="FFFFFFFF"/>
        <bgColor indexed="64"/>
      </patternFill>
    </fill>
    <fill>
      <patternFill patternType="solid">
        <fgColor theme="4" tint="0.59999389629810485"/>
        <bgColor indexed="64"/>
      </patternFill>
    </fill>
  </fills>
  <borders count="69">
    <border>
      <left/>
      <right/>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indexed="64"/>
      </right>
      <top/>
      <bottom/>
      <diagonal/>
    </border>
    <border>
      <left style="medium">
        <color auto="1"/>
      </left>
      <right/>
      <top style="medium">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medium">
        <color indexed="64"/>
      </right>
      <top style="thin">
        <color auto="1"/>
      </top>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auto="1"/>
      </left>
      <right style="thin">
        <color auto="1"/>
      </right>
      <top/>
      <bottom style="medium">
        <color auto="1"/>
      </bottom>
      <diagonal/>
    </border>
    <border>
      <left style="thin">
        <color indexed="64"/>
      </left>
      <right style="medium">
        <color indexed="64"/>
      </right>
      <top/>
      <bottom style="medium">
        <color indexed="64"/>
      </bottom>
      <diagonal/>
    </border>
    <border>
      <left style="medium">
        <color auto="1"/>
      </left>
      <right/>
      <top/>
      <bottom style="thin">
        <color auto="1"/>
      </bottom>
      <diagonal/>
    </border>
    <border>
      <left style="medium">
        <color indexed="64"/>
      </left>
      <right/>
      <top style="thin">
        <color indexed="64"/>
      </top>
      <bottom/>
      <diagonal/>
    </border>
    <border>
      <left/>
      <right style="medium">
        <color auto="1"/>
      </right>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A4BED4"/>
      </left>
      <right style="thin">
        <color rgb="FFA4BED4"/>
      </right>
      <top style="thin">
        <color rgb="FFA4BED4"/>
      </top>
      <bottom style="thin">
        <color rgb="FFA4BED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auto="1"/>
      </top>
      <bottom style="thin">
        <color auto="1"/>
      </bottom>
      <diagonal/>
    </border>
    <border>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top style="medium">
        <color indexed="64"/>
      </top>
      <bottom style="thin">
        <color auto="1"/>
      </bottom>
      <diagonal/>
    </border>
    <border>
      <left/>
      <right style="thin">
        <color auto="1"/>
      </right>
      <top style="medium">
        <color auto="1"/>
      </top>
      <bottom style="thin">
        <color auto="1"/>
      </bottom>
      <diagonal/>
    </border>
    <border>
      <left style="thin">
        <color auto="1"/>
      </left>
      <right/>
      <top style="medium">
        <color indexed="64"/>
      </top>
      <bottom style="medium">
        <color indexed="64"/>
      </bottom>
      <diagonal/>
    </border>
    <border>
      <left/>
      <right style="medium">
        <color indexed="64"/>
      </right>
      <top style="thin">
        <color indexed="64"/>
      </top>
      <bottom/>
      <diagonal/>
    </border>
  </borders>
  <cellStyleXfs count="5">
    <xf numFmtId="0" fontId="0" fillId="0" borderId="0"/>
    <xf numFmtId="0" fontId="8" fillId="0" borderId="0"/>
    <xf numFmtId="44" fontId="22" fillId="0" borderId="0" applyFont="0" applyFill="0" applyBorder="0" applyAlignment="0" applyProtection="0"/>
    <xf numFmtId="9" fontId="22" fillId="0" borderId="0" applyFont="0" applyFill="0" applyBorder="0" applyAlignment="0" applyProtection="0"/>
    <xf numFmtId="43" fontId="8" fillId="0" borderId="0" applyFont="0" applyFill="0" applyBorder="0" applyAlignment="0" applyProtection="0"/>
  </cellStyleXfs>
  <cellXfs count="611">
    <xf numFmtId="0" fontId="0" fillId="0" borderId="0" xfId="0"/>
    <xf numFmtId="0" fontId="0" fillId="0" borderId="0" xfId="0" applyAlignment="1">
      <alignment horizontal="center"/>
    </xf>
    <xf numFmtId="0" fontId="0" fillId="0" borderId="21" xfId="0" applyBorder="1"/>
    <xf numFmtId="0" fontId="0" fillId="0" borderId="21" xfId="0" applyBorder="1" applyAlignment="1">
      <alignment horizontal="center"/>
    </xf>
    <xf numFmtId="0" fontId="0" fillId="0" borderId="25" xfId="0" applyBorder="1"/>
    <xf numFmtId="0" fontId="0" fillId="0" borderId="27" xfId="0" applyBorder="1"/>
    <xf numFmtId="0" fontId="0" fillId="0" borderId="14" xfId="0" applyBorder="1"/>
    <xf numFmtId="0" fontId="0" fillId="0" borderId="25" xfId="0" applyBorder="1" applyAlignment="1">
      <alignment horizontal="center"/>
    </xf>
    <xf numFmtId="0" fontId="0" fillId="0" borderId="27" xfId="0" applyBorder="1" applyAlignment="1">
      <alignment horizontal="center"/>
    </xf>
    <xf numFmtId="0" fontId="0" fillId="0" borderId="29"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3" fillId="0" borderId="6" xfId="0" applyFont="1" applyBorder="1" applyAlignment="1">
      <alignment horizontal="center"/>
    </xf>
    <xf numFmtId="0" fontId="3" fillId="0" borderId="9" xfId="0" applyFont="1" applyBorder="1" applyAlignment="1">
      <alignment horizontal="center"/>
    </xf>
    <xf numFmtId="0" fontId="5" fillId="0" borderId="0" xfId="0" applyFont="1"/>
    <xf numFmtId="0" fontId="0" fillId="0" borderId="2" xfId="0" applyBorder="1"/>
    <xf numFmtId="0" fontId="7" fillId="0" borderId="28" xfId="0" applyFont="1" applyBorder="1" applyAlignment="1">
      <alignment horizontal="center"/>
    </xf>
    <xf numFmtId="0" fontId="7" fillId="0" borderId="21" xfId="0" applyFont="1" applyBorder="1" applyAlignment="1">
      <alignment horizontal="center"/>
    </xf>
    <xf numFmtId="10" fontId="7" fillId="0" borderId="21" xfId="0" applyNumberFormat="1" applyFont="1" applyBorder="1" applyAlignment="1">
      <alignment horizontal="center"/>
    </xf>
    <xf numFmtId="0" fontId="1" fillId="4" borderId="22" xfId="0" applyFont="1" applyFill="1" applyBorder="1"/>
    <xf numFmtId="0" fontId="1" fillId="4" borderId="23" xfId="0" applyFont="1" applyFill="1" applyBorder="1"/>
    <xf numFmtId="0" fontId="1" fillId="4" borderId="24" xfId="0" applyFont="1" applyFill="1" applyBorder="1"/>
    <xf numFmtId="0" fontId="11" fillId="4" borderId="18" xfId="0" applyFont="1" applyFill="1" applyBorder="1" applyAlignment="1">
      <alignment horizontal="center"/>
    </xf>
    <xf numFmtId="0" fontId="11" fillId="4" borderId="25" xfId="0" applyFont="1" applyFill="1" applyBorder="1" applyAlignment="1">
      <alignment horizontal="center"/>
    </xf>
    <xf numFmtId="0" fontId="11" fillId="4" borderId="26" xfId="0" applyFont="1" applyFill="1" applyBorder="1" applyAlignment="1">
      <alignment horizontal="center"/>
    </xf>
    <xf numFmtId="0" fontId="0" fillId="0" borderId="5" xfId="0" applyBorder="1"/>
    <xf numFmtId="0" fontId="0" fillId="0" borderId="28" xfId="0" applyBorder="1" applyAlignment="1">
      <alignment horizontal="center"/>
    </xf>
    <xf numFmtId="0" fontId="0" fillId="0" borderId="30" xfId="0" applyBorder="1" applyAlignment="1">
      <alignment horizontal="center"/>
    </xf>
    <xf numFmtId="0" fontId="1" fillId="4" borderId="26" xfId="0" applyFont="1" applyFill="1" applyBorder="1" applyAlignment="1">
      <alignment horizontal="left"/>
    </xf>
    <xf numFmtId="164" fontId="0" fillId="0" borderId="28" xfId="0" applyNumberFormat="1" applyBorder="1" applyAlignment="1">
      <alignment horizontal="center"/>
    </xf>
    <xf numFmtId="164" fontId="0" fillId="0" borderId="21" xfId="0" applyNumberFormat="1" applyBorder="1" applyAlignment="1">
      <alignment horizontal="center"/>
    </xf>
    <xf numFmtId="164" fontId="0" fillId="0" borderId="30" xfId="0" applyNumberFormat="1" applyBorder="1" applyAlignment="1">
      <alignment horizontal="center"/>
    </xf>
    <xf numFmtId="0" fontId="3" fillId="0" borderId="10" xfId="0" applyFont="1" applyBorder="1" applyAlignment="1">
      <alignment horizontal="center" vertical="center"/>
    </xf>
    <xf numFmtId="0" fontId="2" fillId="0" borderId="0" xfId="0" applyFont="1" applyAlignment="1">
      <alignment horizontal="left"/>
    </xf>
    <xf numFmtId="0" fontId="0" fillId="0" borderId="4" xfId="0" applyBorder="1"/>
    <xf numFmtId="0" fontId="0" fillId="0" borderId="41" xfId="0" applyBorder="1" applyAlignment="1">
      <alignment horizontal="center" vertical="center"/>
    </xf>
    <xf numFmtId="0" fontId="0" fillId="0" borderId="24" xfId="0" applyBorder="1" applyAlignment="1">
      <alignment horizontal="center" vertical="center"/>
    </xf>
    <xf numFmtId="0" fontId="0" fillId="0" borderId="38" xfId="0" applyBorder="1" applyAlignment="1">
      <alignment horizontal="center" vertical="center"/>
    </xf>
    <xf numFmtId="0" fontId="0" fillId="0" borderId="29" xfId="0" applyBorder="1" applyAlignment="1">
      <alignment horizontal="left" vertical="center"/>
    </xf>
    <xf numFmtId="0" fontId="0" fillId="0" borderId="15" xfId="0" applyBorder="1" applyAlignment="1">
      <alignment horizontal="left" vertical="center"/>
    </xf>
    <xf numFmtId="0" fontId="0" fillId="0" borderId="17" xfId="0" applyBorder="1" applyAlignment="1">
      <alignment horizontal="left" vertical="center"/>
    </xf>
    <xf numFmtId="0" fontId="0" fillId="0" borderId="12" xfId="0" applyBorder="1" applyAlignment="1">
      <alignment horizontal="left" vertical="center"/>
    </xf>
    <xf numFmtId="0" fontId="1" fillId="4" borderId="0" xfId="0" applyFont="1" applyFill="1"/>
    <xf numFmtId="0" fontId="1" fillId="4" borderId="5" xfId="0" applyFont="1" applyFill="1" applyBorder="1"/>
    <xf numFmtId="0" fontId="10" fillId="4" borderId="6" xfId="0" applyFont="1" applyFill="1" applyBorder="1" applyAlignment="1">
      <alignment horizontal="center" vertical="center"/>
    </xf>
    <xf numFmtId="0" fontId="10" fillId="4" borderId="3" xfId="0" applyFont="1" applyFill="1" applyBorder="1" applyAlignment="1">
      <alignment horizontal="center" vertical="center"/>
    </xf>
    <xf numFmtId="0" fontId="3" fillId="0" borderId="0" xfId="0" applyFont="1"/>
    <xf numFmtId="0" fontId="3" fillId="7" borderId="10" xfId="0" applyFont="1" applyFill="1" applyBorder="1" applyAlignment="1">
      <alignment horizontal="center"/>
    </xf>
    <xf numFmtId="0" fontId="3" fillId="7" borderId="46" xfId="0" applyFont="1" applyFill="1" applyBorder="1" applyAlignment="1">
      <alignment horizontal="center"/>
    </xf>
    <xf numFmtId="0" fontId="3" fillId="7" borderId="10" xfId="0" applyFont="1" applyFill="1" applyBorder="1" applyAlignment="1">
      <alignment horizontal="center" wrapText="1"/>
    </xf>
    <xf numFmtId="0" fontId="3" fillId="8" borderId="10" xfId="0" applyFont="1" applyFill="1" applyBorder="1" applyAlignment="1">
      <alignment horizontal="center"/>
    </xf>
    <xf numFmtId="0" fontId="3" fillId="8" borderId="10" xfId="0" applyFont="1" applyFill="1" applyBorder="1" applyAlignment="1">
      <alignment horizontal="center" wrapText="1"/>
    </xf>
    <xf numFmtId="0" fontId="0" fillId="2" borderId="44" xfId="0" applyFill="1" applyBorder="1"/>
    <xf numFmtId="0" fontId="0" fillId="2" borderId="45" xfId="0" applyFill="1" applyBorder="1"/>
    <xf numFmtId="0" fontId="3" fillId="2" borderId="1" xfId="0" applyFont="1" applyFill="1" applyBorder="1"/>
    <xf numFmtId="0" fontId="3" fillId="2" borderId="0" xfId="0" applyFont="1" applyFill="1"/>
    <xf numFmtId="0" fontId="0" fillId="2" borderId="6" xfId="0" applyFill="1" applyBorder="1" applyAlignment="1">
      <alignment horizontal="center" vertical="center"/>
    </xf>
    <xf numFmtId="42" fontId="0" fillId="5" borderId="48" xfId="0" applyNumberFormat="1" applyFill="1" applyBorder="1" applyAlignment="1">
      <alignment vertical="center"/>
    </xf>
    <xf numFmtId="42" fontId="0" fillId="2" borderId="45" xfId="0" applyNumberFormat="1" applyFill="1" applyBorder="1" applyAlignment="1">
      <alignment vertical="center"/>
    </xf>
    <xf numFmtId="42" fontId="0" fillId="7" borderId="11" xfId="0" applyNumberFormat="1" applyFill="1" applyBorder="1" applyAlignment="1">
      <alignment horizontal="center" vertical="center"/>
    </xf>
    <xf numFmtId="42" fontId="0" fillId="2" borderId="0" xfId="0" applyNumberFormat="1" applyFill="1" applyAlignment="1">
      <alignment vertical="center"/>
    </xf>
    <xf numFmtId="42" fontId="0" fillId="8" borderId="11" xfId="0" applyNumberFormat="1" applyFill="1" applyBorder="1" applyAlignment="1">
      <alignment horizontal="center" vertical="center"/>
    </xf>
    <xf numFmtId="42" fontId="0" fillId="5" borderId="13" xfId="0" applyNumberFormat="1" applyFill="1" applyBorder="1" applyAlignment="1">
      <alignment vertical="center"/>
    </xf>
    <xf numFmtId="42" fontId="0" fillId="7" borderId="13" xfId="0" applyNumberFormat="1" applyFill="1" applyBorder="1" applyAlignment="1">
      <alignment horizontal="center" vertical="center"/>
    </xf>
    <xf numFmtId="42" fontId="0" fillId="8" borderId="13" xfId="0" applyNumberFormat="1" applyFill="1" applyBorder="1" applyAlignment="1">
      <alignment horizontal="center" vertical="center"/>
    </xf>
    <xf numFmtId="42" fontId="0" fillId="5" borderId="16" xfId="0" applyNumberFormat="1" applyFill="1" applyBorder="1" applyAlignment="1">
      <alignment vertical="center"/>
    </xf>
    <xf numFmtId="42" fontId="0" fillId="7" borderId="16" xfId="0" applyNumberFormat="1" applyFill="1" applyBorder="1" applyAlignment="1">
      <alignment horizontal="center" vertical="center"/>
    </xf>
    <xf numFmtId="42" fontId="0" fillId="8" borderId="16" xfId="0" applyNumberFormat="1" applyFill="1" applyBorder="1" applyAlignment="1">
      <alignment horizontal="center" vertical="center"/>
    </xf>
    <xf numFmtId="42" fontId="0" fillId="5" borderId="11" xfId="0" applyNumberFormat="1" applyFill="1" applyBorder="1" applyAlignment="1">
      <alignment vertical="center"/>
    </xf>
    <xf numFmtId="42" fontId="0" fillId="9" borderId="13" xfId="0" applyNumberFormat="1" applyFill="1" applyBorder="1" applyAlignment="1">
      <alignment horizontal="center" vertical="center"/>
    </xf>
    <xf numFmtId="0" fontId="3" fillId="0" borderId="5" xfId="0" applyFont="1" applyBorder="1"/>
    <xf numFmtId="42" fontId="3" fillId="6" borderId="10" xfId="0" applyNumberFormat="1" applyFont="1" applyFill="1" applyBorder="1" applyAlignment="1">
      <alignment vertical="center"/>
    </xf>
    <xf numFmtId="42" fontId="3" fillId="2" borderId="45" xfId="0" applyNumberFormat="1" applyFont="1" applyFill="1" applyBorder="1" applyAlignment="1">
      <alignment vertical="center"/>
    </xf>
    <xf numFmtId="42" fontId="3" fillId="6" borderId="10" xfId="0" applyNumberFormat="1" applyFont="1" applyFill="1" applyBorder="1" applyAlignment="1">
      <alignment horizontal="center" vertical="center"/>
    </xf>
    <xf numFmtId="42" fontId="3" fillId="2" borderId="0" xfId="0" applyNumberFormat="1" applyFont="1" applyFill="1" applyAlignment="1">
      <alignment vertical="center"/>
    </xf>
    <xf numFmtId="42" fontId="3" fillId="5" borderId="46" xfId="0" applyNumberFormat="1" applyFont="1" applyFill="1" applyBorder="1" applyAlignment="1">
      <alignment vertical="center"/>
    </xf>
    <xf numFmtId="42" fontId="3" fillId="7" borderId="10" xfId="0" applyNumberFormat="1" applyFont="1" applyFill="1" applyBorder="1" applyAlignment="1">
      <alignment horizontal="center" vertical="center"/>
    </xf>
    <xf numFmtId="42" fontId="3" fillId="2" borderId="46" xfId="0" applyNumberFormat="1" applyFont="1" applyFill="1" applyBorder="1" applyAlignment="1">
      <alignment vertical="center"/>
    </xf>
    <xf numFmtId="42" fontId="3" fillId="8" borderId="10" xfId="0" applyNumberFormat="1" applyFont="1" applyFill="1" applyBorder="1" applyAlignment="1">
      <alignment horizontal="center" vertical="center"/>
    </xf>
    <xf numFmtId="0" fontId="16" fillId="12" borderId="0" xfId="0" applyFont="1" applyFill="1"/>
    <xf numFmtId="0" fontId="16" fillId="12" borderId="0" xfId="0" applyFont="1" applyFill="1" applyAlignment="1">
      <alignment horizontal="left"/>
    </xf>
    <xf numFmtId="0" fontId="16" fillId="12" borderId="0" xfId="0" applyFont="1" applyFill="1" applyAlignment="1">
      <alignment horizontal="center"/>
    </xf>
    <xf numFmtId="42" fontId="16" fillId="12" borderId="0" xfId="0" applyNumberFormat="1" applyFont="1" applyFill="1"/>
    <xf numFmtId="42" fontId="0" fillId="0" borderId="21" xfId="0" applyNumberFormat="1" applyBorder="1"/>
    <xf numFmtId="42" fontId="0" fillId="0" borderId="0" xfId="0" applyNumberFormat="1"/>
    <xf numFmtId="42" fontId="16" fillId="12" borderId="0" xfId="0" applyNumberFormat="1" applyFont="1" applyFill="1" applyAlignment="1">
      <alignment horizontal="left"/>
    </xf>
    <xf numFmtId="42" fontId="3" fillId="11" borderId="0" xfId="0" applyNumberFormat="1" applyFont="1" applyFill="1" applyAlignment="1">
      <alignment horizontal="left"/>
    </xf>
    <xf numFmtId="42" fontId="16" fillId="13" borderId="0" xfId="0" applyNumberFormat="1" applyFont="1" applyFill="1"/>
    <xf numFmtId="0" fontId="17" fillId="13" borderId="0" xfId="0" applyFont="1" applyFill="1" applyAlignment="1">
      <alignment horizontal="left"/>
    </xf>
    <xf numFmtId="42" fontId="17" fillId="13" borderId="0" xfId="0" applyNumberFormat="1" applyFont="1" applyFill="1"/>
    <xf numFmtId="0" fontId="0" fillId="13" borderId="21" xfId="0" applyFill="1" applyBorder="1" applyAlignment="1">
      <alignment horizontal="center"/>
    </xf>
    <xf numFmtId="42" fontId="16" fillId="12" borderId="5" xfId="0" applyNumberFormat="1" applyFont="1" applyFill="1" applyBorder="1"/>
    <xf numFmtId="0" fontId="16" fillId="12" borderId="4" xfId="0" applyFont="1" applyFill="1" applyBorder="1" applyAlignment="1">
      <alignment horizontal="left"/>
    </xf>
    <xf numFmtId="42" fontId="3" fillId="11" borderId="5" xfId="0" applyNumberFormat="1" applyFont="1" applyFill="1" applyBorder="1"/>
    <xf numFmtId="42" fontId="11" fillId="4" borderId="10" xfId="0" applyNumberFormat="1" applyFont="1" applyFill="1" applyBorder="1"/>
    <xf numFmtId="42" fontId="3" fillId="11" borderId="47" xfId="0" applyNumberFormat="1" applyFont="1" applyFill="1" applyBorder="1" applyAlignment="1">
      <alignment horizontal="left"/>
    </xf>
    <xf numFmtId="42" fontId="3" fillId="11" borderId="9" xfId="0" applyNumberFormat="1" applyFont="1" applyFill="1" applyBorder="1"/>
    <xf numFmtId="0" fontId="3" fillId="11" borderId="47" xfId="0" applyFont="1" applyFill="1" applyBorder="1" applyAlignment="1">
      <alignment horizontal="right"/>
    </xf>
    <xf numFmtId="0" fontId="3" fillId="11" borderId="25" xfId="0" applyFont="1" applyFill="1" applyBorder="1" applyAlignment="1">
      <alignment horizontal="center"/>
    </xf>
    <xf numFmtId="42" fontId="16" fillId="12" borderId="49" xfId="0" applyNumberFormat="1" applyFont="1" applyFill="1" applyBorder="1"/>
    <xf numFmtId="42" fontId="3" fillId="11" borderId="9" xfId="0" applyNumberFormat="1" applyFont="1" applyFill="1" applyBorder="1" applyAlignment="1">
      <alignment horizontal="left"/>
    </xf>
    <xf numFmtId="42" fontId="15" fillId="10" borderId="10" xfId="0" applyNumberFormat="1" applyFont="1" applyFill="1" applyBorder="1"/>
    <xf numFmtId="42" fontId="0" fillId="14" borderId="21" xfId="0" applyNumberFormat="1" applyFill="1" applyBorder="1"/>
    <xf numFmtId="42" fontId="0" fillId="14" borderId="15" xfId="0" applyNumberFormat="1" applyFill="1" applyBorder="1"/>
    <xf numFmtId="0" fontId="0" fillId="15" borderId="0" xfId="0" applyFill="1" applyAlignment="1">
      <alignment horizontal="center"/>
    </xf>
    <xf numFmtId="0" fontId="0" fillId="15" borderId="0" xfId="0" applyFill="1"/>
    <xf numFmtId="42" fontId="0" fillId="15" borderId="0" xfId="0" applyNumberFormat="1" applyFill="1"/>
    <xf numFmtId="42" fontId="0" fillId="15" borderId="5" xfId="0" applyNumberFormat="1" applyFill="1" applyBorder="1"/>
    <xf numFmtId="42" fontId="18" fillId="12" borderId="0" xfId="0" applyNumberFormat="1" applyFont="1" applyFill="1"/>
    <xf numFmtId="42" fontId="16" fillId="12" borderId="50" xfId="0" applyNumberFormat="1" applyFont="1" applyFill="1" applyBorder="1" applyAlignment="1">
      <alignment horizontal="left"/>
    </xf>
    <xf numFmtId="42" fontId="2" fillId="13" borderId="21" xfId="0" applyNumberFormat="1" applyFont="1" applyFill="1" applyBorder="1"/>
    <xf numFmtId="9" fontId="0" fillId="16" borderId="0" xfId="0" applyNumberFormat="1" applyFill="1" applyAlignment="1">
      <alignment horizontal="center"/>
    </xf>
    <xf numFmtId="0" fontId="0" fillId="15" borderId="21" xfId="0" applyFill="1" applyBorder="1"/>
    <xf numFmtId="42" fontId="0" fillId="15" borderId="21" xfId="0" applyNumberFormat="1" applyFill="1" applyBorder="1"/>
    <xf numFmtId="42" fontId="0" fillId="17" borderId="21" xfId="0" applyNumberFormat="1" applyFill="1" applyBorder="1"/>
    <xf numFmtId="42" fontId="0" fillId="17" borderId="15" xfId="0" applyNumberFormat="1" applyFill="1" applyBorder="1"/>
    <xf numFmtId="0" fontId="3" fillId="7" borderId="10" xfId="0" applyFont="1" applyFill="1" applyBorder="1" applyAlignment="1">
      <alignment horizontal="right"/>
    </xf>
    <xf numFmtId="0" fontId="1" fillId="4" borderId="1" xfId="0" applyFont="1" applyFill="1" applyBorder="1"/>
    <xf numFmtId="0" fontId="1" fillId="4" borderId="2" xfId="0" applyFont="1" applyFill="1" applyBorder="1"/>
    <xf numFmtId="0" fontId="1" fillId="4" borderId="3" xfId="0" applyFont="1" applyFill="1" applyBorder="1"/>
    <xf numFmtId="42" fontId="1" fillId="4" borderId="0" xfId="0" applyNumberFormat="1" applyFont="1" applyFill="1" applyAlignment="1">
      <alignment horizontal="right"/>
    </xf>
    <xf numFmtId="42" fontId="1" fillId="4" borderId="5" xfId="0" applyNumberFormat="1" applyFont="1" applyFill="1" applyBorder="1"/>
    <xf numFmtId="0" fontId="1" fillId="4" borderId="10" xfId="0" applyFont="1" applyFill="1" applyBorder="1" applyAlignment="1">
      <alignment vertical="center" wrapText="1"/>
    </xf>
    <xf numFmtId="0" fontId="1" fillId="4" borderId="10" xfId="0" applyFont="1" applyFill="1" applyBorder="1" applyAlignment="1">
      <alignment horizontal="center" vertical="center" wrapText="1"/>
    </xf>
    <xf numFmtId="42" fontId="1" fillId="4" borderId="10" xfId="0" applyNumberFormat="1" applyFont="1" applyFill="1" applyBorder="1" applyAlignment="1">
      <alignment horizontal="center" vertical="center" wrapText="1"/>
    </xf>
    <xf numFmtId="1" fontId="2" fillId="13" borderId="21" xfId="0" applyNumberFormat="1" applyFont="1" applyFill="1" applyBorder="1" applyAlignment="1">
      <alignment horizontal="center"/>
    </xf>
    <xf numFmtId="42" fontId="0" fillId="18" borderId="13" xfId="0" applyNumberFormat="1" applyFill="1" applyBorder="1" applyAlignment="1">
      <alignment horizontal="center" vertical="center"/>
    </xf>
    <xf numFmtId="1" fontId="1" fillId="4" borderId="10" xfId="0" applyNumberFormat="1" applyFont="1" applyFill="1" applyBorder="1" applyAlignment="1">
      <alignment horizontal="center" vertical="center" wrapText="1"/>
    </xf>
    <xf numFmtId="1" fontId="16" fillId="12" borderId="0" xfId="0" applyNumberFormat="1" applyFont="1" applyFill="1" applyAlignment="1">
      <alignment horizontal="center"/>
    </xf>
    <xf numFmtId="1" fontId="0" fillId="15" borderId="0" xfId="0" applyNumberFormat="1" applyFill="1" applyAlignment="1">
      <alignment horizontal="center"/>
    </xf>
    <xf numFmtId="1" fontId="0" fillId="0" borderId="21" xfId="0" applyNumberFormat="1" applyBorder="1" applyAlignment="1">
      <alignment horizontal="center"/>
    </xf>
    <xf numFmtId="1" fontId="17" fillId="13" borderId="0" xfId="0" applyNumberFormat="1" applyFont="1" applyFill="1" applyAlignment="1">
      <alignment horizontal="center"/>
    </xf>
    <xf numFmtId="1" fontId="19" fillId="2" borderId="21" xfId="0" applyNumberFormat="1" applyFont="1" applyFill="1" applyBorder="1" applyAlignment="1">
      <alignment horizontal="center"/>
    </xf>
    <xf numFmtId="1" fontId="0" fillId="15" borderId="21" xfId="0" applyNumberFormat="1" applyFill="1" applyBorder="1" applyAlignment="1">
      <alignment horizontal="center"/>
    </xf>
    <xf numFmtId="1" fontId="3" fillId="11" borderId="25" xfId="0" applyNumberFormat="1" applyFont="1" applyFill="1" applyBorder="1" applyAlignment="1">
      <alignment horizontal="left"/>
    </xf>
    <xf numFmtId="1" fontId="0" fillId="0" borderId="0" xfId="0" applyNumberFormat="1" applyAlignment="1">
      <alignment horizontal="center"/>
    </xf>
    <xf numFmtId="44" fontId="0" fillId="0" borderId="21" xfId="0" applyNumberFormat="1" applyBorder="1"/>
    <xf numFmtId="14" fontId="7" fillId="0" borderId="21" xfId="0" applyNumberFormat="1" applyFont="1" applyBorder="1" applyAlignment="1">
      <alignment horizontal="center"/>
    </xf>
    <xf numFmtId="14" fontId="0" fillId="0" borderId="5" xfId="0" applyNumberFormat="1" applyBorder="1" applyAlignment="1">
      <alignment horizontal="center"/>
    </xf>
    <xf numFmtId="0" fontId="0" fillId="0" borderId="18" xfId="0" applyBorder="1"/>
    <xf numFmtId="0" fontId="0" fillId="0" borderId="26" xfId="0" applyBorder="1"/>
    <xf numFmtId="0" fontId="0" fillId="0" borderId="45" xfId="0" applyBorder="1"/>
    <xf numFmtId="0" fontId="0" fillId="0" borderId="4" xfId="0" applyBorder="1" applyAlignment="1">
      <alignment horizontal="right" indent="1"/>
    </xf>
    <xf numFmtId="42" fontId="0" fillId="0" borderId="44" xfId="0" applyNumberFormat="1" applyBorder="1"/>
    <xf numFmtId="42" fontId="0" fillId="0" borderId="45" xfId="0" applyNumberFormat="1" applyBorder="1"/>
    <xf numFmtId="42" fontId="0" fillId="0" borderId="46" xfId="0" applyNumberFormat="1" applyBorder="1"/>
    <xf numFmtId="42" fontId="0" fillId="0" borderId="5" xfId="0" applyNumberFormat="1" applyBorder="1"/>
    <xf numFmtId="0" fontId="1" fillId="4" borderId="10" xfId="0" applyFont="1" applyFill="1" applyBorder="1" applyAlignment="1">
      <alignment horizontal="center" vertical="center"/>
    </xf>
    <xf numFmtId="0" fontId="1" fillId="4" borderId="9" xfId="0" applyFont="1" applyFill="1" applyBorder="1" applyAlignment="1">
      <alignment horizontal="center" vertical="center"/>
    </xf>
    <xf numFmtId="0" fontId="3" fillId="0" borderId="4" xfId="0" applyFont="1" applyBorder="1" applyAlignment="1">
      <alignment horizontal="right"/>
    </xf>
    <xf numFmtId="0" fontId="2" fillId="0" borderId="0" xfId="0" applyFont="1"/>
    <xf numFmtId="10" fontId="0" fillId="0" borderId="0" xfId="0" applyNumberFormat="1"/>
    <xf numFmtId="9" fontId="7" fillId="0" borderId="21" xfId="0" applyNumberFormat="1" applyFont="1" applyBorder="1" applyAlignment="1">
      <alignment horizontal="center"/>
    </xf>
    <xf numFmtId="42" fontId="3" fillId="6" borderId="44" xfId="0" applyNumberFormat="1" applyFont="1" applyFill="1" applyBorder="1" applyAlignment="1">
      <alignment vertical="center"/>
    </xf>
    <xf numFmtId="42" fontId="3" fillId="6" borderId="46" xfId="0" applyNumberFormat="1" applyFont="1" applyFill="1" applyBorder="1" applyAlignment="1">
      <alignment horizontal="center" vertical="center"/>
    </xf>
    <xf numFmtId="42" fontId="3" fillId="6" borderId="44" xfId="0" applyNumberFormat="1" applyFont="1" applyFill="1" applyBorder="1" applyAlignment="1">
      <alignment horizontal="center" vertical="center"/>
    </xf>
    <xf numFmtId="42" fontId="3" fillId="6" borderId="46" xfId="0" applyNumberFormat="1" applyFont="1" applyFill="1" applyBorder="1" applyAlignment="1">
      <alignment vertical="center"/>
    </xf>
    <xf numFmtId="0" fontId="0" fillId="2" borderId="47" xfId="0" applyFill="1" applyBorder="1" applyAlignment="1">
      <alignment horizontal="center" vertical="center"/>
    </xf>
    <xf numFmtId="42" fontId="0" fillId="2" borderId="10" xfId="0" applyNumberFormat="1" applyFill="1" applyBorder="1" applyAlignment="1">
      <alignment vertical="center"/>
    </xf>
    <xf numFmtId="42" fontId="0" fillId="2" borderId="10" xfId="0" applyNumberFormat="1" applyFill="1" applyBorder="1" applyAlignment="1">
      <alignment horizontal="center" vertical="center"/>
    </xf>
    <xf numFmtId="0" fontId="0" fillId="2" borderId="21" xfId="0" applyFill="1" applyBorder="1" applyAlignment="1">
      <alignment horizontal="center"/>
    </xf>
    <xf numFmtId="1" fontId="21" fillId="11" borderId="47" xfId="0" applyNumberFormat="1" applyFont="1" applyFill="1" applyBorder="1" applyAlignment="1">
      <alignment horizontal="right"/>
    </xf>
    <xf numFmtId="0" fontId="21" fillId="11" borderId="47" xfId="0" applyFont="1" applyFill="1" applyBorder="1" applyAlignment="1">
      <alignment horizontal="center"/>
    </xf>
    <xf numFmtId="9" fontId="21" fillId="11" borderId="47" xfId="0" applyNumberFormat="1" applyFont="1" applyFill="1" applyBorder="1" applyAlignment="1">
      <alignment horizontal="left"/>
    </xf>
    <xf numFmtId="9" fontId="21" fillId="11" borderId="25" xfId="0" applyNumberFormat="1" applyFont="1" applyFill="1" applyBorder="1" applyAlignment="1">
      <alignment horizontal="left"/>
    </xf>
    <xf numFmtId="1" fontId="21" fillId="11" borderId="25" xfId="0" applyNumberFormat="1" applyFont="1" applyFill="1" applyBorder="1" applyAlignment="1">
      <alignment horizontal="left"/>
    </xf>
    <xf numFmtId="0" fontId="21" fillId="11" borderId="25" xfId="0" applyFont="1" applyFill="1" applyBorder="1" applyAlignment="1">
      <alignment horizontal="center"/>
    </xf>
    <xf numFmtId="0" fontId="5" fillId="13" borderId="0" xfId="0" applyFont="1" applyFill="1"/>
    <xf numFmtId="9" fontId="0" fillId="0" borderId="21" xfId="0" applyNumberFormat="1" applyBorder="1" applyAlignment="1">
      <alignment horizontal="center"/>
    </xf>
    <xf numFmtId="0" fontId="4" fillId="0" borderId="0" xfId="0" applyFont="1"/>
    <xf numFmtId="9" fontId="23" fillId="0" borderId="0" xfId="0" applyNumberFormat="1" applyFont="1" applyAlignment="1">
      <alignment horizontal="left"/>
    </xf>
    <xf numFmtId="9" fontId="0" fillId="0" borderId="0" xfId="0" applyNumberFormat="1" applyAlignment="1">
      <alignment horizontal="center"/>
    </xf>
    <xf numFmtId="165" fontId="0" fillId="0" borderId="0" xfId="0" applyNumberFormat="1"/>
    <xf numFmtId="165" fontId="24" fillId="0" borderId="23" xfId="2" applyNumberFormat="1" applyFont="1" applyFill="1" applyBorder="1" applyAlignment="1">
      <alignment horizontal="center"/>
    </xf>
    <xf numFmtId="9" fontId="23" fillId="0" borderId="23" xfId="0" applyNumberFormat="1" applyFont="1" applyBorder="1" applyAlignment="1">
      <alignment horizontal="left"/>
    </xf>
    <xf numFmtId="9" fontId="0" fillId="0" borderId="52" xfId="3" applyFont="1" applyBorder="1" applyAlignment="1">
      <alignment horizontal="center"/>
    </xf>
    <xf numFmtId="165" fontId="0" fillId="0" borderId="24" xfId="2" applyNumberFormat="1" applyFont="1" applyFill="1" applyBorder="1" applyAlignment="1">
      <alignment horizontal="center"/>
    </xf>
    <xf numFmtId="9" fontId="25" fillId="0" borderId="53" xfId="0" applyNumberFormat="1" applyFont="1" applyBorder="1" applyAlignment="1">
      <alignment horizontal="center"/>
    </xf>
    <xf numFmtId="165" fontId="0" fillId="0" borderId="22" xfId="2" applyNumberFormat="1" applyFont="1" applyFill="1" applyBorder="1" applyAlignment="1">
      <alignment horizontal="center"/>
    </xf>
    <xf numFmtId="9" fontId="0" fillId="0" borderId="0" xfId="0" applyNumberFormat="1" applyAlignment="1">
      <alignment horizontal="left"/>
    </xf>
    <xf numFmtId="165" fontId="0" fillId="0" borderId="43" xfId="2" applyNumberFormat="1" applyFont="1" applyFill="1" applyBorder="1" applyAlignment="1">
      <alignment horizontal="center"/>
    </xf>
    <xf numFmtId="165" fontId="3" fillId="0" borderId="44" xfId="2" applyNumberFormat="1" applyFont="1" applyFill="1" applyBorder="1" applyAlignment="1">
      <alignment horizontal="center"/>
    </xf>
    <xf numFmtId="165" fontId="0" fillId="0" borderId="42" xfId="2" applyNumberFormat="1" applyFont="1" applyFill="1" applyBorder="1" applyAlignment="1">
      <alignment horizontal="center"/>
    </xf>
    <xf numFmtId="165" fontId="0" fillId="0" borderId="25" xfId="2" applyNumberFormat="1" applyFont="1" applyFill="1" applyBorder="1" applyAlignment="1">
      <alignment horizontal="center"/>
    </xf>
    <xf numFmtId="165" fontId="0" fillId="0" borderId="50" xfId="2" applyNumberFormat="1" applyFont="1" applyFill="1" applyBorder="1" applyAlignment="1">
      <alignment horizontal="center"/>
    </xf>
    <xf numFmtId="9" fontId="23" fillId="0" borderId="50" xfId="0" quotePrefix="1" applyNumberFormat="1" applyFont="1" applyBorder="1" applyAlignment="1">
      <alignment horizontal="left"/>
    </xf>
    <xf numFmtId="165" fontId="0" fillId="0" borderId="23" xfId="0" applyNumberFormat="1" applyBorder="1"/>
    <xf numFmtId="165" fontId="0" fillId="0" borderId="0" xfId="2" applyNumberFormat="1" applyFont="1" applyFill="1" applyAlignment="1">
      <alignment horizontal="center"/>
    </xf>
    <xf numFmtId="165" fontId="0" fillId="0" borderId="23" xfId="2" applyNumberFormat="1" applyFont="1" applyFill="1" applyBorder="1" applyAlignment="1">
      <alignment horizontal="center"/>
    </xf>
    <xf numFmtId="9" fontId="23" fillId="0" borderId="23" xfId="0" quotePrefix="1" applyNumberFormat="1" applyFont="1" applyBorder="1" applyAlignment="1">
      <alignment horizontal="left"/>
    </xf>
    <xf numFmtId="165" fontId="0" fillId="0" borderId="40" xfId="0" applyNumberFormat="1" applyBorder="1"/>
    <xf numFmtId="165" fontId="0" fillId="15" borderId="23" xfId="2" applyNumberFormat="1" applyFont="1" applyFill="1" applyBorder="1" applyAlignment="1">
      <alignment horizontal="center"/>
    </xf>
    <xf numFmtId="9" fontId="23" fillId="0" borderId="40" xfId="0" applyNumberFormat="1" applyFont="1" applyBorder="1" applyAlignment="1">
      <alignment horizontal="center" vertical="top" wrapText="1"/>
    </xf>
    <xf numFmtId="165" fontId="0" fillId="0" borderId="41" xfId="2" applyNumberFormat="1" applyFont="1" applyFill="1" applyBorder="1" applyAlignment="1">
      <alignment horizontal="center"/>
    </xf>
    <xf numFmtId="165" fontId="0" fillId="0" borderId="40" xfId="2" applyNumberFormat="1" applyFont="1" applyFill="1" applyBorder="1" applyAlignment="1">
      <alignment horizontal="center"/>
    </xf>
    <xf numFmtId="9" fontId="23" fillId="0" borderId="36" xfId="0" applyNumberFormat="1" applyFont="1" applyBorder="1" applyAlignment="1">
      <alignment vertical="top" wrapText="1"/>
    </xf>
    <xf numFmtId="9" fontId="26" fillId="0" borderId="36" xfId="0" applyNumberFormat="1" applyFont="1" applyBorder="1" applyAlignment="1">
      <alignment horizontal="center"/>
    </xf>
    <xf numFmtId="165" fontId="27" fillId="0" borderId="43" xfId="2" applyNumberFormat="1" applyFont="1" applyFill="1" applyBorder="1" applyAlignment="1">
      <alignment horizontal="center"/>
    </xf>
    <xf numFmtId="165" fontId="27" fillId="0" borderId="0" xfId="2" applyNumberFormat="1" applyFont="1" applyFill="1" applyAlignment="1">
      <alignment horizontal="center"/>
    </xf>
    <xf numFmtId="0" fontId="0" fillId="0" borderId="0" xfId="0" applyAlignment="1">
      <alignment horizontal="right" indent="1"/>
    </xf>
    <xf numFmtId="9" fontId="23" fillId="0" borderId="40" xfId="0" applyNumberFormat="1" applyFont="1" applyBorder="1" applyAlignment="1">
      <alignment horizontal="left"/>
    </xf>
    <xf numFmtId="0" fontId="0" fillId="0" borderId="43" xfId="0" quotePrefix="1" applyBorder="1" applyAlignment="1">
      <alignment horizontal="center"/>
    </xf>
    <xf numFmtId="0" fontId="0" fillId="0" borderId="42" xfId="0" quotePrefix="1" applyBorder="1" applyAlignment="1">
      <alignment horizontal="center"/>
    </xf>
    <xf numFmtId="0" fontId="0" fillId="3" borderId="41" xfId="0" applyFill="1" applyBorder="1"/>
    <xf numFmtId="0" fontId="0" fillId="3" borderId="39" xfId="0" applyFill="1" applyBorder="1"/>
    <xf numFmtId="0" fontId="30" fillId="11" borderId="21" xfId="0" applyFont="1" applyFill="1" applyBorder="1" applyAlignment="1">
      <alignment horizontal="left" indent="2"/>
    </xf>
    <xf numFmtId="0" fontId="30" fillId="19" borderId="21" xfId="0" applyFont="1" applyFill="1" applyBorder="1" applyAlignment="1">
      <alignment horizontal="left" indent="2"/>
    </xf>
    <xf numFmtId="0" fontId="0" fillId="3" borderId="43" xfId="0" applyFill="1" applyBorder="1"/>
    <xf numFmtId="0" fontId="0" fillId="3" borderId="42" xfId="0" applyFill="1" applyBorder="1"/>
    <xf numFmtId="0" fontId="0" fillId="0" borderId="0" xfId="0" applyAlignment="1">
      <alignment horizontal="left" indent="2"/>
    </xf>
    <xf numFmtId="0" fontId="0" fillId="3" borderId="38" xfId="0" applyFill="1" applyBorder="1"/>
    <xf numFmtId="0" fontId="0" fillId="3" borderId="37" xfId="0" applyFill="1" applyBorder="1"/>
    <xf numFmtId="0" fontId="31" fillId="0" borderId="0" xfId="0" applyFont="1"/>
    <xf numFmtId="0" fontId="0" fillId="20" borderId="40" xfId="0" applyFill="1" applyBorder="1"/>
    <xf numFmtId="14" fontId="30" fillId="11" borderId="21" xfId="0" applyNumberFormat="1" applyFont="1" applyFill="1" applyBorder="1" applyAlignment="1">
      <alignment horizontal="center"/>
    </xf>
    <xf numFmtId="165" fontId="0" fillId="11" borderId="0" xfId="2" applyNumberFormat="1" applyFont="1" applyFill="1" applyAlignment="1">
      <alignment horizontal="center"/>
    </xf>
    <xf numFmtId="165" fontId="27" fillId="11" borderId="0" xfId="2" applyNumberFormat="1" applyFont="1" applyFill="1" applyAlignment="1">
      <alignment horizontal="center"/>
    </xf>
    <xf numFmtId="9" fontId="19" fillId="11" borderId="39" xfId="0" applyNumberFormat="1" applyFont="1" applyFill="1" applyBorder="1" applyAlignment="1">
      <alignment horizontal="center"/>
    </xf>
    <xf numFmtId="0" fontId="36" fillId="0" borderId="0" xfId="0" applyFont="1"/>
    <xf numFmtId="0" fontId="36" fillId="0" borderId="0" xfId="0" applyFont="1" applyAlignment="1">
      <alignment vertical="center" wrapText="1"/>
    </xf>
    <xf numFmtId="3" fontId="0" fillId="0" borderId="21" xfId="0" applyNumberFormat="1" applyBorder="1" applyAlignment="1">
      <alignment horizontal="center"/>
    </xf>
    <xf numFmtId="0" fontId="16" fillId="12" borderId="0" xfId="0" applyFont="1" applyFill="1" applyAlignment="1">
      <alignment wrapText="1"/>
    </xf>
    <xf numFmtId="0" fontId="0" fillId="0" borderId="21" xfId="0" applyBorder="1" applyAlignment="1">
      <alignment wrapText="1"/>
    </xf>
    <xf numFmtId="0" fontId="0" fillId="0" borderId="0" xfId="0" applyAlignment="1">
      <alignment wrapText="1"/>
    </xf>
    <xf numFmtId="166" fontId="7" fillId="0" borderId="21" xfId="0" applyNumberFormat="1" applyFont="1" applyBorder="1" applyAlignment="1">
      <alignment horizontal="center"/>
    </xf>
    <xf numFmtId="0" fontId="2" fillId="0" borderId="29" xfId="0" applyFont="1" applyBorder="1"/>
    <xf numFmtId="0" fontId="2" fillId="0" borderId="15" xfId="0" applyFont="1" applyBorder="1"/>
    <xf numFmtId="0" fontId="37" fillId="21" borderId="58" xfId="0" applyFont="1" applyFill="1" applyBorder="1" applyAlignment="1">
      <alignment horizontal="center" vertical="center" wrapText="1"/>
    </xf>
    <xf numFmtId="0" fontId="8" fillId="0" borderId="0" xfId="0" applyFont="1"/>
    <xf numFmtId="0" fontId="37" fillId="22" borderId="58" xfId="0" applyFont="1" applyFill="1" applyBorder="1" applyAlignment="1">
      <alignment horizontal="left" vertical="center"/>
    </xf>
    <xf numFmtId="14" fontId="37" fillId="22" borderId="58" xfId="0" applyNumberFormat="1" applyFont="1" applyFill="1" applyBorder="1" applyAlignment="1">
      <alignment horizontal="left" vertical="center"/>
    </xf>
    <xf numFmtId="14" fontId="7" fillId="13" borderId="21" xfId="0" applyNumberFormat="1" applyFont="1" applyFill="1" applyBorder="1" applyAlignment="1">
      <alignment horizontal="center"/>
    </xf>
    <xf numFmtId="0" fontId="0" fillId="0" borderId="31" xfId="0" applyBorder="1"/>
    <xf numFmtId="14" fontId="7" fillId="0" borderId="59" xfId="0" applyNumberFormat="1" applyFont="1" applyBorder="1" applyAlignment="1">
      <alignment horizontal="center"/>
    </xf>
    <xf numFmtId="0" fontId="2" fillId="0" borderId="32" xfId="0" applyFont="1" applyBorder="1"/>
    <xf numFmtId="42" fontId="37" fillId="22" borderId="58" xfId="0" applyNumberFormat="1" applyFont="1" applyFill="1" applyBorder="1" applyAlignment="1">
      <alignment horizontal="right" vertical="center"/>
    </xf>
    <xf numFmtId="0" fontId="36" fillId="0" borderId="4" xfId="0" applyFont="1" applyBorder="1" applyAlignment="1">
      <alignment vertical="center" wrapText="1"/>
    </xf>
    <xf numFmtId="42" fontId="19" fillId="0" borderId="21" xfId="0" applyNumberFormat="1" applyFont="1" applyBorder="1"/>
    <xf numFmtId="1" fontId="19" fillId="0" borderId="21" xfId="0" applyNumberFormat="1" applyFont="1" applyBorder="1" applyAlignment="1">
      <alignment horizontal="center"/>
    </xf>
    <xf numFmtId="0" fontId="19" fillId="0" borderId="21" xfId="0" applyFont="1" applyBorder="1" applyAlignment="1">
      <alignment horizontal="center"/>
    </xf>
    <xf numFmtId="0" fontId="1" fillId="4" borderId="5" xfId="0" applyFont="1" applyFill="1" applyBorder="1" applyAlignment="1">
      <alignment vertical="center"/>
    </xf>
    <xf numFmtId="14" fontId="1" fillId="4" borderId="4" xfId="0" applyNumberFormat="1" applyFont="1" applyFill="1" applyBorder="1" applyAlignment="1">
      <alignment horizontal="right" vertical="center"/>
    </xf>
    <xf numFmtId="0" fontId="5" fillId="0" borderId="15" xfId="0" applyFont="1" applyBorder="1"/>
    <xf numFmtId="0" fontId="39" fillId="0" borderId="0" xfId="0" applyFont="1"/>
    <xf numFmtId="0" fontId="3" fillId="0" borderId="1" xfId="0" applyFont="1" applyBorder="1"/>
    <xf numFmtId="0" fontId="0" fillId="0" borderId="3" xfId="0" applyBorder="1"/>
    <xf numFmtId="0" fontId="3" fillId="0" borderId="4" xfId="0" applyFont="1" applyBorder="1"/>
    <xf numFmtId="16" fontId="0" fillId="0" borderId="5" xfId="0" quotePrefix="1" applyNumberFormat="1" applyBorder="1"/>
    <xf numFmtId="0" fontId="3" fillId="0" borderId="18" xfId="0" applyFont="1" applyBorder="1"/>
    <xf numFmtId="0" fontId="15" fillId="15" borderId="37" xfId="0" applyFont="1" applyFill="1" applyBorder="1" applyAlignment="1">
      <alignment horizontal="left" vertical="center"/>
    </xf>
    <xf numFmtId="0" fontId="0" fillId="15" borderId="36" xfId="0" applyFill="1" applyBorder="1"/>
    <xf numFmtId="0" fontId="40" fillId="0" borderId="0" xfId="0" applyFont="1"/>
    <xf numFmtId="0" fontId="3" fillId="15" borderId="7" xfId="0" applyFont="1" applyFill="1" applyBorder="1" applyAlignment="1">
      <alignment horizontal="center" vertical="center"/>
    </xf>
    <xf numFmtId="0" fontId="15" fillId="15" borderId="57" xfId="0" applyFont="1" applyFill="1" applyBorder="1" applyAlignment="1">
      <alignment horizontal="left" vertical="center"/>
    </xf>
    <xf numFmtId="0" fontId="15" fillId="15" borderId="57" xfId="0" applyFont="1" applyFill="1" applyBorder="1" applyAlignment="1">
      <alignment horizontal="center" vertical="center"/>
    </xf>
    <xf numFmtId="0" fontId="3" fillId="15" borderId="57" xfId="0" applyFont="1" applyFill="1" applyBorder="1" applyAlignment="1">
      <alignment horizontal="center" vertical="center"/>
    </xf>
    <xf numFmtId="0" fontId="3" fillId="15" borderId="8" xfId="0" applyFont="1" applyFill="1" applyBorder="1" applyAlignment="1">
      <alignment horizontal="center" vertical="center"/>
    </xf>
    <xf numFmtId="0" fontId="3" fillId="15" borderId="42" xfId="0" applyFont="1" applyFill="1" applyBorder="1" applyAlignment="1">
      <alignment horizontal="center" vertical="center"/>
    </xf>
    <xf numFmtId="0" fontId="2" fillId="6" borderId="28" xfId="0" applyFont="1" applyFill="1" applyBorder="1" applyAlignment="1" applyProtection="1">
      <alignment horizontal="center" vertical="center"/>
      <protection locked="0"/>
    </xf>
    <xf numFmtId="0" fontId="0" fillId="6" borderId="63" xfId="0" applyFill="1" applyBorder="1" applyAlignment="1">
      <alignment horizontal="center" vertical="center"/>
    </xf>
    <xf numFmtId="0" fontId="0" fillId="6" borderId="64" xfId="0" applyFill="1" applyBorder="1" applyAlignment="1">
      <alignment horizontal="center" vertical="center"/>
    </xf>
    <xf numFmtId="0" fontId="42" fillId="6" borderId="27" xfId="0" applyFont="1" applyFill="1" applyBorder="1" applyAlignment="1">
      <alignment horizontal="center" vertical="center"/>
    </xf>
    <xf numFmtId="0" fontId="19" fillId="24" borderId="28" xfId="0" applyFont="1" applyFill="1" applyBorder="1" applyAlignment="1">
      <alignment horizontal="left" vertical="center"/>
    </xf>
    <xf numFmtId="0" fontId="2" fillId="0" borderId="65"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66" xfId="0" applyBorder="1" applyAlignment="1">
      <alignment horizontal="center" vertical="center"/>
    </xf>
    <xf numFmtId="0" fontId="0" fillId="0" borderId="28" xfId="0" applyBorder="1" applyAlignment="1">
      <alignment horizontal="center" vertical="center"/>
    </xf>
    <xf numFmtId="0" fontId="0" fillId="0" borderId="65"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31" xfId="0" applyBorder="1" applyAlignment="1">
      <alignment horizontal="center" vertical="center"/>
    </xf>
    <xf numFmtId="0" fontId="0" fillId="0" borderId="30" xfId="0" applyBorder="1" applyAlignment="1">
      <alignment horizontal="center" vertical="center"/>
    </xf>
    <xf numFmtId="0" fontId="0" fillId="0" borderId="59" xfId="0" applyBorder="1" applyAlignment="1">
      <alignment horizontal="center" vertical="center"/>
    </xf>
    <xf numFmtId="0" fontId="0" fillId="0" borderId="32" xfId="0" applyBorder="1" applyAlignment="1">
      <alignment horizontal="center" vertical="center"/>
    </xf>
    <xf numFmtId="0" fontId="2" fillId="0" borderId="28" xfId="0" applyFont="1" applyBorder="1" applyAlignment="1" applyProtection="1">
      <alignment horizontal="center" vertical="center"/>
      <protection locked="0"/>
    </xf>
    <xf numFmtId="0" fontId="0" fillId="0" borderId="51" xfId="0" applyBorder="1" applyAlignment="1">
      <alignment horizontal="center" vertical="center"/>
    </xf>
    <xf numFmtId="0" fontId="42" fillId="6" borderId="1" xfId="0" applyFont="1" applyFill="1" applyBorder="1" applyAlignment="1">
      <alignment horizontal="center" vertical="center"/>
    </xf>
    <xf numFmtId="0" fontId="19" fillId="24" borderId="54" xfId="0" applyFont="1" applyFill="1" applyBorder="1" applyAlignment="1">
      <alignment horizontal="left" vertical="center"/>
    </xf>
    <xf numFmtId="0" fontId="44" fillId="25" borderId="27" xfId="0" applyFont="1" applyFill="1" applyBorder="1" applyAlignment="1">
      <alignment horizontal="center" vertical="center" wrapText="1"/>
    </xf>
    <xf numFmtId="0" fontId="44" fillId="26" borderId="28"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5" borderId="14" xfId="0" applyFont="1" applyFill="1" applyBorder="1" applyAlignment="1">
      <alignment horizontal="center" vertical="center" wrapText="1"/>
    </xf>
    <xf numFmtId="0" fontId="44" fillId="25" borderId="21" xfId="0" applyFont="1" applyFill="1" applyBorder="1" applyAlignment="1">
      <alignment horizontal="center" vertical="center" wrapText="1"/>
    </xf>
    <xf numFmtId="0" fontId="44" fillId="26" borderId="21" xfId="0" applyFont="1" applyFill="1" applyBorder="1" applyAlignment="1">
      <alignment horizontal="center" vertical="center" wrapText="1"/>
    </xf>
    <xf numFmtId="0" fontId="44" fillId="26" borderId="15" xfId="0" applyFont="1" applyFill="1" applyBorder="1" applyAlignment="1">
      <alignment horizontal="center" vertical="center" wrapText="1"/>
    </xf>
    <xf numFmtId="0" fontId="2" fillId="27" borderId="28" xfId="0" applyFont="1" applyFill="1" applyBorder="1" applyAlignment="1" applyProtection="1">
      <alignment horizontal="center" vertical="center"/>
      <protection locked="0"/>
    </xf>
    <xf numFmtId="0" fontId="0" fillId="27" borderId="28" xfId="0" applyFill="1" applyBorder="1" applyAlignment="1">
      <alignment horizontal="center" vertical="center"/>
    </xf>
    <xf numFmtId="0" fontId="0" fillId="27" borderId="29" xfId="0" applyFill="1" applyBorder="1" applyAlignment="1">
      <alignment horizontal="center" vertical="center"/>
    </xf>
    <xf numFmtId="0" fontId="44" fillId="28" borderId="14" xfId="0" applyFont="1" applyFill="1" applyBorder="1" applyAlignment="1">
      <alignment horizontal="center" vertical="center" wrapText="1"/>
    </xf>
    <xf numFmtId="0" fontId="42" fillId="27" borderId="27" xfId="0" applyFont="1" applyFill="1" applyBorder="1" applyAlignment="1">
      <alignment horizontal="center" vertical="center"/>
    </xf>
    <xf numFmtId="0" fontId="44" fillId="28" borderId="21" xfId="0" applyFont="1" applyFill="1" applyBorder="1" applyAlignment="1">
      <alignment horizontal="center" vertical="center" wrapText="1"/>
    </xf>
    <xf numFmtId="0" fontId="44" fillId="13" borderId="21" xfId="0" applyFont="1" applyFill="1" applyBorder="1" applyAlignment="1">
      <alignment horizontal="center" vertical="center" wrapText="1"/>
    </xf>
    <xf numFmtId="0" fontId="44" fillId="28" borderId="19" xfId="0" applyFont="1" applyFill="1" applyBorder="1" applyAlignment="1">
      <alignment horizontal="center" vertical="center" wrapText="1"/>
    </xf>
    <xf numFmtId="0" fontId="44" fillId="28" borderId="30" xfId="0" applyFont="1" applyFill="1" applyBorder="1" applyAlignment="1">
      <alignment horizontal="center" vertical="center" wrapText="1"/>
    </xf>
    <xf numFmtId="0" fontId="44" fillId="13" borderId="30"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0" fillId="0" borderId="29" xfId="0" applyBorder="1" applyAlignment="1">
      <alignment horizontal="center" vertical="center"/>
    </xf>
    <xf numFmtId="0" fontId="45" fillId="0" borderId="18" xfId="0" applyFont="1" applyBorder="1"/>
    <xf numFmtId="0" fontId="0" fillId="29" borderId="0" xfId="0" applyFill="1"/>
    <xf numFmtId="0" fontId="2" fillId="31" borderId="28" xfId="0" applyFont="1" applyFill="1" applyBorder="1" applyAlignment="1" applyProtection="1">
      <alignment horizontal="center" vertical="center"/>
      <protection locked="0"/>
    </xf>
    <xf numFmtId="0" fontId="0" fillId="31" borderId="28" xfId="0" applyFill="1" applyBorder="1" applyAlignment="1">
      <alignment horizontal="center" vertical="center"/>
    </xf>
    <xf numFmtId="0" fontId="0" fillId="31" borderId="29" xfId="0" applyFill="1" applyBorder="1" applyAlignment="1">
      <alignment horizontal="center" vertical="center"/>
    </xf>
    <xf numFmtId="0" fontId="0" fillId="13" borderId="0" xfId="0" applyFill="1"/>
    <xf numFmtId="0" fontId="3" fillId="30" borderId="27" xfId="0" applyFont="1" applyFill="1" applyBorder="1" applyAlignment="1">
      <alignment horizontal="center" vertical="center"/>
    </xf>
    <xf numFmtId="0" fontId="0" fillId="24" borderId="28" xfId="0" applyFill="1" applyBorder="1" applyAlignment="1">
      <alignment horizontal="left" vertical="center"/>
    </xf>
    <xf numFmtId="0" fontId="0" fillId="32" borderId="0" xfId="0" applyFill="1"/>
    <xf numFmtId="0" fontId="46" fillId="30" borderId="27" xfId="0" applyFont="1" applyFill="1" applyBorder="1" applyAlignment="1">
      <alignment horizontal="center" vertical="center"/>
    </xf>
    <xf numFmtId="0" fontId="47" fillId="24" borderId="28" xfId="0" applyFont="1" applyFill="1" applyBorder="1" applyAlignment="1">
      <alignment horizontal="left" vertical="center"/>
    </xf>
    <xf numFmtId="0" fontId="48" fillId="0" borderId="28" xfId="0" applyFont="1" applyBorder="1" applyAlignment="1" applyProtection="1">
      <alignment horizontal="center" vertical="center"/>
      <protection locked="0"/>
    </xf>
    <xf numFmtId="0" fontId="47" fillId="0" borderId="28" xfId="0" applyFont="1" applyBorder="1" applyAlignment="1">
      <alignment horizontal="center" vertical="center"/>
    </xf>
    <xf numFmtId="0" fontId="47" fillId="0" borderId="0" xfId="0" applyFont="1"/>
    <xf numFmtId="0" fontId="3" fillId="33" borderId="27" xfId="0" applyFont="1" applyFill="1" applyBorder="1" applyAlignment="1">
      <alignment horizontal="center" vertical="center"/>
    </xf>
    <xf numFmtId="0" fontId="47" fillId="13" borderId="28" xfId="0" applyFont="1" applyFill="1" applyBorder="1" applyAlignment="1">
      <alignment horizontal="left" vertical="center"/>
    </xf>
    <xf numFmtId="0" fontId="47" fillId="0" borderId="29" xfId="0" applyFont="1" applyBorder="1" applyAlignment="1">
      <alignment horizontal="center" vertical="center"/>
    </xf>
    <xf numFmtId="0" fontId="3" fillId="33" borderId="14" xfId="0" applyFont="1" applyFill="1" applyBorder="1" applyAlignment="1">
      <alignment horizontal="center" vertical="center"/>
    </xf>
    <xf numFmtId="0" fontId="47" fillId="13" borderId="21" xfId="0" applyFont="1" applyFill="1" applyBorder="1" applyAlignment="1">
      <alignment horizontal="left" vertical="center"/>
    </xf>
    <xf numFmtId="0" fontId="48" fillId="0" borderId="21" xfId="0" applyFont="1" applyBorder="1" applyAlignment="1" applyProtection="1">
      <alignment horizontal="center" vertical="center"/>
      <protection locked="0"/>
    </xf>
    <xf numFmtId="0" fontId="47" fillId="0" borderId="21" xfId="0" applyFont="1" applyBorder="1" applyAlignment="1">
      <alignment horizontal="center" vertical="center"/>
    </xf>
    <xf numFmtId="0" fontId="47" fillId="0" borderId="15" xfId="0" applyFont="1" applyBorder="1" applyAlignment="1">
      <alignment horizontal="center" vertical="center"/>
    </xf>
    <xf numFmtId="16" fontId="47" fillId="0" borderId="21" xfId="0" quotePrefix="1" applyNumberFormat="1" applyFont="1" applyBorder="1" applyAlignment="1">
      <alignment horizontal="center" vertical="center"/>
    </xf>
    <xf numFmtId="0" fontId="48" fillId="0" borderId="21" xfId="0" applyFont="1" applyBorder="1" applyAlignment="1" applyProtection="1">
      <alignment horizontal="center" vertical="center" wrapText="1"/>
      <protection locked="0"/>
    </xf>
    <xf numFmtId="0" fontId="47" fillId="0" borderId="21" xfId="0" quotePrefix="1" applyFont="1" applyBorder="1" applyAlignment="1">
      <alignment horizontal="center" vertical="center"/>
    </xf>
    <xf numFmtId="0" fontId="3" fillId="33" borderId="19" xfId="0" applyFont="1" applyFill="1" applyBorder="1" applyAlignment="1">
      <alignment horizontal="center" vertical="center"/>
    </xf>
    <xf numFmtId="0" fontId="47" fillId="13" borderId="30" xfId="0" applyFont="1" applyFill="1" applyBorder="1" applyAlignment="1">
      <alignment horizontal="left" vertical="center"/>
    </xf>
    <xf numFmtId="0" fontId="48" fillId="0" borderId="30" xfId="0" applyFont="1" applyBorder="1" applyAlignment="1" applyProtection="1">
      <alignment horizontal="center" vertical="center" wrapText="1"/>
      <protection locked="0"/>
    </xf>
    <xf numFmtId="0" fontId="47" fillId="0" borderId="30" xfId="0" applyFont="1" applyBorder="1" applyAlignment="1">
      <alignment horizontal="center" vertical="center"/>
    </xf>
    <xf numFmtId="0" fontId="47" fillId="0" borderId="20" xfId="0" applyFont="1" applyBorder="1" applyAlignment="1">
      <alignment horizontal="center" vertical="center"/>
    </xf>
    <xf numFmtId="0" fontId="0" fillId="13" borderId="7" xfId="0" applyFill="1" applyBorder="1" applyAlignment="1">
      <alignment horizontal="center" vertical="center"/>
    </xf>
    <xf numFmtId="0" fontId="0" fillId="13" borderId="57" xfId="0" applyFill="1" applyBorder="1" applyAlignment="1">
      <alignment horizontal="center" vertical="center"/>
    </xf>
    <xf numFmtId="0" fontId="0" fillId="13" borderId="67" xfId="0" applyFill="1" applyBorder="1" applyAlignment="1">
      <alignment horizontal="center" vertical="center"/>
    </xf>
    <xf numFmtId="0" fontId="0" fillId="13" borderId="10" xfId="0" applyFill="1" applyBorder="1" applyAlignment="1">
      <alignment horizontal="center" vertical="center"/>
    </xf>
    <xf numFmtId="0" fontId="3" fillId="0" borderId="47" xfId="0" applyFont="1" applyBorder="1" applyAlignment="1">
      <alignment horizontal="center"/>
    </xf>
    <xf numFmtId="0" fontId="49" fillId="0" borderId="0" xfId="0" applyFont="1"/>
    <xf numFmtId="0" fontId="0" fillId="0" borderId="21" xfId="0" applyBorder="1" applyAlignment="1">
      <alignment horizontal="left" vertical="center"/>
    </xf>
    <xf numFmtId="0" fontId="3" fillId="0" borderId="3" xfId="0" applyFont="1" applyBorder="1"/>
    <xf numFmtId="0" fontId="3" fillId="0" borderId="26" xfId="0" applyFont="1" applyBorder="1"/>
    <xf numFmtId="0" fontId="3"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14" fontId="1" fillId="4" borderId="4" xfId="0" applyNumberFormat="1" applyFont="1" applyFill="1" applyBorder="1" applyAlignment="1">
      <alignment horizontal="left"/>
    </xf>
    <xf numFmtId="0" fontId="3" fillId="11" borderId="6" xfId="0" applyFont="1" applyFill="1" applyBorder="1" applyAlignment="1">
      <alignment horizontal="left"/>
    </xf>
    <xf numFmtId="0" fontId="0" fillId="15" borderId="14" xfId="0" applyFill="1" applyBorder="1" applyAlignment="1">
      <alignment horizontal="center"/>
    </xf>
    <xf numFmtId="0" fontId="0" fillId="15" borderId="21" xfId="0" applyFill="1" applyBorder="1" applyAlignment="1">
      <alignment horizontal="center"/>
    </xf>
    <xf numFmtId="0" fontId="8" fillId="0" borderId="0" xfId="1"/>
    <xf numFmtId="0" fontId="0" fillId="15" borderId="4" xfId="0" applyFill="1" applyBorder="1" applyAlignment="1">
      <alignment horizontal="center"/>
    </xf>
    <xf numFmtId="0" fontId="16" fillId="12" borderId="4" xfId="0" applyFont="1" applyFill="1" applyBorder="1" applyAlignment="1">
      <alignment horizontal="center"/>
    </xf>
    <xf numFmtId="42" fontId="50" fillId="0" borderId="21" xfId="4" applyNumberFormat="1" applyFont="1" applyBorder="1"/>
    <xf numFmtId="42" fontId="50" fillId="0" borderId="15" xfId="4" applyNumberFormat="1" applyFont="1" applyBorder="1"/>
    <xf numFmtId="42" fontId="50" fillId="0" borderId="30" xfId="4" applyNumberFormat="1" applyFont="1" applyBorder="1"/>
    <xf numFmtId="42" fontId="50" fillId="0" borderId="20" xfId="4" applyNumberFormat="1" applyFont="1" applyBorder="1"/>
    <xf numFmtId="42" fontId="50" fillId="0" borderId="51" xfId="4" applyNumberFormat="1" applyFont="1" applyBorder="1"/>
    <xf numFmtId="42" fontId="50" fillId="0" borderId="12" xfId="4" applyNumberFormat="1" applyFont="1" applyBorder="1"/>
    <xf numFmtId="42" fontId="8" fillId="0" borderId="24" xfId="1" applyNumberFormat="1" applyBorder="1" applyAlignment="1">
      <alignment horizontal="center"/>
    </xf>
    <xf numFmtId="168" fontId="50" fillId="0" borderId="13" xfId="4" applyNumberFormat="1" applyFont="1" applyBorder="1" applyAlignment="1">
      <alignment horizontal="center"/>
    </xf>
    <xf numFmtId="168" fontId="50" fillId="0" borderId="53" xfId="4" applyNumberFormat="1" applyFont="1" applyBorder="1" applyAlignment="1">
      <alignment horizontal="center"/>
    </xf>
    <xf numFmtId="42" fontId="52" fillId="0" borderId="10" xfId="1" applyNumberFormat="1" applyFont="1" applyBorder="1"/>
    <xf numFmtId="168" fontId="50" fillId="0" borderId="11" xfId="4" applyNumberFormat="1" applyFont="1" applyBorder="1" applyAlignment="1">
      <alignment horizontal="center"/>
    </xf>
    <xf numFmtId="0" fontId="8" fillId="0" borderId="2" xfId="1" applyBorder="1"/>
    <xf numFmtId="10" fontId="8" fillId="0" borderId="3" xfId="1" applyNumberFormat="1" applyBorder="1"/>
    <xf numFmtId="167" fontId="8" fillId="0" borderId="0" xfId="4" applyNumberFormat="1" applyBorder="1"/>
    <xf numFmtId="10" fontId="8" fillId="0" borderId="5" xfId="4" applyNumberFormat="1" applyBorder="1"/>
    <xf numFmtId="10" fontId="8" fillId="0" borderId="5" xfId="1" applyNumberFormat="1" applyBorder="1"/>
    <xf numFmtId="0" fontId="8" fillId="0" borderId="25" xfId="1" applyBorder="1"/>
    <xf numFmtId="10" fontId="8" fillId="0" borderId="26" xfId="1" applyNumberFormat="1" applyBorder="1"/>
    <xf numFmtId="10" fontId="8" fillId="0" borderId="0" xfId="1" applyNumberFormat="1"/>
    <xf numFmtId="167" fontId="8" fillId="0" borderId="0" xfId="1" applyNumberFormat="1"/>
    <xf numFmtId="10" fontId="8" fillId="0" borderId="25" xfId="1" applyNumberFormat="1" applyBorder="1"/>
    <xf numFmtId="42" fontId="52" fillId="0" borderId="46" xfId="1" applyNumberFormat="1" applyFont="1" applyBorder="1"/>
    <xf numFmtId="168" fontId="50" fillId="34" borderId="11" xfId="4" applyNumberFormat="1" applyFont="1" applyFill="1" applyBorder="1" applyAlignment="1">
      <alignment horizontal="center"/>
    </xf>
    <xf numFmtId="42" fontId="51" fillId="35" borderId="41" xfId="4" applyNumberFormat="1" applyFont="1" applyFill="1" applyBorder="1"/>
    <xf numFmtId="0" fontId="3" fillId="0" borderId="27" xfId="0" applyFont="1" applyBorder="1"/>
    <xf numFmtId="0" fontId="3" fillId="0" borderId="28" xfId="0" applyFont="1" applyBorder="1"/>
    <xf numFmtId="0" fontId="3" fillId="0" borderId="29" xfId="0" applyFont="1" applyBorder="1"/>
    <xf numFmtId="0" fontId="3" fillId="0" borderId="19" xfId="0" applyFont="1" applyBorder="1"/>
    <xf numFmtId="0" fontId="3" fillId="0" borderId="30" xfId="0" applyFont="1" applyBorder="1"/>
    <xf numFmtId="0" fontId="3" fillId="0" borderId="20" xfId="0" applyFont="1" applyBorder="1"/>
    <xf numFmtId="0" fontId="5" fillId="0" borderId="4" xfId="0" applyFont="1" applyBorder="1" applyAlignment="1">
      <alignment vertical="center"/>
    </xf>
    <xf numFmtId="0" fontId="2" fillId="13" borderId="0" xfId="0" applyFont="1" applyFill="1"/>
    <xf numFmtId="9" fontId="2" fillId="13" borderId="21" xfId="0" applyNumberFormat="1" applyFont="1" applyFill="1" applyBorder="1" applyAlignment="1">
      <alignment horizontal="center"/>
    </xf>
    <xf numFmtId="0" fontId="0" fillId="0" borderId="0" xfId="0" quotePrefix="1"/>
    <xf numFmtId="0" fontId="19" fillId="0" borderId="22" xfId="0" applyFont="1" applyBorder="1"/>
    <xf numFmtId="0" fontId="55" fillId="36" borderId="21" xfId="0" applyFont="1" applyFill="1" applyBorder="1" applyAlignment="1">
      <alignment horizontal="center" vertical="center" wrapText="1"/>
    </xf>
    <xf numFmtId="0" fontId="55" fillId="0" borderId="21" xfId="0" applyFont="1" applyBorder="1" applyAlignment="1">
      <alignment horizontal="center" vertical="center"/>
    </xf>
    <xf numFmtId="0" fontId="19" fillId="36" borderId="21" xfId="0" applyFont="1" applyFill="1" applyBorder="1" applyAlignment="1">
      <alignment horizontal="center" vertical="center" wrapText="1"/>
    </xf>
    <xf numFmtId="169" fontId="55" fillId="36" borderId="21" xfId="0" applyNumberFormat="1" applyFont="1" applyFill="1" applyBorder="1" applyAlignment="1">
      <alignment horizontal="center" vertical="center" wrapText="1"/>
    </xf>
    <xf numFmtId="10" fontId="3" fillId="0" borderId="21" xfId="0" applyNumberFormat="1" applyFont="1" applyBorder="1"/>
    <xf numFmtId="0" fontId="3" fillId="0" borderId="21" xfId="0" applyFont="1" applyBorder="1" applyAlignment="1">
      <alignment horizontal="center"/>
    </xf>
    <xf numFmtId="0" fontId="56" fillId="36" borderId="21" xfId="0" applyFont="1" applyFill="1" applyBorder="1" applyAlignment="1">
      <alignment vertical="center"/>
    </xf>
    <xf numFmtId="0" fontId="42" fillId="36" borderId="21" xfId="0" applyFont="1" applyFill="1" applyBorder="1" applyAlignment="1">
      <alignment vertical="center"/>
    </xf>
    <xf numFmtId="0" fontId="0" fillId="2" borderId="4" xfId="0" applyFill="1" applyBorder="1"/>
    <xf numFmtId="0" fontId="0" fillId="2" borderId="0" xfId="0" applyFill="1"/>
    <xf numFmtId="0" fontId="0" fillId="2" borderId="5" xfId="0" applyFill="1" applyBorder="1"/>
    <xf numFmtId="0" fontId="3" fillId="2" borderId="4" xfId="0" applyFont="1" applyFill="1" applyBorder="1" applyAlignment="1">
      <alignment vertical="center"/>
    </xf>
    <xf numFmtId="14" fontId="0" fillId="2" borderId="0" xfId="0" applyNumberFormat="1" applyFill="1" applyAlignment="1">
      <alignment horizontal="left"/>
    </xf>
    <xf numFmtId="0" fontId="3" fillId="2" borderId="4" xfId="0" applyFont="1" applyFill="1" applyBorder="1"/>
    <xf numFmtId="0" fontId="0" fillId="2" borderId="0" xfId="0" applyFill="1" applyAlignment="1">
      <alignment horizontal="left"/>
    </xf>
    <xf numFmtId="0" fontId="0" fillId="2" borderId="4" xfId="0" applyFill="1" applyBorder="1" applyAlignment="1">
      <alignment wrapText="1"/>
    </xf>
    <xf numFmtId="0" fontId="0" fillId="2" borderId="0" xfId="0" applyFill="1" applyAlignment="1">
      <alignment wrapText="1"/>
    </xf>
    <xf numFmtId="0" fontId="0" fillId="2" borderId="5" xfId="0" applyFill="1" applyBorder="1" applyAlignment="1">
      <alignment wrapText="1"/>
    </xf>
    <xf numFmtId="0" fontId="19" fillId="0" borderId="0" xfId="0" applyFont="1"/>
    <xf numFmtId="42" fontId="19" fillId="0" borderId="0" xfId="0" applyNumberFormat="1" applyFont="1"/>
    <xf numFmtId="9" fontId="0" fillId="0" borderId="22" xfId="0" applyNumberFormat="1" applyBorder="1"/>
    <xf numFmtId="0" fontId="0" fillId="0" borderId="22" xfId="0" applyBorder="1"/>
    <xf numFmtId="0" fontId="19" fillId="0" borderId="0" xfId="0" applyFont="1" applyAlignment="1">
      <alignment vertical="center" wrapText="1"/>
    </xf>
    <xf numFmtId="10" fontId="2" fillId="13" borderId="21" xfId="0" applyNumberFormat="1" applyFont="1" applyFill="1" applyBorder="1" applyAlignment="1">
      <alignment horizontal="center"/>
    </xf>
    <xf numFmtId="0" fontId="6" fillId="8" borderId="47" xfId="0" applyFont="1" applyFill="1" applyBorder="1" applyAlignment="1">
      <alignment horizontal="center" vertical="center"/>
    </xf>
    <xf numFmtId="0" fontId="0" fillId="0" borderId="28" xfId="0" applyBorder="1" applyAlignment="1">
      <alignment horizontal="center" wrapText="1"/>
    </xf>
    <xf numFmtId="0" fontId="0" fillId="0" borderId="21" xfId="0" applyBorder="1" applyAlignment="1">
      <alignment horizontal="center" wrapText="1"/>
    </xf>
    <xf numFmtId="14" fontId="0" fillId="0" borderId="0" xfId="0" applyNumberFormat="1" applyAlignment="1">
      <alignment horizontal="center"/>
    </xf>
    <xf numFmtId="14" fontId="3" fillId="0" borderId="10" xfId="0" applyNumberFormat="1" applyFont="1" applyBorder="1" applyAlignment="1">
      <alignment horizontal="center" vertical="center"/>
    </xf>
    <xf numFmtId="14" fontId="0" fillId="0" borderId="28" xfId="0" applyNumberFormat="1" applyBorder="1" applyAlignment="1">
      <alignment horizontal="center"/>
    </xf>
    <xf numFmtId="14" fontId="0" fillId="0" borderId="21" xfId="0" applyNumberFormat="1" applyBorder="1" applyAlignment="1">
      <alignment horizontal="center"/>
    </xf>
    <xf numFmtId="14" fontId="0" fillId="0" borderId="30" xfId="0" applyNumberFormat="1" applyBorder="1" applyAlignment="1">
      <alignment horizontal="center"/>
    </xf>
    <xf numFmtId="1" fontId="0" fillId="13" borderId="21" xfId="0" applyNumberFormat="1" applyFill="1" applyBorder="1" applyAlignment="1">
      <alignment horizontal="center"/>
    </xf>
    <xf numFmtId="0" fontId="2" fillId="0" borderId="14" xfId="0" applyFont="1" applyBorder="1" applyAlignment="1">
      <alignment horizontal="center"/>
    </xf>
    <xf numFmtId="0" fontId="2" fillId="0" borderId="21" xfId="0" applyFont="1" applyBorder="1"/>
    <xf numFmtId="1" fontId="2" fillId="0" borderId="21" xfId="0" applyNumberFormat="1" applyFont="1" applyBorder="1" applyAlignment="1">
      <alignment horizontal="center"/>
    </xf>
    <xf numFmtId="0" fontId="2" fillId="0" borderId="21" xfId="0" applyFont="1" applyBorder="1" applyAlignment="1">
      <alignment horizontal="center"/>
    </xf>
    <xf numFmtId="42" fontId="2" fillId="0" borderId="21" xfId="0" applyNumberFormat="1" applyFont="1" applyBorder="1"/>
    <xf numFmtId="42" fontId="2" fillId="14" borderId="21" xfId="0" applyNumberFormat="1" applyFont="1" applyFill="1" applyBorder="1"/>
    <xf numFmtId="42" fontId="2" fillId="14" borderId="15" xfId="0" applyNumberFormat="1" applyFont="1" applyFill="1" applyBorder="1"/>
    <xf numFmtId="2" fontId="0" fillId="0" borderId="21" xfId="0" applyNumberFormat="1" applyBorder="1" applyAlignment="1">
      <alignment horizontal="center"/>
    </xf>
    <xf numFmtId="9" fontId="2" fillId="0" borderId="0" xfId="0" applyNumberFormat="1" applyFont="1" applyAlignment="1">
      <alignment horizontal="left"/>
    </xf>
    <xf numFmtId="0" fontId="2" fillId="13" borderId="21" xfId="0" applyFont="1" applyFill="1" applyBorder="1" applyAlignment="1">
      <alignment horizontal="center"/>
    </xf>
    <xf numFmtId="2" fontId="2" fillId="0" borderId="21" xfId="0" applyNumberFormat="1" applyFont="1" applyBorder="1" applyAlignment="1">
      <alignment horizontal="center"/>
    </xf>
    <xf numFmtId="0" fontId="10" fillId="4" borderId="1" xfId="0" applyFont="1" applyFill="1" applyBorder="1" applyAlignment="1">
      <alignment horizontal="center"/>
    </xf>
    <xf numFmtId="0" fontId="10" fillId="4" borderId="2" xfId="0" applyFont="1" applyFill="1" applyBorder="1" applyAlignment="1">
      <alignment horizontal="center"/>
    </xf>
    <xf numFmtId="0" fontId="10" fillId="4" borderId="3" xfId="0" applyFont="1" applyFill="1" applyBorder="1" applyAlignment="1">
      <alignment horizontal="center"/>
    </xf>
    <xf numFmtId="0" fontId="0" fillId="0" borderId="52"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wrapText="1"/>
    </xf>
    <xf numFmtId="0" fontId="0" fillId="0" borderId="51" xfId="0" applyBorder="1" applyAlignment="1">
      <alignment wrapText="1"/>
    </xf>
    <xf numFmtId="9" fontId="4" fillId="0" borderId="0" xfId="3" applyFont="1" applyFill="1" applyAlignment="1">
      <alignment horizontal="right" vertical="center"/>
    </xf>
    <xf numFmtId="9" fontId="23" fillId="0" borderId="0" xfId="0" applyNumberFormat="1" applyFont="1" applyAlignment="1">
      <alignment horizontal="left" wrapText="1"/>
    </xf>
    <xf numFmtId="0" fontId="18" fillId="20" borderId="40" xfId="0" applyFont="1" applyFill="1" applyBorder="1" applyAlignment="1">
      <alignment vertical="center"/>
    </xf>
    <xf numFmtId="0" fontId="0" fillId="20" borderId="40" xfId="0" applyFill="1" applyBorder="1" applyAlignment="1">
      <alignment vertical="center"/>
    </xf>
    <xf numFmtId="0" fontId="32" fillId="20" borderId="40" xfId="0" applyFont="1" applyFill="1" applyBorder="1" applyAlignment="1">
      <alignment horizontal="center" wrapText="1"/>
    </xf>
    <xf numFmtId="0" fontId="32" fillId="20" borderId="40" xfId="0" applyFont="1" applyFill="1" applyBorder="1" applyAlignment="1">
      <alignment horizontal="center"/>
    </xf>
    <xf numFmtId="0" fontId="30" fillId="11" borderId="22" xfId="0" applyFont="1" applyFill="1" applyBorder="1" applyAlignment="1">
      <alignment horizontal="left" indent="2"/>
    </xf>
    <xf numFmtId="0" fontId="30" fillId="11" borderId="24" xfId="0" applyFont="1" applyFill="1" applyBorder="1" applyAlignment="1">
      <alignment horizontal="left" indent="2"/>
    </xf>
    <xf numFmtId="0" fontId="29" fillId="0" borderId="6" xfId="0" applyFont="1" applyBorder="1" applyAlignment="1">
      <alignment horizontal="center"/>
    </xf>
    <xf numFmtId="0" fontId="29" fillId="0" borderId="47" xfId="0" applyFont="1" applyBorder="1" applyAlignment="1">
      <alignment horizontal="center"/>
    </xf>
    <xf numFmtId="0" fontId="29" fillId="0" borderId="9" xfId="0" applyFont="1" applyBorder="1" applyAlignment="1">
      <alignment horizontal="center"/>
    </xf>
    <xf numFmtId="0" fontId="28" fillId="0" borderId="55" xfId="0" applyFont="1" applyBorder="1" applyAlignment="1">
      <alignment horizontal="center" wrapText="1"/>
    </xf>
    <xf numFmtId="0" fontId="28" fillId="0" borderId="54" xfId="0" applyFont="1" applyBorder="1" applyAlignment="1">
      <alignment horizontal="center" wrapText="1"/>
    </xf>
    <xf numFmtId="0" fontId="3" fillId="0" borderId="2" xfId="0" applyFont="1" applyBorder="1" applyAlignment="1">
      <alignment horizontal="center" wrapText="1"/>
    </xf>
    <xf numFmtId="0" fontId="3" fillId="0" borderId="0" xfId="0" applyFont="1" applyAlignment="1">
      <alignment horizontal="center" wrapText="1"/>
    </xf>
    <xf numFmtId="0" fontId="3" fillId="0" borderId="2" xfId="0" quotePrefix="1" applyFont="1" applyBorder="1" applyAlignment="1">
      <alignment horizontal="center" wrapText="1"/>
    </xf>
    <xf numFmtId="0" fontId="3" fillId="0" borderId="0" xfId="0" quotePrefix="1" applyFont="1" applyAlignment="1">
      <alignment horizontal="center" wrapText="1"/>
    </xf>
    <xf numFmtId="0" fontId="3" fillId="0" borderId="54" xfId="0" applyFont="1" applyBorder="1" applyAlignment="1">
      <alignment horizontal="center" wrapText="1"/>
    </xf>
    <xf numFmtId="0" fontId="3" fillId="0" borderId="43" xfId="0" applyFont="1" applyBorder="1" applyAlignment="1">
      <alignment horizontal="center" wrapText="1"/>
    </xf>
    <xf numFmtId="0" fontId="20" fillId="4" borderId="1" xfId="0" applyFont="1" applyFill="1" applyBorder="1" applyAlignment="1">
      <alignment horizontal="center"/>
    </xf>
    <xf numFmtId="0" fontId="20" fillId="4" borderId="3" xfId="0" applyFont="1" applyFill="1" applyBorder="1" applyAlignment="1">
      <alignment horizontal="center"/>
    </xf>
    <xf numFmtId="0" fontId="10" fillId="4" borderId="4" xfId="0" applyFont="1" applyFill="1" applyBorder="1" applyAlignment="1">
      <alignment horizontal="center"/>
    </xf>
    <xf numFmtId="0" fontId="10" fillId="4" borderId="5" xfId="0" applyFont="1" applyFill="1" applyBorder="1" applyAlignment="1">
      <alignment horizontal="center"/>
    </xf>
    <xf numFmtId="14" fontId="16" fillId="4" borderId="18" xfId="0" applyNumberFormat="1" applyFont="1" applyFill="1" applyBorder="1" applyAlignment="1">
      <alignment horizontal="center"/>
    </xf>
    <xf numFmtId="14" fontId="16" fillId="4" borderId="26" xfId="0" applyNumberFormat="1" applyFont="1" applyFill="1" applyBorder="1" applyAlignment="1">
      <alignment horizontal="center"/>
    </xf>
    <xf numFmtId="0" fontId="5" fillId="13" borderId="2" xfId="0" applyFont="1" applyFill="1" applyBorder="1" applyAlignment="1">
      <alignment horizontal="left" vertical="top" wrapText="1"/>
    </xf>
    <xf numFmtId="0" fontId="5" fillId="13" borderId="0" xfId="0" applyFont="1" applyFill="1" applyAlignment="1">
      <alignment horizontal="left" vertical="top" wrapText="1"/>
    </xf>
    <xf numFmtId="0" fontId="0" fillId="0" borderId="18" xfId="0" applyBorder="1" applyAlignment="1">
      <alignment wrapText="1"/>
    </xf>
    <xf numFmtId="0" fontId="0" fillId="0" borderId="25" xfId="0" applyBorder="1" applyAlignment="1">
      <alignment wrapText="1"/>
    </xf>
    <xf numFmtId="0" fontId="0" fillId="0" borderId="26" xfId="0" applyBorder="1" applyAlignment="1">
      <alignment wrapText="1"/>
    </xf>
    <xf numFmtId="0" fontId="0" fillId="0" borderId="4" xfId="0" applyBorder="1" applyAlignment="1">
      <alignment wrapText="1"/>
    </xf>
    <xf numFmtId="0" fontId="0" fillId="0" borderId="0" xfId="0" applyAlignment="1">
      <alignment wrapText="1"/>
    </xf>
    <xf numFmtId="0" fontId="0" fillId="0" borderId="5" xfId="0" applyBorder="1" applyAlignment="1">
      <alignment wrapText="1"/>
    </xf>
    <xf numFmtId="49" fontId="19" fillId="0" borderId="42" xfId="0" applyNumberFormat="1" applyFont="1" applyBorder="1" applyAlignment="1">
      <alignment horizontal="left"/>
    </xf>
    <xf numFmtId="49" fontId="19" fillId="0" borderId="0" xfId="0" applyNumberFormat="1" applyFont="1" applyAlignment="1">
      <alignment horizontal="left"/>
    </xf>
    <xf numFmtId="49" fontId="19" fillId="0" borderId="43" xfId="0" applyNumberFormat="1" applyFont="1" applyBorder="1" applyAlignment="1">
      <alignment horizontal="left"/>
    </xf>
    <xf numFmtId="49" fontId="0" fillId="0" borderId="1" xfId="0" applyNumberFormat="1" applyBorder="1" applyAlignment="1">
      <alignment horizontal="left"/>
    </xf>
    <xf numFmtId="49" fontId="0" fillId="0" borderId="2" xfId="0" applyNumberFormat="1" applyBorder="1" applyAlignment="1">
      <alignment horizontal="left"/>
    </xf>
    <xf numFmtId="49" fontId="0" fillId="0" borderId="3" xfId="0" applyNumberFormat="1" applyBorder="1" applyAlignment="1">
      <alignment horizontal="left"/>
    </xf>
    <xf numFmtId="49" fontId="58" fillId="0" borderId="42" xfId="0" applyNumberFormat="1" applyFont="1" applyBorder="1" applyAlignment="1">
      <alignment horizontal="left"/>
    </xf>
    <xf numFmtId="49" fontId="58" fillId="0" borderId="0" xfId="0" applyNumberFormat="1" applyFont="1" applyAlignment="1">
      <alignment horizontal="left"/>
    </xf>
    <xf numFmtId="49" fontId="58" fillId="0" borderId="43" xfId="0" applyNumberFormat="1" applyFont="1" applyBorder="1" applyAlignment="1">
      <alignment horizontal="left"/>
    </xf>
    <xf numFmtId="0" fontId="9" fillId="4" borderId="37" xfId="0" applyFont="1" applyFill="1" applyBorder="1" applyAlignment="1">
      <alignment horizontal="center" vertical="center"/>
    </xf>
    <xf numFmtId="0" fontId="9" fillId="4" borderId="36" xfId="0" applyFont="1" applyFill="1" applyBorder="1" applyAlignment="1">
      <alignment horizontal="center" vertical="center"/>
    </xf>
    <xf numFmtId="0" fontId="9" fillId="4" borderId="38" xfId="0" applyFont="1" applyFill="1" applyBorder="1" applyAlignment="1">
      <alignment horizontal="center" vertical="center"/>
    </xf>
    <xf numFmtId="0" fontId="9" fillId="4" borderId="39" xfId="0" applyFont="1" applyFill="1" applyBorder="1" applyAlignment="1">
      <alignment horizontal="center" vertical="center"/>
    </xf>
    <xf numFmtId="0" fontId="9" fillId="4" borderId="40" xfId="0" applyFont="1" applyFill="1" applyBorder="1" applyAlignment="1">
      <alignment horizontal="center" vertical="center"/>
    </xf>
    <xf numFmtId="0" fontId="9" fillId="4" borderId="41" xfId="0" applyFont="1" applyFill="1" applyBorder="1" applyAlignment="1">
      <alignment horizontal="center" vertical="center"/>
    </xf>
    <xf numFmtId="0" fontId="10" fillId="4" borderId="22"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24" xfId="0" applyFont="1" applyFill="1" applyBorder="1" applyAlignment="1">
      <alignment horizontal="center" vertical="center"/>
    </xf>
    <xf numFmtId="14" fontId="10" fillId="4" borderId="22" xfId="0" applyNumberFormat="1" applyFont="1" applyFill="1" applyBorder="1" applyAlignment="1">
      <alignment horizontal="center" vertical="center"/>
    </xf>
    <xf numFmtId="49" fontId="19" fillId="0" borderId="37" xfId="0" applyNumberFormat="1" applyFont="1" applyBorder="1" applyAlignment="1">
      <alignment horizontal="left" vertical="top" wrapText="1"/>
    </xf>
    <xf numFmtId="49" fontId="19" fillId="0" borderId="36" xfId="0" applyNumberFormat="1" applyFont="1" applyBorder="1" applyAlignment="1">
      <alignment horizontal="left" vertical="top" wrapText="1"/>
    </xf>
    <xf numFmtId="0" fontId="0" fillId="0" borderId="36" xfId="0" applyBorder="1" applyAlignment="1">
      <alignment horizontal="left" vertical="top" wrapText="1"/>
    </xf>
    <xf numFmtId="0" fontId="0" fillId="0" borderId="38" xfId="0" applyBorder="1" applyAlignment="1">
      <alignment horizontal="left" vertical="top" wrapText="1"/>
    </xf>
    <xf numFmtId="49" fontId="42" fillId="0" borderId="4" xfId="0" applyNumberFormat="1" applyFont="1" applyBorder="1" applyAlignment="1">
      <alignment horizontal="left"/>
    </xf>
    <xf numFmtId="49" fontId="42" fillId="0" borderId="0" xfId="0" applyNumberFormat="1" applyFont="1" applyAlignment="1">
      <alignment horizontal="left"/>
    </xf>
    <xf numFmtId="49" fontId="42" fillId="0" borderId="5" xfId="0" applyNumberFormat="1" applyFont="1" applyBorder="1" applyAlignment="1">
      <alignment horizontal="left"/>
    </xf>
    <xf numFmtId="49" fontId="19" fillId="0" borderId="4" xfId="0" applyNumberFormat="1" applyFont="1" applyBorder="1" applyAlignment="1">
      <alignment horizontal="left"/>
    </xf>
    <xf numFmtId="49" fontId="19" fillId="0" borderId="5" xfId="0" applyNumberFormat="1" applyFont="1" applyBorder="1" applyAlignment="1">
      <alignment horizontal="left"/>
    </xf>
    <xf numFmtId="49" fontId="19" fillId="0" borderId="18" xfId="0" applyNumberFormat="1" applyFont="1" applyBorder="1" applyAlignment="1">
      <alignment horizontal="left"/>
    </xf>
    <xf numFmtId="49" fontId="19" fillId="0" borderId="25" xfId="0" applyNumberFormat="1" applyFont="1" applyBorder="1" applyAlignment="1">
      <alignment horizontal="left"/>
    </xf>
    <xf numFmtId="49" fontId="19" fillId="0" borderId="26" xfId="0" applyNumberFormat="1" applyFont="1" applyBorder="1" applyAlignment="1">
      <alignment horizontal="left"/>
    </xf>
    <xf numFmtId="0" fontId="12" fillId="4" borderId="1" xfId="0" applyFont="1" applyFill="1" applyBorder="1" applyAlignment="1">
      <alignment horizontal="center"/>
    </xf>
    <xf numFmtId="0" fontId="12" fillId="4" borderId="2" xfId="0" applyFont="1" applyFill="1" applyBorder="1" applyAlignment="1">
      <alignment horizontal="center"/>
    </xf>
    <xf numFmtId="0" fontId="12" fillId="4" borderId="3" xfId="0" applyFont="1" applyFill="1" applyBorder="1" applyAlignment="1">
      <alignment horizontal="center"/>
    </xf>
    <xf numFmtId="0" fontId="10" fillId="4" borderId="0" xfId="0" applyFont="1" applyFill="1" applyAlignment="1">
      <alignment horizontal="center"/>
    </xf>
    <xf numFmtId="0" fontId="1" fillId="4" borderId="25" xfId="0" applyFont="1" applyFill="1" applyBorder="1" applyAlignment="1">
      <alignment horizontal="right"/>
    </xf>
    <xf numFmtId="0" fontId="1" fillId="4" borderId="18" xfId="0" applyFont="1" applyFill="1" applyBorder="1" applyAlignment="1">
      <alignment horizontal="left"/>
    </xf>
    <xf numFmtId="0" fontId="1" fillId="4" borderId="25" xfId="0" applyFont="1" applyFill="1" applyBorder="1" applyAlignment="1">
      <alignment horizontal="left"/>
    </xf>
    <xf numFmtId="0" fontId="0" fillId="0" borderId="0" xfId="0" applyAlignment="1">
      <alignment horizontal="right" vertical="top"/>
    </xf>
    <xf numFmtId="0" fontId="0" fillId="0" borderId="0" xfId="0" applyAlignment="1">
      <alignment horizontal="left"/>
    </xf>
    <xf numFmtId="0" fontId="13" fillId="4" borderId="0" xfId="0" applyFont="1" applyFill="1" applyAlignment="1">
      <alignment horizontal="center" vertical="center"/>
    </xf>
    <xf numFmtId="0" fontId="10" fillId="4" borderId="33" xfId="0" applyFont="1" applyFill="1" applyBorder="1" applyAlignment="1">
      <alignment horizontal="center" vertical="center"/>
    </xf>
    <xf numFmtId="0" fontId="10" fillId="4" borderId="40" xfId="0" applyFont="1" applyFill="1" applyBorder="1" applyAlignment="1">
      <alignment horizontal="center" vertical="center"/>
    </xf>
    <xf numFmtId="0" fontId="11" fillId="4" borderId="0" xfId="0" applyFont="1" applyFill="1" applyAlignment="1">
      <alignment horizontal="center" vertical="center"/>
    </xf>
    <xf numFmtId="0" fontId="6" fillId="7" borderId="47" xfId="0" applyFont="1" applyFill="1" applyBorder="1" applyAlignment="1">
      <alignment horizontal="center" vertical="center"/>
    </xf>
    <xf numFmtId="0" fontId="6" fillId="5" borderId="44" xfId="0" applyFont="1" applyFill="1" applyBorder="1" applyAlignment="1">
      <alignment horizontal="center" vertical="center" wrapText="1"/>
    </xf>
    <xf numFmtId="0" fontId="6" fillId="5" borderId="45" xfId="0" applyFont="1" applyFill="1" applyBorder="1" applyAlignment="1">
      <alignment horizontal="center" vertical="center" wrapText="1"/>
    </xf>
    <xf numFmtId="14" fontId="1" fillId="4" borderId="4" xfId="0" applyNumberFormat="1" applyFont="1" applyFill="1" applyBorder="1" applyAlignment="1">
      <alignment horizontal="center"/>
    </xf>
    <xf numFmtId="14" fontId="1" fillId="4" borderId="0" xfId="0" applyNumberFormat="1" applyFont="1" applyFill="1" applyAlignment="1">
      <alignment horizontal="center"/>
    </xf>
    <xf numFmtId="0" fontId="14" fillId="4" borderId="6" xfId="0" applyFont="1" applyFill="1" applyBorder="1" applyAlignment="1">
      <alignment horizontal="right" vertical="center"/>
    </xf>
    <xf numFmtId="0" fontId="14" fillId="4" borderId="9" xfId="0" applyFont="1" applyFill="1" applyBorder="1" applyAlignment="1">
      <alignment horizontal="right" vertical="center"/>
    </xf>
    <xf numFmtId="0" fontId="3" fillId="6" borderId="6"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8" xfId="0" applyFont="1" applyFill="1" applyBorder="1" applyAlignment="1">
      <alignment horizontal="center" vertical="center"/>
    </xf>
    <xf numFmtId="0" fontId="3" fillId="6" borderId="26"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2" fillId="13" borderId="0" xfId="0" applyFont="1" applyFill="1" applyAlignment="1">
      <alignment horizontal="left"/>
    </xf>
    <xf numFmtId="0" fontId="11" fillId="4" borderId="25" xfId="0" applyFont="1" applyFill="1" applyBorder="1" applyAlignment="1">
      <alignment horizontal="center"/>
    </xf>
    <xf numFmtId="0" fontId="20" fillId="4" borderId="2" xfId="0" applyFont="1" applyFill="1" applyBorder="1" applyAlignment="1">
      <alignment horizontal="center"/>
    </xf>
    <xf numFmtId="0" fontId="11" fillId="4" borderId="6" xfId="0" applyFont="1" applyFill="1" applyBorder="1" applyAlignment="1">
      <alignment horizontal="left"/>
    </xf>
    <xf numFmtId="0" fontId="11" fillId="4" borderId="47" xfId="0" applyFont="1" applyFill="1" applyBorder="1" applyAlignment="1">
      <alignment horizontal="left"/>
    </xf>
    <xf numFmtId="0" fontId="11" fillId="4" borderId="9" xfId="0" applyFont="1" applyFill="1" applyBorder="1" applyAlignment="1">
      <alignment horizontal="left"/>
    </xf>
    <xf numFmtId="0" fontId="3" fillId="11" borderId="4" xfId="0" applyFont="1" applyFill="1" applyBorder="1" applyAlignment="1">
      <alignment horizontal="left"/>
    </xf>
    <xf numFmtId="0" fontId="3" fillId="11" borderId="0" xfId="0" applyFont="1" applyFill="1" applyAlignment="1">
      <alignment horizontal="left"/>
    </xf>
    <xf numFmtId="0" fontId="3" fillId="11" borderId="6" xfId="0" applyFont="1" applyFill="1" applyBorder="1" applyAlignment="1">
      <alignment horizontal="left"/>
    </xf>
    <xf numFmtId="0" fontId="3" fillId="11" borderId="47" xfId="0" applyFont="1" applyFill="1" applyBorder="1" applyAlignment="1">
      <alignment horizontal="left"/>
    </xf>
    <xf numFmtId="0" fontId="15" fillId="10" borderId="6" xfId="0" applyFont="1" applyFill="1" applyBorder="1" applyAlignment="1">
      <alignment horizontal="left"/>
    </xf>
    <xf numFmtId="0" fontId="15" fillId="10" borderId="47" xfId="0" applyFont="1" applyFill="1" applyBorder="1" applyAlignment="1">
      <alignment horizontal="left"/>
    </xf>
    <xf numFmtId="0" fontId="15" fillId="10" borderId="9" xfId="0" applyFont="1" applyFill="1" applyBorder="1" applyAlignment="1">
      <alignment horizontal="left"/>
    </xf>
    <xf numFmtId="0" fontId="0" fillId="0" borderId="0" xfId="0" applyAlignment="1">
      <alignment horizontal="center" wrapText="1"/>
    </xf>
    <xf numFmtId="0" fontId="3" fillId="2" borderId="34" xfId="0" applyFont="1" applyFill="1" applyBorder="1" applyAlignment="1">
      <alignment horizontal="left" vertical="top"/>
    </xf>
    <xf numFmtId="0" fontId="3" fillId="2" borderId="36" xfId="0" applyFont="1" applyFill="1" applyBorder="1" applyAlignment="1">
      <alignment horizontal="left" vertical="top"/>
    </xf>
    <xf numFmtId="0" fontId="3" fillId="2" borderId="4" xfId="0" applyFont="1" applyFill="1" applyBorder="1" applyAlignment="1">
      <alignment horizontal="left" vertical="top"/>
    </xf>
    <xf numFmtId="0" fontId="3" fillId="2" borderId="0" xfId="0" applyFont="1" applyFill="1" applyAlignment="1">
      <alignment horizontal="left" vertical="top"/>
    </xf>
    <xf numFmtId="0" fontId="3" fillId="2" borderId="33" xfId="0" applyFont="1" applyFill="1" applyBorder="1" applyAlignment="1">
      <alignment horizontal="left" vertical="top"/>
    </xf>
    <xf numFmtId="0" fontId="3" fillId="2" borderId="40" xfId="0" applyFont="1" applyFill="1" applyBorder="1" applyAlignment="1">
      <alignment horizontal="left" vertical="top"/>
    </xf>
    <xf numFmtId="0" fontId="0" fillId="2" borderId="4" xfId="0" applyFill="1" applyBorder="1" applyAlignment="1">
      <alignment horizontal="left" wrapText="1"/>
    </xf>
    <xf numFmtId="0" fontId="0" fillId="2" borderId="0" xfId="0" applyFill="1" applyAlignment="1">
      <alignment horizontal="left" wrapText="1"/>
    </xf>
    <xf numFmtId="0" fontId="0" fillId="2" borderId="5" xfId="0" applyFill="1" applyBorder="1" applyAlignment="1">
      <alignment horizontal="left" wrapText="1"/>
    </xf>
    <xf numFmtId="0" fontId="0" fillId="0" borderId="14" xfId="0" applyBorder="1" applyAlignment="1">
      <alignment horizontal="left" wrapText="1"/>
    </xf>
    <xf numFmtId="0" fontId="0" fillId="0" borderId="21" xfId="0" applyBorder="1" applyAlignment="1">
      <alignment horizontal="left" wrapText="1"/>
    </xf>
    <xf numFmtId="0" fontId="0" fillId="0" borderId="21" xfId="0" applyBorder="1" applyAlignment="1">
      <alignment horizontal="center" vertical="center"/>
    </xf>
    <xf numFmtId="0" fontId="0" fillId="0" borderId="15" xfId="0" applyBorder="1" applyAlignment="1">
      <alignment horizontal="center" vertical="center"/>
    </xf>
    <xf numFmtId="0" fontId="57" fillId="37" borderId="1" xfId="0" applyFont="1" applyFill="1" applyBorder="1" applyAlignment="1">
      <alignment horizontal="center" vertical="center"/>
    </xf>
    <xf numFmtId="0" fontId="57" fillId="37" borderId="2" xfId="0" applyFont="1" applyFill="1" applyBorder="1" applyAlignment="1">
      <alignment horizontal="center" vertical="center"/>
    </xf>
    <xf numFmtId="0" fontId="57" fillId="37" borderId="3" xfId="0" applyFont="1" applyFill="1" applyBorder="1" applyAlignment="1">
      <alignment horizontal="center" vertical="center"/>
    </xf>
    <xf numFmtId="0" fontId="3" fillId="37" borderId="14" xfId="0" applyFont="1" applyFill="1" applyBorder="1" applyAlignment="1">
      <alignment horizontal="left"/>
    </xf>
    <xf numFmtId="0" fontId="3" fillId="37" borderId="21" xfId="0" applyFont="1" applyFill="1" applyBorder="1" applyAlignment="1">
      <alignment horizontal="left"/>
    </xf>
    <xf numFmtId="0" fontId="3" fillId="37" borderId="21" xfId="0" applyFont="1" applyFill="1" applyBorder="1" applyAlignment="1">
      <alignment horizontal="center" wrapText="1"/>
    </xf>
    <xf numFmtId="0" fontId="3" fillId="37" borderId="21" xfId="0" applyFont="1" applyFill="1" applyBorder="1" applyAlignment="1">
      <alignment horizontal="center"/>
    </xf>
    <xf numFmtId="0" fontId="3" fillId="37" borderId="15" xfId="0" applyFont="1" applyFill="1" applyBorder="1" applyAlignment="1">
      <alignment horizontal="center"/>
    </xf>
    <xf numFmtId="49" fontId="0" fillId="2" borderId="36" xfId="0" applyNumberFormat="1" applyFill="1" applyBorder="1" applyAlignment="1">
      <alignment horizontal="left" vertical="top"/>
    </xf>
    <xf numFmtId="0" fontId="0" fillId="2" borderId="36" xfId="0" applyFill="1" applyBorder="1" applyAlignment="1">
      <alignment horizontal="left" vertical="top"/>
    </xf>
    <xf numFmtId="0" fontId="0" fillId="2" borderId="68" xfId="0" applyFill="1" applyBorder="1" applyAlignment="1">
      <alignment horizontal="left" vertical="top"/>
    </xf>
    <xf numFmtId="0" fontId="0" fillId="2" borderId="0" xfId="0" applyFill="1" applyAlignment="1">
      <alignment horizontal="left" vertical="top"/>
    </xf>
    <xf numFmtId="0" fontId="0" fillId="2" borderId="5" xfId="0" applyFill="1" applyBorder="1" applyAlignment="1">
      <alignment horizontal="left" vertical="top"/>
    </xf>
    <xf numFmtId="0" fontId="0" fillId="2" borderId="40" xfId="0" applyFill="1" applyBorder="1" applyAlignment="1">
      <alignment horizontal="left" vertical="top"/>
    </xf>
    <xf numFmtId="0" fontId="0" fillId="2" borderId="35" xfId="0" applyFill="1" applyBorder="1" applyAlignment="1">
      <alignment horizontal="left" vertical="top"/>
    </xf>
    <xf numFmtId="0" fontId="5" fillId="13" borderId="1" xfId="0" applyFont="1" applyFill="1" applyBorder="1" applyAlignment="1">
      <alignment horizontal="center" vertical="center" wrapText="1"/>
    </xf>
    <xf numFmtId="0" fontId="5" fillId="13" borderId="2" xfId="0" applyFont="1" applyFill="1" applyBorder="1" applyAlignment="1">
      <alignment horizontal="center" vertical="center" wrapText="1"/>
    </xf>
    <xf numFmtId="0" fontId="5" fillId="13" borderId="3" xfId="0" applyFont="1" applyFill="1" applyBorder="1" applyAlignment="1">
      <alignment horizontal="center" vertical="center" wrapText="1"/>
    </xf>
    <xf numFmtId="0" fontId="5" fillId="13" borderId="18" xfId="0" applyFont="1" applyFill="1" applyBorder="1" applyAlignment="1">
      <alignment horizontal="center" vertical="center" wrapText="1"/>
    </xf>
    <xf numFmtId="0" fontId="5" fillId="13" borderId="25" xfId="0" applyFont="1" applyFill="1" applyBorder="1" applyAlignment="1">
      <alignment horizontal="center" vertical="center" wrapText="1"/>
    </xf>
    <xf numFmtId="0" fontId="5" fillId="13" borderId="26" xfId="0" applyFont="1" applyFill="1" applyBorder="1" applyAlignment="1">
      <alignment horizontal="center" vertical="center" wrapText="1"/>
    </xf>
    <xf numFmtId="0" fontId="0" fillId="0" borderId="21" xfId="0" applyBorder="1" applyAlignment="1">
      <alignment horizontal="center"/>
    </xf>
    <xf numFmtId="0" fontId="0" fillId="0" borderId="15" xfId="0" applyBorder="1" applyAlignment="1">
      <alignment horizontal="center"/>
    </xf>
    <xf numFmtId="0" fontId="43" fillId="0" borderId="47" xfId="0" applyFont="1" applyBorder="1" applyAlignment="1">
      <alignment horizontal="center" vertical="center"/>
    </xf>
    <xf numFmtId="0" fontId="43" fillId="0" borderId="9" xfId="0" applyFont="1" applyBorder="1" applyAlignment="1">
      <alignment horizontal="center" vertical="center"/>
    </xf>
    <xf numFmtId="0" fontId="20" fillId="23" borderId="60" xfId="0" applyFont="1" applyFill="1" applyBorder="1" applyAlignment="1">
      <alignment horizontal="center" vertical="center"/>
    </xf>
    <xf numFmtId="0" fontId="20" fillId="23" borderId="61" xfId="0" applyFont="1" applyFill="1" applyBorder="1" applyAlignment="1">
      <alignment horizontal="center" vertical="center"/>
    </xf>
    <xf numFmtId="0" fontId="20" fillId="23" borderId="62" xfId="0" applyFont="1" applyFill="1" applyBorder="1" applyAlignment="1">
      <alignment horizontal="center" vertical="center"/>
    </xf>
    <xf numFmtId="0" fontId="6" fillId="15" borderId="34" xfId="0" applyFont="1" applyFill="1" applyBorder="1" applyAlignment="1">
      <alignment horizontal="left" vertical="center"/>
    </xf>
    <xf numFmtId="0" fontId="6" fillId="15" borderId="38" xfId="0" applyFont="1" applyFill="1" applyBorder="1" applyAlignment="1">
      <alignment horizontal="left" vertical="center"/>
    </xf>
    <xf numFmtId="14" fontId="15" fillId="15" borderId="50" xfId="0" applyNumberFormat="1" applyFont="1" applyFill="1" applyBorder="1" applyAlignment="1">
      <alignment horizontal="left" vertical="center"/>
    </xf>
    <xf numFmtId="0" fontId="15" fillId="15" borderId="49" xfId="0" applyFont="1" applyFill="1" applyBorder="1" applyAlignment="1">
      <alignment horizontal="left" vertical="center"/>
    </xf>
    <xf numFmtId="0" fontId="42" fillId="6" borderId="6" xfId="0" applyFont="1" applyFill="1" applyBorder="1" applyAlignment="1">
      <alignment horizontal="left" vertical="center"/>
    </xf>
    <xf numFmtId="0" fontId="42" fillId="6" borderId="56" xfId="0" applyFont="1" applyFill="1" applyBorder="1" applyAlignment="1">
      <alignment horizontal="left" vertical="center"/>
    </xf>
    <xf numFmtId="0" fontId="3" fillId="0" borderId="6" xfId="0" applyFont="1" applyBorder="1" applyAlignment="1">
      <alignment horizontal="center"/>
    </xf>
    <xf numFmtId="0" fontId="3" fillId="0" borderId="47" xfId="0" applyFont="1" applyBorder="1" applyAlignment="1">
      <alignment horizontal="center"/>
    </xf>
    <xf numFmtId="0" fontId="3" fillId="0" borderId="9" xfId="0" applyFont="1" applyBorder="1" applyAlignment="1">
      <alignment horizontal="center"/>
    </xf>
    <xf numFmtId="0" fontId="43" fillId="0" borderId="44" xfId="0" applyFont="1" applyBorder="1" applyAlignment="1">
      <alignment horizontal="center" vertical="center" textRotation="90"/>
    </xf>
    <xf numFmtId="0" fontId="43" fillId="0" borderId="45" xfId="0" applyFont="1" applyBorder="1" applyAlignment="1">
      <alignment horizontal="center" vertical="center" textRotation="90"/>
    </xf>
    <xf numFmtId="0" fontId="42" fillId="27" borderId="6" xfId="0" applyFont="1" applyFill="1" applyBorder="1" applyAlignment="1">
      <alignment horizontal="left" vertical="center"/>
    </xf>
    <xf numFmtId="0" fontId="42" fillId="27" borderId="56" xfId="0" applyFont="1" applyFill="1" applyBorder="1" applyAlignment="1">
      <alignment horizontal="left" vertical="center"/>
    </xf>
    <xf numFmtId="0" fontId="42" fillId="30" borderId="6" xfId="0" applyFont="1" applyFill="1" applyBorder="1" applyAlignment="1">
      <alignment horizontal="left" vertical="center"/>
    </xf>
    <xf numFmtId="0" fontId="42" fillId="30" borderId="56" xfId="0" applyFont="1" applyFill="1" applyBorder="1" applyAlignment="1">
      <alignment horizontal="left" vertical="center"/>
    </xf>
    <xf numFmtId="0" fontId="0" fillId="0" borderId="65" xfId="0" applyBorder="1" applyAlignment="1">
      <alignment horizontal="center" vertical="center"/>
    </xf>
    <xf numFmtId="0" fontId="0" fillId="0" borderId="61" xfId="0" applyBorder="1" applyAlignment="1">
      <alignment horizontal="center" vertical="center"/>
    </xf>
    <xf numFmtId="0" fontId="0" fillId="0" borderId="14" xfId="0" applyBorder="1" applyAlignment="1">
      <alignment horizontal="left" vertical="top" wrapText="1"/>
    </xf>
    <xf numFmtId="0" fontId="0" fillId="0" borderId="21" xfId="0" applyBorder="1" applyAlignment="1">
      <alignment horizontal="left" vertical="top" wrapText="1"/>
    </xf>
    <xf numFmtId="0" fontId="0" fillId="2" borderId="34" xfId="0" applyFill="1" applyBorder="1" applyAlignment="1">
      <alignment horizontal="left" vertical="top" wrapText="1"/>
    </xf>
    <xf numFmtId="0" fontId="0" fillId="2" borderId="36" xfId="0" applyFill="1" applyBorder="1" applyAlignment="1">
      <alignment horizontal="left" vertical="top" wrapText="1"/>
    </xf>
    <xf numFmtId="0" fontId="0" fillId="2" borderId="68" xfId="0" applyFill="1" applyBorder="1" applyAlignment="1">
      <alignment horizontal="left" vertical="top" wrapText="1"/>
    </xf>
    <xf numFmtId="0" fontId="0" fillId="2" borderId="4" xfId="0" applyFill="1" applyBorder="1" applyAlignment="1">
      <alignment horizontal="left" vertical="top" wrapText="1"/>
    </xf>
    <xf numFmtId="0" fontId="0" fillId="2" borderId="0" xfId="0" applyFill="1" applyAlignment="1">
      <alignment horizontal="left" vertical="top" wrapText="1"/>
    </xf>
    <xf numFmtId="0" fontId="0" fillId="2" borderId="5" xfId="0" applyFill="1" applyBorder="1" applyAlignment="1">
      <alignment horizontal="left" vertical="top" wrapText="1"/>
    </xf>
    <xf numFmtId="0" fontId="52" fillId="0" borderId="4" xfId="1" applyFont="1" applyBorder="1" applyAlignment="1">
      <alignment horizontal="center"/>
    </xf>
    <xf numFmtId="0" fontId="52" fillId="0" borderId="0" xfId="1" applyFont="1" applyAlignment="1">
      <alignment horizontal="center"/>
    </xf>
    <xf numFmtId="0" fontId="52" fillId="0" borderId="1" xfId="1" applyFont="1" applyBorder="1" applyAlignment="1">
      <alignment horizontal="center"/>
    </xf>
    <xf numFmtId="0" fontId="52" fillId="0" borderId="2" xfId="1" applyFont="1" applyBorder="1" applyAlignment="1">
      <alignment horizontal="center"/>
    </xf>
    <xf numFmtId="0" fontId="52" fillId="0" borderId="6" xfId="1" applyFont="1" applyBorder="1" applyAlignment="1">
      <alignment horizontal="center"/>
    </xf>
    <xf numFmtId="0" fontId="52" fillId="0" borderId="47" xfId="1" applyFont="1" applyBorder="1" applyAlignment="1">
      <alignment horizontal="center"/>
    </xf>
  </cellXfs>
  <cellStyles count="5">
    <cellStyle name="Comma 2" xfId="4" xr:uid="{77A1F8D2-0EDC-43CB-B302-784568707B67}"/>
    <cellStyle name="Currency" xfId="2" builtinId="4"/>
    <cellStyle name="Normal" xfId="0" builtinId="0"/>
    <cellStyle name="Normal 2 2 2" xfId="1" xr:uid="{90F7FAE6-B00F-4835-9ABA-E9A62F97F6B9}"/>
    <cellStyle name="Percent" xfId="3" builtinId="5"/>
  </cellStyles>
  <dxfs count="10">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8A70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5</xdr:col>
      <xdr:colOff>1000125</xdr:colOff>
      <xdr:row>0</xdr:row>
      <xdr:rowOff>85725</xdr:rowOff>
    </xdr:from>
    <xdr:ext cx="1096735" cy="432679"/>
    <xdr:pic>
      <xdr:nvPicPr>
        <xdr:cNvPr id="2" name="Picture 1">
          <a:extLst>
            <a:ext uri="{FF2B5EF4-FFF2-40B4-BE49-F238E27FC236}">
              <a16:creationId xmlns:a16="http://schemas.microsoft.com/office/drawing/2014/main" id="{7058B79E-A307-4CDA-8579-2CC683DE04C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7600" y="85725"/>
          <a:ext cx="1096735" cy="432679"/>
        </a:xfrm>
        <a:prstGeom prst="rect">
          <a:avLst/>
        </a:prstGeom>
        <a:noFill/>
        <a:ln>
          <a:noFill/>
        </a:ln>
        <a:extLst>
          <a:ext uri="{FAA26D3D-D897-4be2-8F04-BA451C77F1D7}">
            <ma14:placeholderFlag xmlns:lc="http://schemas.openxmlformats.org/drawingml/2006/lockedCanvas"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r="http://schemas.openxmlformats.org/officeDocument/2006/relationships" xmlns:o="urn:schemas-microsoft-com:office:office" xmlns:mv="urn:schemas-microsoft-com:mac:vml" xmlns:mc="http://schemas.openxmlformats.org/markup-compatibility/2006" xmlns:mo="http://schemas.microsoft.com/office/mac/office/2008/main" xmlns:wpc="http://schemas.microsoft.com/office/word/2010/wordprocessingCanvas" xmlns=""/>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90714</xdr:colOff>
      <xdr:row>21</xdr:row>
      <xdr:rowOff>72934</xdr:rowOff>
    </xdr:from>
    <xdr:to>
      <xdr:col>21</xdr:col>
      <xdr:colOff>402693</xdr:colOff>
      <xdr:row>66</xdr:row>
      <xdr:rowOff>95159</xdr:rowOff>
    </xdr:to>
    <xdr:pic>
      <xdr:nvPicPr>
        <xdr:cNvPr id="3" name="Picture 2">
          <a:extLst>
            <a:ext uri="{FF2B5EF4-FFF2-40B4-BE49-F238E27FC236}">
              <a16:creationId xmlns:a16="http://schemas.microsoft.com/office/drawing/2014/main" id="{635D9338-153B-40D7-B3DE-F943048D94E3}"/>
            </a:ext>
          </a:extLst>
        </xdr:cNvPr>
        <xdr:cNvPicPr>
          <a:picLocks noChangeAspect="1"/>
        </xdr:cNvPicPr>
      </xdr:nvPicPr>
      <xdr:blipFill>
        <a:blip xmlns:r="http://schemas.openxmlformats.org/officeDocument/2006/relationships" r:embed="rId1"/>
        <a:stretch>
          <a:fillRect/>
        </a:stretch>
      </xdr:blipFill>
      <xdr:spPr>
        <a:xfrm>
          <a:off x="12636500" y="5311684"/>
          <a:ext cx="6907361" cy="3040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ebfarmprod1new:8080/Documents%20and%20Settings/TLS/Local%20Settings/Temporary%20Internet%20Files/OLK9C/Detail%20Project%20and%20Funding%20Project%20Setup%20Request%20Form%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96815/AppData/Local/Microsoft/Windows/Temporary%20Internet%20Files/Content.Outlook/73Z11NII/Communication_Matrix_LAF%20Subar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DEVELOPMENT%20PROJECTS\1_PROJECTS\1_ALL%20REGION%20DT%20PROJECTS\1%20NEW%20FOLDER%20-%20COPY%20ONLY\10%20Communications\Enterprise%20PAP_0313%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SJohns/AppData/Local/Microsoft/Windows/Temporary%20Internet%20Files/Content.Outlook/OQSSAAU0/PAP%20Doc%20Green%20I-II%20(New%20IR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36721\OneDrive%20-%20Duke%20Energy\Desktop\Nuclear%20Files%20for%20AFUDC\Copy%20of%20AFUDC%20Calculation%20Template%20-%20Fleet%202019-04-0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SJohns/AppData/Local/Microsoft/Windows/Temporary%20Internet%20Files/Content.Outlook/TIWQWTRL/Zimmer/Zimmer_Inst%20Mtrmc%20-%20Abrk%20Swi%20TOH1488%20-%20PPW.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NAM/bt1/Documents/Project%20Management/Workbook%20with%20Minutes/DOA%20EXAMPLE%20Huntington%20State%20St%2033%206MVA-LTC%20AMIN09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unding Project Request"/>
      <sheetName val="CAPITAL Detail Project Request"/>
      <sheetName val="NON-CAPITAL Detail Project Req."/>
      <sheetName val="Data for DropDowns"/>
      <sheetName val="Loading Rates"/>
      <sheetName val="Proj Mgmt"/>
      <sheetName val="DCER"/>
      <sheetName val="Drop Downs"/>
      <sheetName val="DropDown_Elements"/>
      <sheetName val="Sheet2"/>
    </sheetNames>
    <sheetDataSet>
      <sheetData sheetId="0"/>
      <sheetData sheetId="1"/>
      <sheetData sheetId="2"/>
      <sheetData sheetId="3">
        <row r="29">
          <cell r="B29" t="str">
            <v>Pick one from the drop-down list</v>
          </cell>
        </row>
        <row r="30">
          <cell r="B30" t="str">
            <v>----------Field Ops----------</v>
          </cell>
        </row>
        <row r="31">
          <cell r="B31" t="str">
            <v>CKTSECTN - Circuit Sectionalization</v>
          </cell>
        </row>
        <row r="32">
          <cell r="B32" t="str">
            <v>CUSTADDS - Customer Adds</v>
          </cell>
        </row>
        <row r="33">
          <cell r="B33" t="str">
            <v>LIGHTING - Lighting</v>
          </cell>
        </row>
        <row r="34">
          <cell r="B34" t="str">
            <v>MAJOUTFU - Major Outage Follow-up</v>
          </cell>
        </row>
        <row r="35">
          <cell r="B35" t="str">
            <v>OUTRES-D - Outage Restoration Cap - D</v>
          </cell>
        </row>
        <row r="36">
          <cell r="B36" t="str">
            <v>OUTRES-SUB - Outage Restoration Cap - Sub</v>
          </cell>
        </row>
        <row r="37">
          <cell r="B37" t="str">
            <v>OUTRES-T - Outage Restoration Cap - T</v>
          </cell>
        </row>
        <row r="38">
          <cell r="B38" t="str">
            <v>POLERE-D - Pole Replacement - D</v>
          </cell>
        </row>
        <row r="39">
          <cell r="B39" t="str">
            <v>POLERE-T - Pole Replacement - T</v>
          </cell>
        </row>
        <row r="40">
          <cell r="B40" t="str">
            <v>RELO-D - Relocations - D</v>
          </cell>
        </row>
        <row r="41">
          <cell r="B41" t="str">
            <v>RELO-T - Relocations - T</v>
          </cell>
        </row>
        <row r="42">
          <cell r="B42" t="str">
            <v>RIO-D - R&amp;I Capital Other - D</v>
          </cell>
        </row>
        <row r="43">
          <cell r="B43" t="str">
            <v>RIO-SUB - R&amp;I Capital Other - Sub</v>
          </cell>
        </row>
        <row r="44">
          <cell r="B44" t="str">
            <v>RMAJ-D - Reliability Major Capital - D</v>
          </cell>
        </row>
        <row r="45">
          <cell r="B45" t="str">
            <v>RMAJ-SUB - Reliability Major Capital - Sub</v>
          </cell>
        </row>
        <row r="46">
          <cell r="B46" t="str">
            <v>RMAJ-T - Reliability Major Capital - T</v>
          </cell>
        </row>
        <row r="47">
          <cell r="B47" t="str">
            <v>SCAP-FO - System Capacity - FO</v>
          </cell>
        </row>
        <row r="48">
          <cell r="B48" t="str">
            <v>TRNRETRO -  Transformer Retrofit</v>
          </cell>
        </row>
        <row r="49">
          <cell r="B49" t="str">
            <v>URREPLAC - UG Cable Replace</v>
          </cell>
        </row>
        <row r="50">
          <cell r="B50" t="str">
            <v>-----Asset Management-----</v>
          </cell>
        </row>
        <row r="51">
          <cell r="B51" t="str">
            <v>CUSTDELV - Customer Deliveries</v>
          </cell>
        </row>
        <row r="52">
          <cell r="B52" t="str">
            <v>FACSales - Facility Sales - Asset management</v>
          </cell>
        </row>
        <row r="53">
          <cell r="B53" t="str">
            <v>GENINTCO - Gen-Interconnect</v>
          </cell>
        </row>
        <row r="54">
          <cell r="B54" t="str">
            <v>GENPLANT - General Plant</v>
          </cell>
        </row>
        <row r="55">
          <cell r="B55" t="str">
            <v>INTEGRIT - Integrity Projects</v>
          </cell>
        </row>
        <row r="56">
          <cell r="B56" t="str">
            <v>LN&amp;STACOM - Line and Station Compliance</v>
          </cell>
        </row>
        <row r="57">
          <cell r="B57" t="str">
            <v>ODBREAKR - OD Breakers</v>
          </cell>
        </row>
        <row r="58">
          <cell r="B58" t="str">
            <v>RETAILCA - Retail Capacity</v>
          </cell>
        </row>
        <row r="59">
          <cell r="B59" t="str">
            <v>RIO-T - R&amp;I Capital Other - T</v>
          </cell>
        </row>
        <row r="60">
          <cell r="B60" t="str">
            <v>RIPROG-T - R&amp;I Programs -T</v>
          </cell>
        </row>
        <row r="61">
          <cell r="B61" t="str">
            <v>SCAP-D - System Capacity - D</v>
          </cell>
        </row>
        <row r="62">
          <cell r="B62" t="str">
            <v>SCAP-GEN - System Capacity - Gen</v>
          </cell>
        </row>
        <row r="63">
          <cell r="B63" t="str">
            <v>SCAP-SUB - System Capacity - Sub</v>
          </cell>
        </row>
        <row r="64">
          <cell r="B64" t="str">
            <v>SCAP-T - System Capacity - T</v>
          </cell>
        </row>
        <row r="65">
          <cell r="B65" t="str">
            <v>SPCC - SPCC</v>
          </cell>
        </row>
        <row r="66">
          <cell r="B66" t="str">
            <v>SUBAUTO-D - Substation Automation - D</v>
          </cell>
        </row>
        <row r="67">
          <cell r="B67" t="str">
            <v>WHOLE-D - Wholesale Deliveries D</v>
          </cell>
        </row>
        <row r="68">
          <cell r="B68" t="str">
            <v>WHOLE-T - Wholesale Deliveries T</v>
          </cell>
        </row>
        <row r="69">
          <cell r="B69" t="str">
            <v>--------GAS Section-----------</v>
          </cell>
        </row>
        <row r="70">
          <cell r="B70" t="str">
            <v>MEAJT - Main Extension Joint Trench</v>
          </cell>
        </row>
        <row r="71">
          <cell r="B71" t="str">
            <v>MEAGO - Main Extension Gas Only</v>
          </cell>
        </row>
        <row r="77">
          <cell r="B77" t="str">
            <v>Pick one…</v>
          </cell>
        </row>
        <row r="78">
          <cell r="B78" t="str">
            <v>YES</v>
          </cell>
        </row>
        <row r="79">
          <cell r="B79" t="str">
            <v>NO</v>
          </cell>
        </row>
        <row r="84">
          <cell r="B84" t="str">
            <v>Pick one…</v>
          </cell>
        </row>
        <row r="85">
          <cell r="B85" t="str">
            <v>--------Electric Section-----------</v>
          </cell>
        </row>
        <row r="86">
          <cell r="B86" t="str">
            <v>Distribution - OH - 664085</v>
          </cell>
        </row>
        <row r="87">
          <cell r="B87" t="str">
            <v>Distribution - KY - CGE Owned - 664089</v>
          </cell>
        </row>
        <row r="88">
          <cell r="B88" t="str">
            <v>Distribution - KY - ULHP Owned - 709301</v>
          </cell>
        </row>
        <row r="89">
          <cell r="B89" t="str">
            <v>Distribution - IN - 661168</v>
          </cell>
        </row>
        <row r="90">
          <cell r="B90" t="str">
            <v>--------GAS Section-----------</v>
          </cell>
        </row>
        <row r="91">
          <cell r="B91" t="str">
            <v>Gas - KY - 709296</v>
          </cell>
        </row>
        <row r="92">
          <cell r="B92" t="str">
            <v>Gas - OH - 709292</v>
          </cell>
        </row>
        <row r="104">
          <cell r="B104" t="str">
            <v>Pick one…</v>
          </cell>
        </row>
        <row r="105">
          <cell r="B105" t="str">
            <v>--------GAS Section-----------</v>
          </cell>
        </row>
        <row r="106">
          <cell r="B106" t="str">
            <v>703 - Gas Mains</v>
          </cell>
        </row>
        <row r="107">
          <cell r="B107" t="str">
            <v>--------Electric Section-----------</v>
          </cell>
        </row>
        <row r="108">
          <cell r="B108" t="str">
            <v>802 - Transmission Substation</v>
          </cell>
        </row>
        <row r="109">
          <cell r="B109" t="str">
            <v>803 - Distribution Substation</v>
          </cell>
        </row>
        <row r="110">
          <cell r="B110" t="str">
            <v>804 - Transmission Line</v>
          </cell>
        </row>
        <row r="111">
          <cell r="B111" t="str">
            <v>806 - Distribution Transformers</v>
          </cell>
        </row>
        <row r="112">
          <cell r="B112" t="str">
            <v>810 - Distribution Lines, Service, New Business</v>
          </cell>
        </row>
        <row r="113">
          <cell r="B113" t="str">
            <v>812 - Street Lights</v>
          </cell>
        </row>
        <row r="114">
          <cell r="B114" t="str">
            <v>814 - Distribution Improvements</v>
          </cell>
        </row>
        <row r="115">
          <cell r="B115" t="str">
            <v>816 - Building &amp; Grounds, Tools</v>
          </cell>
        </row>
        <row r="116">
          <cell r="B116" t="str">
            <v>820 - Telecommunications</v>
          </cell>
        </row>
        <row r="117">
          <cell r="B117" t="str">
            <v>824 - Electric Meters and Instrument Transformers</v>
          </cell>
        </row>
        <row r="118">
          <cell r="B118" t="str">
            <v>---------------------</v>
          </cell>
        </row>
        <row r="119">
          <cell r="B119" t="str">
            <v>802 - Sub - Trans (68%) IMPA - PSI</v>
          </cell>
        </row>
        <row r="120">
          <cell r="B120" t="str">
            <v>802 - Sub - Trans (68%) WVPA - PSI</v>
          </cell>
        </row>
        <row r="121">
          <cell r="B121" t="str">
            <v>802 - Sub - Trans - IMPA - PSI</v>
          </cell>
        </row>
        <row r="122">
          <cell r="B122" t="str">
            <v>802 - Sub - Trans - WVPA - PSI</v>
          </cell>
        </row>
        <row r="123">
          <cell r="B123" t="str">
            <v>803 - Sub - Dist (68%) IMPA - PSI</v>
          </cell>
        </row>
        <row r="124">
          <cell r="B124" t="str">
            <v>803 - Sub - Dist (68%) WVPA - PSI</v>
          </cell>
        </row>
        <row r="125">
          <cell r="B125" t="str">
            <v>803 - Subs - Dist - IMPA - PSI</v>
          </cell>
        </row>
        <row r="126">
          <cell r="B126" t="str">
            <v>803 - Subs - Dist - WVPA - PSI</v>
          </cell>
        </row>
        <row r="127">
          <cell r="B127" t="str">
            <v>804 - Trans Lines IMPA - PSI</v>
          </cell>
        </row>
        <row r="128">
          <cell r="B128" t="str">
            <v>804 - Trans Lines WVPA - PSI</v>
          </cell>
        </row>
        <row r="129">
          <cell r="B129" t="str">
            <v>824 - Metering Points IMPA - PSI</v>
          </cell>
        </row>
        <row r="130">
          <cell r="B130" t="str">
            <v>824 - Metering Points WVPA - PSI</v>
          </cell>
        </row>
        <row r="131">
          <cell r="B131" t="str">
            <v>---------------------</v>
          </cell>
        </row>
        <row r="132">
          <cell r="B132" t="str">
            <v>802 - Subs - Trans CD/CCD(28%) - CGE</v>
          </cell>
        </row>
        <row r="133">
          <cell r="B133" t="str">
            <v>802 - Subs - Trans CD/CCD(30%) - CGE</v>
          </cell>
        </row>
        <row r="134">
          <cell r="B134" t="str">
            <v>802 - Subs - Trans CD/CCD(33.3%)-CGE</v>
          </cell>
        </row>
        <row r="135">
          <cell r="B135" t="str">
            <v>802 - Subs - Trans CD/CCD(50%) - CGE</v>
          </cell>
        </row>
        <row r="136">
          <cell r="B136" t="str">
            <v>802 - Subs - Trans CD/CCD(55%) - CGE</v>
          </cell>
        </row>
        <row r="137">
          <cell r="B137" t="str">
            <v>802 - Subs - Trans DPL/CSP constr-CGE</v>
          </cell>
        </row>
        <row r="138">
          <cell r="B138" t="str">
            <v>804 - Trans Lines CD/CCD (28%) - CGE</v>
          </cell>
        </row>
        <row r="139">
          <cell r="B139" t="str">
            <v>804 - Trans Lines CD/CCD (30%) - CGE</v>
          </cell>
        </row>
        <row r="140">
          <cell r="B140" t="str">
            <v>804 - Trans Lines CD/CCD (55%) - CGE</v>
          </cell>
        </row>
        <row r="141">
          <cell r="B141" t="str">
            <v>804 - Trans Lines CD/CCD (64%) - CGE</v>
          </cell>
        </row>
        <row r="142">
          <cell r="B142" t="str">
            <v>804 - Trans Lines DPL/CSP constru-CGE</v>
          </cell>
        </row>
        <row r="143">
          <cell r="B143" t="str">
            <v>---------------------</v>
          </cell>
        </row>
        <row r="144">
          <cell r="B144" t="str">
            <v>Other T&amp;D IMPA - PSI</v>
          </cell>
        </row>
        <row r="145">
          <cell r="B145" t="str">
            <v>Other T&amp;D WVPA - PSI</v>
          </cell>
        </row>
        <row r="146">
          <cell r="B146" t="str">
            <v>Other T&amp;D (50%) - IMPA - PSI</v>
          </cell>
        </row>
        <row r="147">
          <cell r="B147" t="str">
            <v>Other T&amp;D (50%) - WVPA - PSI</v>
          </cell>
        </row>
        <row r="148">
          <cell r="B148" t="str">
            <v>---------------------</v>
          </cell>
        </row>
        <row r="149">
          <cell r="B149" t="str">
            <v>IMPA Constructed - No Reimbursement</v>
          </cell>
        </row>
        <row r="150">
          <cell r="B150" t="str">
            <v>WVPA Constructed - No Reimbursement</v>
          </cell>
        </row>
        <row r="151">
          <cell r="B151" t="str">
            <v>---------------------</v>
          </cell>
        </row>
        <row r="152">
          <cell r="B152" t="str">
            <v>UOF CGE Common</v>
          </cell>
        </row>
        <row r="153">
          <cell r="B153" t="str">
            <v>UOF CGE Electric</v>
          </cell>
        </row>
        <row r="154">
          <cell r="B154" t="str">
            <v>UOF CGE Gas</v>
          </cell>
        </row>
        <row r="155">
          <cell r="B155" t="str">
            <v>UOF PSI Electric</v>
          </cell>
        </row>
        <row r="159">
          <cell r="B159" t="str">
            <v>Pick one…</v>
          </cell>
        </row>
        <row r="160">
          <cell r="B160" t="str">
            <v>----------INDIANA-----------</v>
          </cell>
        </row>
        <row r="161">
          <cell r="B161" t="str">
            <v>V49A - ATTICA</v>
          </cell>
        </row>
        <row r="162">
          <cell r="B162" t="str">
            <v>V482 - LAFAYETTE</v>
          </cell>
        </row>
        <row r="163">
          <cell r="B163" t="str">
            <v>V452 - ROCHESTER</v>
          </cell>
        </row>
        <row r="164">
          <cell r="B164" t="str">
            <v>V442 - HUNTINGTON</v>
          </cell>
        </row>
        <row r="165">
          <cell r="B165" t="str">
            <v>V422 - KOKOMO</v>
          </cell>
        </row>
        <row r="166">
          <cell r="B166" t="str">
            <v>V542 - NOBLESVILLE</v>
          </cell>
        </row>
        <row r="167">
          <cell r="B167" t="str">
            <v>V562 - CARMEL</v>
          </cell>
        </row>
        <row r="168">
          <cell r="B168" t="str">
            <v>V552 - NEW CASTLE</v>
          </cell>
        </row>
        <row r="169">
          <cell r="B169" t="str">
            <v>V572 - AVON</v>
          </cell>
        </row>
        <row r="170">
          <cell r="B170" t="str">
            <v>V432 - WABASH</v>
          </cell>
        </row>
        <row r="171">
          <cell r="B171" t="str">
            <v>V632 - CLINTON</v>
          </cell>
        </row>
        <row r="172">
          <cell r="B172" t="str">
            <v>V642 - GREENCASTLE</v>
          </cell>
        </row>
        <row r="173">
          <cell r="B173" t="str">
            <v>V622 - TERRE HAUTE</v>
          </cell>
        </row>
        <row r="174">
          <cell r="B174" t="str">
            <v>V652 - BRAZIL</v>
          </cell>
        </row>
        <row r="175">
          <cell r="B175" t="str">
            <v>V762 - MARTINSVILLE</v>
          </cell>
        </row>
        <row r="176">
          <cell r="B176" t="str">
            <v>V742 - BLOOMINGTON</v>
          </cell>
        </row>
        <row r="177">
          <cell r="B177" t="str">
            <v>V792 - SULLIVAN</v>
          </cell>
        </row>
        <row r="178">
          <cell r="B178" t="str">
            <v>V752 - BEDFORD</v>
          </cell>
        </row>
        <row r="179">
          <cell r="B179" t="str">
            <v>V782 - VINCENNES</v>
          </cell>
        </row>
        <row r="180">
          <cell r="B180" t="str">
            <v>V812 - PRINCETON</v>
          </cell>
        </row>
        <row r="181">
          <cell r="B181" t="str">
            <v>V952 - FRANKLIN</v>
          </cell>
        </row>
        <row r="182">
          <cell r="B182" t="str">
            <v>V842 - CONNERSVILLE</v>
          </cell>
        </row>
        <row r="183">
          <cell r="B183" t="str">
            <v>V832 - SHELBYVILLE</v>
          </cell>
        </row>
        <row r="184">
          <cell r="B184" t="str">
            <v>V822 - GREENSBURG</v>
          </cell>
        </row>
        <row r="185">
          <cell r="B185" t="str">
            <v>V942 - COLUMBUS</v>
          </cell>
        </row>
        <row r="186">
          <cell r="B186" t="str">
            <v>V962 - SEYMOUR</v>
          </cell>
        </row>
        <row r="187">
          <cell r="B187" t="str">
            <v>V862 - AURORA</v>
          </cell>
        </row>
        <row r="188">
          <cell r="B188" t="str">
            <v>V892 - MADISON</v>
          </cell>
        </row>
        <row r="189">
          <cell r="B189" t="str">
            <v>V882 - CLARKSVILLE</v>
          </cell>
        </row>
        <row r="190">
          <cell r="B190" t="str">
            <v>V902 - CORYDON</v>
          </cell>
        </row>
        <row r="191">
          <cell r="B191" t="str">
            <v>-------------OHIO--------------</v>
          </cell>
        </row>
        <row r="192">
          <cell r="B192" t="str">
            <v>V461 - TODHUNTER</v>
          </cell>
        </row>
        <row r="193">
          <cell r="B193" t="str">
            <v>V462 - FAIRFIELD</v>
          </cell>
        </row>
        <row r="194">
          <cell r="B194" t="str">
            <v>V38H - HARTWELL</v>
          </cell>
        </row>
        <row r="195">
          <cell r="B195" t="str">
            <v>V493 - LITTLE MIAMI</v>
          </cell>
        </row>
        <row r="196">
          <cell r="B196" t="str">
            <v>V502 - BRECON</v>
          </cell>
        </row>
        <row r="197">
          <cell r="B197" t="str">
            <v>V492 - HAMLET/GEORGETOWN</v>
          </cell>
        </row>
        <row r="198">
          <cell r="B198" t="str">
            <v>VNWS - DOWNTOWN NETWORK</v>
          </cell>
        </row>
        <row r="199">
          <cell r="B199" t="str">
            <v>V40C - QUEENSGATE/MIAMITOWN</v>
          </cell>
        </row>
        <row r="200">
          <cell r="B200" t="str">
            <v>--------KENTUCKY----------</v>
          </cell>
        </row>
        <row r="201">
          <cell r="B201" t="str">
            <v>V932 - ERLANGER/COVINGTON</v>
          </cell>
        </row>
        <row r="202">
          <cell r="B202" t="str">
            <v>V932 - COLD SPRINGS</v>
          </cell>
        </row>
        <row r="203">
          <cell r="B203" t="str">
            <v>----SUBSTATION INDIANA----</v>
          </cell>
        </row>
        <row r="204">
          <cell r="B204" t="str">
            <v>VSIN - MW SS OPS IN NORTH</v>
          </cell>
        </row>
        <row r="205">
          <cell r="B205" t="str">
            <v>VSIE - MW SS OPS IN EAST</v>
          </cell>
        </row>
        <row r="206">
          <cell r="B206" t="str">
            <v>VSIW - MW SS OPS IN WEST</v>
          </cell>
        </row>
        <row r="207">
          <cell r="B207" t="str">
            <v>----SUBSTATION OHIO/KENTUCKY----</v>
          </cell>
        </row>
        <row r="208">
          <cell r="B208" t="str">
            <v>VSOH - MW SS OPS OH</v>
          </cell>
        </row>
        <row r="209">
          <cell r="B209" t="str">
            <v>VSKY - MW SS OPS Ky</v>
          </cell>
        </row>
        <row r="210">
          <cell r="B210" t="str">
            <v>-------------GAS Section---------------</v>
          </cell>
        </row>
        <row r="211">
          <cell r="B211" t="str">
            <v>GD10 - Gas Operations - OH</v>
          </cell>
        </row>
        <row r="212">
          <cell r="B212" t="str">
            <v>GD70 - Gas Operations - KY</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unication_Log"/>
      <sheetName val="DropDown_Elements"/>
      <sheetName val="Project Team"/>
    </sheetNames>
    <sheetDataSet>
      <sheetData sheetId="0" refreshError="1"/>
      <sheetData sheetId="1">
        <row r="2">
          <cell r="A2" t="str">
            <v>Daily</v>
          </cell>
        </row>
        <row r="3">
          <cell r="A3" t="str">
            <v>Weekly</v>
          </cell>
        </row>
        <row r="4">
          <cell r="A4" t="str">
            <v>Bi-Weekly</v>
          </cell>
        </row>
        <row r="5">
          <cell r="A5" t="str">
            <v>Monthly</v>
          </cell>
        </row>
        <row r="6">
          <cell r="A6" t="str">
            <v>Bi-Monthly</v>
          </cell>
        </row>
        <row r="7">
          <cell r="A7" t="str">
            <v>Quarterly</v>
          </cell>
        </row>
        <row r="8">
          <cell r="A8" t="str">
            <v>Semi-Annually</v>
          </cell>
        </row>
        <row r="9">
          <cell r="A9" t="str">
            <v>Annually</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nsor Input"/>
      <sheetName val="PM Input"/>
      <sheetName val="Project Financials Input"/>
      <sheetName val="Power Plan Setup &amp; DOA Approval"/>
      <sheetName val="Optional Scoping Document"/>
      <sheetName val="CE Ques"/>
      <sheetName val="Community Engagement Heat Map"/>
      <sheetName val="Outreach Notification Letter"/>
      <sheetName val="NERC CIP Checklist"/>
      <sheetName val="BES Checklist"/>
      <sheetName val="Operational Risk Checklist"/>
      <sheetName val="Radial Line Test"/>
      <sheetName val="Project Charter"/>
      <sheetName val="Coversheet Initiate Gate"/>
      <sheetName val="Coversheet Commit Gate"/>
      <sheetName val="Coversheet Build Gate"/>
      <sheetName val="PreAssigned Resources"/>
      <sheetName val="Super Form Instructions"/>
      <sheetName val="Assumptions &amp; Constraints"/>
      <sheetName val="Super Form"/>
      <sheetName val="JFC Form"/>
      <sheetName val="AR Form"/>
      <sheetName val="Contingency Form"/>
      <sheetName val="Lessons Learned"/>
      <sheetName val="Change Log"/>
      <sheetName val="Summary CG"/>
      <sheetName val="IRR Calc Input sht CG"/>
      <sheetName val="Financial Statements CG"/>
      <sheetName val="Revenue Requirement CG"/>
      <sheetName val="Calculations CG"/>
      <sheetName val="Policies &amp; Standards"/>
      <sheetName val="Useful Links"/>
      <sheetName val="Document Modifications"/>
    </sheetNames>
    <sheetDataSet>
      <sheetData sheetId="0"/>
      <sheetData sheetId="1"/>
      <sheetData sheetId="2">
        <row r="16">
          <cell r="K16" t="str">
            <v>Limited</v>
          </cell>
        </row>
        <row r="17">
          <cell r="K17" t="str">
            <v>Full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te Gate Input"/>
      <sheetName val="DOA Signature Page - Initate"/>
      <sheetName val="Variance Form Initiate"/>
      <sheetName val="Cover Page Initiate"/>
      <sheetName val="Project Charter"/>
      <sheetName val="Scoping Doc - Initiate"/>
      <sheetName val="NERC CIP Checklist"/>
      <sheetName val="Summary IG"/>
      <sheetName val="IRR Calc Input sht IG"/>
      <sheetName val="Financial Statements IG"/>
      <sheetName val="Revenue Requirement IG"/>
      <sheetName val="Calculations IG"/>
      <sheetName val="Policies &amp; Standards"/>
      <sheetName val="Lessons Learned"/>
      <sheetName val="Commit Gate Input"/>
      <sheetName val="DOA Signature Page - Commit"/>
      <sheetName val="Variance Form - Commit"/>
      <sheetName val="Cover Page - Commit"/>
      <sheetName val="Project Charter (Orignal)"/>
      <sheetName val="Scoping Doc - Commit"/>
      <sheetName val="Summary CG"/>
      <sheetName val="IRR Calc Input sht CG"/>
      <sheetName val="Financial Statements CG"/>
      <sheetName val="Revenue Requirement CG"/>
      <sheetName val="Calculations CG"/>
      <sheetName val="Build Gate Input "/>
      <sheetName val="Variance Form Build"/>
      <sheetName val="Cost Sheet - Build"/>
      <sheetName val="Sheet7"/>
      <sheetName val="Sheet1"/>
    </sheetNames>
    <sheetDataSet>
      <sheetData sheetId="0">
        <row r="51">
          <cell r="B51" t="str">
            <v>Project # F15XXXXA: Where Ever You Want to Be USA - Green I or Green II Template</v>
          </cell>
        </row>
      </sheetData>
      <sheetData sheetId="1"/>
      <sheetData sheetId="2"/>
      <sheetData sheetId="3"/>
      <sheetData sheetId="4"/>
      <sheetData sheetId="5"/>
      <sheetData sheetId="6"/>
      <sheetData sheetId="7"/>
      <sheetData sheetId="8">
        <row r="9">
          <cell r="H9">
            <v>42150</v>
          </cell>
        </row>
        <row r="10">
          <cell r="H10">
            <v>43100</v>
          </cell>
        </row>
        <row r="48">
          <cell r="H48">
            <v>0.10199999999999999</v>
          </cell>
        </row>
        <row r="49">
          <cell r="H49">
            <v>0.53</v>
          </cell>
        </row>
        <row r="50">
          <cell r="H50">
            <v>4.5499999999999999E-2</v>
          </cell>
        </row>
        <row r="51">
          <cell r="H51">
            <v>0.38600000000000001</v>
          </cell>
        </row>
        <row r="52">
          <cell r="H52">
            <v>6.7190389999999989E-2</v>
          </cell>
        </row>
        <row r="60">
          <cell r="H60">
            <v>8.4600000000000005E-3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Template"/>
      <sheetName val="Lookup Lists"/>
    </sheetNames>
    <sheetDataSet>
      <sheetData sheetId="0"/>
      <sheetData sheetId="1"/>
      <sheetData sheetId="2">
        <row r="2">
          <cell r="B2">
            <v>43465</v>
          </cell>
        </row>
        <row r="3">
          <cell r="B3">
            <v>43646</v>
          </cell>
          <cell r="D3" t="str">
            <v>BNP</v>
          </cell>
        </row>
        <row r="4">
          <cell r="B4">
            <v>43830</v>
          </cell>
          <cell r="D4" t="str">
            <v>CNS</v>
          </cell>
        </row>
        <row r="5">
          <cell r="B5">
            <v>44012</v>
          </cell>
          <cell r="D5" t="str">
            <v>HNP</v>
          </cell>
        </row>
        <row r="6">
          <cell r="B6">
            <v>44196</v>
          </cell>
          <cell r="D6" t="str">
            <v>MNS</v>
          </cell>
        </row>
        <row r="7">
          <cell r="B7">
            <v>44377</v>
          </cell>
          <cell r="D7" t="str">
            <v>ONS</v>
          </cell>
        </row>
        <row r="8">
          <cell r="B8">
            <v>44561</v>
          </cell>
          <cell r="D8" t="str">
            <v>RNP</v>
          </cell>
        </row>
        <row r="9">
          <cell r="B9">
            <v>44742</v>
          </cell>
        </row>
        <row r="10">
          <cell r="B10">
            <v>44926</v>
          </cell>
        </row>
        <row r="11">
          <cell r="B11">
            <v>45107</v>
          </cell>
        </row>
        <row r="12">
          <cell r="B12">
            <v>45291</v>
          </cell>
        </row>
        <row r="13">
          <cell r="B13">
            <v>45473</v>
          </cell>
        </row>
        <row r="14">
          <cell r="B14">
            <v>45657</v>
          </cell>
        </row>
        <row r="15">
          <cell r="B15">
            <v>45838</v>
          </cell>
        </row>
        <row r="16">
          <cell r="B16">
            <v>46022</v>
          </cell>
        </row>
        <row r="17">
          <cell r="B17">
            <v>46203</v>
          </cell>
        </row>
        <row r="18">
          <cell r="B18">
            <v>46387</v>
          </cell>
        </row>
        <row r="19">
          <cell r="B19">
            <v>46568</v>
          </cell>
        </row>
        <row r="20">
          <cell r="B20">
            <v>46752</v>
          </cell>
        </row>
        <row r="21">
          <cell r="B21">
            <v>46934</v>
          </cell>
        </row>
        <row r="22">
          <cell r="B22">
            <v>47118</v>
          </cell>
        </row>
        <row r="23">
          <cell r="B23">
            <v>47299</v>
          </cell>
        </row>
        <row r="24">
          <cell r="B24">
            <v>47483</v>
          </cell>
        </row>
        <row r="25">
          <cell r="B25">
            <v>47664</v>
          </cell>
        </row>
        <row r="26">
          <cell r="B26">
            <v>47848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tect"/>
      <sheetName val="Drop Downs"/>
      <sheetName val="Revisions"/>
      <sheetName val="Job Aid"/>
      <sheetName val="Info From DCER"/>
      <sheetName val="PAP Cover Form"/>
      <sheetName val="PDT Minutes 10-01-2015"/>
      <sheetName val="PDT FINAL SCOPE"/>
      <sheetName val="Limited Funding Request"/>
      <sheetName val="KO Mtg Agenda-Minutes"/>
      <sheetName val="Key Project Dates - SS"/>
      <sheetName val="Key Project Dates - TL"/>
      <sheetName val="Labor Baseline Man-Hours"/>
      <sheetName val="Labor Summary"/>
      <sheetName val="KO Mtg Final Scope"/>
      <sheetName val="Comm Matrix"/>
      <sheetName val="Action Item Log"/>
      <sheetName val="Substation Work Plan"/>
      <sheetName val="Trans Line Work Plan"/>
      <sheetName val="Operational Risk Checklist"/>
      <sheetName val="Commit Gate Scope"/>
      <sheetName val="Build Gate Scope"/>
      <sheetName val="Substation Labor Hours"/>
      <sheetName val="TLine Labor Hours"/>
      <sheetName val="Substation Materials Costs"/>
      <sheetName val="Transmission Material Costs"/>
      <sheetName val="Change Log"/>
      <sheetName val="Lessons Learned"/>
      <sheetName val="Gate Requirements"/>
      <sheetName val="Sponsor Input"/>
      <sheetName val="PM Input"/>
      <sheetName val="Project Financials Input"/>
      <sheetName val="IRR Input - Green III+ "/>
      <sheetName val="Power Plan Setup &amp; DOA Approval"/>
      <sheetName val="Initiate Gate Cover Sheet"/>
      <sheetName val="Initiate Gate RFC Form"/>
      <sheetName val="Commit Gate Cover Sheet"/>
      <sheetName val="Committ Gate RFC Form "/>
      <sheetName val="Build Gate Cover Sheet"/>
      <sheetName val="Project Charter"/>
      <sheetName val="Scoping Document"/>
      <sheetName val="PreAssigned Resources"/>
      <sheetName val="BES Impact Checklist"/>
      <sheetName val="NERC CIP Checklist"/>
      <sheetName val="Radial Line Test"/>
      <sheetName val="Super Form Instructions"/>
      <sheetName val="Assumptions &amp; Constraints"/>
      <sheetName val="AR Form"/>
      <sheetName val="Risk Project Data"/>
      <sheetName val="Risk Entry"/>
      <sheetName val="Risk Sort"/>
      <sheetName val="Risk Reporting"/>
      <sheetName val="Tables"/>
      <sheetName val="Calc"/>
      <sheetName val="Risk Scales"/>
      <sheetName val="Risk Types"/>
      <sheetName val="IRR Calc Input sht CG"/>
      <sheetName val="Summary CG"/>
      <sheetName val="Financial Statements CG"/>
      <sheetName val="Revenue Requirement CG"/>
      <sheetName val="Calculations CG"/>
      <sheetName val="Policies &amp; Standards"/>
      <sheetName val="Project Request List"/>
      <sheetName val="New Lot Request"/>
      <sheetName val="New Sub Request"/>
      <sheetName val="Siting New ROW"/>
      <sheetName val="New Tap Line Request "/>
      <sheetName val="Existing Asset Reqest"/>
      <sheetName val="CE Ques"/>
      <sheetName val="Outreach Notification Letter"/>
      <sheetName val="Community Engagement Heat Map"/>
      <sheetName val="Useful 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 Aid"/>
      <sheetName val="Revisions"/>
      <sheetName val="DCER"/>
      <sheetName val="Final KO Meeting Minutes"/>
      <sheetName val="Scope Statement"/>
      <sheetName val="DOA Schedule"/>
      <sheetName val="Funding Project Est Summary"/>
      <sheetName val="Change Order Summary"/>
      <sheetName val="Huntington State St 69kV"/>
      <sheetName val="Trans Sub 1"/>
      <sheetName val="Trans Sub 2"/>
      <sheetName val="Huntington State St 12kV"/>
      <sheetName val="Dist Sub 1"/>
      <sheetName val="Station RLE"/>
      <sheetName val="Station Material"/>
      <sheetName val="Station Material (1)"/>
      <sheetName val="Station Material (2)"/>
      <sheetName val="Estimate Input Station"/>
      <sheetName val="Huntington State St 69143 TL"/>
      <sheetName val="Trans Line 1"/>
      <sheetName val="DL1"/>
      <sheetName val="DL2"/>
      <sheetName val="DL3"/>
      <sheetName val="Huntington State St 69143 OM"/>
      <sheetName val="Line Mtc 1"/>
      <sheetName val="Huntington State St 33MVA RLE"/>
      <sheetName val="Line Material"/>
      <sheetName val="Line Material (1)"/>
      <sheetName val="Line Material (2)"/>
      <sheetName val="Estimate Input Line"/>
      <sheetName val="MW Rates "/>
      <sheetName val="JUST PL4 and 5"/>
      <sheetName val="PL4PL5 and Process"/>
      <sheetName val="Car Rates"/>
      <sheetName val="201LINEDOT"/>
      <sheetName val="Process Drop Down"/>
      <sheetName val="Utility Accts"/>
      <sheetName val="Utility Accts (2)"/>
      <sheetName val="Idents-ALL"/>
      <sheetName val="Indiana"/>
      <sheetName val="Kentucky-Ohio"/>
      <sheetName val="Sheet1"/>
      <sheetName val="Proc Lvl 5 Code Descrip"/>
    </sheetNames>
    <sheetDataSet>
      <sheetData sheetId="0"/>
      <sheetData sheetId="1"/>
      <sheetData sheetId="2">
        <row r="3">
          <cell r="A3" t="str">
            <v>Funding Project Name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Pick one from the drop-down list</v>
          </cell>
        </row>
        <row r="9">
          <cell r="A9" t="str">
            <v>-----Asset Management-----</v>
          </cell>
        </row>
        <row r="10">
          <cell r="A10" t="str">
            <v>APPARATUS - DPAPP - 803-Sub D</v>
          </cell>
        </row>
        <row r="11">
          <cell r="A11" t="str">
            <v>APPARATUS - TPAPP - 802-Sub T</v>
          </cell>
        </row>
        <row r="12">
          <cell r="A12" t="str">
            <v>Customer Deliveries - BOILCUS - 802-Sub T</v>
          </cell>
        </row>
        <row r="13">
          <cell r="A13" t="str">
            <v>Customer Deliveries - DNEWCAP - 803-SUB D</v>
          </cell>
        </row>
        <row r="14">
          <cell r="A14" t="str">
            <v>Customer Deliveries - DNEWSTA - 803-Sub D</v>
          </cell>
        </row>
        <row r="15">
          <cell r="A15" t="str">
            <v>Customer Deliveries - TLCUST - 804-Line T</v>
          </cell>
        </row>
        <row r="16">
          <cell r="A16" t="str">
            <v>IPP INTERCONNECTIONS - TPIPP - 804-Line T</v>
          </cell>
        </row>
        <row r="17">
          <cell r="A17" t="str">
            <v>Line &amp; Station Compliance - DLINCAP - Sch 814 - DLine</v>
          </cell>
        </row>
        <row r="18">
          <cell r="A18" t="str">
            <v>Line &amp; Station Compliance - DLINERC - DLine OM</v>
          </cell>
        </row>
        <row r="19">
          <cell r="A19" t="str">
            <v>Line &amp; Station Compliance - TLINCAP - Sch 804 - TLine</v>
          </cell>
        </row>
        <row r="20">
          <cell r="A20" t="str">
            <v>Line &amp; Station Compliance - TLINERC - TLine OM</v>
          </cell>
        </row>
        <row r="21">
          <cell r="A21" t="str">
            <v xml:space="preserve">Wholesale Deliveries - TLCATCU </v>
          </cell>
        </row>
        <row r="22">
          <cell r="A22" t="str">
            <v>Wholesale Deliveries - TSVCDL - 814-Line D</v>
          </cell>
        </row>
        <row r="23">
          <cell r="A23" t="str">
            <v>Wholesale Deliveries - TSVCDS - 803-Sub D</v>
          </cell>
        </row>
        <row r="24">
          <cell r="A24" t="str">
            <v>Wholesale Deliveries - TSVCTL - 804-Line T</v>
          </cell>
        </row>
        <row r="25">
          <cell r="A25" t="str">
            <v>Wholesale Deliveries - TSVCTS - 802-Sub T</v>
          </cell>
        </row>
        <row r="26">
          <cell r="A26" t="str">
            <v xml:space="preserve">ELECTRIC FACILITY SALES - ASTSALE </v>
          </cell>
        </row>
        <row r="27">
          <cell r="A27" t="str">
            <v>Retail Capacity - DCAPINC - 803-Sub D</v>
          </cell>
        </row>
        <row r="28">
          <cell r="A28" t="str">
            <v>Retail Capacity - DNEWRET - 803-Sub D</v>
          </cell>
        </row>
        <row r="29">
          <cell r="A29" t="str">
            <v>Retail Capacity - DRETLN - 814-Line D</v>
          </cell>
        </row>
        <row r="30">
          <cell r="A30" t="str">
            <v>Retail Capacity - TLRET - 804-Line T</v>
          </cell>
        </row>
        <row r="31">
          <cell r="A31" t="str">
            <v>Retail Capacity - TPRET - 802-SUB T</v>
          </cell>
        </row>
        <row r="32">
          <cell r="A32" t="str">
            <v>SYSTEM CAP - GEN - DSBUILD - 814-Line D</v>
          </cell>
        </row>
        <row r="33">
          <cell r="A33" t="str">
            <v>SYSTEM CAP - GEN - SCAPGTL - 804-Line T</v>
          </cell>
        </row>
        <row r="34">
          <cell r="A34" t="str">
            <v>SYSTEM CAP - GEN - SCAPGTS - 802-Sub T</v>
          </cell>
        </row>
        <row r="35">
          <cell r="A35" t="str">
            <v>SYSTEM CAP - GEN - SYGDSUB - 803-Sub D</v>
          </cell>
        </row>
        <row r="36">
          <cell r="A36" t="str">
            <v>SYSTEM CAPACITY - D - CFY - 814-Line D</v>
          </cell>
        </row>
        <row r="37">
          <cell r="A37" t="str">
            <v>SYSTEM CAPACITY - D - DOECAP</v>
          </cell>
        </row>
        <row r="38">
          <cell r="A38" t="str">
            <v>SYSTEM CAPACITY - D - SYCDSUB - 803-SUB D</v>
          </cell>
        </row>
        <row r="39">
          <cell r="A39" t="str">
            <v>SYSTEM CAPACITY - D - STCTSYB - 802-SUB T</v>
          </cell>
        </row>
        <row r="40">
          <cell r="A40" t="str">
            <v>SYSTEM CAPACITY - D - SYCTSUB - 804-Line T</v>
          </cell>
        </row>
        <row r="41">
          <cell r="A41" t="str">
            <v>SYSTEM CAPACITY SUB - CAPSUB - 802-Sub T</v>
          </cell>
        </row>
        <row r="42">
          <cell r="A42" t="str">
            <v>SYSTEM CAPACITY SUB - CAPSUBD - 803-Sub D</v>
          </cell>
        </row>
        <row r="43">
          <cell r="A43" t="str">
            <v>SYSTEM CAPACITY - T - SYCAPTD - 814-Line D</v>
          </cell>
        </row>
        <row r="44">
          <cell r="A44" t="str">
            <v>SYSTEM CAPACITY - T - TCAPDSB - 803-Sub D</v>
          </cell>
        </row>
        <row r="45">
          <cell r="A45" t="str">
            <v>SYSTEM CAPACITY - T - TPCAPIN - 802-Sub T</v>
          </cell>
        </row>
        <row r="46">
          <cell r="A46" t="str">
            <v>SYSTEM CAPACITY - T - TPLINES - 804-Line T</v>
          </cell>
        </row>
        <row r="47">
          <cell r="A47" t="str">
            <v>Line &amp; Sta Compliance - THOTLIN - 804-Line T</v>
          </cell>
        </row>
        <row r="48">
          <cell r="A48" t="str">
            <v>Line &amp; Sta Compliance - TPRIVER - 804-Line T</v>
          </cell>
        </row>
        <row r="49">
          <cell r="A49" t="str">
            <v>Line &amp; Sta Compliance - TSUBCOM - 802-Sub T</v>
          </cell>
        </row>
        <row r="50">
          <cell r="A50" t="str">
            <v>OD Breakers - DODBRKR - 803-Sub D</v>
          </cell>
        </row>
        <row r="51">
          <cell r="A51" t="str">
            <v>OD Breakers - TODBRKR - 802-Sub T</v>
          </cell>
        </row>
        <row r="52">
          <cell r="A52" t="str">
            <v>SPCC - DPOIL - 803-Sub D</v>
          </cell>
        </row>
        <row r="53">
          <cell r="A53" t="str">
            <v>SPCC - TPOIL - 802-Sub T</v>
          </cell>
        </row>
        <row r="54">
          <cell r="A54" t="str">
            <v>PROJ O&amp;M-CAR-AM - SUBPRO - 803-Sub D</v>
          </cell>
        </row>
        <row r="55">
          <cell r="A55" t="str">
            <v>PROJ O&amp;M-CAR-AM - TLINPRO - 804-Line T</v>
          </cell>
        </row>
        <row r="56">
          <cell r="A56" t="str">
            <v>PROJ-O&amp;M-MW-AM - PRJOMAM - O&amp;M</v>
          </cell>
        </row>
        <row r="57">
          <cell r="A57" t="str">
            <v>Integrity Projects - DAIRBRK - 803-Sub D</v>
          </cell>
        </row>
        <row r="58">
          <cell r="A58" t="str">
            <v>Integrity Projects - DMINTL - 814-Line D</v>
          </cell>
        </row>
        <row r="59">
          <cell r="A59" t="str">
            <v>Integrity Projects - DMJRINT - 803-Sub D</v>
          </cell>
        </row>
        <row r="60">
          <cell r="A60" t="str">
            <v>Integrity Projects - TLREBLD - 804-Line T</v>
          </cell>
        </row>
        <row r="61">
          <cell r="A61" t="str">
            <v>Integrity Projects - TPBRKR - 802-Sub T</v>
          </cell>
        </row>
        <row r="62">
          <cell r="A62" t="str">
            <v>Integrity Projects - TPPROT - 802-Sub T</v>
          </cell>
        </row>
        <row r="63">
          <cell r="A63" t="str">
            <v>Integrity Projects - TPREBLD - 802-Sub T</v>
          </cell>
        </row>
        <row r="64">
          <cell r="A64" t="str">
            <v>NUCLEAR SWITCHYARD - TNUCSW - 802-Sub T</v>
          </cell>
        </row>
        <row r="65">
          <cell r="A65" t="str">
            <v>R&amp;I Cap - Other T - DPMINR - 814-Line D</v>
          </cell>
        </row>
        <row r="66">
          <cell r="A66" t="str">
            <v>R&amp;I Cap - Other T - DPELEC - 803-Sub D</v>
          </cell>
        </row>
        <row r="67">
          <cell r="A67" t="str">
            <v>R&amp;I Cap - Other T - TMLINRI - 804-Line T</v>
          </cell>
        </row>
        <row r="68">
          <cell r="A68" t="str">
            <v>R&amp;I Cap - Other T - DMNRR&amp;I - 803-Sub D</v>
          </cell>
        </row>
        <row r="69">
          <cell r="A69" t="str">
            <v>R&amp;I Cap - Other T - TMNRR&amp;I - 802-Sub T</v>
          </cell>
        </row>
        <row r="70">
          <cell r="A70" t="str">
            <v>R&amp;I Cap - Other T - DOER&amp;I - 803-Sub D</v>
          </cell>
        </row>
        <row r="71">
          <cell r="A71" t="str">
            <v>R&amp;I Cap - Other T - DOER&amp;I - 802-Sub T</v>
          </cell>
        </row>
        <row r="72">
          <cell r="A72" t="str">
            <v>R&amp;I Cap - Other T - DOER&amp;I - 804-Line T</v>
          </cell>
        </row>
        <row r="73">
          <cell r="A73" t="str">
            <v>R&amp;I Programs - T - DPMISC - 803-Sub D</v>
          </cell>
        </row>
        <row r="74">
          <cell r="A74" t="str">
            <v>R&amp;I Programs - T - TLMISC - 804-Line T</v>
          </cell>
        </row>
        <row r="75">
          <cell r="A75" t="str">
            <v>R&amp;I Programs - T - TMISCST - 802-Sub T</v>
          </cell>
        </row>
        <row r="76">
          <cell r="A76" t="str">
            <v>R&amp;I Programs - T - TMISD - 814-Line D</v>
          </cell>
        </row>
        <row r="77">
          <cell r="A77" t="str">
            <v>Rel Maj Capital - T - DPMAJR - 814-Line D</v>
          </cell>
        </row>
        <row r="78">
          <cell r="A78" t="str">
            <v>Rel Maj Capital - T - DPTRFF - 803-Sub D</v>
          </cell>
        </row>
        <row r="79">
          <cell r="A79" t="str">
            <v>Rel Maj Capital - T - TPAPPF - 802-Sub T</v>
          </cell>
        </row>
        <row r="80">
          <cell r="A80" t="str">
            <v>Rel Maj Capital - T - TPMAJR - 804-Line T</v>
          </cell>
        </row>
        <row r="81">
          <cell r="A81" t="str">
            <v>Substation Auto D - DAUT - 802-Sub T</v>
          </cell>
        </row>
        <row r="82">
          <cell r="A82" t="str">
            <v>Substation Auto D - DAUTMAT - 803-Sub D</v>
          </cell>
        </row>
        <row r="83">
          <cell r="A83" t="str">
            <v>Relocations - Trans - HIWAYT - 804-Line T</v>
          </cell>
        </row>
        <row r="84">
          <cell r="A84" t="str">
            <v>Relocations - Trans - OTHRELO - 804-Line T</v>
          </cell>
        </row>
        <row r="85">
          <cell r="A85" t="str">
            <v>--------PD Technology-----------</v>
          </cell>
        </row>
        <row r="86">
          <cell r="A86" t="str">
            <v>TECHNOLOGY - PDIT - FRMRLAY</v>
          </cell>
        </row>
        <row r="87">
          <cell r="A87" t="str">
            <v>----------Field Ops----------</v>
          </cell>
        </row>
        <row r="88">
          <cell r="A88" t="str">
            <v>Syst Cap Region Sub - DMNRCAP - 803-Sub D</v>
          </cell>
        </row>
        <row r="89">
          <cell r="A89" t="str">
            <v>Syst Cap Region Sub - TMNRCAP - 802-Sub T</v>
          </cell>
        </row>
        <row r="90">
          <cell r="A90" t="str">
            <v>Pole Replacement T - TPPOLE - 804-Line T</v>
          </cell>
        </row>
        <row r="91">
          <cell r="A91" t="str">
            <v>OUT RESTOR SUB - DPEQUIP - 803-Sub D</v>
          </cell>
        </row>
        <row r="92">
          <cell r="A92" t="str">
            <v>OUT RESTOR SUB - TPEQUIP - 802-Sub T</v>
          </cell>
        </row>
        <row r="93">
          <cell r="A93" t="str">
            <v>--------NERC Requirements----------</v>
          </cell>
        </row>
        <row r="94">
          <cell r="A94" t="str">
            <v xml:space="preserve">System Capacity - T - GRIDPRT </v>
          </cell>
        </row>
        <row r="95">
          <cell r="A95" t="str">
            <v>--------SMARTGRID-----------</v>
          </cell>
        </row>
        <row r="96">
          <cell r="A96" t="str">
            <v xml:space="preserve">SMARTGRID DIST AUTOMATION - SGDAISS </v>
          </cell>
        </row>
        <row r="97">
          <cell r="A97">
            <v>0</v>
          </cell>
        </row>
        <row r="98">
          <cell r="A98">
            <v>0</v>
          </cell>
        </row>
      </sheetData>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6AC4C-C0BA-4007-8C54-B1A160DBF0A3}">
  <dimension ref="A1:J16"/>
  <sheetViews>
    <sheetView view="pageLayout" zoomScaleNormal="100" workbookViewId="0">
      <selection activeCell="L18" sqref="L18"/>
    </sheetView>
  </sheetViews>
  <sheetFormatPr defaultRowHeight="12.75"/>
  <cols>
    <col min="1" max="1" width="3" style="230" bestFit="1" customWidth="1"/>
    <col min="2" max="2" width="24.7109375" style="230" bestFit="1" customWidth="1"/>
    <col min="3" max="3" width="22" style="230" bestFit="1" customWidth="1"/>
    <col min="4" max="5" width="13" style="230" bestFit="1" customWidth="1"/>
    <col min="6" max="7" width="15" style="230" bestFit="1" customWidth="1"/>
    <col min="8" max="8" width="11" style="230" bestFit="1" customWidth="1"/>
    <col min="9" max="10" width="13" style="230" bestFit="1" customWidth="1"/>
    <col min="11" max="256" width="9.140625" style="230"/>
    <col min="257" max="257" width="3" style="230" bestFit="1" customWidth="1"/>
    <col min="258" max="258" width="24.7109375" style="230" bestFit="1" customWidth="1"/>
    <col min="259" max="259" width="22" style="230" bestFit="1" customWidth="1"/>
    <col min="260" max="261" width="13" style="230" bestFit="1" customWidth="1"/>
    <col min="262" max="263" width="15" style="230" bestFit="1" customWidth="1"/>
    <col min="264" max="264" width="11" style="230" bestFit="1" customWidth="1"/>
    <col min="265" max="266" width="13" style="230" bestFit="1" customWidth="1"/>
    <col min="267" max="512" width="9.140625" style="230"/>
    <col min="513" max="513" width="3" style="230" bestFit="1" customWidth="1"/>
    <col min="514" max="514" width="24.7109375" style="230" bestFit="1" customWidth="1"/>
    <col min="515" max="515" width="22" style="230" bestFit="1" customWidth="1"/>
    <col min="516" max="517" width="13" style="230" bestFit="1" customWidth="1"/>
    <col min="518" max="519" width="15" style="230" bestFit="1" customWidth="1"/>
    <col min="520" max="520" width="11" style="230" bestFit="1" customWidth="1"/>
    <col min="521" max="522" width="13" style="230" bestFit="1" customWidth="1"/>
    <col min="523" max="768" width="9.140625" style="230"/>
    <col min="769" max="769" width="3" style="230" bestFit="1" customWidth="1"/>
    <col min="770" max="770" width="24.7109375" style="230" bestFit="1" customWidth="1"/>
    <col min="771" max="771" width="22" style="230" bestFit="1" customWidth="1"/>
    <col min="772" max="773" width="13" style="230" bestFit="1" customWidth="1"/>
    <col min="774" max="775" width="15" style="230" bestFit="1" customWidth="1"/>
    <col min="776" max="776" width="11" style="230" bestFit="1" customWidth="1"/>
    <col min="777" max="778" width="13" style="230" bestFit="1" customWidth="1"/>
    <col min="779" max="1024" width="9.140625" style="230"/>
    <col min="1025" max="1025" width="3" style="230" bestFit="1" customWidth="1"/>
    <col min="1026" max="1026" width="24.7109375" style="230" bestFit="1" customWidth="1"/>
    <col min="1027" max="1027" width="22" style="230" bestFit="1" customWidth="1"/>
    <col min="1028" max="1029" width="13" style="230" bestFit="1" customWidth="1"/>
    <col min="1030" max="1031" width="15" style="230" bestFit="1" customWidth="1"/>
    <col min="1032" max="1032" width="11" style="230" bestFit="1" customWidth="1"/>
    <col min="1033" max="1034" width="13" style="230" bestFit="1" customWidth="1"/>
    <col min="1035" max="1280" width="9.140625" style="230"/>
    <col min="1281" max="1281" width="3" style="230" bestFit="1" customWidth="1"/>
    <col min="1282" max="1282" width="24.7109375" style="230" bestFit="1" customWidth="1"/>
    <col min="1283" max="1283" width="22" style="230" bestFit="1" customWidth="1"/>
    <col min="1284" max="1285" width="13" style="230" bestFit="1" customWidth="1"/>
    <col min="1286" max="1287" width="15" style="230" bestFit="1" customWidth="1"/>
    <col min="1288" max="1288" width="11" style="230" bestFit="1" customWidth="1"/>
    <col min="1289" max="1290" width="13" style="230" bestFit="1" customWidth="1"/>
    <col min="1291" max="1536" width="9.140625" style="230"/>
    <col min="1537" max="1537" width="3" style="230" bestFit="1" customWidth="1"/>
    <col min="1538" max="1538" width="24.7109375" style="230" bestFit="1" customWidth="1"/>
    <col min="1539" max="1539" width="22" style="230" bestFit="1" customWidth="1"/>
    <col min="1540" max="1541" width="13" style="230" bestFit="1" customWidth="1"/>
    <col min="1542" max="1543" width="15" style="230" bestFit="1" customWidth="1"/>
    <col min="1544" max="1544" width="11" style="230" bestFit="1" customWidth="1"/>
    <col min="1545" max="1546" width="13" style="230" bestFit="1" customWidth="1"/>
    <col min="1547" max="1792" width="9.140625" style="230"/>
    <col min="1793" max="1793" width="3" style="230" bestFit="1" customWidth="1"/>
    <col min="1794" max="1794" width="24.7109375" style="230" bestFit="1" customWidth="1"/>
    <col min="1795" max="1795" width="22" style="230" bestFit="1" customWidth="1"/>
    <col min="1796" max="1797" width="13" style="230" bestFit="1" customWidth="1"/>
    <col min="1798" max="1799" width="15" style="230" bestFit="1" customWidth="1"/>
    <col min="1800" max="1800" width="11" style="230" bestFit="1" customWidth="1"/>
    <col min="1801" max="1802" width="13" style="230" bestFit="1" customWidth="1"/>
    <col min="1803" max="2048" width="9.140625" style="230"/>
    <col min="2049" max="2049" width="3" style="230" bestFit="1" customWidth="1"/>
    <col min="2050" max="2050" width="24.7109375" style="230" bestFit="1" customWidth="1"/>
    <col min="2051" max="2051" width="22" style="230" bestFit="1" customWidth="1"/>
    <col min="2052" max="2053" width="13" style="230" bestFit="1" customWidth="1"/>
    <col min="2054" max="2055" width="15" style="230" bestFit="1" customWidth="1"/>
    <col min="2056" max="2056" width="11" style="230" bestFit="1" customWidth="1"/>
    <col min="2057" max="2058" width="13" style="230" bestFit="1" customWidth="1"/>
    <col min="2059" max="2304" width="9.140625" style="230"/>
    <col min="2305" max="2305" width="3" style="230" bestFit="1" customWidth="1"/>
    <col min="2306" max="2306" width="24.7109375" style="230" bestFit="1" customWidth="1"/>
    <col min="2307" max="2307" width="22" style="230" bestFit="1" customWidth="1"/>
    <col min="2308" max="2309" width="13" style="230" bestFit="1" customWidth="1"/>
    <col min="2310" max="2311" width="15" style="230" bestFit="1" customWidth="1"/>
    <col min="2312" max="2312" width="11" style="230" bestFit="1" customWidth="1"/>
    <col min="2313" max="2314" width="13" style="230" bestFit="1" customWidth="1"/>
    <col min="2315" max="2560" width="9.140625" style="230"/>
    <col min="2561" max="2561" width="3" style="230" bestFit="1" customWidth="1"/>
    <col min="2562" max="2562" width="24.7109375" style="230" bestFit="1" customWidth="1"/>
    <col min="2563" max="2563" width="22" style="230" bestFit="1" customWidth="1"/>
    <col min="2564" max="2565" width="13" style="230" bestFit="1" customWidth="1"/>
    <col min="2566" max="2567" width="15" style="230" bestFit="1" customWidth="1"/>
    <col min="2568" max="2568" width="11" style="230" bestFit="1" customWidth="1"/>
    <col min="2569" max="2570" width="13" style="230" bestFit="1" customWidth="1"/>
    <col min="2571" max="2816" width="9.140625" style="230"/>
    <col min="2817" max="2817" width="3" style="230" bestFit="1" customWidth="1"/>
    <col min="2818" max="2818" width="24.7109375" style="230" bestFit="1" customWidth="1"/>
    <col min="2819" max="2819" width="22" style="230" bestFit="1" customWidth="1"/>
    <col min="2820" max="2821" width="13" style="230" bestFit="1" customWidth="1"/>
    <col min="2822" max="2823" width="15" style="230" bestFit="1" customWidth="1"/>
    <col min="2824" max="2824" width="11" style="230" bestFit="1" customWidth="1"/>
    <col min="2825" max="2826" width="13" style="230" bestFit="1" customWidth="1"/>
    <col min="2827" max="3072" width="9.140625" style="230"/>
    <col min="3073" max="3073" width="3" style="230" bestFit="1" customWidth="1"/>
    <col min="3074" max="3074" width="24.7109375" style="230" bestFit="1" customWidth="1"/>
    <col min="3075" max="3075" width="22" style="230" bestFit="1" customWidth="1"/>
    <col min="3076" max="3077" width="13" style="230" bestFit="1" customWidth="1"/>
    <col min="3078" max="3079" width="15" style="230" bestFit="1" customWidth="1"/>
    <col min="3080" max="3080" width="11" style="230" bestFit="1" customWidth="1"/>
    <col min="3081" max="3082" width="13" style="230" bestFit="1" customWidth="1"/>
    <col min="3083" max="3328" width="9.140625" style="230"/>
    <col min="3329" max="3329" width="3" style="230" bestFit="1" customWidth="1"/>
    <col min="3330" max="3330" width="24.7109375" style="230" bestFit="1" customWidth="1"/>
    <col min="3331" max="3331" width="22" style="230" bestFit="1" customWidth="1"/>
    <col min="3332" max="3333" width="13" style="230" bestFit="1" customWidth="1"/>
    <col min="3334" max="3335" width="15" style="230" bestFit="1" customWidth="1"/>
    <col min="3336" max="3336" width="11" style="230" bestFit="1" customWidth="1"/>
    <col min="3337" max="3338" width="13" style="230" bestFit="1" customWidth="1"/>
    <col min="3339" max="3584" width="9.140625" style="230"/>
    <col min="3585" max="3585" width="3" style="230" bestFit="1" customWidth="1"/>
    <col min="3586" max="3586" width="24.7109375" style="230" bestFit="1" customWidth="1"/>
    <col min="3587" max="3587" width="22" style="230" bestFit="1" customWidth="1"/>
    <col min="3588" max="3589" width="13" style="230" bestFit="1" customWidth="1"/>
    <col min="3590" max="3591" width="15" style="230" bestFit="1" customWidth="1"/>
    <col min="3592" max="3592" width="11" style="230" bestFit="1" customWidth="1"/>
    <col min="3593" max="3594" width="13" style="230" bestFit="1" customWidth="1"/>
    <col min="3595" max="3840" width="9.140625" style="230"/>
    <col min="3841" max="3841" width="3" style="230" bestFit="1" customWidth="1"/>
    <col min="3842" max="3842" width="24.7109375" style="230" bestFit="1" customWidth="1"/>
    <col min="3843" max="3843" width="22" style="230" bestFit="1" customWidth="1"/>
    <col min="3844" max="3845" width="13" style="230" bestFit="1" customWidth="1"/>
    <col min="3846" max="3847" width="15" style="230" bestFit="1" customWidth="1"/>
    <col min="3848" max="3848" width="11" style="230" bestFit="1" customWidth="1"/>
    <col min="3849" max="3850" width="13" style="230" bestFit="1" customWidth="1"/>
    <col min="3851" max="4096" width="9.140625" style="230"/>
    <col min="4097" max="4097" width="3" style="230" bestFit="1" customWidth="1"/>
    <col min="4098" max="4098" width="24.7109375" style="230" bestFit="1" customWidth="1"/>
    <col min="4099" max="4099" width="22" style="230" bestFit="1" customWidth="1"/>
    <col min="4100" max="4101" width="13" style="230" bestFit="1" customWidth="1"/>
    <col min="4102" max="4103" width="15" style="230" bestFit="1" customWidth="1"/>
    <col min="4104" max="4104" width="11" style="230" bestFit="1" customWidth="1"/>
    <col min="4105" max="4106" width="13" style="230" bestFit="1" customWidth="1"/>
    <col min="4107" max="4352" width="9.140625" style="230"/>
    <col min="4353" max="4353" width="3" style="230" bestFit="1" customWidth="1"/>
    <col min="4354" max="4354" width="24.7109375" style="230" bestFit="1" customWidth="1"/>
    <col min="4355" max="4355" width="22" style="230" bestFit="1" customWidth="1"/>
    <col min="4356" max="4357" width="13" style="230" bestFit="1" customWidth="1"/>
    <col min="4358" max="4359" width="15" style="230" bestFit="1" customWidth="1"/>
    <col min="4360" max="4360" width="11" style="230" bestFit="1" customWidth="1"/>
    <col min="4361" max="4362" width="13" style="230" bestFit="1" customWidth="1"/>
    <col min="4363" max="4608" width="9.140625" style="230"/>
    <col min="4609" max="4609" width="3" style="230" bestFit="1" customWidth="1"/>
    <col min="4610" max="4610" width="24.7109375" style="230" bestFit="1" customWidth="1"/>
    <col min="4611" max="4611" width="22" style="230" bestFit="1" customWidth="1"/>
    <col min="4612" max="4613" width="13" style="230" bestFit="1" customWidth="1"/>
    <col min="4614" max="4615" width="15" style="230" bestFit="1" customWidth="1"/>
    <col min="4616" max="4616" width="11" style="230" bestFit="1" customWidth="1"/>
    <col min="4617" max="4618" width="13" style="230" bestFit="1" customWidth="1"/>
    <col min="4619" max="4864" width="9.140625" style="230"/>
    <col min="4865" max="4865" width="3" style="230" bestFit="1" customWidth="1"/>
    <col min="4866" max="4866" width="24.7109375" style="230" bestFit="1" customWidth="1"/>
    <col min="4867" max="4867" width="22" style="230" bestFit="1" customWidth="1"/>
    <col min="4868" max="4869" width="13" style="230" bestFit="1" customWidth="1"/>
    <col min="4870" max="4871" width="15" style="230" bestFit="1" customWidth="1"/>
    <col min="4872" max="4872" width="11" style="230" bestFit="1" customWidth="1"/>
    <col min="4873" max="4874" width="13" style="230" bestFit="1" customWidth="1"/>
    <col min="4875" max="5120" width="9.140625" style="230"/>
    <col min="5121" max="5121" width="3" style="230" bestFit="1" customWidth="1"/>
    <col min="5122" max="5122" width="24.7109375" style="230" bestFit="1" customWidth="1"/>
    <col min="5123" max="5123" width="22" style="230" bestFit="1" customWidth="1"/>
    <col min="5124" max="5125" width="13" style="230" bestFit="1" customWidth="1"/>
    <col min="5126" max="5127" width="15" style="230" bestFit="1" customWidth="1"/>
    <col min="5128" max="5128" width="11" style="230" bestFit="1" customWidth="1"/>
    <col min="5129" max="5130" width="13" style="230" bestFit="1" customWidth="1"/>
    <col min="5131" max="5376" width="9.140625" style="230"/>
    <col min="5377" max="5377" width="3" style="230" bestFit="1" customWidth="1"/>
    <col min="5378" max="5378" width="24.7109375" style="230" bestFit="1" customWidth="1"/>
    <col min="5379" max="5379" width="22" style="230" bestFit="1" customWidth="1"/>
    <col min="5380" max="5381" width="13" style="230" bestFit="1" customWidth="1"/>
    <col min="5382" max="5383" width="15" style="230" bestFit="1" customWidth="1"/>
    <col min="5384" max="5384" width="11" style="230" bestFit="1" customWidth="1"/>
    <col min="5385" max="5386" width="13" style="230" bestFit="1" customWidth="1"/>
    <col min="5387" max="5632" width="9.140625" style="230"/>
    <col min="5633" max="5633" width="3" style="230" bestFit="1" customWidth="1"/>
    <col min="5634" max="5634" width="24.7109375" style="230" bestFit="1" customWidth="1"/>
    <col min="5635" max="5635" width="22" style="230" bestFit="1" customWidth="1"/>
    <col min="5636" max="5637" width="13" style="230" bestFit="1" customWidth="1"/>
    <col min="5638" max="5639" width="15" style="230" bestFit="1" customWidth="1"/>
    <col min="5640" max="5640" width="11" style="230" bestFit="1" customWidth="1"/>
    <col min="5641" max="5642" width="13" style="230" bestFit="1" customWidth="1"/>
    <col min="5643" max="5888" width="9.140625" style="230"/>
    <col min="5889" max="5889" width="3" style="230" bestFit="1" customWidth="1"/>
    <col min="5890" max="5890" width="24.7109375" style="230" bestFit="1" customWidth="1"/>
    <col min="5891" max="5891" width="22" style="230" bestFit="1" customWidth="1"/>
    <col min="5892" max="5893" width="13" style="230" bestFit="1" customWidth="1"/>
    <col min="5894" max="5895" width="15" style="230" bestFit="1" customWidth="1"/>
    <col min="5896" max="5896" width="11" style="230" bestFit="1" customWidth="1"/>
    <col min="5897" max="5898" width="13" style="230" bestFit="1" customWidth="1"/>
    <col min="5899" max="6144" width="9.140625" style="230"/>
    <col min="6145" max="6145" width="3" style="230" bestFit="1" customWidth="1"/>
    <col min="6146" max="6146" width="24.7109375" style="230" bestFit="1" customWidth="1"/>
    <col min="6147" max="6147" width="22" style="230" bestFit="1" customWidth="1"/>
    <col min="6148" max="6149" width="13" style="230" bestFit="1" customWidth="1"/>
    <col min="6150" max="6151" width="15" style="230" bestFit="1" customWidth="1"/>
    <col min="6152" max="6152" width="11" style="230" bestFit="1" customWidth="1"/>
    <col min="6153" max="6154" width="13" style="230" bestFit="1" customWidth="1"/>
    <col min="6155" max="6400" width="9.140625" style="230"/>
    <col min="6401" max="6401" width="3" style="230" bestFit="1" customWidth="1"/>
    <col min="6402" max="6402" width="24.7109375" style="230" bestFit="1" customWidth="1"/>
    <col min="6403" max="6403" width="22" style="230" bestFit="1" customWidth="1"/>
    <col min="6404" max="6405" width="13" style="230" bestFit="1" customWidth="1"/>
    <col min="6406" max="6407" width="15" style="230" bestFit="1" customWidth="1"/>
    <col min="6408" max="6408" width="11" style="230" bestFit="1" customWidth="1"/>
    <col min="6409" max="6410" width="13" style="230" bestFit="1" customWidth="1"/>
    <col min="6411" max="6656" width="9.140625" style="230"/>
    <col min="6657" max="6657" width="3" style="230" bestFit="1" customWidth="1"/>
    <col min="6658" max="6658" width="24.7109375" style="230" bestFit="1" customWidth="1"/>
    <col min="6659" max="6659" width="22" style="230" bestFit="1" customWidth="1"/>
    <col min="6660" max="6661" width="13" style="230" bestFit="1" customWidth="1"/>
    <col min="6662" max="6663" width="15" style="230" bestFit="1" customWidth="1"/>
    <col min="6664" max="6664" width="11" style="230" bestFit="1" customWidth="1"/>
    <col min="6665" max="6666" width="13" style="230" bestFit="1" customWidth="1"/>
    <col min="6667" max="6912" width="9.140625" style="230"/>
    <col min="6913" max="6913" width="3" style="230" bestFit="1" customWidth="1"/>
    <col min="6914" max="6914" width="24.7109375" style="230" bestFit="1" customWidth="1"/>
    <col min="6915" max="6915" width="22" style="230" bestFit="1" customWidth="1"/>
    <col min="6916" max="6917" width="13" style="230" bestFit="1" customWidth="1"/>
    <col min="6918" max="6919" width="15" style="230" bestFit="1" customWidth="1"/>
    <col min="6920" max="6920" width="11" style="230" bestFit="1" customWidth="1"/>
    <col min="6921" max="6922" width="13" style="230" bestFit="1" customWidth="1"/>
    <col min="6923" max="7168" width="9.140625" style="230"/>
    <col min="7169" max="7169" width="3" style="230" bestFit="1" customWidth="1"/>
    <col min="7170" max="7170" width="24.7109375" style="230" bestFit="1" customWidth="1"/>
    <col min="7171" max="7171" width="22" style="230" bestFit="1" customWidth="1"/>
    <col min="7172" max="7173" width="13" style="230" bestFit="1" customWidth="1"/>
    <col min="7174" max="7175" width="15" style="230" bestFit="1" customWidth="1"/>
    <col min="7176" max="7176" width="11" style="230" bestFit="1" customWidth="1"/>
    <col min="7177" max="7178" width="13" style="230" bestFit="1" customWidth="1"/>
    <col min="7179" max="7424" width="9.140625" style="230"/>
    <col min="7425" max="7425" width="3" style="230" bestFit="1" customWidth="1"/>
    <col min="7426" max="7426" width="24.7109375" style="230" bestFit="1" customWidth="1"/>
    <col min="7427" max="7427" width="22" style="230" bestFit="1" customWidth="1"/>
    <col min="7428" max="7429" width="13" style="230" bestFit="1" customWidth="1"/>
    <col min="7430" max="7431" width="15" style="230" bestFit="1" customWidth="1"/>
    <col min="7432" max="7432" width="11" style="230" bestFit="1" customWidth="1"/>
    <col min="7433" max="7434" width="13" style="230" bestFit="1" customWidth="1"/>
    <col min="7435" max="7680" width="9.140625" style="230"/>
    <col min="7681" max="7681" width="3" style="230" bestFit="1" customWidth="1"/>
    <col min="7682" max="7682" width="24.7109375" style="230" bestFit="1" customWidth="1"/>
    <col min="7683" max="7683" width="22" style="230" bestFit="1" customWidth="1"/>
    <col min="7684" max="7685" width="13" style="230" bestFit="1" customWidth="1"/>
    <col min="7686" max="7687" width="15" style="230" bestFit="1" customWidth="1"/>
    <col min="7688" max="7688" width="11" style="230" bestFit="1" customWidth="1"/>
    <col min="7689" max="7690" width="13" style="230" bestFit="1" customWidth="1"/>
    <col min="7691" max="7936" width="9.140625" style="230"/>
    <col min="7937" max="7937" width="3" style="230" bestFit="1" customWidth="1"/>
    <col min="7938" max="7938" width="24.7109375" style="230" bestFit="1" customWidth="1"/>
    <col min="7939" max="7939" width="22" style="230" bestFit="1" customWidth="1"/>
    <col min="7940" max="7941" width="13" style="230" bestFit="1" customWidth="1"/>
    <col min="7942" max="7943" width="15" style="230" bestFit="1" customWidth="1"/>
    <col min="7944" max="7944" width="11" style="230" bestFit="1" customWidth="1"/>
    <col min="7945" max="7946" width="13" style="230" bestFit="1" customWidth="1"/>
    <col min="7947" max="8192" width="9.140625" style="230"/>
    <col min="8193" max="8193" width="3" style="230" bestFit="1" customWidth="1"/>
    <col min="8194" max="8194" width="24.7109375" style="230" bestFit="1" customWidth="1"/>
    <col min="8195" max="8195" width="22" style="230" bestFit="1" customWidth="1"/>
    <col min="8196" max="8197" width="13" style="230" bestFit="1" customWidth="1"/>
    <col min="8198" max="8199" width="15" style="230" bestFit="1" customWidth="1"/>
    <col min="8200" max="8200" width="11" style="230" bestFit="1" customWidth="1"/>
    <col min="8201" max="8202" width="13" style="230" bestFit="1" customWidth="1"/>
    <col min="8203" max="8448" width="9.140625" style="230"/>
    <col min="8449" max="8449" width="3" style="230" bestFit="1" customWidth="1"/>
    <col min="8450" max="8450" width="24.7109375" style="230" bestFit="1" customWidth="1"/>
    <col min="8451" max="8451" width="22" style="230" bestFit="1" customWidth="1"/>
    <col min="8452" max="8453" width="13" style="230" bestFit="1" customWidth="1"/>
    <col min="8454" max="8455" width="15" style="230" bestFit="1" customWidth="1"/>
    <col min="8456" max="8456" width="11" style="230" bestFit="1" customWidth="1"/>
    <col min="8457" max="8458" width="13" style="230" bestFit="1" customWidth="1"/>
    <col min="8459" max="8704" width="9.140625" style="230"/>
    <col min="8705" max="8705" width="3" style="230" bestFit="1" customWidth="1"/>
    <col min="8706" max="8706" width="24.7109375" style="230" bestFit="1" customWidth="1"/>
    <col min="8707" max="8707" width="22" style="230" bestFit="1" customWidth="1"/>
    <col min="8708" max="8709" width="13" style="230" bestFit="1" customWidth="1"/>
    <col min="8710" max="8711" width="15" style="230" bestFit="1" customWidth="1"/>
    <col min="8712" max="8712" width="11" style="230" bestFit="1" customWidth="1"/>
    <col min="8713" max="8714" width="13" style="230" bestFit="1" customWidth="1"/>
    <col min="8715" max="8960" width="9.140625" style="230"/>
    <col min="8961" max="8961" width="3" style="230" bestFit="1" customWidth="1"/>
    <col min="8962" max="8962" width="24.7109375" style="230" bestFit="1" customWidth="1"/>
    <col min="8963" max="8963" width="22" style="230" bestFit="1" customWidth="1"/>
    <col min="8964" max="8965" width="13" style="230" bestFit="1" customWidth="1"/>
    <col min="8966" max="8967" width="15" style="230" bestFit="1" customWidth="1"/>
    <col min="8968" max="8968" width="11" style="230" bestFit="1" customWidth="1"/>
    <col min="8969" max="8970" width="13" style="230" bestFit="1" customWidth="1"/>
    <col min="8971" max="9216" width="9.140625" style="230"/>
    <col min="9217" max="9217" width="3" style="230" bestFit="1" customWidth="1"/>
    <col min="9218" max="9218" width="24.7109375" style="230" bestFit="1" customWidth="1"/>
    <col min="9219" max="9219" width="22" style="230" bestFit="1" customWidth="1"/>
    <col min="9220" max="9221" width="13" style="230" bestFit="1" customWidth="1"/>
    <col min="9222" max="9223" width="15" style="230" bestFit="1" customWidth="1"/>
    <col min="9224" max="9224" width="11" style="230" bestFit="1" customWidth="1"/>
    <col min="9225" max="9226" width="13" style="230" bestFit="1" customWidth="1"/>
    <col min="9227" max="9472" width="9.140625" style="230"/>
    <col min="9473" max="9473" width="3" style="230" bestFit="1" customWidth="1"/>
    <col min="9474" max="9474" width="24.7109375" style="230" bestFit="1" customWidth="1"/>
    <col min="9475" max="9475" width="22" style="230" bestFit="1" customWidth="1"/>
    <col min="9476" max="9477" width="13" style="230" bestFit="1" customWidth="1"/>
    <col min="9478" max="9479" width="15" style="230" bestFit="1" customWidth="1"/>
    <col min="9480" max="9480" width="11" style="230" bestFit="1" customWidth="1"/>
    <col min="9481" max="9482" width="13" style="230" bestFit="1" customWidth="1"/>
    <col min="9483" max="9728" width="9.140625" style="230"/>
    <col min="9729" max="9729" width="3" style="230" bestFit="1" customWidth="1"/>
    <col min="9730" max="9730" width="24.7109375" style="230" bestFit="1" customWidth="1"/>
    <col min="9731" max="9731" width="22" style="230" bestFit="1" customWidth="1"/>
    <col min="9732" max="9733" width="13" style="230" bestFit="1" customWidth="1"/>
    <col min="9734" max="9735" width="15" style="230" bestFit="1" customWidth="1"/>
    <col min="9736" max="9736" width="11" style="230" bestFit="1" customWidth="1"/>
    <col min="9737" max="9738" width="13" style="230" bestFit="1" customWidth="1"/>
    <col min="9739" max="9984" width="9.140625" style="230"/>
    <col min="9985" max="9985" width="3" style="230" bestFit="1" customWidth="1"/>
    <col min="9986" max="9986" width="24.7109375" style="230" bestFit="1" customWidth="1"/>
    <col min="9987" max="9987" width="22" style="230" bestFit="1" customWidth="1"/>
    <col min="9988" max="9989" width="13" style="230" bestFit="1" customWidth="1"/>
    <col min="9990" max="9991" width="15" style="230" bestFit="1" customWidth="1"/>
    <col min="9992" max="9992" width="11" style="230" bestFit="1" customWidth="1"/>
    <col min="9993" max="9994" width="13" style="230" bestFit="1" customWidth="1"/>
    <col min="9995" max="10240" width="9.140625" style="230"/>
    <col min="10241" max="10241" width="3" style="230" bestFit="1" customWidth="1"/>
    <col min="10242" max="10242" width="24.7109375" style="230" bestFit="1" customWidth="1"/>
    <col min="10243" max="10243" width="22" style="230" bestFit="1" customWidth="1"/>
    <col min="10244" max="10245" width="13" style="230" bestFit="1" customWidth="1"/>
    <col min="10246" max="10247" width="15" style="230" bestFit="1" customWidth="1"/>
    <col min="10248" max="10248" width="11" style="230" bestFit="1" customWidth="1"/>
    <col min="10249" max="10250" width="13" style="230" bestFit="1" customWidth="1"/>
    <col min="10251" max="10496" width="9.140625" style="230"/>
    <col min="10497" max="10497" width="3" style="230" bestFit="1" customWidth="1"/>
    <col min="10498" max="10498" width="24.7109375" style="230" bestFit="1" customWidth="1"/>
    <col min="10499" max="10499" width="22" style="230" bestFit="1" customWidth="1"/>
    <col min="10500" max="10501" width="13" style="230" bestFit="1" customWidth="1"/>
    <col min="10502" max="10503" width="15" style="230" bestFit="1" customWidth="1"/>
    <col min="10504" max="10504" width="11" style="230" bestFit="1" customWidth="1"/>
    <col min="10505" max="10506" width="13" style="230" bestFit="1" customWidth="1"/>
    <col min="10507" max="10752" width="9.140625" style="230"/>
    <col min="10753" max="10753" width="3" style="230" bestFit="1" customWidth="1"/>
    <col min="10754" max="10754" width="24.7109375" style="230" bestFit="1" customWidth="1"/>
    <col min="10755" max="10755" width="22" style="230" bestFit="1" customWidth="1"/>
    <col min="10756" max="10757" width="13" style="230" bestFit="1" customWidth="1"/>
    <col min="10758" max="10759" width="15" style="230" bestFit="1" customWidth="1"/>
    <col min="10760" max="10760" width="11" style="230" bestFit="1" customWidth="1"/>
    <col min="10761" max="10762" width="13" style="230" bestFit="1" customWidth="1"/>
    <col min="10763" max="11008" width="9.140625" style="230"/>
    <col min="11009" max="11009" width="3" style="230" bestFit="1" customWidth="1"/>
    <col min="11010" max="11010" width="24.7109375" style="230" bestFit="1" customWidth="1"/>
    <col min="11011" max="11011" width="22" style="230" bestFit="1" customWidth="1"/>
    <col min="11012" max="11013" width="13" style="230" bestFit="1" customWidth="1"/>
    <col min="11014" max="11015" width="15" style="230" bestFit="1" customWidth="1"/>
    <col min="11016" max="11016" width="11" style="230" bestFit="1" customWidth="1"/>
    <col min="11017" max="11018" width="13" style="230" bestFit="1" customWidth="1"/>
    <col min="11019" max="11264" width="9.140625" style="230"/>
    <col min="11265" max="11265" width="3" style="230" bestFit="1" customWidth="1"/>
    <col min="11266" max="11266" width="24.7109375" style="230" bestFit="1" customWidth="1"/>
    <col min="11267" max="11267" width="22" style="230" bestFit="1" customWidth="1"/>
    <col min="11268" max="11269" width="13" style="230" bestFit="1" customWidth="1"/>
    <col min="11270" max="11271" width="15" style="230" bestFit="1" customWidth="1"/>
    <col min="11272" max="11272" width="11" style="230" bestFit="1" customWidth="1"/>
    <col min="11273" max="11274" width="13" style="230" bestFit="1" customWidth="1"/>
    <col min="11275" max="11520" width="9.140625" style="230"/>
    <col min="11521" max="11521" width="3" style="230" bestFit="1" customWidth="1"/>
    <col min="11522" max="11522" width="24.7109375" style="230" bestFit="1" customWidth="1"/>
    <col min="11523" max="11523" width="22" style="230" bestFit="1" customWidth="1"/>
    <col min="11524" max="11525" width="13" style="230" bestFit="1" customWidth="1"/>
    <col min="11526" max="11527" width="15" style="230" bestFit="1" customWidth="1"/>
    <col min="11528" max="11528" width="11" style="230" bestFit="1" customWidth="1"/>
    <col min="11529" max="11530" width="13" style="230" bestFit="1" customWidth="1"/>
    <col min="11531" max="11776" width="9.140625" style="230"/>
    <col min="11777" max="11777" width="3" style="230" bestFit="1" customWidth="1"/>
    <col min="11778" max="11778" width="24.7109375" style="230" bestFit="1" customWidth="1"/>
    <col min="11779" max="11779" width="22" style="230" bestFit="1" customWidth="1"/>
    <col min="11780" max="11781" width="13" style="230" bestFit="1" customWidth="1"/>
    <col min="11782" max="11783" width="15" style="230" bestFit="1" customWidth="1"/>
    <col min="11784" max="11784" width="11" style="230" bestFit="1" customWidth="1"/>
    <col min="11785" max="11786" width="13" style="230" bestFit="1" customWidth="1"/>
    <col min="11787" max="12032" width="9.140625" style="230"/>
    <col min="12033" max="12033" width="3" style="230" bestFit="1" customWidth="1"/>
    <col min="12034" max="12034" width="24.7109375" style="230" bestFit="1" customWidth="1"/>
    <col min="12035" max="12035" width="22" style="230" bestFit="1" customWidth="1"/>
    <col min="12036" max="12037" width="13" style="230" bestFit="1" customWidth="1"/>
    <col min="12038" max="12039" width="15" style="230" bestFit="1" customWidth="1"/>
    <col min="12040" max="12040" width="11" style="230" bestFit="1" customWidth="1"/>
    <col min="12041" max="12042" width="13" style="230" bestFit="1" customWidth="1"/>
    <col min="12043" max="12288" width="9.140625" style="230"/>
    <col min="12289" max="12289" width="3" style="230" bestFit="1" customWidth="1"/>
    <col min="12290" max="12290" width="24.7109375" style="230" bestFit="1" customWidth="1"/>
    <col min="12291" max="12291" width="22" style="230" bestFit="1" customWidth="1"/>
    <col min="12292" max="12293" width="13" style="230" bestFit="1" customWidth="1"/>
    <col min="12294" max="12295" width="15" style="230" bestFit="1" customWidth="1"/>
    <col min="12296" max="12296" width="11" style="230" bestFit="1" customWidth="1"/>
    <col min="12297" max="12298" width="13" style="230" bestFit="1" customWidth="1"/>
    <col min="12299" max="12544" width="9.140625" style="230"/>
    <col min="12545" max="12545" width="3" style="230" bestFit="1" customWidth="1"/>
    <col min="12546" max="12546" width="24.7109375" style="230" bestFit="1" customWidth="1"/>
    <col min="12547" max="12547" width="22" style="230" bestFit="1" customWidth="1"/>
    <col min="12548" max="12549" width="13" style="230" bestFit="1" customWidth="1"/>
    <col min="12550" max="12551" width="15" style="230" bestFit="1" customWidth="1"/>
    <col min="12552" max="12552" width="11" style="230" bestFit="1" customWidth="1"/>
    <col min="12553" max="12554" width="13" style="230" bestFit="1" customWidth="1"/>
    <col min="12555" max="12800" width="9.140625" style="230"/>
    <col min="12801" max="12801" width="3" style="230" bestFit="1" customWidth="1"/>
    <col min="12802" max="12802" width="24.7109375" style="230" bestFit="1" customWidth="1"/>
    <col min="12803" max="12803" width="22" style="230" bestFit="1" customWidth="1"/>
    <col min="12804" max="12805" width="13" style="230" bestFit="1" customWidth="1"/>
    <col min="12806" max="12807" width="15" style="230" bestFit="1" customWidth="1"/>
    <col min="12808" max="12808" width="11" style="230" bestFit="1" customWidth="1"/>
    <col min="12809" max="12810" width="13" style="230" bestFit="1" customWidth="1"/>
    <col min="12811" max="13056" width="9.140625" style="230"/>
    <col min="13057" max="13057" width="3" style="230" bestFit="1" customWidth="1"/>
    <col min="13058" max="13058" width="24.7109375" style="230" bestFit="1" customWidth="1"/>
    <col min="13059" max="13059" width="22" style="230" bestFit="1" customWidth="1"/>
    <col min="13060" max="13061" width="13" style="230" bestFit="1" customWidth="1"/>
    <col min="13062" max="13063" width="15" style="230" bestFit="1" customWidth="1"/>
    <col min="13064" max="13064" width="11" style="230" bestFit="1" customWidth="1"/>
    <col min="13065" max="13066" width="13" style="230" bestFit="1" customWidth="1"/>
    <col min="13067" max="13312" width="9.140625" style="230"/>
    <col min="13313" max="13313" width="3" style="230" bestFit="1" customWidth="1"/>
    <col min="13314" max="13314" width="24.7109375" style="230" bestFit="1" customWidth="1"/>
    <col min="13315" max="13315" width="22" style="230" bestFit="1" customWidth="1"/>
    <col min="13316" max="13317" width="13" style="230" bestFit="1" customWidth="1"/>
    <col min="13318" max="13319" width="15" style="230" bestFit="1" customWidth="1"/>
    <col min="13320" max="13320" width="11" style="230" bestFit="1" customWidth="1"/>
    <col min="13321" max="13322" width="13" style="230" bestFit="1" customWidth="1"/>
    <col min="13323" max="13568" width="9.140625" style="230"/>
    <col min="13569" max="13569" width="3" style="230" bestFit="1" customWidth="1"/>
    <col min="13570" max="13570" width="24.7109375" style="230" bestFit="1" customWidth="1"/>
    <col min="13571" max="13571" width="22" style="230" bestFit="1" customWidth="1"/>
    <col min="13572" max="13573" width="13" style="230" bestFit="1" customWidth="1"/>
    <col min="13574" max="13575" width="15" style="230" bestFit="1" customWidth="1"/>
    <col min="13576" max="13576" width="11" style="230" bestFit="1" customWidth="1"/>
    <col min="13577" max="13578" width="13" style="230" bestFit="1" customWidth="1"/>
    <col min="13579" max="13824" width="9.140625" style="230"/>
    <col min="13825" max="13825" width="3" style="230" bestFit="1" customWidth="1"/>
    <col min="13826" max="13826" width="24.7109375" style="230" bestFit="1" customWidth="1"/>
    <col min="13827" max="13827" width="22" style="230" bestFit="1" customWidth="1"/>
    <col min="13828" max="13829" width="13" style="230" bestFit="1" customWidth="1"/>
    <col min="13830" max="13831" width="15" style="230" bestFit="1" customWidth="1"/>
    <col min="13832" max="13832" width="11" style="230" bestFit="1" customWidth="1"/>
    <col min="13833" max="13834" width="13" style="230" bestFit="1" customWidth="1"/>
    <col min="13835" max="14080" width="9.140625" style="230"/>
    <col min="14081" max="14081" width="3" style="230" bestFit="1" customWidth="1"/>
    <col min="14082" max="14082" width="24.7109375" style="230" bestFit="1" customWidth="1"/>
    <col min="14083" max="14083" width="22" style="230" bestFit="1" customWidth="1"/>
    <col min="14084" max="14085" width="13" style="230" bestFit="1" customWidth="1"/>
    <col min="14086" max="14087" width="15" style="230" bestFit="1" customWidth="1"/>
    <col min="14088" max="14088" width="11" style="230" bestFit="1" customWidth="1"/>
    <col min="14089" max="14090" width="13" style="230" bestFit="1" customWidth="1"/>
    <col min="14091" max="14336" width="9.140625" style="230"/>
    <col min="14337" max="14337" width="3" style="230" bestFit="1" customWidth="1"/>
    <col min="14338" max="14338" width="24.7109375" style="230" bestFit="1" customWidth="1"/>
    <col min="14339" max="14339" width="22" style="230" bestFit="1" customWidth="1"/>
    <col min="14340" max="14341" width="13" style="230" bestFit="1" customWidth="1"/>
    <col min="14342" max="14343" width="15" style="230" bestFit="1" customWidth="1"/>
    <col min="14344" max="14344" width="11" style="230" bestFit="1" customWidth="1"/>
    <col min="14345" max="14346" width="13" style="230" bestFit="1" customWidth="1"/>
    <col min="14347" max="14592" width="9.140625" style="230"/>
    <col min="14593" max="14593" width="3" style="230" bestFit="1" customWidth="1"/>
    <col min="14594" max="14594" width="24.7109375" style="230" bestFit="1" customWidth="1"/>
    <col min="14595" max="14595" width="22" style="230" bestFit="1" customWidth="1"/>
    <col min="14596" max="14597" width="13" style="230" bestFit="1" customWidth="1"/>
    <col min="14598" max="14599" width="15" style="230" bestFit="1" customWidth="1"/>
    <col min="14600" max="14600" width="11" style="230" bestFit="1" customWidth="1"/>
    <col min="14601" max="14602" width="13" style="230" bestFit="1" customWidth="1"/>
    <col min="14603" max="14848" width="9.140625" style="230"/>
    <col min="14849" max="14849" width="3" style="230" bestFit="1" customWidth="1"/>
    <col min="14850" max="14850" width="24.7109375" style="230" bestFit="1" customWidth="1"/>
    <col min="14851" max="14851" width="22" style="230" bestFit="1" customWidth="1"/>
    <col min="14852" max="14853" width="13" style="230" bestFit="1" customWidth="1"/>
    <col min="14854" max="14855" width="15" style="230" bestFit="1" customWidth="1"/>
    <col min="14856" max="14856" width="11" style="230" bestFit="1" customWidth="1"/>
    <col min="14857" max="14858" width="13" style="230" bestFit="1" customWidth="1"/>
    <col min="14859" max="15104" width="9.140625" style="230"/>
    <col min="15105" max="15105" width="3" style="230" bestFit="1" customWidth="1"/>
    <col min="15106" max="15106" width="24.7109375" style="230" bestFit="1" customWidth="1"/>
    <col min="15107" max="15107" width="22" style="230" bestFit="1" customWidth="1"/>
    <col min="15108" max="15109" width="13" style="230" bestFit="1" customWidth="1"/>
    <col min="15110" max="15111" width="15" style="230" bestFit="1" customWidth="1"/>
    <col min="15112" max="15112" width="11" style="230" bestFit="1" customWidth="1"/>
    <col min="15113" max="15114" width="13" style="230" bestFit="1" customWidth="1"/>
    <col min="15115" max="15360" width="9.140625" style="230"/>
    <col min="15361" max="15361" width="3" style="230" bestFit="1" customWidth="1"/>
    <col min="15362" max="15362" width="24.7109375" style="230" bestFit="1" customWidth="1"/>
    <col min="15363" max="15363" width="22" style="230" bestFit="1" customWidth="1"/>
    <col min="15364" max="15365" width="13" style="230" bestFit="1" customWidth="1"/>
    <col min="15366" max="15367" width="15" style="230" bestFit="1" customWidth="1"/>
    <col min="15368" max="15368" width="11" style="230" bestFit="1" customWidth="1"/>
    <col min="15369" max="15370" width="13" style="230" bestFit="1" customWidth="1"/>
    <col min="15371" max="15616" width="9.140625" style="230"/>
    <col min="15617" max="15617" width="3" style="230" bestFit="1" customWidth="1"/>
    <col min="15618" max="15618" width="24.7109375" style="230" bestFit="1" customWidth="1"/>
    <col min="15619" max="15619" width="22" style="230" bestFit="1" customWidth="1"/>
    <col min="15620" max="15621" width="13" style="230" bestFit="1" customWidth="1"/>
    <col min="15622" max="15623" width="15" style="230" bestFit="1" customWidth="1"/>
    <col min="15624" max="15624" width="11" style="230" bestFit="1" customWidth="1"/>
    <col min="15625" max="15626" width="13" style="230" bestFit="1" customWidth="1"/>
    <col min="15627" max="15872" width="9.140625" style="230"/>
    <col min="15873" max="15873" width="3" style="230" bestFit="1" customWidth="1"/>
    <col min="15874" max="15874" width="24.7109375" style="230" bestFit="1" customWidth="1"/>
    <col min="15875" max="15875" width="22" style="230" bestFit="1" customWidth="1"/>
    <col min="15876" max="15877" width="13" style="230" bestFit="1" customWidth="1"/>
    <col min="15878" max="15879" width="15" style="230" bestFit="1" customWidth="1"/>
    <col min="15880" max="15880" width="11" style="230" bestFit="1" customWidth="1"/>
    <col min="15881" max="15882" width="13" style="230" bestFit="1" customWidth="1"/>
    <col min="15883" max="16128" width="9.140625" style="230"/>
    <col min="16129" max="16129" width="3" style="230" bestFit="1" customWidth="1"/>
    <col min="16130" max="16130" width="24.7109375" style="230" bestFit="1" customWidth="1"/>
    <col min="16131" max="16131" width="22" style="230" bestFit="1" customWidth="1"/>
    <col min="16132" max="16133" width="13" style="230" bestFit="1" customWidth="1"/>
    <col min="16134" max="16135" width="15" style="230" bestFit="1" customWidth="1"/>
    <col min="16136" max="16136" width="11" style="230" bestFit="1" customWidth="1"/>
    <col min="16137" max="16138" width="13" style="230" bestFit="1" customWidth="1"/>
    <col min="16139" max="16384" width="9.140625" style="230"/>
  </cols>
  <sheetData>
    <row r="1" spans="1:10" ht="24">
      <c r="A1" s="229" t="s">
        <v>7</v>
      </c>
      <c r="B1" s="229" t="s">
        <v>298</v>
      </c>
      <c r="C1" s="229" t="s">
        <v>299</v>
      </c>
      <c r="D1" s="229" t="s">
        <v>166</v>
      </c>
      <c r="E1" s="229" t="s">
        <v>300</v>
      </c>
      <c r="F1" s="229" t="s">
        <v>301</v>
      </c>
      <c r="G1" s="229" t="s">
        <v>302</v>
      </c>
      <c r="H1" s="229" t="s">
        <v>303</v>
      </c>
      <c r="I1" s="229" t="s">
        <v>304</v>
      </c>
      <c r="J1" s="229" t="s">
        <v>305</v>
      </c>
    </row>
    <row r="2" spans="1:10">
      <c r="A2" s="231" t="s">
        <v>7</v>
      </c>
      <c r="B2" s="231" t="str">
        <f>CONCATENATE('Master Tab'!$C$7,'Master Tab'!$X$105,'Master Tab'!Y105)</f>
        <v>N/A.CP1.NGCONFC</v>
      </c>
      <c r="C2" s="231" t="s">
        <v>7</v>
      </c>
      <c r="D2" s="232">
        <f>'Master Tab'!$C$32</f>
        <v>45352</v>
      </c>
      <c r="E2" s="232">
        <f>'Master Tab'!$C$34</f>
        <v>46750.400000000001</v>
      </c>
      <c r="F2" s="231" t="str">
        <f>CONCATENATE('Master Tab'!$C$10,'Master Tab'!$Z$105,'Master Tab'!Y105)</f>
        <v>3Y-NGCONFC</v>
      </c>
      <c r="G2" s="237">
        <f>'Cost Report'!F18</f>
        <v>0</v>
      </c>
      <c r="H2" s="231" t="s">
        <v>7</v>
      </c>
      <c r="I2" s="231" t="s">
        <v>7</v>
      </c>
      <c r="J2" s="231" t="s">
        <v>7</v>
      </c>
    </row>
    <row r="3" spans="1:10">
      <c r="A3" s="231" t="s">
        <v>7</v>
      </c>
      <c r="B3" s="231" t="str">
        <f>CONCATENATE('Master Tab'!$C$7,'Master Tab'!$X$105,'Master Tab'!Y106)</f>
        <v>N/A.CP1.NGCONPC</v>
      </c>
      <c r="C3" s="231" t="s">
        <v>7</v>
      </c>
      <c r="D3" s="232">
        <f>'Master Tab'!$C$32</f>
        <v>45352</v>
      </c>
      <c r="E3" s="232">
        <f>'Master Tab'!$C$34</f>
        <v>46750.400000000001</v>
      </c>
      <c r="F3" s="231" t="str">
        <f>CONCATENATE('Master Tab'!$C$10,'Master Tab'!$Z$105,'Master Tab'!Y106)</f>
        <v>3Y-NGCONPC</v>
      </c>
      <c r="G3" s="237">
        <f>SUM('Cost Report'!F17,'Cost Report'!D25)</f>
        <v>16797500</v>
      </c>
      <c r="H3" s="231" t="s">
        <v>7</v>
      </c>
      <c r="I3" s="231" t="s">
        <v>7</v>
      </c>
      <c r="J3" s="231" t="s">
        <v>7</v>
      </c>
    </row>
    <row r="4" spans="1:10">
      <c r="A4" s="231" t="s">
        <v>7</v>
      </c>
      <c r="B4" s="231" t="str">
        <f>CONCATENATE('Master Tab'!$C$7,'Master Tab'!$X$105,'Master Tab'!Y107)</f>
        <v>N/A.CP1.NGCONT</v>
      </c>
      <c r="C4" s="231" t="s">
        <v>7</v>
      </c>
      <c r="D4" s="232">
        <f>'Master Tab'!$C$32</f>
        <v>45352</v>
      </c>
      <c r="E4" s="232">
        <f>'Master Tab'!$C$34</f>
        <v>46750.400000000001</v>
      </c>
      <c r="F4" s="231" t="str">
        <f>CONCATENATE('Master Tab'!$C$10,'Master Tab'!$Z$105,'Master Tab'!Y107)</f>
        <v>3Y-NGCONT</v>
      </c>
      <c r="G4" s="237">
        <f>'Cost Report'!D24</f>
        <v>4644000</v>
      </c>
      <c r="H4" s="231" t="s">
        <v>7</v>
      </c>
      <c r="I4" s="231" t="s">
        <v>7</v>
      </c>
      <c r="J4" s="231" t="s">
        <v>7</v>
      </c>
    </row>
    <row r="5" spans="1:10">
      <c r="A5" s="231" t="s">
        <v>7</v>
      </c>
      <c r="B5" s="231" t="str">
        <f>CONCATENATE('Master Tab'!$C$7,'Master Tab'!$X$105,'Master Tab'!Y108)</f>
        <v>N/A.CP1.NGENGNC</v>
      </c>
      <c r="C5" s="231" t="s">
        <v>7</v>
      </c>
      <c r="D5" s="232">
        <f>'Master Tab'!$C$32</f>
        <v>45352</v>
      </c>
      <c r="E5" s="232">
        <f>'Master Tab'!$C$34</f>
        <v>46750.400000000001</v>
      </c>
      <c r="F5" s="231" t="str">
        <f>CONCATENATE('Master Tab'!$C$10,'Master Tab'!$Z$105,'Master Tab'!Y108)</f>
        <v>3Y-NGENGNC</v>
      </c>
      <c r="G5" s="237">
        <f>'Cost Report'!D11</f>
        <v>2193600</v>
      </c>
      <c r="H5" s="231" t="s">
        <v>7</v>
      </c>
      <c r="I5" s="231" t="s">
        <v>7</v>
      </c>
      <c r="J5" s="231" t="s">
        <v>7</v>
      </c>
    </row>
    <row r="6" spans="1:10">
      <c r="A6" s="231" t="s">
        <v>7</v>
      </c>
      <c r="B6" s="231" t="str">
        <f>CONCATENATE('Master Tab'!$C$7,'Master Tab'!$X$105,'Master Tab'!Y109)</f>
        <v>N/A.CP1.NGEXCEP</v>
      </c>
      <c r="C6" s="231" t="s">
        <v>7</v>
      </c>
      <c r="D6" s="232">
        <f>'Master Tab'!$C$32</f>
        <v>45352</v>
      </c>
      <c r="E6" s="232">
        <f>'Master Tab'!$C$34</f>
        <v>46750.400000000001</v>
      </c>
      <c r="F6" s="231" t="str">
        <f>CONCATENATE('Master Tab'!$C$10,'Master Tab'!$Z$105,'Master Tab'!Y109)</f>
        <v>3Y-NGEXCEP</v>
      </c>
      <c r="G6" s="237">
        <f>0</f>
        <v>0</v>
      </c>
      <c r="H6" s="231" t="s">
        <v>7</v>
      </c>
      <c r="I6" s="231" t="s">
        <v>7</v>
      </c>
      <c r="J6" s="231" t="s">
        <v>7</v>
      </c>
    </row>
    <row r="7" spans="1:10">
      <c r="A7" s="231" t="s">
        <v>7</v>
      </c>
      <c r="B7" s="231" t="str">
        <f>CONCATENATE('Master Tab'!$C$7,'Master Tab'!$X$105,'Master Tab'!Y110)</f>
        <v>N/A.CP1.NGFITSC</v>
      </c>
      <c r="C7" s="231" t="s">
        <v>7</v>
      </c>
      <c r="D7" s="232">
        <f>'Master Tab'!$C$32</f>
        <v>45352</v>
      </c>
      <c r="E7" s="232">
        <f>'Master Tab'!$C$34</f>
        <v>46750.400000000001</v>
      </c>
      <c r="F7" s="231" t="str">
        <f>CONCATENATE('Master Tab'!$C$10,'Master Tab'!$Z$105,'Master Tab'!Y110)</f>
        <v>3Y-NGFITSC</v>
      </c>
      <c r="G7" s="237">
        <f>SUM('Cost Report'!D19:D20)</f>
        <v>2602300</v>
      </c>
      <c r="H7" s="231" t="s">
        <v>7</v>
      </c>
      <c r="I7" s="231" t="s">
        <v>7</v>
      </c>
      <c r="J7" s="231" t="s">
        <v>7</v>
      </c>
    </row>
    <row r="8" spans="1:10">
      <c r="A8" s="231" t="s">
        <v>7</v>
      </c>
      <c r="B8" s="231" t="str">
        <f>CONCATENATE('Master Tab'!$C$7,'Master Tab'!$X$105,'Master Tab'!Y111)</f>
        <v>N/A.CP1.NGILIPC</v>
      </c>
      <c r="C8" s="231" t="s">
        <v>7</v>
      </c>
      <c r="D8" s="232">
        <f>'Master Tab'!$C$32</f>
        <v>45352</v>
      </c>
      <c r="E8" s="232">
        <f>'Master Tab'!$C$34</f>
        <v>46750.400000000001</v>
      </c>
      <c r="F8" s="231" t="str">
        <f>CONCATENATE('Master Tab'!$C$10,'Master Tab'!$Z$105,'Master Tab'!Y111)</f>
        <v>3Y-NGILIPC</v>
      </c>
      <c r="G8" s="237">
        <f>0</f>
        <v>0</v>
      </c>
      <c r="H8" s="231" t="s">
        <v>7</v>
      </c>
      <c r="I8" s="231" t="s">
        <v>7</v>
      </c>
      <c r="J8" s="231" t="s">
        <v>7</v>
      </c>
    </row>
    <row r="9" spans="1:10">
      <c r="A9" s="231" t="s">
        <v>7</v>
      </c>
      <c r="B9" s="231" t="str">
        <f>CONCATENATE('Master Tab'!$C$7,'Master Tab'!$X$105,'Master Tab'!Y112)</f>
        <v>N/A.CP1.NGLANDC</v>
      </c>
      <c r="C9" s="231" t="s">
        <v>7</v>
      </c>
      <c r="D9" s="232">
        <f>'Master Tab'!$C$32</f>
        <v>45352</v>
      </c>
      <c r="E9" s="232">
        <f>'Master Tab'!$C$34</f>
        <v>46750.400000000001</v>
      </c>
      <c r="F9" s="231" t="str">
        <f>CONCATENATE('Master Tab'!$C$10,'Master Tab'!$Z$105,'Master Tab'!Y112)</f>
        <v>3Y-NGLANDC</v>
      </c>
      <c r="G9" s="237">
        <f>SUM('Cost Report'!D12:D15)</f>
        <v>3924100</v>
      </c>
      <c r="H9" s="231" t="s">
        <v>7</v>
      </c>
      <c r="I9" s="231" t="s">
        <v>7</v>
      </c>
      <c r="J9" s="231" t="s">
        <v>7</v>
      </c>
    </row>
    <row r="10" spans="1:10">
      <c r="A10" s="231" t="s">
        <v>7</v>
      </c>
      <c r="B10" s="231" t="str">
        <f>CONCATENATE('Master Tab'!$C$7,'Master Tab'!$X$105,'Master Tab'!Y113)</f>
        <v>N/A.CP1.NGMAFD</v>
      </c>
      <c r="C10" s="231" t="s">
        <v>7</v>
      </c>
      <c r="D10" s="232">
        <f>'Master Tab'!$C$32</f>
        <v>45352</v>
      </c>
      <c r="E10" s="232">
        <f>'Master Tab'!$C$34</f>
        <v>46750.400000000001</v>
      </c>
      <c r="F10" s="231" t="str">
        <f>CONCATENATE('Master Tab'!$C$10,'Master Tab'!$Z$105,'Master Tab'!Y113)</f>
        <v>3Y-NGMAFD</v>
      </c>
      <c r="G10" s="237">
        <f>'Cost Report'!D29</f>
        <v>1814300</v>
      </c>
      <c r="H10" s="231" t="s">
        <v>7</v>
      </c>
      <c r="I10" s="231" t="s">
        <v>7</v>
      </c>
      <c r="J10" s="231" t="s">
        <v>7</v>
      </c>
    </row>
    <row r="11" spans="1:10">
      <c r="A11" s="231" t="s">
        <v>7</v>
      </c>
      <c r="B11" s="231" t="str">
        <f>CONCATENATE('Master Tab'!$C$7,'Master Tab'!$X$105,'Master Tab'!Y114)</f>
        <v>N/A.CP1.NGMATEC</v>
      </c>
      <c r="C11" s="231" t="s">
        <v>7</v>
      </c>
      <c r="D11" s="232">
        <f>'Master Tab'!$C$32</f>
        <v>45352</v>
      </c>
      <c r="E11" s="232">
        <f>'Master Tab'!$C$34</f>
        <v>46750.400000000001</v>
      </c>
      <c r="F11" s="231" t="str">
        <f>CONCATENATE('Master Tab'!$C$10,'Master Tab'!$Z$105,'Master Tab'!Y114)</f>
        <v>3Y-NGMATEC</v>
      </c>
      <c r="G11" s="237">
        <f>'Cost Report'!D16</f>
        <v>4586700</v>
      </c>
      <c r="H11" s="231" t="s">
        <v>7</v>
      </c>
      <c r="I11" s="231" t="s">
        <v>7</v>
      </c>
      <c r="J11" s="231" t="s">
        <v>7</v>
      </c>
    </row>
    <row r="12" spans="1:10">
      <c r="A12" s="231" t="s">
        <v>7</v>
      </c>
      <c r="B12" s="231" t="str">
        <f>CONCATENATE('Master Tab'!$C$7,'Master Tab'!$X$105,'Master Tab'!Y115)</f>
        <v>N/A.CP1.NGMOTH</v>
      </c>
      <c r="C12" s="231" t="s">
        <v>7</v>
      </c>
      <c r="D12" s="232">
        <f>'Master Tab'!$C$32</f>
        <v>45352</v>
      </c>
      <c r="E12" s="232">
        <f>'Master Tab'!$C$34</f>
        <v>46750.400000000001</v>
      </c>
      <c r="F12" s="231" t="str">
        <f>CONCATENATE('Master Tab'!$C$10,'Master Tab'!$Z$105,'Master Tab'!Y115)</f>
        <v>3Y-NGMOTH</v>
      </c>
      <c r="G12" s="237">
        <f>'Cost Report'!D22</f>
        <v>55200</v>
      </c>
      <c r="H12" s="231" t="s">
        <v>7</v>
      </c>
      <c r="I12" s="231" t="s">
        <v>7</v>
      </c>
      <c r="J12" s="231" t="s">
        <v>7</v>
      </c>
    </row>
    <row r="13" spans="1:10">
      <c r="B13" s="231" t="str">
        <f>CONCATENATE('Master Tab'!$C$7,'Master Tab'!$X$105,'Master Tab'!Y116)</f>
        <v>N/A.CP1.NGMOVH</v>
      </c>
      <c r="D13" s="232">
        <f>'Master Tab'!$C$32</f>
        <v>45352</v>
      </c>
      <c r="E13" s="232">
        <f>'Master Tab'!$C$34</f>
        <v>46750.400000000001</v>
      </c>
      <c r="F13" s="231" t="str">
        <f>CONCATENATE('Master Tab'!$C$10,'Master Tab'!$Z$105,'Master Tab'!Y116)</f>
        <v>3Y-NGMOVH</v>
      </c>
      <c r="G13" s="237">
        <f>'Cost Report'!D30</f>
        <v>5238900</v>
      </c>
      <c r="H13" s="231" t="s">
        <v>7</v>
      </c>
      <c r="I13" s="231" t="s">
        <v>7</v>
      </c>
      <c r="J13" s="231" t="s">
        <v>7</v>
      </c>
    </row>
    <row r="14" spans="1:10">
      <c r="B14" s="231" t="str">
        <f>CONCATENATE('Master Tab'!$C$7,'Master Tab'!$X$105,'Master Tab'!Y117)</f>
        <v>N/A.CP1.NGMPGL</v>
      </c>
      <c r="D14" s="232">
        <f>'Master Tab'!$C$32</f>
        <v>45352</v>
      </c>
      <c r="E14" s="232">
        <f>'Master Tab'!$C$34</f>
        <v>46750.400000000001</v>
      </c>
      <c r="F14" s="231" t="str">
        <f>CONCATENATE('Master Tab'!$C$10,'Master Tab'!$Z$105,'Master Tab'!Y117)</f>
        <v>3Y-NGMPGL</v>
      </c>
      <c r="G14" s="237">
        <f>'Cost Report'!D21</f>
        <v>1012000</v>
      </c>
      <c r="H14" s="231" t="s">
        <v>7</v>
      </c>
      <c r="I14" s="231" t="s">
        <v>7</v>
      </c>
      <c r="J14" s="231" t="s">
        <v>7</v>
      </c>
    </row>
    <row r="15" spans="1:10">
      <c r="B15" s="231" t="str">
        <f>CONCATENATE('Master Tab'!$C$7,'Master Tab'!$X$105,'Master Tab'!Y118)</f>
        <v>N/A.CP1.NGREMPC</v>
      </c>
      <c r="D15" s="232">
        <f>'Master Tab'!$C$32</f>
        <v>45352</v>
      </c>
      <c r="E15" s="232">
        <f>'Master Tab'!$C$34</f>
        <v>46750.400000000001</v>
      </c>
      <c r="F15" s="231" t="str">
        <f>CONCATENATE('Master Tab'!$C$10,'Master Tab'!$Z$105,'Master Tab'!Y118)</f>
        <v>3Y-NGREMPC</v>
      </c>
      <c r="G15" s="237">
        <f>SUM('Cost Report'!I17:I18)</f>
        <v>267800</v>
      </c>
      <c r="H15" s="231" t="s">
        <v>7</v>
      </c>
      <c r="I15" s="231" t="s">
        <v>7</v>
      </c>
      <c r="J15" s="231" t="s">
        <v>7</v>
      </c>
    </row>
    <row r="16" spans="1:10">
      <c r="B16" s="231"/>
    </row>
  </sheetData>
  <sheetProtection algorithmName="SHA-512" hashValue="XQBRrZt7K5KA3rNiuMJnNe1wjXqgMz3Klr6rRe+weVsI/WSJw9q6Wxjd1TeZepXTISCENlXorqJ736ulQNLkKA==" saltValue="CqWYLs+GRvKLN5GG2QF8oA==" spinCount="100000" sheet="1" objects="1" scenarios="1"/>
  <protectedRanges>
    <protectedRange algorithmName="SHA-512" hashValue="1VnxZ0smlO5qoAfW1PyWh6IfC8/6xG6wgNPjzvDUhZyNx5QocuGfg5MgM7P2ygjR2Ox1kFltubhq8VH4p9HhEg==" saltValue="fUGPQbr+LC/7HNnq3FXnvg==" spinCount="100000" sqref="A1:XFD1048576" name="Range1" securityDescriptor="O:WDG:WDD:(A;;CC;;;S-1-5-21-577582919-1435025626-1914702595-4020469)(A;;CC;;;S-1-5-21-577582919-1435025626-1914702595-3940917)(A;;CC;;;S-1-5-21-577582919-1435025626-1914702595-3758999)(A;;CC;;;S-1-5-21-577582919-1435025626-1914702595-3758875)(A;;CC;;;S-1-5-21-577582919-1435025626-1914702595-4023729)(A;;CC;;;S-1-5-21-577582919-1435025626-1914702595-3758127)"/>
  </protectedRanges>
  <pageMargins left="0.7" right="0.7" top="0.75" bottom="0.75" header="0.3" footer="0.3"/>
  <pageSetup scale="63" fitToHeight="0" orientation="portrait" r:id="rId1"/>
  <headerFooter>
    <oddHeader>&amp;RKyPSC Case No. 2025-00229
STAFF-DR-01-005(b) Attachment 4
Page &amp;P of &amp;N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01DF9-5E5C-4516-A6D2-AB98DCB098C1}">
  <sheetPr codeName="Sheet1">
    <pageSetUpPr fitToPage="1"/>
  </sheetPr>
  <dimension ref="A1:V32"/>
  <sheetViews>
    <sheetView view="pageLayout" zoomScaleNormal="100" workbookViewId="0">
      <selection activeCell="A4" sqref="A4:J4"/>
    </sheetView>
  </sheetViews>
  <sheetFormatPr defaultRowHeight="15"/>
  <cols>
    <col min="1" max="1" width="23.5703125" bestFit="1" customWidth="1"/>
    <col min="2" max="2" width="25.85546875" bestFit="1" customWidth="1"/>
  </cols>
  <sheetData>
    <row r="1" spans="1:2" ht="15.75" thickBot="1">
      <c r="A1" s="245" t="s">
        <v>346</v>
      </c>
    </row>
    <row r="2" spans="1:2">
      <c r="A2" s="246" t="s">
        <v>347</v>
      </c>
      <c r="B2" s="247" t="s">
        <v>348</v>
      </c>
    </row>
    <row r="3" spans="1:2">
      <c r="A3" s="248"/>
      <c r="B3" s="27" t="s">
        <v>349</v>
      </c>
    </row>
    <row r="4" spans="1:2">
      <c r="A4" s="248"/>
      <c r="B4" s="249" t="s">
        <v>350</v>
      </c>
    </row>
    <row r="5" spans="1:2" ht="15.75" thickBot="1">
      <c r="A5" s="250"/>
      <c r="B5" s="142" t="s">
        <v>351</v>
      </c>
    </row>
    <row r="6" spans="1:2">
      <c r="A6" s="246" t="s">
        <v>352</v>
      </c>
      <c r="B6" s="247" t="s">
        <v>353</v>
      </c>
    </row>
    <row r="7" spans="1:2">
      <c r="A7" s="248"/>
      <c r="B7" s="27" t="s">
        <v>354</v>
      </c>
    </row>
    <row r="8" spans="1:2" ht="15.75" thickBot="1">
      <c r="A8" s="250"/>
      <c r="B8" s="142" t="s">
        <v>355</v>
      </c>
    </row>
    <row r="9" spans="1:2">
      <c r="A9" s="246" t="s">
        <v>356</v>
      </c>
      <c r="B9" s="247" t="s">
        <v>4</v>
      </c>
    </row>
    <row r="10" spans="1:2" ht="15.75" thickBot="1">
      <c r="A10" s="250"/>
      <c r="B10" s="142" t="s">
        <v>5</v>
      </c>
    </row>
    <row r="11" spans="1:2">
      <c r="A11" s="246" t="s">
        <v>282</v>
      </c>
      <c r="B11" s="247" t="s">
        <v>357</v>
      </c>
    </row>
    <row r="12" spans="1:2" ht="17.649999999999999" customHeight="1">
      <c r="A12" s="248"/>
      <c r="B12" s="27" t="s">
        <v>358</v>
      </c>
    </row>
    <row r="13" spans="1:2" ht="15.75" thickBot="1">
      <c r="A13" s="250"/>
      <c r="B13" s="142" t="s">
        <v>359</v>
      </c>
    </row>
    <row r="14" spans="1:2">
      <c r="A14" s="246" t="s">
        <v>360</v>
      </c>
      <c r="B14" s="247" t="s">
        <v>361</v>
      </c>
    </row>
    <row r="15" spans="1:2">
      <c r="A15" s="248"/>
      <c r="B15" s="27" t="s">
        <v>362</v>
      </c>
    </row>
    <row r="16" spans="1:2">
      <c r="A16" s="248"/>
      <c r="B16" s="27" t="s">
        <v>363</v>
      </c>
    </row>
    <row r="17" spans="1:22" ht="15.75" thickBot="1">
      <c r="A17" s="250"/>
      <c r="B17" s="142" t="s">
        <v>364</v>
      </c>
    </row>
    <row r="18" spans="1:22">
      <c r="A18" s="246" t="s">
        <v>365</v>
      </c>
      <c r="B18" s="247" t="s">
        <v>366</v>
      </c>
    </row>
    <row r="19" spans="1:22">
      <c r="A19" s="248"/>
      <c r="B19" s="27" t="s">
        <v>367</v>
      </c>
    </row>
    <row r="20" spans="1:22">
      <c r="A20" s="248"/>
      <c r="B20" s="27" t="s">
        <v>368</v>
      </c>
      <c r="U20">
        <v>6</v>
      </c>
      <c r="V20">
        <v>6</v>
      </c>
    </row>
    <row r="21" spans="1:22" ht="15.75" thickBot="1">
      <c r="A21" s="250"/>
      <c r="B21" s="142" t="s">
        <v>369</v>
      </c>
    </row>
    <row r="22" spans="1:22">
      <c r="A22" s="246" t="s">
        <v>370</v>
      </c>
      <c r="B22" s="247" t="s">
        <v>371</v>
      </c>
    </row>
    <row r="23" spans="1:22">
      <c r="A23" s="248"/>
      <c r="B23" s="27" t="s">
        <v>372</v>
      </c>
    </row>
    <row r="24" spans="1:22">
      <c r="A24" s="248"/>
      <c r="B24" s="27" t="s">
        <v>373</v>
      </c>
    </row>
    <row r="25" spans="1:22">
      <c r="A25" s="248"/>
      <c r="B25" s="27" t="s">
        <v>374</v>
      </c>
    </row>
    <row r="26" spans="1:22">
      <c r="A26" s="248"/>
      <c r="B26" s="27" t="s">
        <v>375</v>
      </c>
    </row>
    <row r="27" spans="1:22">
      <c r="A27" s="248"/>
      <c r="B27" s="27" t="s">
        <v>376</v>
      </c>
    </row>
    <row r="28" spans="1:22">
      <c r="A28" s="248"/>
      <c r="B28" s="27" t="s">
        <v>377</v>
      </c>
    </row>
    <row r="29" spans="1:22" ht="15.75" thickBot="1">
      <c r="A29" s="250"/>
      <c r="B29" s="142" t="s">
        <v>378</v>
      </c>
    </row>
    <row r="30" spans="1:22">
      <c r="A30" s="246" t="s">
        <v>379</v>
      </c>
      <c r="B30" s="247" t="s">
        <v>380</v>
      </c>
    </row>
    <row r="31" spans="1:22">
      <c r="A31" s="36"/>
      <c r="B31" s="27" t="s">
        <v>381</v>
      </c>
    </row>
    <row r="32" spans="1:22" ht="15.75" thickBot="1">
      <c r="A32" s="141"/>
      <c r="B32" s="142" t="s">
        <v>382</v>
      </c>
    </row>
  </sheetData>
  <pageMargins left="0.7" right="0.7" top="0.75" bottom="0.75" header="0.3" footer="0.3"/>
  <pageSetup scale="52" orientation="landscape" r:id="rId1"/>
  <headerFooter>
    <oddHeader>&amp;R&amp;"Times New Roman,Bold"&amp;10KyPSC Case No. 2025-00229
STAFF-DR-01-005(b) Attachment 4
Page &amp;P of &amp;N</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8ED5C-41CC-4F3B-B0B5-CD758CE3C361}">
  <sheetPr>
    <tabColor theme="4"/>
    <pageSetUpPr fitToPage="1"/>
  </sheetPr>
  <dimension ref="A1:L36"/>
  <sheetViews>
    <sheetView view="pageLayout" zoomScaleNormal="100" workbookViewId="0">
      <selection activeCell="A4" sqref="A4:J4"/>
    </sheetView>
  </sheetViews>
  <sheetFormatPr defaultRowHeight="15"/>
  <cols>
    <col min="1" max="1" width="22" bestFit="1" customWidth="1"/>
  </cols>
  <sheetData>
    <row r="1" spans="1:12" ht="15.75" thickBot="1"/>
    <row r="2" spans="1:12" ht="15" customHeight="1">
      <c r="A2" s="552" t="s">
        <v>659</v>
      </c>
      <c r="B2" s="553"/>
      <c r="C2" s="553"/>
      <c r="D2" s="553"/>
      <c r="E2" s="553"/>
      <c r="F2" s="553"/>
      <c r="G2" s="553"/>
      <c r="H2" s="553"/>
      <c r="I2" s="553"/>
      <c r="J2" s="553"/>
      <c r="K2" s="553"/>
      <c r="L2" s="554"/>
    </row>
    <row r="3" spans="1:12">
      <c r="A3" s="392"/>
      <c r="B3" s="393"/>
      <c r="C3" s="393"/>
      <c r="D3" s="393"/>
      <c r="E3" s="393"/>
      <c r="F3" s="393"/>
      <c r="G3" s="393"/>
      <c r="H3" s="393"/>
      <c r="I3" s="393"/>
      <c r="J3" s="393"/>
      <c r="K3" s="393"/>
      <c r="L3" s="394"/>
    </row>
    <row r="4" spans="1:12">
      <c r="A4" s="395" t="s">
        <v>16</v>
      </c>
      <c r="B4" s="396">
        <f>'Master Tab'!C9</f>
        <v>45671</v>
      </c>
      <c r="C4" s="393"/>
      <c r="D4" s="393"/>
      <c r="E4" s="393"/>
      <c r="F4" s="393"/>
      <c r="G4" s="393"/>
      <c r="H4" s="393"/>
      <c r="I4" s="393"/>
      <c r="J4" s="393"/>
      <c r="K4" s="393"/>
      <c r="L4" s="394"/>
    </row>
    <row r="5" spans="1:12">
      <c r="A5" s="397" t="s">
        <v>660</v>
      </c>
      <c r="B5" s="398" t="str">
        <f>'Master Tab'!C8</f>
        <v>Line AM07 Pipeline Replacement-Phase 4</v>
      </c>
      <c r="C5" s="393"/>
      <c r="D5" s="393"/>
      <c r="E5" s="393"/>
      <c r="F5" s="393"/>
      <c r="G5" s="393"/>
      <c r="H5" s="393"/>
      <c r="I5" s="393"/>
      <c r="J5" s="393"/>
      <c r="K5" s="393"/>
      <c r="L5" s="394"/>
    </row>
    <row r="6" spans="1:12">
      <c r="A6" s="397" t="s">
        <v>661</v>
      </c>
      <c r="B6" s="393" t="s">
        <v>664</v>
      </c>
      <c r="C6" s="393"/>
      <c r="D6" s="393"/>
      <c r="E6" s="393"/>
      <c r="F6" s="393"/>
      <c r="G6" s="393"/>
      <c r="H6" s="393"/>
      <c r="I6" s="393"/>
      <c r="J6" s="393"/>
      <c r="K6" s="393"/>
      <c r="L6" s="394"/>
    </row>
    <row r="7" spans="1:12">
      <c r="A7" s="397" t="s">
        <v>662</v>
      </c>
      <c r="B7" s="393" t="s">
        <v>665</v>
      </c>
      <c r="C7" s="393"/>
      <c r="D7" s="393"/>
      <c r="E7" s="393"/>
      <c r="F7" s="393"/>
      <c r="G7" s="393"/>
      <c r="H7" s="393"/>
      <c r="I7" s="393"/>
      <c r="J7" s="393"/>
      <c r="K7" s="393"/>
      <c r="L7" s="394"/>
    </row>
    <row r="8" spans="1:12">
      <c r="A8" s="392"/>
      <c r="B8" s="393"/>
      <c r="C8" s="393"/>
      <c r="D8" s="393"/>
      <c r="E8" s="393"/>
      <c r="F8" s="393"/>
      <c r="G8" s="393"/>
      <c r="H8" s="393"/>
      <c r="I8" s="393"/>
      <c r="J8" s="393"/>
      <c r="K8" s="393"/>
      <c r="L8" s="394"/>
    </row>
    <row r="9" spans="1:12">
      <c r="A9" s="539" t="s">
        <v>663</v>
      </c>
      <c r="B9" s="540"/>
      <c r="C9" s="540"/>
      <c r="D9" s="560" t="str">
        <f>Assumptions!A6</f>
        <v>1. 2023 Ecosys SOW:
Phase 4 (of 5 Phases) includes the following:
*Perform detailed engineering to support replacement of 11,690 feet (2.2 miles) of 24" pipe designed for a pressure of 1000 psig.
*Install new 24" steel pipeline that starts on the South side of the I-275 crossing near Licking Pk (tying into existing piping) and ending at Cold Springs Station. 
*Install necessary infrastructure at the Cold Springs Station, including a launcher for the new line. 
*Abandon Line AM07 along this section.
*Address remaining farm taps.
*Preliminary proposed pipeline route that was field reviewed by Implementation is included in attachment. Right of Way (ROW) reclamation will be required.  
2023 Revised Scope per the Project Manager:
*Perform detailed engineering to support replacement of 17,424 LF (3.3 Miles) of 24" Pipe designed for a pressure of 1000psig.
*Install new 24" pipeline along the route proposed by the Map Exhibit below.
*Install necessary infrastructure at the Cold Springs Station, including a launcher for the new line.
*Abandon Line AM07 along this section.
*Address remaining Farm Taps.
*Right of Way Reclamation will be required.</v>
      </c>
      <c r="E9" s="561"/>
      <c r="F9" s="561"/>
      <c r="G9" s="561"/>
      <c r="H9" s="561"/>
      <c r="I9" s="561"/>
      <c r="J9" s="561"/>
      <c r="K9" s="561"/>
      <c r="L9" s="562"/>
    </row>
    <row r="10" spans="1:12">
      <c r="A10" s="541"/>
      <c r="B10" s="542"/>
      <c r="C10" s="542"/>
      <c r="D10" s="563"/>
      <c r="E10" s="563"/>
      <c r="F10" s="563"/>
      <c r="G10" s="563"/>
      <c r="H10" s="563"/>
      <c r="I10" s="563"/>
      <c r="J10" s="563"/>
      <c r="K10" s="563"/>
      <c r="L10" s="564"/>
    </row>
    <row r="11" spans="1:12">
      <c r="A11" s="541"/>
      <c r="B11" s="542"/>
      <c r="C11" s="542"/>
      <c r="D11" s="563"/>
      <c r="E11" s="563"/>
      <c r="F11" s="563"/>
      <c r="G11" s="563"/>
      <c r="H11" s="563"/>
      <c r="I11" s="563"/>
      <c r="J11" s="563"/>
      <c r="K11" s="563"/>
      <c r="L11" s="564"/>
    </row>
    <row r="12" spans="1:12">
      <c r="A12" s="541"/>
      <c r="B12" s="542"/>
      <c r="C12" s="542"/>
      <c r="D12" s="563"/>
      <c r="E12" s="563"/>
      <c r="F12" s="563"/>
      <c r="G12" s="563"/>
      <c r="H12" s="563"/>
      <c r="I12" s="563"/>
      <c r="J12" s="563"/>
      <c r="K12" s="563"/>
      <c r="L12" s="564"/>
    </row>
    <row r="13" spans="1:12">
      <c r="A13" s="543"/>
      <c r="B13" s="544"/>
      <c r="C13" s="544"/>
      <c r="D13" s="565"/>
      <c r="E13" s="565"/>
      <c r="F13" s="565"/>
      <c r="G13" s="565"/>
      <c r="H13" s="565"/>
      <c r="I13" s="565"/>
      <c r="J13" s="565"/>
      <c r="K13" s="565"/>
      <c r="L13" s="566"/>
    </row>
    <row r="14" spans="1:12">
      <c r="A14" s="392"/>
      <c r="B14" s="393"/>
      <c r="C14" s="393"/>
      <c r="D14" s="393"/>
      <c r="E14" s="393"/>
      <c r="F14" s="393"/>
      <c r="G14" s="393"/>
      <c r="H14" s="393"/>
      <c r="I14" s="393"/>
      <c r="J14" s="393"/>
      <c r="K14" s="393"/>
      <c r="L14" s="394"/>
    </row>
    <row r="15" spans="1:12" ht="15" customHeight="1">
      <c r="A15" s="545" t="s">
        <v>666</v>
      </c>
      <c r="B15" s="546"/>
      <c r="C15" s="546"/>
      <c r="D15" s="546"/>
      <c r="E15" s="546"/>
      <c r="F15" s="546"/>
      <c r="G15" s="546"/>
      <c r="H15" s="546"/>
      <c r="I15" s="546"/>
      <c r="J15" s="546"/>
      <c r="K15" s="546"/>
      <c r="L15" s="547"/>
    </row>
    <row r="16" spans="1:12">
      <c r="A16" s="545"/>
      <c r="B16" s="546"/>
      <c r="C16" s="546"/>
      <c r="D16" s="546"/>
      <c r="E16" s="546"/>
      <c r="F16" s="546"/>
      <c r="G16" s="546"/>
      <c r="H16" s="546"/>
      <c r="I16" s="546"/>
      <c r="J16" s="546"/>
      <c r="K16" s="546"/>
      <c r="L16" s="547"/>
    </row>
    <row r="17" spans="1:12">
      <c r="A17" s="545"/>
      <c r="B17" s="546"/>
      <c r="C17" s="546"/>
      <c r="D17" s="546"/>
      <c r="E17" s="546"/>
      <c r="F17" s="546"/>
      <c r="G17" s="546"/>
      <c r="H17" s="546"/>
      <c r="I17" s="546"/>
      <c r="J17" s="546"/>
      <c r="K17" s="546"/>
      <c r="L17" s="547"/>
    </row>
    <row r="18" spans="1:12">
      <c r="A18" s="399"/>
      <c r="B18" s="400"/>
      <c r="C18" s="400"/>
      <c r="D18" s="400"/>
      <c r="E18" s="400"/>
      <c r="F18" s="400"/>
      <c r="G18" s="400"/>
      <c r="H18" s="400"/>
      <c r="I18" s="400"/>
      <c r="J18" s="400"/>
      <c r="K18" s="400"/>
      <c r="L18" s="401"/>
    </row>
    <row r="19" spans="1:12">
      <c r="A19" s="555" t="s">
        <v>667</v>
      </c>
      <c r="B19" s="556"/>
      <c r="C19" s="556"/>
      <c r="D19" s="556"/>
      <c r="E19" s="556"/>
      <c r="F19" s="556"/>
      <c r="G19" s="556"/>
      <c r="H19" s="556"/>
      <c r="I19" s="556"/>
      <c r="J19" s="557" t="s">
        <v>668</v>
      </c>
      <c r="K19" s="558"/>
      <c r="L19" s="559"/>
    </row>
    <row r="20" spans="1:12" ht="15" customHeight="1">
      <c r="A20" s="548" t="s">
        <v>669</v>
      </c>
      <c r="B20" s="549"/>
      <c r="C20" s="549"/>
      <c r="D20" s="549"/>
      <c r="E20" s="549"/>
      <c r="F20" s="549"/>
      <c r="G20" s="549"/>
      <c r="H20" s="549"/>
      <c r="I20" s="549"/>
      <c r="J20" s="550" t="s">
        <v>5</v>
      </c>
      <c r="K20" s="550"/>
      <c r="L20" s="551"/>
    </row>
    <row r="21" spans="1:12">
      <c r="A21" s="548"/>
      <c r="B21" s="549"/>
      <c r="C21" s="549"/>
      <c r="D21" s="549"/>
      <c r="E21" s="549"/>
      <c r="F21" s="549"/>
      <c r="G21" s="549"/>
      <c r="H21" s="549"/>
      <c r="I21" s="549"/>
      <c r="J21" s="550"/>
      <c r="K21" s="550"/>
      <c r="L21" s="551"/>
    </row>
    <row r="22" spans="1:12">
      <c r="A22" s="548"/>
      <c r="B22" s="549"/>
      <c r="C22" s="549"/>
      <c r="D22" s="549"/>
      <c r="E22" s="549"/>
      <c r="F22" s="549"/>
      <c r="G22" s="549"/>
      <c r="H22" s="549"/>
      <c r="I22" s="549"/>
      <c r="J22" s="550"/>
      <c r="K22" s="550"/>
      <c r="L22" s="551"/>
    </row>
    <row r="23" spans="1:12" ht="15" customHeight="1">
      <c r="A23" s="548" t="s">
        <v>670</v>
      </c>
      <c r="B23" s="549"/>
      <c r="C23" s="549"/>
      <c r="D23" s="549"/>
      <c r="E23" s="549"/>
      <c r="F23" s="549"/>
      <c r="G23" s="549"/>
      <c r="H23" s="549"/>
      <c r="I23" s="549"/>
      <c r="J23" s="550" t="s">
        <v>5</v>
      </c>
      <c r="K23" s="550"/>
      <c r="L23" s="551"/>
    </row>
    <row r="24" spans="1:12">
      <c r="A24" s="548"/>
      <c r="B24" s="549"/>
      <c r="C24" s="549"/>
      <c r="D24" s="549"/>
      <c r="E24" s="549"/>
      <c r="F24" s="549"/>
      <c r="G24" s="549"/>
      <c r="H24" s="549"/>
      <c r="I24" s="549"/>
      <c r="J24" s="550"/>
      <c r="K24" s="550"/>
      <c r="L24" s="551"/>
    </row>
    <row r="25" spans="1:12">
      <c r="A25" s="548"/>
      <c r="B25" s="549"/>
      <c r="C25" s="549"/>
      <c r="D25" s="549"/>
      <c r="E25" s="549"/>
      <c r="F25" s="549"/>
      <c r="G25" s="549"/>
      <c r="H25" s="549"/>
      <c r="I25" s="549"/>
      <c r="J25" s="550"/>
      <c r="K25" s="550"/>
      <c r="L25" s="551"/>
    </row>
    <row r="26" spans="1:12">
      <c r="A26" s="548"/>
      <c r="B26" s="549"/>
      <c r="C26" s="549"/>
      <c r="D26" s="549"/>
      <c r="E26" s="549"/>
      <c r="F26" s="549"/>
      <c r="G26" s="549"/>
      <c r="H26" s="549"/>
      <c r="I26" s="549"/>
      <c r="J26" s="550"/>
      <c r="K26" s="550"/>
      <c r="L26" s="551"/>
    </row>
    <row r="27" spans="1:12">
      <c r="A27" s="548" t="s">
        <v>671</v>
      </c>
      <c r="B27" s="549"/>
      <c r="C27" s="549"/>
      <c r="D27" s="549"/>
      <c r="E27" s="549"/>
      <c r="F27" s="549"/>
      <c r="G27" s="549"/>
      <c r="H27" s="549"/>
      <c r="I27" s="549"/>
      <c r="J27" s="550" t="s">
        <v>5</v>
      </c>
      <c r="K27" s="550"/>
      <c r="L27" s="551"/>
    </row>
    <row r="28" spans="1:12">
      <c r="A28" s="548"/>
      <c r="B28" s="549"/>
      <c r="C28" s="549"/>
      <c r="D28" s="549"/>
      <c r="E28" s="549"/>
      <c r="F28" s="549"/>
      <c r="G28" s="549"/>
      <c r="H28" s="549"/>
      <c r="I28" s="549"/>
      <c r="J28" s="550"/>
      <c r="K28" s="550"/>
      <c r="L28" s="551"/>
    </row>
    <row r="29" spans="1:12">
      <c r="A29" s="548"/>
      <c r="B29" s="549"/>
      <c r="C29" s="549"/>
      <c r="D29" s="549"/>
      <c r="E29" s="549"/>
      <c r="F29" s="549"/>
      <c r="G29" s="549"/>
      <c r="H29" s="549"/>
      <c r="I29" s="549"/>
      <c r="J29" s="550"/>
      <c r="K29" s="550"/>
      <c r="L29" s="551"/>
    </row>
    <row r="30" spans="1:12">
      <c r="A30" s="548" t="s">
        <v>672</v>
      </c>
      <c r="B30" s="549"/>
      <c r="C30" s="549"/>
      <c r="D30" s="549"/>
      <c r="E30" s="549"/>
      <c r="F30" s="549"/>
      <c r="G30" s="549"/>
      <c r="H30" s="549"/>
      <c r="I30" s="549"/>
      <c r="J30" s="573" t="s">
        <v>5</v>
      </c>
      <c r="K30" s="573"/>
      <c r="L30" s="574"/>
    </row>
    <row r="31" spans="1:12">
      <c r="A31" s="548"/>
      <c r="B31" s="549"/>
      <c r="C31" s="549"/>
      <c r="D31" s="549"/>
      <c r="E31" s="549"/>
      <c r="F31" s="549"/>
      <c r="G31" s="549"/>
      <c r="H31" s="549"/>
      <c r="I31" s="549"/>
      <c r="J31" s="573"/>
      <c r="K31" s="573"/>
      <c r="L31" s="574"/>
    </row>
    <row r="32" spans="1:12">
      <c r="A32" s="548" t="s">
        <v>673</v>
      </c>
      <c r="B32" s="549"/>
      <c r="C32" s="549"/>
      <c r="D32" s="549"/>
      <c r="E32" s="549"/>
      <c r="F32" s="549"/>
      <c r="G32" s="549"/>
      <c r="H32" s="549"/>
      <c r="I32" s="549"/>
      <c r="J32" s="550" t="s">
        <v>5</v>
      </c>
      <c r="K32" s="550"/>
      <c r="L32" s="551"/>
    </row>
    <row r="33" spans="1:12">
      <c r="A33" s="548"/>
      <c r="B33" s="549"/>
      <c r="C33" s="549"/>
      <c r="D33" s="549"/>
      <c r="E33" s="549"/>
      <c r="F33" s="549"/>
      <c r="G33" s="549"/>
      <c r="H33" s="549"/>
      <c r="I33" s="549"/>
      <c r="J33" s="550"/>
      <c r="K33" s="550"/>
      <c r="L33" s="551"/>
    </row>
    <row r="34" spans="1:12" ht="15.75" thickBot="1">
      <c r="A34" s="392"/>
      <c r="B34" s="393"/>
      <c r="C34" s="393"/>
      <c r="D34" s="393"/>
      <c r="E34" s="393"/>
      <c r="F34" s="393"/>
      <c r="G34" s="393"/>
      <c r="H34" s="393"/>
      <c r="I34" s="393"/>
      <c r="J34" s="393"/>
      <c r="K34" s="393"/>
      <c r="L34" s="394"/>
    </row>
    <row r="35" spans="1:12">
      <c r="A35" s="567" t="s">
        <v>674</v>
      </c>
      <c r="B35" s="568"/>
      <c r="C35" s="568"/>
      <c r="D35" s="568"/>
      <c r="E35" s="568"/>
      <c r="F35" s="568"/>
      <c r="G35" s="568"/>
      <c r="H35" s="568"/>
      <c r="I35" s="568"/>
      <c r="J35" s="568"/>
      <c r="K35" s="568"/>
      <c r="L35" s="569"/>
    </row>
    <row r="36" spans="1:12" ht="15.75" thickBot="1">
      <c r="A36" s="570"/>
      <c r="B36" s="571"/>
      <c r="C36" s="571"/>
      <c r="D36" s="571"/>
      <c r="E36" s="571"/>
      <c r="F36" s="571"/>
      <c r="G36" s="571"/>
      <c r="H36" s="571"/>
      <c r="I36" s="571"/>
      <c r="J36" s="571"/>
      <c r="K36" s="571"/>
      <c r="L36" s="572"/>
    </row>
  </sheetData>
  <mergeCells count="17">
    <mergeCell ref="A35:L36"/>
    <mergeCell ref="A23:I26"/>
    <mergeCell ref="J23:L26"/>
    <mergeCell ref="A27:I29"/>
    <mergeCell ref="J27:L29"/>
    <mergeCell ref="A30:I31"/>
    <mergeCell ref="J30:L31"/>
    <mergeCell ref="A9:C13"/>
    <mergeCell ref="A15:L17"/>
    <mergeCell ref="A32:I33"/>
    <mergeCell ref="J32:L33"/>
    <mergeCell ref="A2:L2"/>
    <mergeCell ref="A19:I19"/>
    <mergeCell ref="J19:L19"/>
    <mergeCell ref="A20:I22"/>
    <mergeCell ref="J20:L22"/>
    <mergeCell ref="D9:L13"/>
  </mergeCells>
  <conditionalFormatting sqref="J20:L33">
    <cfRule type="cellIs" dxfId="5" priority="1" operator="equal">
      <formula>"No"</formula>
    </cfRule>
    <cfRule type="cellIs" dxfId="4" priority="2" operator="equal">
      <formula>"Unknown"</formula>
    </cfRule>
    <cfRule type="cellIs" dxfId="3" priority="3" operator="equal">
      <formula>"Yes"</formula>
    </cfRule>
  </conditionalFormatting>
  <dataValidations count="1">
    <dataValidation type="list" showInputMessage="1" showErrorMessage="1" sqref="J20:L33" xr:uid="{57E8FAF4-147A-4372-9090-8F423450D57A}">
      <formula1>"Yes, No, Unknown"</formula1>
    </dataValidation>
  </dataValidations>
  <pageMargins left="0.7" right="0.7" top="0.75" bottom="0.75" header="0.3" footer="0.3"/>
  <pageSetup scale="95" orientation="landscape" r:id="rId1"/>
  <headerFooter>
    <oddHeader>&amp;R&amp;"Times New Roman,Bold"&amp;10KyPSC Case No. 2025-00229
STAFF-DR-01-005(b) Attachment 4
Page &amp;P of &amp;N</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BE47-3022-4482-8A08-F117B1CD183A}">
  <sheetPr codeName="Sheet2">
    <tabColor theme="4"/>
    <pageSetUpPr fitToPage="1"/>
  </sheetPr>
  <dimension ref="A1:V71"/>
  <sheetViews>
    <sheetView view="pageLayout" zoomScale="80" zoomScaleNormal="70" zoomScalePageLayoutView="80" workbookViewId="0">
      <selection activeCell="A4" sqref="A4:J4"/>
    </sheetView>
  </sheetViews>
  <sheetFormatPr defaultRowHeight="15"/>
  <cols>
    <col min="1" max="1" width="7" customWidth="1"/>
    <col min="2" max="2" width="93.5703125" customWidth="1"/>
    <col min="3" max="3" width="23.42578125" customWidth="1"/>
    <col min="4" max="4" width="15.42578125" customWidth="1"/>
    <col min="5" max="5" width="17" hidden="1" customWidth="1"/>
    <col min="6" max="6" width="15.5703125" hidden="1" customWidth="1"/>
    <col min="7" max="7" width="19.5703125" hidden="1" customWidth="1"/>
    <col min="8" max="8" width="16.42578125" customWidth="1"/>
    <col min="9" max="9" width="13.5703125" customWidth="1"/>
    <col min="10" max="10" width="34.7109375" hidden="1" customWidth="1"/>
    <col min="11" max="11" width="25.5703125" hidden="1" customWidth="1"/>
    <col min="15" max="15" width="16" customWidth="1"/>
    <col min="16" max="16" width="14.42578125" customWidth="1"/>
    <col min="17" max="17" width="16.28515625" customWidth="1"/>
    <col min="18" max="18" width="15.28515625" customWidth="1"/>
  </cols>
  <sheetData>
    <row r="1" spans="1:19" ht="29.25" customHeight="1">
      <c r="A1" s="577" t="s">
        <v>383</v>
      </c>
      <c r="B1" s="578"/>
      <c r="C1" s="578"/>
      <c r="D1" s="578"/>
      <c r="E1" s="578"/>
      <c r="F1" s="578"/>
      <c r="G1" s="578"/>
      <c r="H1" s="578"/>
      <c r="I1" s="579"/>
    </row>
    <row r="2" spans="1:19" ht="34.5" customHeight="1" thickBot="1">
      <c r="A2" s="580" t="s">
        <v>384</v>
      </c>
      <c r="B2" s="581"/>
      <c r="C2" s="251" t="s">
        <v>385</v>
      </c>
      <c r="D2" s="252"/>
      <c r="E2" s="252"/>
      <c r="F2" s="252"/>
      <c r="G2" s="252"/>
      <c r="H2" s="582"/>
      <c r="I2" s="583"/>
      <c r="J2" t="s">
        <v>386</v>
      </c>
      <c r="K2" t="s">
        <v>386</v>
      </c>
      <c r="M2" s="253" t="s">
        <v>387</v>
      </c>
    </row>
    <row r="3" spans="1:19" ht="20.100000000000001" customHeight="1" thickBot="1">
      <c r="A3" s="254" t="s">
        <v>388</v>
      </c>
      <c r="B3" s="255" t="s">
        <v>389</v>
      </c>
      <c r="C3" s="256" t="s">
        <v>390</v>
      </c>
      <c r="D3" s="257" t="s">
        <v>391</v>
      </c>
      <c r="E3" s="257"/>
      <c r="F3" s="257" t="s">
        <v>392</v>
      </c>
      <c r="G3" s="257"/>
      <c r="H3" s="257" t="s">
        <v>393</v>
      </c>
      <c r="I3" s="258" t="s">
        <v>394</v>
      </c>
      <c r="J3" s="259" t="s">
        <v>395</v>
      </c>
      <c r="K3" s="259" t="s">
        <v>394</v>
      </c>
      <c r="M3" s="253" t="s">
        <v>396</v>
      </c>
    </row>
    <row r="4" spans="1:19" ht="20.100000000000001" customHeight="1" thickBot="1">
      <c r="A4" s="584" t="s">
        <v>397</v>
      </c>
      <c r="B4" s="585"/>
      <c r="C4" s="260"/>
      <c r="D4" s="261"/>
      <c r="E4" s="261"/>
      <c r="F4" s="261"/>
      <c r="G4" s="261"/>
      <c r="H4" s="261"/>
      <c r="I4" s="262"/>
      <c r="M4" s="253"/>
    </row>
    <row r="5" spans="1:19" ht="20.100000000000001" customHeight="1" thickBot="1">
      <c r="A5" s="263">
        <v>1.1000000000000001</v>
      </c>
      <c r="B5" s="264" t="s">
        <v>398</v>
      </c>
      <c r="C5" s="265" t="s">
        <v>348</v>
      </c>
      <c r="D5" s="266"/>
      <c r="E5" s="267"/>
      <c r="F5" s="268"/>
      <c r="G5" s="269"/>
      <c r="H5" s="266">
        <f>IF(C5="&lt; 1 mile",1,IF(C5="1-5 miles",3,IF(C5="&gt; 5 miles",5,0)))</f>
        <v>0</v>
      </c>
      <c r="I5" s="270">
        <f>IF(C5="&lt; 1 mile",1,IF(C5="1-5 miles",3,IF(C5="&gt; 5 miles",5,0)))</f>
        <v>0</v>
      </c>
      <c r="J5" t="s">
        <v>399</v>
      </c>
      <c r="K5" t="s">
        <v>399</v>
      </c>
    </row>
    <row r="6" spans="1:19" ht="20.100000000000001" customHeight="1" thickBot="1">
      <c r="A6" s="263">
        <v>1.2</v>
      </c>
      <c r="B6" s="264" t="s">
        <v>400</v>
      </c>
      <c r="C6" s="265" t="s">
        <v>350</v>
      </c>
      <c r="D6" s="266"/>
      <c r="E6" s="38"/>
      <c r="F6" s="271"/>
      <c r="G6" s="272"/>
      <c r="H6" s="266">
        <f>IF(C6="&lt; 1 mile",0,IF(C6="1-5 miles",1,IF(C6="&gt; 5 miles",2,0)))</f>
        <v>1</v>
      </c>
      <c r="I6" s="266">
        <f>IF(C6="&lt; 1 mile",0,IF(C6="1-5 miles",1,IF(C6="&gt; 5 miles",1,0)))</f>
        <v>1</v>
      </c>
      <c r="J6" t="s">
        <v>401</v>
      </c>
      <c r="K6" t="s">
        <v>402</v>
      </c>
    </row>
    <row r="7" spans="1:19" ht="21.6" customHeight="1" thickBot="1">
      <c r="A7" s="263">
        <v>1.3</v>
      </c>
      <c r="B7" s="264" t="s">
        <v>403</v>
      </c>
      <c r="C7" s="265" t="s">
        <v>4</v>
      </c>
      <c r="D7" s="273"/>
      <c r="E7" s="274"/>
      <c r="F7" s="274"/>
      <c r="G7" s="274"/>
      <c r="H7" s="275">
        <f>IF(C7="YES",3,0)</f>
        <v>3</v>
      </c>
      <c r="I7" s="276">
        <f>IF(C7="YES",2,0)</f>
        <v>2</v>
      </c>
      <c r="J7" t="s">
        <v>404</v>
      </c>
      <c r="K7" t="s">
        <v>405</v>
      </c>
    </row>
    <row r="8" spans="1:19" ht="20.100000000000001" customHeight="1" thickBot="1">
      <c r="A8" s="263">
        <v>1.4</v>
      </c>
      <c r="B8" s="264" t="s">
        <v>406</v>
      </c>
      <c r="C8" s="277" t="s">
        <v>5</v>
      </c>
      <c r="D8" s="278"/>
      <c r="E8" s="278"/>
      <c r="F8" s="278"/>
      <c r="G8" s="278"/>
      <c r="H8" s="278">
        <f>IF(C8="YES",3,0)</f>
        <v>0</v>
      </c>
      <c r="I8" s="278">
        <f>IF(C8="YES",3,0)</f>
        <v>0</v>
      </c>
      <c r="J8" t="s">
        <v>404</v>
      </c>
      <c r="K8" t="s">
        <v>404</v>
      </c>
    </row>
    <row r="9" spans="1:19" ht="20.100000000000001" customHeight="1" thickBot="1">
      <c r="A9" s="263">
        <v>1.5</v>
      </c>
      <c r="B9" s="264" t="s">
        <v>407</v>
      </c>
      <c r="C9" s="277" t="s">
        <v>5</v>
      </c>
      <c r="D9" s="268"/>
      <c r="E9" s="268"/>
      <c r="F9" s="268"/>
      <c r="G9" s="268"/>
      <c r="H9" s="268">
        <f>IF(C9="YES",8,0)</f>
        <v>0</v>
      </c>
      <c r="I9" s="268">
        <f>IF(C9="YES",7,0)</f>
        <v>0</v>
      </c>
      <c r="J9" t="s">
        <v>408</v>
      </c>
      <c r="K9" t="s">
        <v>409</v>
      </c>
      <c r="N9" s="586" t="s">
        <v>410</v>
      </c>
      <c r="O9" s="587"/>
      <c r="P9" s="587"/>
      <c r="Q9" s="587"/>
      <c r="R9" s="587"/>
      <c r="S9" s="588"/>
    </row>
    <row r="10" spans="1:19" ht="20.100000000000001" customHeight="1" thickBot="1">
      <c r="A10" s="279">
        <v>1.6</v>
      </c>
      <c r="B10" s="280" t="s">
        <v>411</v>
      </c>
      <c r="C10" s="277" t="s">
        <v>5</v>
      </c>
      <c r="D10" s="268"/>
      <c r="E10" s="268"/>
      <c r="F10" s="268"/>
      <c r="G10" s="268"/>
      <c r="H10" s="268">
        <f>IF(C10="YES",3,0)</f>
        <v>0</v>
      </c>
      <c r="I10" s="268">
        <f>IF(C10="YES",3,0)</f>
        <v>0</v>
      </c>
      <c r="J10" t="s">
        <v>404</v>
      </c>
      <c r="K10" t="s">
        <v>404</v>
      </c>
      <c r="N10" s="589" t="s">
        <v>393</v>
      </c>
      <c r="O10" s="281" t="str">
        <f>IF($H$46&gt;45,IF($I$46&lt;=15,"X",""),"")</f>
        <v/>
      </c>
      <c r="P10" s="282" t="str">
        <f>IF($H$46&gt;45,IF(AND($I$46&gt;15,$I$46&lt;=28),"X",""),"")</f>
        <v/>
      </c>
      <c r="Q10" s="282" t="str">
        <f>IF($H$46&gt;45,IF(AND($I$46&gt;28,$I$46&lt;=41),"X",""),"")</f>
        <v/>
      </c>
      <c r="R10" s="282" t="str">
        <f>IF($H$46&gt;45,IF(AND($I$46&gt;41,$I$46&lt;=52),"X",""),"")</f>
        <v/>
      </c>
      <c r="S10" s="283" t="str">
        <f>IF($H$46&gt;45,IF($I$46&gt;52,"X",""),"")</f>
        <v/>
      </c>
    </row>
    <row r="11" spans="1:19" ht="20.100000000000001" customHeight="1" thickBot="1">
      <c r="A11" s="279">
        <v>1.7</v>
      </c>
      <c r="B11" s="280" t="s">
        <v>412</v>
      </c>
      <c r="C11" s="277" t="s">
        <v>5</v>
      </c>
      <c r="D11" s="268"/>
      <c r="E11" s="268"/>
      <c r="F11" s="268"/>
      <c r="G11" s="268"/>
      <c r="H11" s="268">
        <f>IF(C11="YES",2,0)</f>
        <v>0</v>
      </c>
      <c r="I11" s="268">
        <f>IF(C11="YES",5,0)</f>
        <v>0</v>
      </c>
      <c r="J11" t="s">
        <v>405</v>
      </c>
      <c r="K11" t="s">
        <v>413</v>
      </c>
      <c r="N11" s="590"/>
      <c r="O11" s="284" t="str">
        <f>IF(AND($H$46&gt;35,$H$46&lt;=45),IF($I$46&lt;=15,"X",""),"")</f>
        <v/>
      </c>
      <c r="P11" s="285" t="str">
        <f>IF(AND($H$46&gt;35,$H$46&lt;=45),IF(AND($I$46&gt;15,$I$46&lt;=28),"X",""),"")</f>
        <v/>
      </c>
      <c r="Q11" s="286" t="str">
        <f>IF(AND($H$46&gt;35,$H$46&lt;=45),IF(AND($I$46&gt;28,$I$46&lt;=41),"X",""),"")</f>
        <v/>
      </c>
      <c r="R11" s="286" t="str">
        <f>IF(AND($H$46&gt;35,$H$46&lt;=45),IF(AND($I$46&gt;41,$I$46&lt;=52),"X",""),"")</f>
        <v/>
      </c>
      <c r="S11" s="287" t="str">
        <f>IF(AND($H$46&gt;35,$H$46&lt;=45),IF($I$46&gt;52,"X",""),"")</f>
        <v/>
      </c>
    </row>
    <row r="12" spans="1:19" ht="20.100000000000001" customHeight="1" thickBot="1">
      <c r="A12" s="591" t="s">
        <v>414</v>
      </c>
      <c r="B12" s="592"/>
      <c r="C12" s="288"/>
      <c r="D12" s="289"/>
      <c r="E12" s="289"/>
      <c r="F12" s="289"/>
      <c r="G12" s="289"/>
      <c r="H12" s="289"/>
      <c r="I12" s="290"/>
      <c r="N12" s="590"/>
      <c r="O12" s="291" t="str">
        <f>IF(AND($H$46&gt;23,$H$46&lt;=34),IF($I$46&lt;=15,"X",""),"")</f>
        <v/>
      </c>
      <c r="P12" s="285" t="str">
        <f>IF(AND($H$46&gt;23,$H$46&lt;=35),IF(AND($I$46&gt;15,$I$46&lt;=28),"X",""),"")</f>
        <v/>
      </c>
      <c r="Q12" s="285" t="str">
        <f>IF(AND($H$46&gt;23,$H$46&lt;=35),IF(AND($I$46&gt;28,$I$46&lt;=41),"X",""),"")</f>
        <v/>
      </c>
      <c r="R12" s="286" t="str">
        <f>IF(AND($H$46&gt;23,$H$46&lt;=35),IF(AND($I$46&gt;41,$I$46&lt;=52),"X",""),"")</f>
        <v/>
      </c>
      <c r="S12" s="287" t="str">
        <f>IF(AND($H$46&gt;23,$H$46&lt;=35),IF($I$46&gt;52,"X",""),"")</f>
        <v/>
      </c>
    </row>
    <row r="13" spans="1:19" ht="20.100000000000001" customHeight="1" thickBot="1">
      <c r="A13" s="292">
        <v>2.1</v>
      </c>
      <c r="B13" s="264" t="s">
        <v>415</v>
      </c>
      <c r="C13" s="277" t="s">
        <v>357</v>
      </c>
      <c r="D13" s="268"/>
      <c r="E13" s="268"/>
      <c r="F13" s="268"/>
      <c r="G13" s="268"/>
      <c r="H13" s="268">
        <f>IF(C13="Urban",7,IF(C13="Suburban",6,IF(C13="Rural",0,0)))</f>
        <v>7</v>
      </c>
      <c r="I13" s="268">
        <f>IF(C13="Urban",7,IF(C13="Suburban",5,IF(C13="Rural",0,0)))</f>
        <v>7</v>
      </c>
      <c r="J13" t="s">
        <v>416</v>
      </c>
      <c r="K13" t="s">
        <v>417</v>
      </c>
      <c r="N13" s="590"/>
      <c r="O13" s="291" t="str">
        <f>IF(AND($H$46&gt;12,$H$46&lt;=23),IF($I$46&lt;=15,"X",""),"")</f>
        <v/>
      </c>
      <c r="P13" s="293" t="str">
        <f>IF(AND($H$46&gt;12,$H$46&lt;=23),IF(AND($I$46&gt;15,$I$46&lt;=28),"X",""),"")</f>
        <v>X</v>
      </c>
      <c r="Q13" s="285" t="str">
        <f>IF(AND($H$46&gt;12,$H$46&lt;=23),IF(AND($I$46&gt;28,$I$46&lt;=41),"X",""),"")</f>
        <v/>
      </c>
      <c r="R13" s="294" t="str">
        <f>IF(AND($H$46&gt;12,$H$46&lt;=23),IF(AND($I$46&gt;41,$I$46&lt;=52),"X",""),"")</f>
        <v/>
      </c>
      <c r="S13" s="287" t="str">
        <f>IF(AND($H$46&gt;12,$H$46&lt;=23),IF($I$46&gt;52,"X",""),"")</f>
        <v/>
      </c>
    </row>
    <row r="14" spans="1:19" ht="20.100000000000001" customHeight="1" thickBot="1">
      <c r="A14" s="292">
        <v>2.2000000000000002</v>
      </c>
      <c r="B14" s="264" t="s">
        <v>418</v>
      </c>
      <c r="C14" s="277" t="s">
        <v>4</v>
      </c>
      <c r="D14" s="268"/>
      <c r="E14" s="268"/>
      <c r="F14" s="268"/>
      <c r="G14" s="268"/>
      <c r="H14" s="268">
        <f>IF(C14="YES",3,0)</f>
        <v>3</v>
      </c>
      <c r="I14" s="268">
        <f>IF(C14="YES",3,0)</f>
        <v>3</v>
      </c>
      <c r="J14" t="s">
        <v>404</v>
      </c>
      <c r="K14" t="s">
        <v>404</v>
      </c>
      <c r="N14" s="590"/>
      <c r="O14" s="295" t="str">
        <f>IF($H$46&lt;=12,IF($I$46&lt;=15,"X",""),"")</f>
        <v/>
      </c>
      <c r="P14" s="296" t="str">
        <f>IF($H$46&lt;=12,IF(AND($I$46&gt;15, $I$46&lt;=28),"X",""),"")</f>
        <v/>
      </c>
      <c r="Q14" s="296" t="str">
        <f>IF($H$46&lt;=12,IF(AND($I$46&gt;28,$I$46&lt;=41),"X",""),"")</f>
        <v/>
      </c>
      <c r="R14" s="297" t="str">
        <f>IF($H$46&lt;=12,IF(AND($I$46&gt;41,$I$46&lt;=52),"X",""),"")</f>
        <v/>
      </c>
      <c r="S14" s="298" t="str">
        <f>IF($H$46&lt;=12,IF($I$46&gt;52,"X",""),"")</f>
        <v/>
      </c>
    </row>
    <row r="15" spans="1:19" ht="20.100000000000001" customHeight="1" thickBot="1">
      <c r="A15" s="292">
        <v>2.2999999999999998</v>
      </c>
      <c r="B15" s="264" t="s">
        <v>419</v>
      </c>
      <c r="C15" s="277" t="s">
        <v>5</v>
      </c>
      <c r="D15" s="268"/>
      <c r="E15" s="268"/>
      <c r="F15" s="268"/>
      <c r="G15" s="268"/>
      <c r="H15" s="268">
        <f>IF(C15="YES",4,0)</f>
        <v>0</v>
      </c>
      <c r="I15" s="299">
        <f>IF(C15="YES",4,0)</f>
        <v>0</v>
      </c>
      <c r="J15" t="s">
        <v>420</v>
      </c>
      <c r="K15" t="s">
        <v>420</v>
      </c>
      <c r="N15" s="300"/>
      <c r="O15" s="575" t="s">
        <v>394</v>
      </c>
      <c r="P15" s="575"/>
      <c r="Q15" s="575"/>
      <c r="R15" s="575"/>
      <c r="S15" s="576"/>
    </row>
    <row r="16" spans="1:19" ht="20.100000000000001" customHeight="1" thickBot="1">
      <c r="A16" s="292">
        <v>2.4</v>
      </c>
      <c r="B16" s="264" t="s">
        <v>421</v>
      </c>
      <c r="C16" s="277" t="s">
        <v>361</v>
      </c>
      <c r="D16" s="268"/>
      <c r="E16" s="268"/>
      <c r="F16" s="268"/>
      <c r="G16" s="268"/>
      <c r="H16" s="268">
        <f>IF(C16="&lt; 20 parcels",2,IF(C16="20 - 50 parcels",4,IF(C16="&gt; 50 parcels",6,0)))</f>
        <v>0</v>
      </c>
      <c r="I16" s="268">
        <f>IF(C16="&lt; 20 parcels",2,IF(C16="20 - 50 parcels",4,IF(C16="&gt; 50 parcels",6,0)))</f>
        <v>0</v>
      </c>
      <c r="J16" t="s">
        <v>422</v>
      </c>
      <c r="K16" t="s">
        <v>422</v>
      </c>
    </row>
    <row r="17" spans="1:15" ht="20.100000000000001" customHeight="1" thickBot="1">
      <c r="A17" s="292">
        <v>2.5</v>
      </c>
      <c r="B17" s="264" t="s">
        <v>423</v>
      </c>
      <c r="C17" s="277" t="s">
        <v>367</v>
      </c>
      <c r="D17" s="268"/>
      <c r="E17" s="268"/>
      <c r="F17" s="268"/>
      <c r="G17" s="268"/>
      <c r="H17" s="268">
        <f>IF(C17="6-33%",2,IF(C17="34%-66%",4,IF(C17="67%-100%",6,0)))</f>
        <v>2</v>
      </c>
      <c r="I17" s="268">
        <f>IF(C17="6-33%",2,IF(C17="34%-66%",4,IF(C17="67%-100%",6,0)))</f>
        <v>2</v>
      </c>
      <c r="J17" t="s">
        <v>422</v>
      </c>
      <c r="K17" t="s">
        <v>422</v>
      </c>
      <c r="N17" s="301">
        <v>1</v>
      </c>
      <c r="O17" t="s">
        <v>424</v>
      </c>
    </row>
    <row r="18" spans="1:15" ht="20.100000000000001" customHeight="1" thickBot="1">
      <c r="A18" s="593" t="s">
        <v>425</v>
      </c>
      <c r="B18" s="594"/>
      <c r="C18" s="302"/>
      <c r="D18" s="303"/>
      <c r="E18" s="303"/>
      <c r="F18" s="303"/>
      <c r="G18" s="303"/>
      <c r="H18" s="303"/>
      <c r="I18" s="304"/>
      <c r="N18" s="305">
        <v>2</v>
      </c>
      <c r="O18" t="s">
        <v>426</v>
      </c>
    </row>
    <row r="19" spans="1:15" ht="20.100000000000001" customHeight="1" thickBot="1">
      <c r="A19" s="306">
        <v>3.1</v>
      </c>
      <c r="B19" s="307" t="s">
        <v>427</v>
      </c>
      <c r="C19" s="277" t="s">
        <v>5</v>
      </c>
      <c r="D19" s="268"/>
      <c r="E19" s="268"/>
      <c r="F19" s="268"/>
      <c r="G19" s="268"/>
      <c r="H19" s="268">
        <f>IF(C19="YES",2,0)</f>
        <v>0</v>
      </c>
      <c r="I19" s="268">
        <f>IF(C19="YES",4,0)</f>
        <v>0</v>
      </c>
      <c r="J19" t="s">
        <v>405</v>
      </c>
      <c r="K19" t="s">
        <v>420</v>
      </c>
      <c r="N19" s="308">
        <v>3</v>
      </c>
      <c r="O19" t="s">
        <v>428</v>
      </c>
    </row>
    <row r="20" spans="1:15" ht="20.100000000000001" customHeight="1" thickBot="1">
      <c r="A20" s="306">
        <v>3.2</v>
      </c>
      <c r="B20" s="307" t="s">
        <v>429</v>
      </c>
      <c r="C20" s="277" t="s">
        <v>5</v>
      </c>
      <c r="D20" s="268"/>
      <c r="E20" s="268"/>
      <c r="F20" s="268"/>
      <c r="G20" s="268"/>
      <c r="H20" s="268">
        <f>IF(C20="YES",3,0)</f>
        <v>0</v>
      </c>
      <c r="I20" s="268">
        <f>IF(C20="YES",7,0)</f>
        <v>0</v>
      </c>
      <c r="J20" t="s">
        <v>404</v>
      </c>
      <c r="K20" t="s">
        <v>409</v>
      </c>
    </row>
    <row r="21" spans="1:15" ht="27.75" hidden="1" customHeight="1" thickBot="1">
      <c r="A21" s="309">
        <v>3.4</v>
      </c>
      <c r="B21" s="310" t="s">
        <v>430</v>
      </c>
      <c r="C21" s="311" t="s">
        <v>4</v>
      </c>
      <c r="D21" s="312"/>
      <c r="E21" s="312"/>
      <c r="F21" s="312"/>
      <c r="G21" s="312"/>
      <c r="H21" s="312">
        <f>IF(C17="YES",2,0)</f>
        <v>0</v>
      </c>
      <c r="I21" s="312">
        <f>IF(C17="YES",6,0)</f>
        <v>0</v>
      </c>
      <c r="J21" s="313"/>
      <c r="K21" s="313"/>
    </row>
    <row r="22" spans="1:15" s="313" customFormat="1" ht="20.100000000000001" customHeight="1" thickBot="1">
      <c r="A22" s="306">
        <v>3.4</v>
      </c>
      <c r="B22" s="307" t="s">
        <v>431</v>
      </c>
      <c r="C22" s="277" t="s">
        <v>5</v>
      </c>
      <c r="D22" s="268"/>
      <c r="E22" s="268"/>
      <c r="F22" s="268"/>
      <c r="G22" s="268"/>
      <c r="H22" s="268">
        <f>IF(C22="YES",3,0)</f>
        <v>0</v>
      </c>
      <c r="I22" s="268">
        <f>IF(C22="YES",5,0)</f>
        <v>0</v>
      </c>
      <c r="J22" t="s">
        <v>404</v>
      </c>
      <c r="K22" t="s">
        <v>413</v>
      </c>
    </row>
    <row r="23" spans="1:15" ht="20.100000000000001" customHeight="1" thickBot="1">
      <c r="A23" s="306">
        <v>3.5</v>
      </c>
      <c r="B23" s="307" t="s">
        <v>432</v>
      </c>
      <c r="C23" s="277" t="s">
        <v>374</v>
      </c>
      <c r="D23" s="268"/>
      <c r="E23" s="268"/>
      <c r="F23" s="268"/>
      <c r="G23" s="268"/>
      <c r="H23" s="268">
        <f>IF(C23="Farmlands",1,IF(C23="DOT Right of Way",1,IF(C23="Electric Right of Way",1,IF(C23="Commercial/Industrial",2,IF(C23="Parks &amp; Recreation",5,IF(C23="Residential",6,IF(C23="Nature Preserves",9,0)))))))</f>
        <v>2</v>
      </c>
      <c r="I23" s="268">
        <f>IF(C23="Farmlands",1,IF(C23="DOT Right of Way",1,IF(C23="Electric Right of Way",1,IF(C23="Commercial/Industrial",2,IF(C23="Parks &amp; Recreation",8,IF(C23="Residential",6,IF(C23="Nature Preserves",10,0)))))))</f>
        <v>2</v>
      </c>
      <c r="J23" t="s">
        <v>433</v>
      </c>
    </row>
    <row r="24" spans="1:15" ht="20.100000000000001" customHeight="1" thickBot="1">
      <c r="A24" s="593" t="s">
        <v>434</v>
      </c>
      <c r="B24" s="594"/>
      <c r="C24" s="302"/>
      <c r="D24" s="303"/>
      <c r="E24" s="268"/>
      <c r="F24" s="268"/>
      <c r="G24" s="268"/>
      <c r="H24" s="303"/>
      <c r="I24" s="304"/>
    </row>
    <row r="25" spans="1:15" ht="20.100000000000001" customHeight="1" thickBot="1">
      <c r="A25" s="306">
        <v>4.0999999999999996</v>
      </c>
      <c r="B25" s="307" t="s">
        <v>435</v>
      </c>
      <c r="C25" s="277" t="s">
        <v>5</v>
      </c>
      <c r="D25" s="268"/>
      <c r="E25" s="268"/>
      <c r="F25" s="268"/>
      <c r="G25" s="268"/>
      <c r="H25" s="268">
        <f>IF(C25="YES",8,0)</f>
        <v>0</v>
      </c>
      <c r="I25" s="268">
        <f>IF(C25="YES",8,0)</f>
        <v>0</v>
      </c>
      <c r="J25" t="s">
        <v>408</v>
      </c>
      <c r="K25" t="s">
        <v>408</v>
      </c>
    </row>
    <row r="26" spans="1:15" ht="23.65" customHeight="1" thickBot="1">
      <c r="A26" s="306">
        <v>4.2</v>
      </c>
      <c r="B26" s="307" t="s">
        <v>436</v>
      </c>
      <c r="C26" s="277" t="s">
        <v>382</v>
      </c>
      <c r="D26" s="268"/>
      <c r="E26" s="268"/>
      <c r="F26" s="268"/>
      <c r="G26" s="268"/>
      <c r="H26" s="268">
        <f>IF(C26="Open House",7,IF(C26="Public Notice",4,IF(C26="None of the Above",0,0)))</f>
        <v>0</v>
      </c>
      <c r="I26" s="268">
        <f>IF(C26="Open House",10,IF(C26="Public Notice",6,IF(C26="None of the Above",0,0)))</f>
        <v>0</v>
      </c>
      <c r="J26" t="s">
        <v>437</v>
      </c>
      <c r="K26" t="s">
        <v>438</v>
      </c>
    </row>
    <row r="27" spans="1:15" ht="18" hidden="1" customHeight="1" thickBot="1">
      <c r="A27" s="314">
        <v>1</v>
      </c>
      <c r="B27" s="315" t="s">
        <v>439</v>
      </c>
      <c r="C27" s="311" t="s">
        <v>440</v>
      </c>
      <c r="D27" s="312">
        <v>2</v>
      </c>
      <c r="E27" s="312"/>
      <c r="F27" s="312" t="s">
        <v>440</v>
      </c>
      <c r="G27" s="312"/>
      <c r="H27" s="312">
        <f>IF(C27="YES",5,0)</f>
        <v>5</v>
      </c>
      <c r="I27" s="316">
        <f>IF(C27="YES",7,0)</f>
        <v>7</v>
      </c>
      <c r="O27" t="str">
        <f t="shared" ref="O27:O45" si="0">LOOKUP("X",O11:S11)</f>
        <v/>
      </c>
    </row>
    <row r="28" spans="1:15" ht="36" hidden="1" customHeight="1" thickBot="1">
      <c r="A28" s="317">
        <f>1+A27</f>
        <v>2</v>
      </c>
      <c r="B28" s="318" t="s">
        <v>441</v>
      </c>
      <c r="C28" s="319" t="s">
        <v>442</v>
      </c>
      <c r="D28" s="320">
        <v>2</v>
      </c>
      <c r="E28" s="320"/>
      <c r="F28" s="320" t="s">
        <v>443</v>
      </c>
      <c r="G28" s="320"/>
      <c r="H28" s="320">
        <f>IF(C28="N/A",0,IF(C28="&lt;1",1,IF(C28="1-5",3,5)))</f>
        <v>1</v>
      </c>
      <c r="I28" s="321">
        <f>IF(C28="N/A",0,IF(C28="&lt;1",1,IF(C28="1-5",4,7)))</f>
        <v>1</v>
      </c>
      <c r="O28" t="str">
        <f t="shared" si="0"/>
        <v/>
      </c>
    </row>
    <row r="29" spans="1:15" ht="36" hidden="1" customHeight="1" thickBot="1">
      <c r="A29" s="317">
        <f t="shared" ref="A29:A45" si="1">1+A28</f>
        <v>3</v>
      </c>
      <c r="B29" s="318" t="s">
        <v>444</v>
      </c>
      <c r="C29" s="319" t="s">
        <v>445</v>
      </c>
      <c r="D29" s="320">
        <v>7</v>
      </c>
      <c r="E29" s="320"/>
      <c r="F29" s="320" t="s">
        <v>445</v>
      </c>
      <c r="G29" s="320"/>
      <c r="H29" s="320">
        <f>IF(C29="N/A",0,IF(C29="&lt;1",1,IF(C29="1-5",2,3)))</f>
        <v>0</v>
      </c>
      <c r="I29" s="321">
        <f>IF(C29="N/A",0,IF(C29="&lt;1",1,IF(C29="1-5",2,3)))</f>
        <v>0</v>
      </c>
      <c r="O29" t="str">
        <f t="shared" si="0"/>
        <v/>
      </c>
    </row>
    <row r="30" spans="1:15" ht="36" hidden="1" customHeight="1" thickBot="1">
      <c r="A30" s="317">
        <f t="shared" si="1"/>
        <v>4</v>
      </c>
      <c r="B30" s="318" t="s">
        <v>446</v>
      </c>
      <c r="C30" s="319" t="s">
        <v>447</v>
      </c>
      <c r="D30" s="320">
        <v>3</v>
      </c>
      <c r="E30" s="320"/>
      <c r="F30" s="320" t="s">
        <v>448</v>
      </c>
      <c r="G30" s="320"/>
      <c r="H30" s="320">
        <f>IF(C30="Rural Only",0,IF(C30="N/A",0,IF(C30="Commercial Only",1,IF(C30="2 of the Above",2,IF(C30="Residential Only",3,4)))))</f>
        <v>3</v>
      </c>
      <c r="I30" s="321">
        <f>IF(C30="Rural Only",0,IF(C30="N/A",0,IF(C30="Commercial Only",1,IF(C30="2 of the Above",2,IF(C30="Residential Only",3,4)))))</f>
        <v>3</v>
      </c>
      <c r="O30" t="str">
        <f t="shared" si="0"/>
        <v/>
      </c>
    </row>
    <row r="31" spans="1:15" ht="36" hidden="1" customHeight="1" thickBot="1">
      <c r="A31" s="317">
        <f t="shared" si="1"/>
        <v>5</v>
      </c>
      <c r="B31" s="318" t="s">
        <v>449</v>
      </c>
      <c r="C31" s="319" t="s">
        <v>443</v>
      </c>
      <c r="D31" s="320">
        <v>3</v>
      </c>
      <c r="E31" s="320"/>
      <c r="F31" s="322" t="s">
        <v>450</v>
      </c>
      <c r="G31" s="320"/>
      <c r="H31" s="320">
        <f>IF(C31="YES",3,0)</f>
        <v>0</v>
      </c>
      <c r="I31" s="321">
        <f>IF(C31="YES",10,0)</f>
        <v>0</v>
      </c>
      <c r="O31" t="str">
        <f t="shared" si="0"/>
        <v>Impact</v>
      </c>
    </row>
    <row r="32" spans="1:15" ht="15" hidden="1" customHeight="1" thickBot="1">
      <c r="A32" s="317">
        <f>1+A31</f>
        <v>6</v>
      </c>
      <c r="B32" s="318" t="s">
        <v>451</v>
      </c>
      <c r="C32" s="323" t="s">
        <v>443</v>
      </c>
      <c r="D32" s="320">
        <v>8</v>
      </c>
      <c r="E32" s="320"/>
      <c r="F32" s="324" t="s">
        <v>452</v>
      </c>
      <c r="G32" s="320"/>
      <c r="H32" s="320">
        <f>IF(C32="YES",1,0)</f>
        <v>0</v>
      </c>
      <c r="I32" s="321">
        <f>IF(C32="YES",1,0)</f>
        <v>0</v>
      </c>
      <c r="O32" t="e">
        <f t="shared" si="0"/>
        <v>#N/A</v>
      </c>
    </row>
    <row r="33" spans="1:15" ht="15.75" hidden="1" thickBot="1">
      <c r="A33" s="317">
        <f t="shared" si="1"/>
        <v>7</v>
      </c>
      <c r="B33" s="318" t="s">
        <v>453</v>
      </c>
      <c r="C33" s="319" t="s">
        <v>445</v>
      </c>
      <c r="D33" s="320">
        <v>7</v>
      </c>
      <c r="E33" s="320"/>
      <c r="F33" s="320"/>
      <c r="G33" s="320"/>
      <c r="H33" s="320">
        <f>IF(C33="High",2,IF(C33="Med",1,0))</f>
        <v>0</v>
      </c>
      <c r="I33" s="321">
        <f>IF(C33="High",4,IF(C33="Med",2,0))</f>
        <v>0</v>
      </c>
      <c r="O33" t="str">
        <f t="shared" si="0"/>
        <v>Notify Community Relations</v>
      </c>
    </row>
    <row r="34" spans="1:15" ht="15.75" hidden="1" thickBot="1">
      <c r="A34" s="317">
        <f t="shared" si="1"/>
        <v>8</v>
      </c>
      <c r="B34" s="318" t="s">
        <v>454</v>
      </c>
      <c r="C34" s="319" t="s">
        <v>443</v>
      </c>
      <c r="D34" s="320">
        <v>8</v>
      </c>
      <c r="E34" s="320"/>
      <c r="F34" s="320" t="s">
        <v>445</v>
      </c>
      <c r="G34" s="320"/>
      <c r="H34" s="320">
        <f>IF(C34="YES",1,0)</f>
        <v>0</v>
      </c>
      <c r="I34" s="321">
        <f>IF(C34="YES",1,0)</f>
        <v>0</v>
      </c>
      <c r="O34" t="str">
        <f t="shared" si="0"/>
        <v>Local Community Relations Engagenment at Project Initiation</v>
      </c>
    </row>
    <row r="35" spans="1:15" ht="15.75" hidden="1" thickBot="1">
      <c r="A35" s="317">
        <f t="shared" si="1"/>
        <v>9</v>
      </c>
      <c r="B35" s="318" t="s">
        <v>455</v>
      </c>
      <c r="C35" s="319" t="s">
        <v>443</v>
      </c>
      <c r="D35" s="320">
        <v>5</v>
      </c>
      <c r="E35" s="320"/>
      <c r="F35" s="320" t="s">
        <v>442</v>
      </c>
      <c r="G35" s="320"/>
      <c r="H35" s="320">
        <f>IF(C35="YES",4,0)</f>
        <v>0</v>
      </c>
      <c r="I35" s="321">
        <f>IF(C35="YES",4,0)</f>
        <v>0</v>
      </c>
      <c r="O35" t="str">
        <f t="shared" si="0"/>
        <v>Enable Strike Team 24 months prior to Project Kickoff</v>
      </c>
    </row>
    <row r="36" spans="1:15" ht="15.75" hidden="1" thickBot="1">
      <c r="A36" s="317">
        <f t="shared" si="1"/>
        <v>10</v>
      </c>
      <c r="B36" s="318" t="s">
        <v>456</v>
      </c>
      <c r="C36" s="323" t="s">
        <v>443</v>
      </c>
      <c r="D36" s="320">
        <v>7</v>
      </c>
      <c r="E36" s="320"/>
      <c r="F36" s="322" t="s">
        <v>457</v>
      </c>
      <c r="G36" s="320"/>
      <c r="H36" s="320">
        <f>IF(C36="YES",1,0)</f>
        <v>0</v>
      </c>
      <c r="I36" s="321">
        <f>IF(C36="YES",2,0)</f>
        <v>0</v>
      </c>
      <c r="O36" t="e">
        <f t="shared" si="0"/>
        <v>#N/A</v>
      </c>
    </row>
    <row r="37" spans="1:15" ht="15.75" hidden="1" thickBot="1">
      <c r="A37" s="317">
        <f t="shared" si="1"/>
        <v>11</v>
      </c>
      <c r="B37" s="318" t="s">
        <v>458</v>
      </c>
      <c r="C37" s="323" t="s">
        <v>443</v>
      </c>
      <c r="D37" s="320"/>
      <c r="E37" s="320"/>
      <c r="F37" s="320" t="s">
        <v>459</v>
      </c>
      <c r="G37" s="320"/>
      <c r="H37" s="320">
        <f>IF(C37="YES",1,0)</f>
        <v>0</v>
      </c>
      <c r="I37" s="321">
        <f>IF(C37="YES",2,0)</f>
        <v>0</v>
      </c>
      <c r="O37" t="e">
        <f t="shared" si="0"/>
        <v>#N/A</v>
      </c>
    </row>
    <row r="38" spans="1:15" ht="15.75" hidden="1" thickBot="1">
      <c r="A38" s="317">
        <f t="shared" si="1"/>
        <v>12</v>
      </c>
      <c r="B38" s="318" t="s">
        <v>460</v>
      </c>
      <c r="C38" s="323" t="s">
        <v>440</v>
      </c>
      <c r="D38" s="320">
        <v>4</v>
      </c>
      <c r="E38" s="320"/>
      <c r="F38" s="313"/>
      <c r="G38" s="320"/>
      <c r="H38" s="320">
        <f>IF(C38="YES",3,0)</f>
        <v>3</v>
      </c>
      <c r="I38" s="321">
        <f>IF(C38="YES",5,0)</f>
        <v>5</v>
      </c>
      <c r="O38" t="e">
        <f t="shared" si="0"/>
        <v>#N/A</v>
      </c>
    </row>
    <row r="39" spans="1:15" ht="15.75" hidden="1" thickBot="1">
      <c r="A39" s="317">
        <f t="shared" si="1"/>
        <v>13</v>
      </c>
      <c r="B39" s="318" t="s">
        <v>461</v>
      </c>
      <c r="C39" s="323" t="s">
        <v>440</v>
      </c>
      <c r="D39" s="320">
        <v>4</v>
      </c>
      <c r="E39" s="320"/>
      <c r="F39" s="320"/>
      <c r="G39" s="320"/>
      <c r="H39" s="320">
        <f>IF(C39="YES",5,0)</f>
        <v>5</v>
      </c>
      <c r="I39" s="321">
        <f>IF(C39="YES",5,0)</f>
        <v>5</v>
      </c>
      <c r="O39" t="e">
        <f t="shared" si="0"/>
        <v>#N/A</v>
      </c>
    </row>
    <row r="40" spans="1:15" ht="15.75" hidden="1" thickBot="1">
      <c r="A40" s="317">
        <f t="shared" si="1"/>
        <v>14</v>
      </c>
      <c r="B40" s="318" t="s">
        <v>462</v>
      </c>
      <c r="C40" s="323" t="s">
        <v>443</v>
      </c>
      <c r="D40" s="320">
        <v>5</v>
      </c>
      <c r="E40" s="320"/>
      <c r="F40" s="320" t="s">
        <v>445</v>
      </c>
      <c r="G40" s="320"/>
      <c r="H40" s="320">
        <f>IF(C40="YES",3,0)</f>
        <v>0</v>
      </c>
      <c r="I40" s="321">
        <f>IF(C40="YES",4,0)</f>
        <v>0</v>
      </c>
      <c r="O40" t="e">
        <f t="shared" si="0"/>
        <v>#N/A</v>
      </c>
    </row>
    <row r="41" spans="1:15" ht="15.75" hidden="1" thickBot="1">
      <c r="A41" s="317">
        <f t="shared" si="1"/>
        <v>15</v>
      </c>
      <c r="B41" s="318" t="s">
        <v>463</v>
      </c>
      <c r="C41" s="323" t="s">
        <v>443</v>
      </c>
      <c r="D41" s="320">
        <v>5</v>
      </c>
      <c r="E41" s="320"/>
      <c r="F41" s="320" t="s">
        <v>464</v>
      </c>
      <c r="G41" s="320"/>
      <c r="H41" s="320">
        <f>IF(C41="YES",4,0)</f>
        <v>0</v>
      </c>
      <c r="I41" s="321">
        <f>IF(C41="YES",5,0)</f>
        <v>0</v>
      </c>
      <c r="O41" t="e">
        <f t="shared" si="0"/>
        <v>#N/A</v>
      </c>
    </row>
    <row r="42" spans="1:15" ht="15.75" hidden="1" thickBot="1">
      <c r="A42" s="317">
        <f t="shared" si="1"/>
        <v>16</v>
      </c>
      <c r="B42" s="318" t="s">
        <v>465</v>
      </c>
      <c r="C42" s="323" t="s">
        <v>443</v>
      </c>
      <c r="D42" s="320">
        <v>5</v>
      </c>
      <c r="E42" s="320"/>
      <c r="F42" s="320" t="s">
        <v>466</v>
      </c>
      <c r="G42" s="320"/>
      <c r="H42" s="320">
        <f>IF(C42="YES",4,0)</f>
        <v>0</v>
      </c>
      <c r="I42" s="321">
        <f>IF(C42="YES",5,0)</f>
        <v>0</v>
      </c>
      <c r="O42" t="e">
        <f t="shared" si="0"/>
        <v>#N/A</v>
      </c>
    </row>
    <row r="43" spans="1:15" ht="15.75" hidden="1" thickBot="1">
      <c r="A43" s="317">
        <f t="shared" si="1"/>
        <v>17</v>
      </c>
      <c r="B43" s="318" t="s">
        <v>467</v>
      </c>
      <c r="C43" s="323" t="s">
        <v>443</v>
      </c>
      <c r="D43" s="320">
        <v>7</v>
      </c>
      <c r="E43" s="320"/>
      <c r="F43" s="320" t="s">
        <v>468</v>
      </c>
      <c r="G43" s="320"/>
      <c r="H43" s="320">
        <f>IF(C43="YES",2,0)</f>
        <v>0</v>
      </c>
      <c r="I43" s="321">
        <f>IF(C43="YES",2,0)</f>
        <v>0</v>
      </c>
      <c r="O43" t="str">
        <f t="shared" si="0"/>
        <v/>
      </c>
    </row>
    <row r="44" spans="1:15" ht="15.75" hidden="1" thickBot="1">
      <c r="A44" s="317">
        <f t="shared" si="1"/>
        <v>18</v>
      </c>
      <c r="B44" s="318" t="s">
        <v>469</v>
      </c>
      <c r="C44" s="323" t="s">
        <v>443</v>
      </c>
      <c r="D44" s="320">
        <v>7</v>
      </c>
      <c r="E44" s="320"/>
      <c r="F44" s="320"/>
      <c r="G44" s="320"/>
      <c r="H44" s="320">
        <f>IF(C44="YES",2,0)</f>
        <v>0</v>
      </c>
      <c r="I44" s="321">
        <f>IF(C44="YES",2,0)</f>
        <v>0</v>
      </c>
      <c r="O44" t="str">
        <f t="shared" si="0"/>
        <v/>
      </c>
    </row>
    <row r="45" spans="1:15" ht="20.100000000000001" hidden="1" customHeight="1">
      <c r="A45" s="325">
        <f t="shared" si="1"/>
        <v>19</v>
      </c>
      <c r="B45" s="326" t="s">
        <v>470</v>
      </c>
      <c r="C45" s="327" t="s">
        <v>448</v>
      </c>
      <c r="D45" s="328">
        <v>4</v>
      </c>
      <c r="E45" s="328"/>
      <c r="F45" s="328" t="s">
        <v>445</v>
      </c>
      <c r="G45" s="328"/>
      <c r="H45" s="328">
        <f>IF(C45="N/A",0,IF(C45="0-10",2,IF(C45="11-20",4,8)))</f>
        <v>2</v>
      </c>
      <c r="I45" s="329">
        <f>IF(C45="N/A",0,IF(C45="0-10",3,IF(C45="11-20",6,8)))</f>
        <v>3</v>
      </c>
      <c r="O45" t="str">
        <f t="shared" si="0"/>
        <v/>
      </c>
    </row>
    <row r="46" spans="1:15" ht="15.75" thickBot="1">
      <c r="A46" s="595"/>
      <c r="B46" s="596"/>
      <c r="C46" s="596"/>
      <c r="D46" s="330" t="s">
        <v>471</v>
      </c>
      <c r="E46" s="331"/>
      <c r="F46" s="331" t="s">
        <v>472</v>
      </c>
      <c r="G46" s="332"/>
      <c r="H46" s="333">
        <f>SUM(H5:H26)</f>
        <v>18</v>
      </c>
      <c r="I46" s="333">
        <f>SUM(I5:I26)</f>
        <v>17</v>
      </c>
    </row>
    <row r="47" spans="1:15" ht="20.100000000000001" customHeight="1">
      <c r="F47" t="s">
        <v>447</v>
      </c>
    </row>
    <row r="48" spans="1:15" ht="35.25" hidden="1" customHeight="1" thickBot="1">
      <c r="F48" t="s">
        <v>473</v>
      </c>
      <c r="K48" s="14" t="s">
        <v>410</v>
      </c>
    </row>
    <row r="49" spans="2:22" ht="35.25" hidden="1" customHeight="1" thickBot="1">
      <c r="F49" t="s">
        <v>474</v>
      </c>
      <c r="K49" s="589" t="s">
        <v>393</v>
      </c>
      <c r="L49" s="334"/>
      <c r="M49" s="334"/>
      <c r="N49" s="334"/>
      <c r="O49" s="334"/>
      <c r="P49" s="15"/>
    </row>
    <row r="50" spans="2:22" ht="35.25" hidden="1">
      <c r="F50" t="s">
        <v>475</v>
      </c>
      <c r="K50" s="590"/>
      <c r="L50" s="281"/>
      <c r="M50" s="282"/>
      <c r="N50" s="282"/>
      <c r="O50" s="282"/>
      <c r="P50" s="283"/>
    </row>
    <row r="51" spans="2:22" ht="35.25" hidden="1">
      <c r="K51" s="590"/>
      <c r="L51" s="284"/>
      <c r="M51" s="285"/>
      <c r="N51" s="286"/>
      <c r="O51" s="286"/>
      <c r="P51" s="287"/>
    </row>
    <row r="52" spans="2:22" ht="35.25" hidden="1">
      <c r="K52" s="590"/>
      <c r="L52" s="291"/>
      <c r="M52" s="285"/>
      <c r="N52" s="285"/>
      <c r="O52" s="286"/>
      <c r="P52" s="287"/>
    </row>
    <row r="53" spans="2:22" ht="35.25" hidden="1">
      <c r="K53" s="590"/>
      <c r="L53" s="291"/>
      <c r="M53" s="293"/>
      <c r="N53" s="285"/>
      <c r="O53" s="294"/>
      <c r="P53" s="287"/>
    </row>
    <row r="54" spans="2:22" ht="36" hidden="1" thickBot="1">
      <c r="K54" s="300"/>
      <c r="L54" s="295"/>
      <c r="M54" s="296"/>
      <c r="N54" s="296"/>
      <c r="O54" s="297"/>
      <c r="P54" s="298"/>
    </row>
    <row r="55" spans="2:22" ht="15.75" hidden="1" thickBot="1">
      <c r="L55" s="575"/>
      <c r="M55" s="575"/>
      <c r="N55" s="575"/>
      <c r="O55" s="575"/>
      <c r="P55" s="576"/>
    </row>
    <row r="56" spans="2:22" hidden="1">
      <c r="K56" s="301"/>
    </row>
    <row r="57" spans="2:22" hidden="1">
      <c r="K57" s="305"/>
      <c r="V57" t="s">
        <v>476</v>
      </c>
    </row>
    <row r="58" spans="2:22" hidden="1">
      <c r="K58" s="308"/>
      <c r="V58" t="s">
        <v>477</v>
      </c>
    </row>
    <row r="59" spans="2:22" hidden="1">
      <c r="V59" t="s">
        <v>478</v>
      </c>
    </row>
    <row r="60" spans="2:22" hidden="1"/>
    <row r="61" spans="2:22" ht="23.65" customHeight="1" thickBot="1">
      <c r="B61" s="335"/>
      <c r="Q61" t="s">
        <v>479</v>
      </c>
    </row>
    <row r="62" spans="2:22">
      <c r="K62" s="336"/>
      <c r="Q62" s="246" t="s">
        <v>480</v>
      </c>
      <c r="R62" s="337" t="s">
        <v>481</v>
      </c>
    </row>
    <row r="63" spans="2:22" ht="15.75" thickBot="1">
      <c r="Q63" s="250" t="str">
        <f ca="1">CELL("address",INDEX(O10:S14,IFERROR(MATCH("X",O10:O14,0),IFERROR(MATCH("X",P10:P14,0),IFERROR(MATCH("X",Q10:Q14,0),IFERROR(MATCH("X",R10:R14,0),IFERROR(MATCH("X",S10:S14,0)," "))))),IFERROR(MATCH("X",O10:S10,0),IFERROR(MATCH("X",O11:S11,0),IFERROR(MATCH("X",O12:S12,0),IFERROR(MATCH("X",O13:S13,0),IFERROR(MATCH("X",O14:S14,0)," ")))))))</f>
        <v>$P$13</v>
      </c>
      <c r="R63" s="338">
        <f ca="1">IF(OR(Q63="$P$10",Q63="$Q$10",Q63="$Q$11",Q63="$R$10",Q63="$R$11",Q63="$R$12",Q63="$s$10",Q63="$S$11",Q63="$S$12",Q63="$S$13"),3,IF(OR(Q63="$O$10",Q63="$O$11",Q63="$P$11",Q63="$P$12",Q63="$Q$12",Q63="$Q$13",Q63="R$13",Q63="$R$14",Q63="$S$14",Q63="$S$13"),2,1))</f>
        <v>1</v>
      </c>
    </row>
    <row r="66" spans="2:2" ht="15.75" thickBot="1"/>
    <row r="67" spans="2:2">
      <c r="B67" s="339" t="s">
        <v>482</v>
      </c>
    </row>
    <row r="68" spans="2:2">
      <c r="B68" s="340" t="s">
        <v>483</v>
      </c>
    </row>
    <row r="69" spans="2:2">
      <c r="B69" s="340" t="s">
        <v>484</v>
      </c>
    </row>
    <row r="70" spans="2:2">
      <c r="B70" s="340" t="s">
        <v>485</v>
      </c>
    </row>
    <row r="71" spans="2:2" ht="30.75" thickBot="1">
      <c r="B71" s="341" t="s">
        <v>486</v>
      </c>
    </row>
  </sheetData>
  <mergeCells count="13">
    <mergeCell ref="L55:P55"/>
    <mergeCell ref="A1:I1"/>
    <mergeCell ref="A2:B2"/>
    <mergeCell ref="H2:I2"/>
    <mergeCell ref="A4:B4"/>
    <mergeCell ref="N9:S9"/>
    <mergeCell ref="N10:N14"/>
    <mergeCell ref="A12:B12"/>
    <mergeCell ref="O15:S15"/>
    <mergeCell ref="A18:B18"/>
    <mergeCell ref="A24:B24"/>
    <mergeCell ref="A46:C46"/>
    <mergeCell ref="K49:K53"/>
  </mergeCells>
  <dataValidations count="7">
    <dataValidation type="list" allowBlank="1" showInputMessage="1" showErrorMessage="1" sqref="C16" xr:uid="{19862D18-5999-4410-AE38-B228B2FEAEBB}">
      <formula1>Parcels</formula1>
    </dataValidation>
    <dataValidation type="list" allowBlank="1" showInputMessage="1" showErrorMessage="1" sqref="C45" xr:uid="{AC768EEC-5C6E-4C07-969E-541BCA8AFE53}">
      <formula1>$F$29:$F$32</formula1>
    </dataValidation>
    <dataValidation type="list" allowBlank="1" showInputMessage="1" showErrorMessage="1" sqref="C33" xr:uid="{4DAFF51C-6FB4-4744-855F-C2CE0AB3B97A}">
      <formula1>$F$40:$F$43</formula1>
    </dataValidation>
    <dataValidation type="list" allowBlank="1" showInputMessage="1" showErrorMessage="1" sqref="C30" xr:uid="{10B947DB-5830-49B2-986F-F6E51EC69ED2}">
      <formula1>$F$45:$F$50</formula1>
    </dataValidation>
    <dataValidation type="list" allowBlank="1" showInputMessage="1" showErrorMessage="1" sqref="C36:C44 C34" xr:uid="{8F7CD361-A96B-4F1C-B812-74B66C5475BA}">
      <formula1>$F$27:$F$28</formula1>
    </dataValidation>
    <dataValidation type="list" allowBlank="1" showInputMessage="1" showErrorMessage="1" sqref="C35 C27 C31:C32" xr:uid="{306D55FD-C3D0-4E28-9D88-55E0395B7497}">
      <formula1>$F$27:$F$29</formula1>
    </dataValidation>
    <dataValidation type="list" allowBlank="1" showInputMessage="1" showErrorMessage="1" sqref="C28:C29" xr:uid="{4C79389E-E432-4C9A-9802-EF587D2EC2E8}">
      <formula1>$F$34:$F$37</formula1>
    </dataValidation>
  </dataValidations>
  <pageMargins left="0.7" right="0.7" top="0.75" bottom="0.75" header="0.3" footer="0.3"/>
  <pageSetup scale="41" orientation="landscape" r:id="rId1"/>
  <headerFooter>
    <oddHeader>&amp;R&amp;"Times New Roman,Bold"&amp;10KyPSC Case No. 2025-00229
STAFF-DR-01-005(b) Attachment 4
Page &amp;P of &amp;N</oddHeader>
  </headerFooter>
  <drawing r:id="rId2"/>
  <legacyDrawing r:id="rId3"/>
  <legacyDrawingHF r:id="rId4"/>
  <extLst>
    <ext xmlns:x14="http://schemas.microsoft.com/office/spreadsheetml/2009/9/main" uri="{CCE6A557-97BC-4b89-ADB6-D9C93CAAB3DF}">
      <x14:dataValidations xmlns:xm="http://schemas.microsoft.com/office/excel/2006/main" count="7">
        <x14:dataValidation type="list" allowBlank="1" showInputMessage="1" showErrorMessage="1" xr:uid="{BF3B0CDB-5FE7-4D90-815C-C3655C5DBEDF}">
          <x14:formula1>
            <xm:f>'Dropdown Values'!$B$2:$B$5</xm:f>
          </x14:formula1>
          <xm:sqref>C5</xm:sqref>
        </x14:dataValidation>
        <x14:dataValidation type="list" allowBlank="1" showInputMessage="1" showErrorMessage="1" xr:uid="{9C803AA6-62F2-4AA5-83FC-97C65CD44B8C}">
          <x14:formula1>
            <xm:f>'Dropdown Values'!$B$30:$B$32</xm:f>
          </x14:formula1>
          <xm:sqref>C26</xm:sqref>
        </x14:dataValidation>
        <x14:dataValidation type="list" allowBlank="1" showInputMessage="1" showErrorMessage="1" xr:uid="{4FB8B8F1-33BA-44F9-8061-F10ACB73F0AD}">
          <x14:formula1>
            <xm:f>'Dropdown Values'!$B$11:$B$13</xm:f>
          </x14:formula1>
          <xm:sqref>C13</xm:sqref>
        </x14:dataValidation>
        <x14:dataValidation type="list" allowBlank="1" showInputMessage="1" showErrorMessage="1" xr:uid="{AC7DE44B-345C-4903-A1A4-CBD05CC665AE}">
          <x14:formula1>
            <xm:f>'Dropdown Values'!$B$9:$B$10</xm:f>
          </x14:formula1>
          <xm:sqref>C7:C11 C25 C14:C15 C19:C22</xm:sqref>
        </x14:dataValidation>
        <x14:dataValidation type="list" allowBlank="1" showInputMessage="1" showErrorMessage="1" xr:uid="{74A47972-67ED-44CE-A69E-C7BAE5F3C573}">
          <x14:formula1>
            <xm:f>'Dropdown Values'!$B$22:$B$28</xm:f>
          </x14:formula1>
          <xm:sqref>C23</xm:sqref>
        </x14:dataValidation>
        <x14:dataValidation type="list" allowBlank="1" showInputMessage="1" showErrorMessage="1" xr:uid="{13E08F1C-0C24-40A0-B415-B1C04F761435}">
          <x14:formula1>
            <xm:f>'Dropdown Values'!$B$18:$B$21</xm:f>
          </x14:formula1>
          <xm:sqref>C17</xm:sqref>
        </x14:dataValidation>
        <x14:dataValidation type="list" allowBlank="1" showInputMessage="1" showErrorMessage="1" xr:uid="{F6616DA4-D8D1-473C-93D4-212CEDF22F08}">
          <x14:formula1>
            <xm:f>'Dropdown Values'!$B$3:$B$5</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72DC-5394-4819-9435-374036E65A18}">
  <sheetPr>
    <tabColor rgb="FF8A7098"/>
    <pageSetUpPr fitToPage="1"/>
  </sheetPr>
  <dimension ref="A1:L32"/>
  <sheetViews>
    <sheetView view="pageLayout" zoomScaleNormal="100" workbookViewId="0">
      <selection activeCell="A4" sqref="A4:J4"/>
    </sheetView>
  </sheetViews>
  <sheetFormatPr defaultRowHeight="15"/>
  <cols>
    <col min="1" max="1" width="22" bestFit="1" customWidth="1"/>
    <col min="2" max="2" width="10.42578125" bestFit="1" customWidth="1"/>
  </cols>
  <sheetData>
    <row r="1" spans="1:12" ht="15.75" thickBot="1"/>
    <row r="2" spans="1:12" ht="15" customHeight="1">
      <c r="A2" s="552" t="s">
        <v>704</v>
      </c>
      <c r="B2" s="553"/>
      <c r="C2" s="553"/>
      <c r="D2" s="553"/>
      <c r="E2" s="553"/>
      <c r="F2" s="553"/>
      <c r="G2" s="553"/>
      <c r="H2" s="553"/>
      <c r="I2" s="553"/>
      <c r="J2" s="553"/>
      <c r="K2" s="553"/>
      <c r="L2" s="554"/>
    </row>
    <row r="3" spans="1:12" ht="6" customHeight="1">
      <c r="A3" s="392"/>
      <c r="B3" s="393"/>
      <c r="C3" s="393"/>
      <c r="D3" s="393"/>
      <c r="E3" s="393"/>
      <c r="F3" s="393"/>
      <c r="G3" s="393"/>
      <c r="H3" s="393"/>
      <c r="I3" s="393"/>
      <c r="J3" s="393"/>
      <c r="K3" s="393"/>
      <c r="L3" s="394"/>
    </row>
    <row r="4" spans="1:12">
      <c r="A4" s="395" t="s">
        <v>16</v>
      </c>
      <c r="B4" s="396">
        <f>'Master Tab'!C9</f>
        <v>45671</v>
      </c>
      <c r="C4" s="393"/>
      <c r="D4" s="393"/>
      <c r="E4" s="393"/>
      <c r="F4" s="393"/>
      <c r="G4" s="393"/>
      <c r="H4" s="393"/>
      <c r="I4" s="393"/>
      <c r="J4" s="393"/>
      <c r="K4" s="393"/>
      <c r="L4" s="394"/>
    </row>
    <row r="5" spans="1:12">
      <c r="A5" s="397" t="s">
        <v>660</v>
      </c>
      <c r="B5" s="398" t="str">
        <f>'Master Tab'!C8</f>
        <v>Line AM07 Pipeline Replacement-Phase 4</v>
      </c>
      <c r="C5" s="393"/>
      <c r="D5" s="393"/>
      <c r="E5" s="393"/>
      <c r="F5" s="393"/>
      <c r="G5" s="393"/>
      <c r="H5" s="393"/>
      <c r="I5" s="393"/>
      <c r="J5" s="393"/>
      <c r="K5" s="393"/>
      <c r="L5" s="394"/>
    </row>
    <row r="6" spans="1:12">
      <c r="A6" s="397" t="s">
        <v>661</v>
      </c>
      <c r="B6" s="393" t="s">
        <v>664</v>
      </c>
      <c r="C6" s="393"/>
      <c r="D6" s="393"/>
      <c r="E6" s="393"/>
      <c r="F6" s="393"/>
      <c r="G6" s="393"/>
      <c r="H6" s="393"/>
      <c r="I6" s="393"/>
      <c r="J6" s="393"/>
      <c r="K6" s="393"/>
      <c r="L6" s="394"/>
    </row>
    <row r="7" spans="1:12">
      <c r="A7" s="397" t="s">
        <v>662</v>
      </c>
      <c r="B7" s="393" t="s">
        <v>665</v>
      </c>
      <c r="C7" s="393"/>
      <c r="D7" s="393"/>
      <c r="E7" s="393"/>
      <c r="F7" s="393"/>
      <c r="G7" s="393"/>
      <c r="H7" s="393"/>
      <c r="I7" s="393"/>
      <c r="J7" s="393"/>
      <c r="K7" s="393"/>
      <c r="L7" s="394"/>
    </row>
    <row r="8" spans="1:12" ht="6" customHeight="1">
      <c r="A8" s="392"/>
      <c r="B8" s="393"/>
      <c r="C8" s="393"/>
      <c r="D8" s="393"/>
      <c r="E8" s="393"/>
      <c r="F8" s="393"/>
      <c r="G8" s="393"/>
      <c r="H8" s="393"/>
      <c r="I8" s="393"/>
      <c r="J8" s="393"/>
      <c r="K8" s="393"/>
      <c r="L8" s="394"/>
    </row>
    <row r="9" spans="1:12">
      <c r="A9" s="539" t="s">
        <v>663</v>
      </c>
      <c r="B9" s="540"/>
      <c r="C9" s="540"/>
      <c r="D9" s="560" t="str">
        <f>Assumptions!A6</f>
        <v>1. 2023 Ecosys SOW:
Phase 4 (of 5 Phases) includes the following:
*Perform detailed engineering to support replacement of 11,690 feet (2.2 miles) of 24" pipe designed for a pressure of 1000 psig.
*Install new 24" steel pipeline that starts on the South side of the I-275 crossing near Licking Pk (tying into existing piping) and ending at Cold Springs Station. 
*Install necessary infrastructure at the Cold Springs Station, including a launcher for the new line. 
*Abandon Line AM07 along this section.
*Address remaining farm taps.
*Preliminary proposed pipeline route that was field reviewed by Implementation is included in attachment. Right of Way (ROW) reclamation will be required.  
2023 Revised Scope per the Project Manager:
*Perform detailed engineering to support replacement of 17,424 LF (3.3 Miles) of 24" Pipe designed for a pressure of 1000psig.
*Install new 24" pipeline along the route proposed by the Map Exhibit below.
*Install necessary infrastructure at the Cold Springs Station, including a launcher for the new line.
*Abandon Line AM07 along this section.
*Address remaining Farm Taps.
*Right of Way Reclamation will be required.</v>
      </c>
      <c r="E9" s="561"/>
      <c r="F9" s="561"/>
      <c r="G9" s="561"/>
      <c r="H9" s="561"/>
      <c r="I9" s="561"/>
      <c r="J9" s="561"/>
      <c r="K9" s="561"/>
      <c r="L9" s="562"/>
    </row>
    <row r="10" spans="1:12">
      <c r="A10" s="541"/>
      <c r="B10" s="542"/>
      <c r="C10" s="542"/>
      <c r="D10" s="563"/>
      <c r="E10" s="563"/>
      <c r="F10" s="563"/>
      <c r="G10" s="563"/>
      <c r="H10" s="563"/>
      <c r="I10" s="563"/>
      <c r="J10" s="563"/>
      <c r="K10" s="563"/>
      <c r="L10" s="564"/>
    </row>
    <row r="11" spans="1:12">
      <c r="A11" s="541"/>
      <c r="B11" s="542"/>
      <c r="C11" s="542"/>
      <c r="D11" s="563"/>
      <c r="E11" s="563"/>
      <c r="F11" s="563"/>
      <c r="G11" s="563"/>
      <c r="H11" s="563"/>
      <c r="I11" s="563"/>
      <c r="J11" s="563"/>
      <c r="K11" s="563"/>
      <c r="L11" s="564"/>
    </row>
    <row r="12" spans="1:12">
      <c r="A12" s="541"/>
      <c r="B12" s="542"/>
      <c r="C12" s="542"/>
      <c r="D12" s="563"/>
      <c r="E12" s="563"/>
      <c r="F12" s="563"/>
      <c r="G12" s="563"/>
      <c r="H12" s="563"/>
      <c r="I12" s="563"/>
      <c r="J12" s="563"/>
      <c r="K12" s="563"/>
      <c r="L12" s="564"/>
    </row>
    <row r="13" spans="1:12">
      <c r="A13" s="543"/>
      <c r="B13" s="544"/>
      <c r="C13" s="544"/>
      <c r="D13" s="565"/>
      <c r="E13" s="565"/>
      <c r="F13" s="565"/>
      <c r="G13" s="565"/>
      <c r="H13" s="565"/>
      <c r="I13" s="565"/>
      <c r="J13" s="565"/>
      <c r="K13" s="565"/>
      <c r="L13" s="566"/>
    </row>
    <row r="14" spans="1:12" ht="15" customHeight="1">
      <c r="A14" s="599" t="s">
        <v>705</v>
      </c>
      <c r="B14" s="600"/>
      <c r="C14" s="600"/>
      <c r="D14" s="600"/>
      <c r="E14" s="600"/>
      <c r="F14" s="600"/>
      <c r="G14" s="600"/>
      <c r="H14" s="600"/>
      <c r="I14" s="600"/>
      <c r="J14" s="600"/>
      <c r="K14" s="600"/>
      <c r="L14" s="601"/>
    </row>
    <row r="15" spans="1:12" ht="15" customHeight="1">
      <c r="A15" s="602"/>
      <c r="B15" s="603"/>
      <c r="C15" s="603"/>
      <c r="D15" s="603"/>
      <c r="E15" s="603"/>
      <c r="F15" s="603"/>
      <c r="G15" s="603"/>
      <c r="H15" s="603"/>
      <c r="I15" s="603"/>
      <c r="J15" s="603"/>
      <c r="K15" s="603"/>
      <c r="L15" s="604"/>
    </row>
    <row r="16" spans="1:12" ht="8.25" customHeight="1">
      <c r="A16" s="399"/>
      <c r="B16" s="400"/>
      <c r="C16" s="400"/>
      <c r="D16" s="400"/>
      <c r="E16" s="400"/>
      <c r="F16" s="400"/>
      <c r="G16" s="400"/>
      <c r="H16" s="400"/>
      <c r="I16" s="400"/>
      <c r="J16" s="400"/>
      <c r="K16" s="400"/>
      <c r="L16" s="401"/>
    </row>
    <row r="17" spans="1:12">
      <c r="A17" s="555" t="s">
        <v>667</v>
      </c>
      <c r="B17" s="556"/>
      <c r="C17" s="556"/>
      <c r="D17" s="556"/>
      <c r="E17" s="556"/>
      <c r="F17" s="556"/>
      <c r="G17" s="556"/>
      <c r="H17" s="556"/>
      <c r="I17" s="556"/>
      <c r="J17" s="557" t="s">
        <v>668</v>
      </c>
      <c r="K17" s="558"/>
      <c r="L17" s="559"/>
    </row>
    <row r="18" spans="1:12" ht="26.25" customHeight="1">
      <c r="A18" s="597" t="s">
        <v>709</v>
      </c>
      <c r="B18" s="598"/>
      <c r="C18" s="598"/>
      <c r="D18" s="598"/>
      <c r="E18" s="598"/>
      <c r="F18" s="598"/>
      <c r="G18" s="598"/>
      <c r="H18" s="598"/>
      <c r="I18" s="598"/>
      <c r="J18" s="550"/>
      <c r="K18" s="550"/>
      <c r="L18" s="551"/>
    </row>
    <row r="19" spans="1:12" ht="26.25" customHeight="1">
      <c r="A19" s="597"/>
      <c r="B19" s="598"/>
      <c r="C19" s="598"/>
      <c r="D19" s="598"/>
      <c r="E19" s="598"/>
      <c r="F19" s="598"/>
      <c r="G19" s="598"/>
      <c r="H19" s="598"/>
      <c r="I19" s="598"/>
      <c r="J19" s="550"/>
      <c r="K19" s="550"/>
      <c r="L19" s="551"/>
    </row>
    <row r="20" spans="1:12" ht="26.25" customHeight="1">
      <c r="A20" s="597"/>
      <c r="B20" s="598"/>
      <c r="C20" s="598"/>
      <c r="D20" s="598"/>
      <c r="E20" s="598"/>
      <c r="F20" s="598"/>
      <c r="G20" s="598"/>
      <c r="H20" s="598"/>
      <c r="I20" s="598"/>
      <c r="J20" s="550"/>
      <c r="K20" s="550"/>
      <c r="L20" s="551"/>
    </row>
    <row r="21" spans="1:12" ht="13.5" customHeight="1">
      <c r="A21" s="597" t="s">
        <v>707</v>
      </c>
      <c r="B21" s="598"/>
      <c r="C21" s="598"/>
      <c r="D21" s="598"/>
      <c r="E21" s="598"/>
      <c r="F21" s="598"/>
      <c r="G21" s="598"/>
      <c r="H21" s="598"/>
      <c r="I21" s="598"/>
      <c r="J21" s="550"/>
      <c r="K21" s="550"/>
      <c r="L21" s="551"/>
    </row>
    <row r="22" spans="1:12" ht="13.5" customHeight="1">
      <c r="A22" s="597"/>
      <c r="B22" s="598"/>
      <c r="C22" s="598"/>
      <c r="D22" s="598"/>
      <c r="E22" s="598"/>
      <c r="F22" s="598"/>
      <c r="G22" s="598"/>
      <c r="H22" s="598"/>
      <c r="I22" s="598"/>
      <c r="J22" s="550"/>
      <c r="K22" s="550"/>
      <c r="L22" s="551"/>
    </row>
    <row r="23" spans="1:12" ht="13.5" customHeight="1">
      <c r="A23" s="597"/>
      <c r="B23" s="598"/>
      <c r="C23" s="598"/>
      <c r="D23" s="598"/>
      <c r="E23" s="598"/>
      <c r="F23" s="598"/>
      <c r="G23" s="598"/>
      <c r="H23" s="598"/>
      <c r="I23" s="598"/>
      <c r="J23" s="550"/>
      <c r="K23" s="550"/>
      <c r="L23" s="551"/>
    </row>
    <row r="24" spans="1:12" ht="13.5" customHeight="1">
      <c r="A24" s="597"/>
      <c r="B24" s="598"/>
      <c r="C24" s="598"/>
      <c r="D24" s="598"/>
      <c r="E24" s="598"/>
      <c r="F24" s="598"/>
      <c r="G24" s="598"/>
      <c r="H24" s="598"/>
      <c r="I24" s="598"/>
      <c r="J24" s="550"/>
      <c r="K24" s="550"/>
      <c r="L24" s="551"/>
    </row>
    <row r="25" spans="1:12" ht="18" customHeight="1">
      <c r="A25" s="597" t="s">
        <v>706</v>
      </c>
      <c r="B25" s="598"/>
      <c r="C25" s="598"/>
      <c r="D25" s="598"/>
      <c r="E25" s="598"/>
      <c r="F25" s="598"/>
      <c r="G25" s="598"/>
      <c r="H25" s="598"/>
      <c r="I25" s="598"/>
      <c r="J25" s="550"/>
      <c r="K25" s="550"/>
      <c r="L25" s="551"/>
    </row>
    <row r="26" spans="1:12" ht="18" customHeight="1">
      <c r="A26" s="597"/>
      <c r="B26" s="598"/>
      <c r="C26" s="598"/>
      <c r="D26" s="598"/>
      <c r="E26" s="598"/>
      <c r="F26" s="598"/>
      <c r="G26" s="598"/>
      <c r="H26" s="598"/>
      <c r="I26" s="598"/>
      <c r="J26" s="550"/>
      <c r="K26" s="550"/>
      <c r="L26" s="551"/>
    </row>
    <row r="27" spans="1:12" ht="18" customHeight="1">
      <c r="A27" s="597"/>
      <c r="B27" s="598"/>
      <c r="C27" s="598"/>
      <c r="D27" s="598"/>
      <c r="E27" s="598"/>
      <c r="F27" s="598"/>
      <c r="G27" s="598"/>
      <c r="H27" s="598"/>
      <c r="I27" s="598"/>
      <c r="J27" s="550"/>
      <c r="K27" s="550"/>
      <c r="L27" s="551"/>
    </row>
    <row r="28" spans="1:12" ht="29.25" customHeight="1">
      <c r="A28" s="597" t="s">
        <v>708</v>
      </c>
      <c r="B28" s="598"/>
      <c r="C28" s="598"/>
      <c r="D28" s="598"/>
      <c r="E28" s="598"/>
      <c r="F28" s="598"/>
      <c r="G28" s="598"/>
      <c r="H28" s="598"/>
      <c r="I28" s="598"/>
      <c r="J28" s="550"/>
      <c r="K28" s="550"/>
      <c r="L28" s="551"/>
    </row>
    <row r="29" spans="1:12" ht="29.25" customHeight="1">
      <c r="A29" s="597"/>
      <c r="B29" s="598"/>
      <c r="C29" s="598"/>
      <c r="D29" s="598"/>
      <c r="E29" s="598"/>
      <c r="F29" s="598"/>
      <c r="G29" s="598"/>
      <c r="H29" s="598"/>
      <c r="I29" s="598"/>
      <c r="J29" s="550"/>
      <c r="K29" s="550"/>
      <c r="L29" s="551"/>
    </row>
    <row r="30" spans="1:12" ht="15.75" thickBot="1">
      <c r="A30" s="392"/>
      <c r="B30" s="393"/>
      <c r="C30" s="393"/>
      <c r="D30" s="393"/>
      <c r="E30" s="393"/>
      <c r="F30" s="393"/>
      <c r="G30" s="393"/>
      <c r="H30" s="393"/>
      <c r="I30" s="393"/>
      <c r="J30" s="393"/>
      <c r="K30" s="393"/>
      <c r="L30" s="394"/>
    </row>
    <row r="31" spans="1:12">
      <c r="A31" s="567"/>
      <c r="B31" s="568"/>
      <c r="C31" s="568"/>
      <c r="D31" s="568"/>
      <c r="E31" s="568"/>
      <c r="F31" s="568"/>
      <c r="G31" s="568"/>
      <c r="H31" s="568"/>
      <c r="I31" s="568"/>
      <c r="J31" s="568"/>
      <c r="K31" s="568"/>
      <c r="L31" s="569"/>
    </row>
    <row r="32" spans="1:12" ht="15.75" thickBot="1">
      <c r="A32" s="570"/>
      <c r="B32" s="571"/>
      <c r="C32" s="571"/>
      <c r="D32" s="571"/>
      <c r="E32" s="571"/>
      <c r="F32" s="571"/>
      <c r="G32" s="571"/>
      <c r="H32" s="571"/>
      <c r="I32" s="571"/>
      <c r="J32" s="571"/>
      <c r="K32" s="571"/>
      <c r="L32" s="572"/>
    </row>
  </sheetData>
  <mergeCells count="15">
    <mergeCell ref="A2:L2"/>
    <mergeCell ref="A9:C13"/>
    <mergeCell ref="D9:L13"/>
    <mergeCell ref="A17:I17"/>
    <mergeCell ref="J17:L17"/>
    <mergeCell ref="A28:I29"/>
    <mergeCell ref="J28:L29"/>
    <mergeCell ref="A31:L32"/>
    <mergeCell ref="A14:L15"/>
    <mergeCell ref="A18:I20"/>
    <mergeCell ref="J18:L20"/>
    <mergeCell ref="A21:I24"/>
    <mergeCell ref="J21:L24"/>
    <mergeCell ref="A25:I27"/>
    <mergeCell ref="J25:L27"/>
  </mergeCells>
  <conditionalFormatting sqref="J18:L29">
    <cfRule type="cellIs" dxfId="2" priority="1" operator="equal">
      <formula>"No"</formula>
    </cfRule>
    <cfRule type="cellIs" dxfId="1" priority="2" operator="equal">
      <formula>"Unknown"</formula>
    </cfRule>
    <cfRule type="cellIs" dxfId="0" priority="3" operator="equal">
      <formula>"Yes"</formula>
    </cfRule>
  </conditionalFormatting>
  <dataValidations count="1">
    <dataValidation type="list" showInputMessage="1" showErrorMessage="1" sqref="J18:L29" xr:uid="{F2D15146-EC5B-4518-AE9A-F3AA7877F290}">
      <formula1>"Yes, No, Unknown"</formula1>
    </dataValidation>
  </dataValidations>
  <pageMargins left="0.7" right="0.7" top="0.75" bottom="0.75" header="0.3" footer="0.3"/>
  <pageSetup scale="98" orientation="landscape" r:id="rId1"/>
  <headerFooter>
    <oddHeader>&amp;R&amp;"Times New Roman,Bold"&amp;10KyPSC Case No. 2025-00229
STAFF-DR-01-005(b) Attachment 4
Page &amp;P of &amp;N</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C092-035B-4F5A-AAB1-1854DD8320DC}">
  <sheetPr>
    <tabColor rgb="FFFFC000"/>
    <pageSetUpPr fitToPage="1"/>
  </sheetPr>
  <dimension ref="A1:J51"/>
  <sheetViews>
    <sheetView tabSelected="1" view="pageLayout" zoomScaleNormal="100" workbookViewId="0">
      <selection activeCell="A4" sqref="A4:J4"/>
    </sheetView>
  </sheetViews>
  <sheetFormatPr defaultRowHeight="15"/>
  <cols>
    <col min="2" max="6" width="11.7109375" customWidth="1"/>
  </cols>
  <sheetData>
    <row r="1" spans="1:10">
      <c r="A1" s="373"/>
      <c r="B1" s="374" t="s">
        <v>495</v>
      </c>
      <c r="C1" s="374" t="s">
        <v>496</v>
      </c>
      <c r="D1" s="374" t="s">
        <v>497</v>
      </c>
      <c r="E1" s="374" t="s">
        <v>498</v>
      </c>
      <c r="F1" s="375" t="s">
        <v>496</v>
      </c>
    </row>
    <row r="2" spans="1:10" ht="15.75" thickBot="1">
      <c r="A2" s="376" t="s">
        <v>292</v>
      </c>
      <c r="B2" s="377" t="s">
        <v>499</v>
      </c>
      <c r="C2" s="377" t="s">
        <v>499</v>
      </c>
      <c r="D2" s="377" t="s">
        <v>500</v>
      </c>
      <c r="E2" s="377" t="s">
        <v>90</v>
      </c>
      <c r="F2" s="378" t="s">
        <v>90</v>
      </c>
    </row>
    <row r="3" spans="1:10">
      <c r="A3" s="371">
        <f>'Master Tab'!C32</f>
        <v>45352</v>
      </c>
      <c r="B3" s="372"/>
      <c r="C3" s="353">
        <v>0</v>
      </c>
      <c r="D3" s="353">
        <v>0</v>
      </c>
      <c r="E3" s="353">
        <v>0</v>
      </c>
      <c r="F3" s="354">
        <v>0</v>
      </c>
      <c r="G3" s="360"/>
      <c r="H3" s="361">
        <v>0</v>
      </c>
      <c r="I3" s="361">
        <v>0</v>
      </c>
      <c r="J3" s="361">
        <v>0</v>
      </c>
    </row>
    <row r="4" spans="1:10">
      <c r="A4" s="356">
        <f>DATE(YEAR(A3),MONTH(A3)+1,DAY(A3))</f>
        <v>45383</v>
      </c>
      <c r="B4" s="355">
        <f>'Cost Report'!$F$23*(IF('Master Tab'!$C$10=1,AFUDC!H4,(IF('Master Tab'!$C$10=2,AFUDC!I4,AFUDC!J4))))</f>
        <v>0</v>
      </c>
      <c r="C4" s="349">
        <f>C3+B4</f>
        <v>0</v>
      </c>
      <c r="D4" s="349">
        <f>(0.5*B4)+C3</f>
        <v>0</v>
      </c>
      <c r="E4" s="349">
        <f>('Cost Report'!$L$29/12)*D4</f>
        <v>0</v>
      </c>
      <c r="F4" s="350">
        <f>E4+F3</f>
        <v>0</v>
      </c>
      <c r="G4" s="362"/>
      <c r="H4" s="363">
        <v>0.03</v>
      </c>
      <c r="I4" s="363">
        <v>2.9999999999999997E-4</v>
      </c>
      <c r="J4" s="363">
        <v>0</v>
      </c>
    </row>
    <row r="5" spans="1:10">
      <c r="A5" s="356">
        <f t="shared" ref="A5:A48" si="0">DATE(YEAR(A4),MONTH(A4)+1,DAY(A4))</f>
        <v>45413</v>
      </c>
      <c r="B5" s="355">
        <f>'Cost Report'!$F$23*(IF('Master Tab'!$C$10=1,AFUDC!H5,(IF('Master Tab'!$C$10=2,AFUDC!I5,AFUDC!J5))))</f>
        <v>3055.77</v>
      </c>
      <c r="C5" s="349">
        <f t="shared" ref="C5:C48" si="1">C4+B5</f>
        <v>3055.77</v>
      </c>
      <c r="D5" s="349">
        <f t="shared" ref="D5:D48" si="2">(0.5*B5)+C4</f>
        <v>1527.885</v>
      </c>
      <c r="E5" s="349">
        <f>('Cost Report'!$L$29/12)*D5</f>
        <v>8.9126624999999997</v>
      </c>
      <c r="F5" s="350">
        <f t="shared" ref="F5:F48" si="3">E5+F4</f>
        <v>8.9126624999999997</v>
      </c>
      <c r="G5" s="362"/>
      <c r="H5" s="363">
        <v>0.04</v>
      </c>
      <c r="I5" s="363">
        <v>4.0000000000000002E-4</v>
      </c>
      <c r="J5" s="363">
        <v>1E-4</v>
      </c>
    </row>
    <row r="6" spans="1:10">
      <c r="A6" s="356">
        <f t="shared" si="0"/>
        <v>45444</v>
      </c>
      <c r="B6" s="355">
        <f>'Cost Report'!$F$23*(IF('Master Tab'!$C$10=1,AFUDC!H6,(IF('Master Tab'!$C$10=2,AFUDC!I6,AFUDC!J6))))</f>
        <v>3055.77</v>
      </c>
      <c r="C6" s="349">
        <f t="shared" si="1"/>
        <v>6111.54</v>
      </c>
      <c r="D6" s="349">
        <f t="shared" si="2"/>
        <v>4583.6549999999997</v>
      </c>
      <c r="E6" s="349">
        <f>('Cost Report'!$L$29/12)*D6</f>
        <v>26.737987499999999</v>
      </c>
      <c r="F6" s="350">
        <f t="shared" si="3"/>
        <v>35.650649999999999</v>
      </c>
      <c r="G6" s="362"/>
      <c r="H6" s="363">
        <v>4.4999999999999998E-2</v>
      </c>
      <c r="I6" s="363">
        <v>5.0000000000000001E-4</v>
      </c>
      <c r="J6" s="363">
        <v>1E-4</v>
      </c>
    </row>
    <row r="7" spans="1:10">
      <c r="A7" s="356">
        <f t="shared" si="0"/>
        <v>45474</v>
      </c>
      <c r="B7" s="355">
        <f>'Cost Report'!$F$23*(IF('Master Tab'!$C$10=1,AFUDC!H7,(IF('Master Tab'!$C$10=2,AFUDC!I7,AFUDC!J7))))</f>
        <v>3055.77</v>
      </c>
      <c r="C7" s="349">
        <f t="shared" si="1"/>
        <v>9167.31</v>
      </c>
      <c r="D7" s="349">
        <f t="shared" si="2"/>
        <v>7639.4250000000002</v>
      </c>
      <c r="E7" s="349">
        <f>('Cost Report'!$L$29/12)*D7</f>
        <v>44.563312500000002</v>
      </c>
      <c r="F7" s="350">
        <f t="shared" si="3"/>
        <v>80.213962500000008</v>
      </c>
      <c r="G7" s="362"/>
      <c r="H7" s="363">
        <v>0.03</v>
      </c>
      <c r="I7" s="363">
        <v>5.0000000000000001E-4</v>
      </c>
      <c r="J7" s="363">
        <v>1E-4</v>
      </c>
    </row>
    <row r="8" spans="1:10">
      <c r="A8" s="356">
        <f t="shared" si="0"/>
        <v>45505</v>
      </c>
      <c r="B8" s="355">
        <f>'Cost Report'!$F$23*(IF('Master Tab'!$C$10=1,AFUDC!H8,(IF('Master Tab'!$C$10=2,AFUDC!I8,AFUDC!J8))))</f>
        <v>6111.54</v>
      </c>
      <c r="C8" s="349">
        <f t="shared" si="1"/>
        <v>15278.849999999999</v>
      </c>
      <c r="D8" s="349">
        <f t="shared" si="2"/>
        <v>12223.08</v>
      </c>
      <c r="E8" s="349">
        <f>('Cost Report'!$L$29/12)*D8</f>
        <v>71.301299999999998</v>
      </c>
      <c r="F8" s="350">
        <f t="shared" si="3"/>
        <v>151.51526250000001</v>
      </c>
      <c r="G8" s="362"/>
      <c r="H8" s="363">
        <v>3.7499999999999999E-2</v>
      </c>
      <c r="I8" s="363">
        <v>5.0000000000000001E-4</v>
      </c>
      <c r="J8" s="363">
        <v>2.0000000000000001E-4</v>
      </c>
    </row>
    <row r="9" spans="1:10">
      <c r="A9" s="356">
        <f t="shared" si="0"/>
        <v>45536</v>
      </c>
      <c r="B9" s="355">
        <f>'Cost Report'!$F$23*(IF('Master Tab'!$C$10=1,AFUDC!H9,(IF('Master Tab'!$C$10=2,AFUDC!I9,AFUDC!J9))))</f>
        <v>6111.54</v>
      </c>
      <c r="C9" s="349">
        <f t="shared" si="1"/>
        <v>21390.39</v>
      </c>
      <c r="D9" s="349">
        <f t="shared" si="2"/>
        <v>18334.62</v>
      </c>
      <c r="E9" s="349">
        <f>('Cost Report'!$L$29/12)*D9</f>
        <v>106.95195</v>
      </c>
      <c r="F9" s="350">
        <f t="shared" si="3"/>
        <v>258.46721250000002</v>
      </c>
      <c r="G9" s="346"/>
      <c r="H9" s="364">
        <v>4.2500000000000003E-2</v>
      </c>
      <c r="I9" s="364">
        <v>5.1000000000000004E-3</v>
      </c>
      <c r="J9" s="364">
        <v>2.0000000000000001E-4</v>
      </c>
    </row>
    <row r="10" spans="1:10">
      <c r="A10" s="356">
        <f t="shared" si="0"/>
        <v>45566</v>
      </c>
      <c r="B10" s="355">
        <f>'Cost Report'!$F$23*(IF('Master Tab'!$C$10=1,AFUDC!H10,(IF('Master Tab'!$C$10=2,AFUDC!I10,AFUDC!J10))))</f>
        <v>18334.62</v>
      </c>
      <c r="C10" s="349">
        <f t="shared" si="1"/>
        <v>39725.009999999995</v>
      </c>
      <c r="D10" s="349">
        <f t="shared" si="2"/>
        <v>30557.699999999997</v>
      </c>
      <c r="E10" s="349">
        <f>('Cost Report'!$L$29/12)*D10</f>
        <v>178.25324999999998</v>
      </c>
      <c r="F10" s="350">
        <f t="shared" si="3"/>
        <v>436.7204625</v>
      </c>
      <c r="G10" s="346"/>
      <c r="H10" s="364">
        <v>0.04</v>
      </c>
      <c r="I10" s="364">
        <v>1.18E-2</v>
      </c>
      <c r="J10" s="364">
        <v>5.9999999999999995E-4</v>
      </c>
    </row>
    <row r="11" spans="1:10">
      <c r="A11" s="356">
        <f t="shared" si="0"/>
        <v>45597</v>
      </c>
      <c r="B11" s="355">
        <f>'Cost Report'!$F$23*(IF('Master Tab'!$C$10=1,AFUDC!H11,(IF('Master Tab'!$C$10=2,AFUDC!I11,AFUDC!J11))))</f>
        <v>111535.605</v>
      </c>
      <c r="C11" s="349">
        <f t="shared" si="1"/>
        <v>151260.61499999999</v>
      </c>
      <c r="D11" s="349">
        <f t="shared" si="2"/>
        <v>95492.8125</v>
      </c>
      <c r="E11" s="349">
        <f>('Cost Report'!$L$29/12)*D11</f>
        <v>557.04140625000002</v>
      </c>
      <c r="F11" s="350">
        <f t="shared" si="3"/>
        <v>993.76186875000008</v>
      </c>
      <c r="G11" s="346"/>
      <c r="H11" s="364">
        <v>4.8750000000000002E-2</v>
      </c>
      <c r="I11" s="364">
        <v>4.5999999999999999E-3</v>
      </c>
      <c r="J11" s="364">
        <v>3.65E-3</v>
      </c>
    </row>
    <row r="12" spans="1:10">
      <c r="A12" s="356">
        <f t="shared" si="0"/>
        <v>45627</v>
      </c>
      <c r="B12" s="355">
        <f>'Cost Report'!$F$23*(IF('Master Tab'!$C$10=1,AFUDC!H12,(IF('Master Tab'!$C$10=2,AFUDC!I12,AFUDC!J12))))</f>
        <v>84033.674999999988</v>
      </c>
      <c r="C12" s="349">
        <f t="shared" si="1"/>
        <v>235294.28999999998</v>
      </c>
      <c r="D12" s="349">
        <f t="shared" si="2"/>
        <v>193277.45249999998</v>
      </c>
      <c r="E12" s="349">
        <f>('Cost Report'!$L$29/12)*D12</f>
        <v>1127.4518062499999</v>
      </c>
      <c r="F12" s="350">
        <f t="shared" si="3"/>
        <v>2121.213675</v>
      </c>
      <c r="G12" s="346"/>
      <c r="H12" s="364">
        <v>0.1525</v>
      </c>
      <c r="I12" s="364">
        <v>4.3E-3</v>
      </c>
      <c r="J12" s="364">
        <v>2.7499999999999998E-3</v>
      </c>
    </row>
    <row r="13" spans="1:10">
      <c r="A13" s="356">
        <f t="shared" si="0"/>
        <v>45658</v>
      </c>
      <c r="B13" s="355">
        <f>'Cost Report'!$F$23*(IF('Master Tab'!$C$10=1,AFUDC!H13,(IF('Master Tab'!$C$10=2,AFUDC!I13,AFUDC!J13))))</f>
        <v>186401.97</v>
      </c>
      <c r="C13" s="349">
        <f t="shared" si="1"/>
        <v>421696.26</v>
      </c>
      <c r="D13" s="349">
        <f t="shared" si="2"/>
        <v>328495.27499999997</v>
      </c>
      <c r="E13" s="349">
        <f>('Cost Report'!$L$29/12)*D13</f>
        <v>1916.2224374999998</v>
      </c>
      <c r="F13" s="350">
        <f t="shared" si="3"/>
        <v>4037.4361124999996</v>
      </c>
      <c r="G13" s="346"/>
      <c r="H13" s="364">
        <v>0.185</v>
      </c>
      <c r="I13" s="364">
        <v>6.7000000000000002E-3</v>
      </c>
      <c r="J13" s="364">
        <v>6.1000000000000004E-3</v>
      </c>
    </row>
    <row r="14" spans="1:10">
      <c r="A14" s="356">
        <f t="shared" si="0"/>
        <v>45689</v>
      </c>
      <c r="B14" s="355">
        <f>'Cost Report'!$F$23*(IF('Master Tab'!$C$10=1,AFUDC!H14,(IF('Master Tab'!$C$10=2,AFUDC!I14,AFUDC!J14))))</f>
        <v>183346.2</v>
      </c>
      <c r="C14" s="349">
        <f t="shared" si="1"/>
        <v>605042.46</v>
      </c>
      <c r="D14" s="349">
        <f t="shared" si="2"/>
        <v>513369.36</v>
      </c>
      <c r="E14" s="349">
        <f>('Cost Report'!$L$29/12)*D14</f>
        <v>2994.6545999999998</v>
      </c>
      <c r="F14" s="350">
        <f t="shared" si="3"/>
        <v>7032.0907124999994</v>
      </c>
      <c r="G14" s="346"/>
      <c r="H14" s="364">
        <v>0.16</v>
      </c>
      <c r="I14" s="364">
        <v>3.7000000000000002E-3</v>
      </c>
      <c r="J14" s="364">
        <v>6.0000000000000001E-3</v>
      </c>
    </row>
    <row r="15" spans="1:10">
      <c r="A15" s="356">
        <f t="shared" si="0"/>
        <v>45717</v>
      </c>
      <c r="B15" s="355">
        <f>'Cost Report'!$F$23*(IF('Master Tab'!$C$10=1,AFUDC!H15,(IF('Master Tab'!$C$10=2,AFUDC!I15,AFUDC!J15))))</f>
        <v>1069519.5</v>
      </c>
      <c r="C15" s="349">
        <f t="shared" si="1"/>
        <v>1674561.96</v>
      </c>
      <c r="D15" s="349">
        <f t="shared" si="2"/>
        <v>1139802.21</v>
      </c>
      <c r="E15" s="349">
        <f>('Cost Report'!$L$29/12)*D15</f>
        <v>6648.8462250000002</v>
      </c>
      <c r="F15" s="350">
        <f t="shared" si="3"/>
        <v>13680.936937499999</v>
      </c>
      <c r="G15" s="346"/>
      <c r="H15" s="364">
        <v>0.105</v>
      </c>
      <c r="I15" s="364">
        <v>8.3000000000000001E-3</v>
      </c>
      <c r="J15" s="364">
        <v>3.5000000000000003E-2</v>
      </c>
    </row>
    <row r="16" spans="1:10">
      <c r="A16" s="356">
        <f t="shared" si="0"/>
        <v>45748</v>
      </c>
      <c r="B16" s="355">
        <f>'Cost Report'!$F$23*(IF('Master Tab'!$C$10=1,AFUDC!H16,(IF('Master Tab'!$C$10=2,AFUDC!I16,AFUDC!J16))))</f>
        <v>1069519.5</v>
      </c>
      <c r="C16" s="349">
        <f t="shared" si="1"/>
        <v>2744081.46</v>
      </c>
      <c r="D16" s="349">
        <f t="shared" si="2"/>
        <v>2209321.71</v>
      </c>
      <c r="E16" s="349">
        <f>('Cost Report'!$L$29/12)*D16</f>
        <v>12887.709975</v>
      </c>
      <c r="F16" s="350">
        <f t="shared" si="3"/>
        <v>26568.6469125</v>
      </c>
      <c r="G16" s="346"/>
      <c r="H16" s="364">
        <v>4.8750000000000002E-2</v>
      </c>
      <c r="I16" s="364">
        <v>5.4000000000000003E-3</v>
      </c>
      <c r="J16" s="364">
        <v>3.5000000000000003E-2</v>
      </c>
    </row>
    <row r="17" spans="1:10">
      <c r="A17" s="356">
        <f t="shared" si="0"/>
        <v>45778</v>
      </c>
      <c r="B17" s="355">
        <f>'Cost Report'!$F$23*(IF('Master Tab'!$C$10=1,AFUDC!H17,(IF('Master Tab'!$C$10=2,AFUDC!I17,AFUDC!J17))))</f>
        <v>763942.5</v>
      </c>
      <c r="C17" s="349">
        <f t="shared" si="1"/>
        <v>3508023.96</v>
      </c>
      <c r="D17" s="349">
        <f t="shared" si="2"/>
        <v>3126052.71</v>
      </c>
      <c r="E17" s="349">
        <f>('Cost Report'!$L$29/12)*D17</f>
        <v>18235.307475000001</v>
      </c>
      <c r="F17" s="350">
        <f t="shared" si="3"/>
        <v>44803.954387500002</v>
      </c>
      <c r="G17" s="346"/>
      <c r="H17" s="364">
        <v>1.4999999999999999E-2</v>
      </c>
      <c r="I17" s="364">
        <v>3.04E-2</v>
      </c>
      <c r="J17" s="364">
        <v>2.5000000000000001E-2</v>
      </c>
    </row>
    <row r="18" spans="1:10">
      <c r="A18" s="356">
        <f t="shared" si="0"/>
        <v>45809</v>
      </c>
      <c r="B18" s="355">
        <f>'Cost Report'!$F$23*(IF('Master Tab'!$C$10=1,AFUDC!H18,(IF('Master Tab'!$C$10=2,AFUDC!I18,AFUDC!J18))))</f>
        <v>1986250.5</v>
      </c>
      <c r="C18" s="349">
        <f t="shared" si="1"/>
        <v>5494274.46</v>
      </c>
      <c r="D18" s="349">
        <f t="shared" si="2"/>
        <v>4501149.21</v>
      </c>
      <c r="E18" s="349">
        <f>('Cost Report'!$L$29/12)*D18</f>
        <v>26256.703724999999</v>
      </c>
      <c r="F18" s="350">
        <f t="shared" si="3"/>
        <v>71060.658112500008</v>
      </c>
      <c r="G18" s="346"/>
      <c r="H18" s="364">
        <v>1.2500000000000001E-2</v>
      </c>
      <c r="I18" s="364">
        <v>2.7300000000000001E-2</v>
      </c>
      <c r="J18" s="364">
        <v>6.5000000000000002E-2</v>
      </c>
    </row>
    <row r="19" spans="1:10">
      <c r="A19" s="356">
        <f t="shared" si="0"/>
        <v>45839</v>
      </c>
      <c r="B19" s="355">
        <f>'Cost Report'!$F$23*(IF('Master Tab'!$C$10=1,AFUDC!H19,(IF('Master Tab'!$C$10=2,AFUDC!I19,AFUDC!J19))))</f>
        <v>611154</v>
      </c>
      <c r="C19" s="349">
        <f t="shared" si="1"/>
        <v>6105428.46</v>
      </c>
      <c r="D19" s="349">
        <f t="shared" si="2"/>
        <v>5799851.46</v>
      </c>
      <c r="E19" s="349">
        <f>('Cost Report'!$L$29/12)*D19</f>
        <v>33832.466850000004</v>
      </c>
      <c r="F19" s="350">
        <f t="shared" si="3"/>
        <v>104893.12496250001</v>
      </c>
      <c r="G19" s="346"/>
      <c r="H19" s="364">
        <v>5.0000000000000001E-3</v>
      </c>
      <c r="I19" s="364">
        <v>3.2300000000000002E-2</v>
      </c>
      <c r="J19" s="364">
        <v>0.02</v>
      </c>
    </row>
    <row r="20" spans="1:10" ht="15.75" thickBot="1">
      <c r="A20" s="357">
        <f t="shared" si="0"/>
        <v>45870</v>
      </c>
      <c r="B20" s="355">
        <f>'Cost Report'!$F$23*(IF('Master Tab'!$C$10=1,AFUDC!H20,(IF('Master Tab'!$C$10=2,AFUDC!I20,AFUDC!J20))))</f>
        <v>305577</v>
      </c>
      <c r="C20" s="351">
        <f t="shared" si="1"/>
        <v>6411005.46</v>
      </c>
      <c r="D20" s="351">
        <f t="shared" si="2"/>
        <v>6258216.96</v>
      </c>
      <c r="E20" s="351">
        <f>('Cost Report'!$L$29/12)*D20</f>
        <v>36506.265599999999</v>
      </c>
      <c r="F20" s="352">
        <f t="shared" si="3"/>
        <v>141399.39056249999</v>
      </c>
      <c r="G20" s="365"/>
      <c r="H20" s="366">
        <v>2.5000000000000001E-3</v>
      </c>
      <c r="I20" s="364">
        <v>4.4999999999999998E-2</v>
      </c>
      <c r="J20" s="364">
        <v>0.01</v>
      </c>
    </row>
    <row r="21" spans="1:10">
      <c r="A21" s="359">
        <f t="shared" si="0"/>
        <v>45901</v>
      </c>
      <c r="B21" s="355">
        <f>'Cost Report'!$F$23*(IF('Master Tab'!$C$10=1,AFUDC!H21,(IF('Master Tab'!$C$10=2,AFUDC!I21,AFUDC!J21))))</f>
        <v>479755.88999999996</v>
      </c>
      <c r="C21" s="353">
        <f t="shared" si="1"/>
        <v>6890761.3499999996</v>
      </c>
      <c r="D21" s="353">
        <f t="shared" si="2"/>
        <v>6650883.4050000003</v>
      </c>
      <c r="E21" s="353">
        <f>('Cost Report'!$L$29/12)*D21</f>
        <v>38796.8198625</v>
      </c>
      <c r="F21" s="354">
        <f t="shared" si="3"/>
        <v>180196.210425</v>
      </c>
      <c r="G21" s="346"/>
      <c r="H21" s="367"/>
      <c r="I21" s="364">
        <v>5.2999999999999999E-2</v>
      </c>
      <c r="J21" s="364">
        <v>1.5699999999999999E-2</v>
      </c>
    </row>
    <row r="22" spans="1:10">
      <c r="A22" s="356">
        <f t="shared" si="0"/>
        <v>45931</v>
      </c>
      <c r="B22" s="355">
        <f>'Cost Report'!$F$23*(IF('Master Tab'!$C$10=1,AFUDC!H22,(IF('Master Tab'!$C$10=2,AFUDC!I22,AFUDC!J22))))</f>
        <v>106951.95</v>
      </c>
      <c r="C22" s="349">
        <f t="shared" si="1"/>
        <v>6997713.2999999998</v>
      </c>
      <c r="D22" s="349">
        <f t="shared" si="2"/>
        <v>6944237.3249999993</v>
      </c>
      <c r="E22" s="349">
        <f>('Cost Report'!$L$29/12)*D22</f>
        <v>40508.051062499995</v>
      </c>
      <c r="F22" s="350">
        <f t="shared" si="3"/>
        <v>220704.26148749999</v>
      </c>
      <c r="G22" s="368"/>
      <c r="H22" s="367"/>
      <c r="I22" s="364">
        <v>4.65E-2</v>
      </c>
      <c r="J22" s="364">
        <v>3.5000000000000001E-3</v>
      </c>
    </row>
    <row r="23" spans="1:10">
      <c r="A23" s="356">
        <f t="shared" si="0"/>
        <v>45962</v>
      </c>
      <c r="B23" s="355">
        <f>'Cost Report'!$F$23*(IF('Master Tab'!$C$10=1,AFUDC!H23,(IF('Master Tab'!$C$10=2,AFUDC!I23,AFUDC!J23))))</f>
        <v>165011.58000000002</v>
      </c>
      <c r="C23" s="349">
        <f t="shared" si="1"/>
        <v>7162724.8799999999</v>
      </c>
      <c r="D23" s="349">
        <f t="shared" si="2"/>
        <v>7080219.0899999999</v>
      </c>
      <c r="E23" s="349">
        <f>('Cost Report'!$L$29/12)*D23</f>
        <v>41301.278025</v>
      </c>
      <c r="F23" s="350">
        <f t="shared" si="3"/>
        <v>262005.53951249999</v>
      </c>
      <c r="G23" s="368"/>
      <c r="H23" s="367"/>
      <c r="I23" s="364">
        <v>8.0600000000000005E-2</v>
      </c>
      <c r="J23" s="364">
        <v>5.4000000000000003E-3</v>
      </c>
    </row>
    <row r="24" spans="1:10">
      <c r="A24" s="356">
        <f t="shared" si="0"/>
        <v>45992</v>
      </c>
      <c r="B24" s="355">
        <f>'Cost Report'!$F$23*(IF('Master Tab'!$C$10=1,AFUDC!H24,(IF('Master Tab'!$C$10=2,AFUDC!I24,AFUDC!J24))))</f>
        <v>165011.58000000002</v>
      </c>
      <c r="C24" s="349">
        <f t="shared" si="1"/>
        <v>7327736.46</v>
      </c>
      <c r="D24" s="349">
        <f t="shared" si="2"/>
        <v>7245230.6699999999</v>
      </c>
      <c r="E24" s="349">
        <f>('Cost Report'!$L$29/12)*D24</f>
        <v>42263.845574999999</v>
      </c>
      <c r="F24" s="350">
        <f t="shared" si="3"/>
        <v>304269.38508749998</v>
      </c>
      <c r="G24" s="346"/>
      <c r="H24" s="367"/>
      <c r="I24" s="364">
        <v>9.5200000000000007E-2</v>
      </c>
      <c r="J24" s="364">
        <v>5.4000000000000003E-3</v>
      </c>
    </row>
    <row r="25" spans="1:10">
      <c r="A25" s="356">
        <f t="shared" si="0"/>
        <v>46023</v>
      </c>
      <c r="B25" s="355">
        <f>'Cost Report'!$F$23*(IF('Master Tab'!$C$10=1,AFUDC!H25,(IF('Master Tab'!$C$10=2,AFUDC!I25,AFUDC!J25))))</f>
        <v>534759.75</v>
      </c>
      <c r="C25" s="349">
        <f t="shared" si="1"/>
        <v>7862496.21</v>
      </c>
      <c r="D25" s="349">
        <f t="shared" si="2"/>
        <v>7595116.335</v>
      </c>
      <c r="E25" s="349">
        <f>('Cost Report'!$L$29/12)*D25</f>
        <v>44304.8452875</v>
      </c>
      <c r="F25" s="350">
        <f t="shared" si="3"/>
        <v>348574.23037499998</v>
      </c>
      <c r="G25" s="346"/>
      <c r="H25" s="367"/>
      <c r="I25" s="364">
        <v>0.10050000000000001</v>
      </c>
      <c r="J25" s="364">
        <v>1.7500000000000002E-2</v>
      </c>
    </row>
    <row r="26" spans="1:10">
      <c r="A26" s="356">
        <f t="shared" si="0"/>
        <v>46054</v>
      </c>
      <c r="B26" s="355">
        <f>'Cost Report'!$F$23*(IF('Master Tab'!$C$10=1,AFUDC!H26,(IF('Master Tab'!$C$10=2,AFUDC!I26,AFUDC!J26))))</f>
        <v>458365.5</v>
      </c>
      <c r="C26" s="349">
        <f t="shared" si="1"/>
        <v>8320861.71</v>
      </c>
      <c r="D26" s="349">
        <f t="shared" si="2"/>
        <v>8091678.96</v>
      </c>
      <c r="E26" s="349">
        <f>('Cost Report'!$L$29/12)*D26</f>
        <v>47201.460599999999</v>
      </c>
      <c r="F26" s="350">
        <f t="shared" si="3"/>
        <v>395775.69097499998</v>
      </c>
      <c r="G26" s="346"/>
      <c r="H26" s="367"/>
      <c r="I26" s="364">
        <v>0.12909999999999999</v>
      </c>
      <c r="J26" s="364">
        <v>1.4999999999999999E-2</v>
      </c>
    </row>
    <row r="27" spans="1:10">
      <c r="A27" s="356">
        <f t="shared" si="0"/>
        <v>46082</v>
      </c>
      <c r="B27" s="355">
        <f>'Cost Report'!$F$23*(IF('Master Tab'!$C$10=1,AFUDC!H27,(IF('Master Tab'!$C$10=2,AFUDC!I27,AFUDC!J27))))</f>
        <v>458365.5</v>
      </c>
      <c r="C27" s="349">
        <f t="shared" si="1"/>
        <v>8779227.2100000009</v>
      </c>
      <c r="D27" s="349">
        <f t="shared" si="2"/>
        <v>8550044.4600000009</v>
      </c>
      <c r="E27" s="349">
        <f>('Cost Report'!$L$29/12)*D27</f>
        <v>49875.259350000008</v>
      </c>
      <c r="F27" s="350">
        <f t="shared" si="3"/>
        <v>445650.95032499998</v>
      </c>
      <c r="G27" s="346"/>
      <c r="H27" s="367"/>
      <c r="I27" s="364">
        <v>0.14080000000000001</v>
      </c>
      <c r="J27" s="364">
        <v>1.4999999999999999E-2</v>
      </c>
    </row>
    <row r="28" spans="1:10">
      <c r="A28" s="356">
        <f t="shared" si="0"/>
        <v>46113</v>
      </c>
      <c r="B28" s="355">
        <f>'Cost Report'!$F$23*(IF('Master Tab'!$C$10=1,AFUDC!H28,(IF('Master Tab'!$C$10=2,AFUDC!I28,AFUDC!J28))))</f>
        <v>476700.12</v>
      </c>
      <c r="C28" s="349">
        <f t="shared" si="1"/>
        <v>9255927.3300000001</v>
      </c>
      <c r="D28" s="349">
        <f t="shared" si="2"/>
        <v>9017577.2700000014</v>
      </c>
      <c r="E28" s="349">
        <f>('Cost Report'!$L$29/12)*D28</f>
        <v>52602.53407500001</v>
      </c>
      <c r="F28" s="350">
        <f t="shared" si="3"/>
        <v>498253.48440000002</v>
      </c>
      <c r="G28" s="346"/>
      <c r="H28" s="367"/>
      <c r="I28" s="364">
        <v>8.5199999999999998E-2</v>
      </c>
      <c r="J28" s="364">
        <v>1.5599999999999999E-2</v>
      </c>
    </row>
    <row r="29" spans="1:10">
      <c r="A29" s="356">
        <f t="shared" si="0"/>
        <v>46143</v>
      </c>
      <c r="B29" s="355">
        <f>'Cost Report'!$F$23*(IF('Master Tab'!$C$10=1,AFUDC!H29,(IF('Master Tab'!$C$10=2,AFUDC!I29,AFUDC!J29))))</f>
        <v>3972501</v>
      </c>
      <c r="C29" s="349">
        <f t="shared" si="1"/>
        <v>13228428.33</v>
      </c>
      <c r="D29" s="349">
        <f t="shared" si="2"/>
        <v>11242177.83</v>
      </c>
      <c r="E29" s="349">
        <f>('Cost Report'!$L$29/12)*D29</f>
        <v>65579.370674999998</v>
      </c>
      <c r="F29" s="350">
        <f t="shared" si="3"/>
        <v>563832.85507499997</v>
      </c>
      <c r="G29" s="346"/>
      <c r="H29" s="367"/>
      <c r="I29" s="364">
        <v>3.2199999999999999E-2</v>
      </c>
      <c r="J29" s="364">
        <v>0.13</v>
      </c>
    </row>
    <row r="30" spans="1:10">
      <c r="A30" s="356">
        <f t="shared" si="0"/>
        <v>46174</v>
      </c>
      <c r="B30" s="355">
        <f>'Cost Report'!$F$23*(IF('Master Tab'!$C$10=1,AFUDC!H30,(IF('Master Tab'!$C$10=2,AFUDC!I30,AFUDC!J30))))</f>
        <v>3972501</v>
      </c>
      <c r="C30" s="349">
        <f t="shared" si="1"/>
        <v>17200929.329999998</v>
      </c>
      <c r="D30" s="349">
        <f t="shared" si="2"/>
        <v>15214678.83</v>
      </c>
      <c r="E30" s="349">
        <f>('Cost Report'!$L$29/12)*D30</f>
        <v>88752.293174999999</v>
      </c>
      <c r="F30" s="350">
        <f t="shared" si="3"/>
        <v>652585.14824999997</v>
      </c>
      <c r="G30" s="346"/>
      <c r="H30" s="367"/>
      <c r="I30" s="364">
        <v>2.2499999999999999E-2</v>
      </c>
      <c r="J30" s="364">
        <v>0.13</v>
      </c>
    </row>
    <row r="31" spans="1:10">
      <c r="A31" s="356">
        <f t="shared" si="0"/>
        <v>46204</v>
      </c>
      <c r="B31" s="355">
        <f>'Cost Report'!$F$23*(IF('Master Tab'!$C$10=1,AFUDC!H31,(IF('Master Tab'!$C$10=2,AFUDC!I31,AFUDC!J31))))</f>
        <v>3055770</v>
      </c>
      <c r="C31" s="349">
        <f t="shared" si="1"/>
        <v>20256699.329999998</v>
      </c>
      <c r="D31" s="349">
        <f t="shared" si="2"/>
        <v>18728814.329999998</v>
      </c>
      <c r="E31" s="349">
        <f>('Cost Report'!$L$29/12)*D31</f>
        <v>109251.416925</v>
      </c>
      <c r="F31" s="350">
        <f t="shared" si="3"/>
        <v>761836.565175</v>
      </c>
      <c r="G31" s="346"/>
      <c r="H31" s="367"/>
      <c r="I31" s="364">
        <v>1.38E-2</v>
      </c>
      <c r="J31" s="364">
        <v>0.1</v>
      </c>
    </row>
    <row r="32" spans="1:10">
      <c r="A32" s="356">
        <f t="shared" si="0"/>
        <v>46235</v>
      </c>
      <c r="B32" s="355">
        <f>'Cost Report'!$F$23*(IF('Master Tab'!$C$10=1,AFUDC!H32,(IF('Master Tab'!$C$10=2,AFUDC!I32,AFUDC!J32))))</f>
        <v>2444616</v>
      </c>
      <c r="C32" s="349">
        <f t="shared" si="1"/>
        <v>22701315.329999998</v>
      </c>
      <c r="D32" s="349">
        <f t="shared" si="2"/>
        <v>21479007.329999998</v>
      </c>
      <c r="E32" s="349">
        <f>('Cost Report'!$L$29/12)*D32</f>
        <v>125294.20942499999</v>
      </c>
      <c r="F32" s="350">
        <f t="shared" si="3"/>
        <v>887130.7746</v>
      </c>
      <c r="G32" s="346"/>
      <c r="H32" s="367"/>
      <c r="I32" s="364">
        <v>2.3E-3</v>
      </c>
      <c r="J32" s="364">
        <v>0.08</v>
      </c>
    </row>
    <row r="33" spans="1:10">
      <c r="A33" s="356">
        <f t="shared" si="0"/>
        <v>46266</v>
      </c>
      <c r="B33" s="355">
        <f>'Cost Report'!$F$23*(IF('Master Tab'!$C$10=1,AFUDC!H33,(IF('Master Tab'!$C$10=2,AFUDC!I33,AFUDC!J33))))</f>
        <v>2444616</v>
      </c>
      <c r="C33" s="349">
        <f t="shared" si="1"/>
        <v>25145931.329999998</v>
      </c>
      <c r="D33" s="349">
        <f t="shared" si="2"/>
        <v>23923623.329999998</v>
      </c>
      <c r="E33" s="349">
        <f>('Cost Report'!$L$29/12)*D33</f>
        <v>139554.46942499999</v>
      </c>
      <c r="F33" s="350">
        <f t="shared" si="3"/>
        <v>1026685.244025</v>
      </c>
      <c r="G33" s="346"/>
      <c r="H33" s="367"/>
      <c r="I33" s="364">
        <v>1.1999999999999999E-3</v>
      </c>
      <c r="J33" s="364">
        <v>0.08</v>
      </c>
    </row>
    <row r="34" spans="1:10" ht="15.75" thickBot="1">
      <c r="A34" s="357">
        <f t="shared" si="0"/>
        <v>46296</v>
      </c>
      <c r="B34" s="355">
        <f>'Cost Report'!$F$23*(IF('Master Tab'!$C$10=1,AFUDC!H34,(IF('Master Tab'!$C$10=2,AFUDC!I34,AFUDC!J34))))</f>
        <v>1833462</v>
      </c>
      <c r="C34" s="351">
        <f t="shared" si="1"/>
        <v>26979393.329999998</v>
      </c>
      <c r="D34" s="351">
        <f t="shared" si="2"/>
        <v>26062662.329999998</v>
      </c>
      <c r="E34" s="351">
        <f>('Cost Report'!$L$29/12)*D34</f>
        <v>152032.196925</v>
      </c>
      <c r="F34" s="352">
        <f t="shared" si="3"/>
        <v>1178717.44095</v>
      </c>
      <c r="G34" s="365"/>
      <c r="H34" s="369"/>
      <c r="I34" s="366">
        <v>0.01</v>
      </c>
      <c r="J34" s="364">
        <v>0.06</v>
      </c>
    </row>
    <row r="35" spans="1:10">
      <c r="A35" s="359">
        <f t="shared" si="0"/>
        <v>46327</v>
      </c>
      <c r="B35" s="355">
        <f>'Cost Report'!$F$23*(IF('Master Tab'!$C$10=1,AFUDC!H35,(IF('Master Tab'!$C$10=2,AFUDC!I35,AFUDC!J35))))</f>
        <v>2139039</v>
      </c>
      <c r="C35" s="353">
        <f t="shared" si="1"/>
        <v>29118432.329999998</v>
      </c>
      <c r="D35" s="353">
        <f t="shared" si="2"/>
        <v>28048912.829999998</v>
      </c>
      <c r="E35" s="353">
        <f>('Cost Report'!$L$29/12)*D35</f>
        <v>163618.65817499999</v>
      </c>
      <c r="F35" s="354">
        <f t="shared" si="3"/>
        <v>1342336.0991249999</v>
      </c>
      <c r="G35" s="346"/>
      <c r="H35" s="367"/>
      <c r="I35" s="367"/>
      <c r="J35" s="364">
        <v>7.0000000000000007E-2</v>
      </c>
    </row>
    <row r="36" spans="1:10">
      <c r="A36" s="356">
        <f t="shared" si="0"/>
        <v>46357</v>
      </c>
      <c r="B36" s="355">
        <f>'Cost Report'!$F$23*(IF('Master Tab'!$C$10=1,AFUDC!H36,(IF('Master Tab'!$C$10=2,AFUDC!I36,AFUDC!J36))))</f>
        <v>611154</v>
      </c>
      <c r="C36" s="349">
        <f t="shared" si="1"/>
        <v>29729586.329999998</v>
      </c>
      <c r="D36" s="349">
        <f t="shared" si="2"/>
        <v>29424009.329999998</v>
      </c>
      <c r="E36" s="349">
        <f>('Cost Report'!$L$29/12)*D36</f>
        <v>171640.05442500001</v>
      </c>
      <c r="F36" s="350">
        <f t="shared" si="3"/>
        <v>1513976.1535499999</v>
      </c>
      <c r="G36" s="346"/>
      <c r="H36" s="367"/>
      <c r="I36" s="367"/>
      <c r="J36" s="364">
        <v>0.02</v>
      </c>
    </row>
    <row r="37" spans="1:10">
      <c r="A37" s="356">
        <f t="shared" si="0"/>
        <v>46388</v>
      </c>
      <c r="B37" s="355">
        <f>'Cost Report'!$F$23*(IF('Master Tab'!$C$10=1,AFUDC!H37,(IF('Master Tab'!$C$10=2,AFUDC!I37,AFUDC!J37))))</f>
        <v>305577</v>
      </c>
      <c r="C37" s="349">
        <f t="shared" si="1"/>
        <v>30035163.329999998</v>
      </c>
      <c r="D37" s="349">
        <f t="shared" si="2"/>
        <v>29882374.829999998</v>
      </c>
      <c r="E37" s="349">
        <f>('Cost Report'!$L$29/12)*D37</f>
        <v>174313.853175</v>
      </c>
      <c r="F37" s="350">
        <f t="shared" si="3"/>
        <v>1688290.006725</v>
      </c>
      <c r="G37" s="346"/>
      <c r="H37" s="367"/>
      <c r="I37" s="367"/>
      <c r="J37" s="364">
        <v>0.01</v>
      </c>
    </row>
    <row r="38" spans="1:10">
      <c r="A38" s="356">
        <f t="shared" si="0"/>
        <v>46419</v>
      </c>
      <c r="B38" s="355">
        <f>'Cost Report'!$F$23*(IF('Master Tab'!$C$10=1,AFUDC!H38,(IF('Master Tab'!$C$10=2,AFUDC!I38,AFUDC!J38))))</f>
        <v>152788.5</v>
      </c>
      <c r="C38" s="349">
        <f t="shared" si="1"/>
        <v>30187951.829999998</v>
      </c>
      <c r="D38" s="349">
        <f t="shared" si="2"/>
        <v>30111557.579999998</v>
      </c>
      <c r="E38" s="349">
        <f>('Cost Report'!$L$29/12)*D38</f>
        <v>175650.75255</v>
      </c>
      <c r="F38" s="350">
        <f t="shared" si="3"/>
        <v>1863940.7592750001</v>
      </c>
      <c r="G38" s="346"/>
      <c r="H38" s="367"/>
      <c r="I38" s="367"/>
      <c r="J38" s="364">
        <v>5.0000000000000001E-3</v>
      </c>
    </row>
    <row r="39" spans="1:10">
      <c r="A39" s="356">
        <f t="shared" si="0"/>
        <v>46447</v>
      </c>
      <c r="B39" s="355">
        <f>'Cost Report'!$F$23*(IF('Master Tab'!$C$10=1,AFUDC!H39,(IF('Master Tab'!$C$10=2,AFUDC!I39,AFUDC!J39))))</f>
        <v>15278.85</v>
      </c>
      <c r="C39" s="349">
        <f t="shared" si="1"/>
        <v>30203230.68</v>
      </c>
      <c r="D39" s="349">
        <f t="shared" si="2"/>
        <v>30195591.254999999</v>
      </c>
      <c r="E39" s="349">
        <f>('Cost Report'!$L$29/12)*D39</f>
        <v>176140.94898750001</v>
      </c>
      <c r="F39" s="350">
        <f t="shared" si="3"/>
        <v>2040081.7082625001</v>
      </c>
      <c r="G39" s="346"/>
      <c r="H39" s="367"/>
      <c r="I39" s="367"/>
      <c r="J39" s="364">
        <v>5.0000000000000001E-4</v>
      </c>
    </row>
    <row r="40" spans="1:10">
      <c r="A40" s="356">
        <f t="shared" si="0"/>
        <v>46478</v>
      </c>
      <c r="B40" s="355">
        <f>'Cost Report'!$F$23*(IF('Master Tab'!$C$10=1,AFUDC!H40,(IF('Master Tab'!$C$10=2,AFUDC!I40,AFUDC!J40))))</f>
        <v>15278.85</v>
      </c>
      <c r="C40" s="349">
        <f t="shared" si="1"/>
        <v>30218509.530000001</v>
      </c>
      <c r="D40" s="349">
        <f t="shared" si="2"/>
        <v>30210870.105</v>
      </c>
      <c r="E40" s="349">
        <f>('Cost Report'!$L$29/12)*D40</f>
        <v>176230.07561250002</v>
      </c>
      <c r="F40" s="350">
        <f t="shared" si="3"/>
        <v>2216311.7838750002</v>
      </c>
      <c r="G40" s="346"/>
      <c r="H40" s="367"/>
      <c r="I40" s="367"/>
      <c r="J40" s="364">
        <v>5.0000000000000001E-4</v>
      </c>
    </row>
    <row r="41" spans="1:10">
      <c r="A41" s="356">
        <f t="shared" si="0"/>
        <v>46508</v>
      </c>
      <c r="B41" s="355">
        <f>'Cost Report'!$F$23*(IF('Master Tab'!$C$10=1,AFUDC!H41,(IF('Master Tab'!$C$10=2,AFUDC!I41,AFUDC!J41))))</f>
        <v>9167.31</v>
      </c>
      <c r="C41" s="349">
        <f t="shared" si="1"/>
        <v>30227676.84</v>
      </c>
      <c r="D41" s="349">
        <f t="shared" si="2"/>
        <v>30223093.185000002</v>
      </c>
      <c r="E41" s="349">
        <f>('Cost Report'!$L$29/12)*D41</f>
        <v>176301.37691250001</v>
      </c>
      <c r="F41" s="350">
        <f t="shared" si="3"/>
        <v>2392613.1607875004</v>
      </c>
      <c r="G41" s="346"/>
      <c r="H41" s="367"/>
      <c r="I41" s="367"/>
      <c r="J41" s="364">
        <v>2.9999999999999997E-4</v>
      </c>
    </row>
    <row r="42" spans="1:10">
      <c r="A42" s="356">
        <f t="shared" si="0"/>
        <v>46539</v>
      </c>
      <c r="B42" s="355">
        <f>'Cost Report'!$F$23*(IF('Master Tab'!$C$10=1,AFUDC!H42,(IF('Master Tab'!$C$10=2,AFUDC!I42,AFUDC!J42))))</f>
        <v>9167.31</v>
      </c>
      <c r="C42" s="349">
        <f t="shared" si="1"/>
        <v>30236844.149999999</v>
      </c>
      <c r="D42" s="349">
        <f t="shared" si="2"/>
        <v>30232260.495000001</v>
      </c>
      <c r="E42" s="349">
        <f>('Cost Report'!$L$29/12)*D42</f>
        <v>176354.85288750002</v>
      </c>
      <c r="F42" s="350">
        <f t="shared" si="3"/>
        <v>2568968.0136750005</v>
      </c>
      <c r="G42" s="346"/>
      <c r="H42" s="367"/>
      <c r="I42" s="367"/>
      <c r="J42" s="364">
        <v>2.9999999999999997E-4</v>
      </c>
    </row>
    <row r="43" spans="1:10">
      <c r="A43" s="356">
        <f t="shared" si="0"/>
        <v>46569</v>
      </c>
      <c r="B43" s="355">
        <f>'Cost Report'!$F$23*(IF('Master Tab'!$C$10=1,AFUDC!H43,(IF('Master Tab'!$C$10=2,AFUDC!I43,AFUDC!J43))))</f>
        <v>3055.77</v>
      </c>
      <c r="C43" s="349">
        <f t="shared" si="1"/>
        <v>30239899.919999998</v>
      </c>
      <c r="D43" s="349">
        <f t="shared" si="2"/>
        <v>30238372.035</v>
      </c>
      <c r="E43" s="349">
        <f>('Cost Report'!$L$29/12)*D43</f>
        <v>176390.50353750002</v>
      </c>
      <c r="F43" s="350">
        <f t="shared" si="3"/>
        <v>2745358.5172125003</v>
      </c>
      <c r="G43" s="346"/>
      <c r="H43" s="367"/>
      <c r="I43" s="367"/>
      <c r="J43" s="364">
        <v>1E-4</v>
      </c>
    </row>
    <row r="44" spans="1:10">
      <c r="A44" s="356">
        <f t="shared" si="0"/>
        <v>46600</v>
      </c>
      <c r="B44" s="355">
        <f>'Cost Report'!$F$23*(IF('Master Tab'!$C$10=1,AFUDC!H44,(IF('Master Tab'!$C$10=2,AFUDC!I44,AFUDC!J44))))</f>
        <v>3055.77</v>
      </c>
      <c r="C44" s="349">
        <f t="shared" si="1"/>
        <v>30242955.689999998</v>
      </c>
      <c r="D44" s="349">
        <f t="shared" si="2"/>
        <v>30241427.805</v>
      </c>
      <c r="E44" s="349">
        <f>('Cost Report'!$L$29/12)*D44</f>
        <v>176408.3288625</v>
      </c>
      <c r="F44" s="350">
        <f t="shared" si="3"/>
        <v>2921766.8460750002</v>
      </c>
      <c r="G44" s="346"/>
      <c r="H44" s="367"/>
      <c r="I44" s="367"/>
      <c r="J44" s="364">
        <v>1E-4</v>
      </c>
    </row>
    <row r="45" spans="1:10">
      <c r="A45" s="356">
        <f t="shared" si="0"/>
        <v>46631</v>
      </c>
      <c r="B45" s="355">
        <f>'Cost Report'!$F$23*(IF('Master Tab'!$C$10=1,AFUDC!H45,(IF('Master Tab'!$C$10=2,AFUDC!I45,AFUDC!J45))))</f>
        <v>3055.77</v>
      </c>
      <c r="C45" s="349">
        <f t="shared" si="1"/>
        <v>30246011.459999997</v>
      </c>
      <c r="D45" s="349">
        <f t="shared" si="2"/>
        <v>30244483.574999999</v>
      </c>
      <c r="E45" s="349">
        <f>('Cost Report'!$L$29/12)*D45</f>
        <v>176426.15418750001</v>
      </c>
      <c r="F45" s="350">
        <f t="shared" si="3"/>
        <v>3098193.0002625003</v>
      </c>
      <c r="G45" s="346"/>
      <c r="H45" s="367"/>
      <c r="I45" s="367"/>
      <c r="J45" s="364">
        <v>1E-4</v>
      </c>
    </row>
    <row r="46" spans="1:10">
      <c r="A46" s="356">
        <f t="shared" si="0"/>
        <v>46661</v>
      </c>
      <c r="B46" s="355">
        <f>'Cost Report'!$F$23*(IF('Master Tab'!$C$10=1,AFUDC!H46,(IF('Master Tab'!$C$10=2,AFUDC!I46,AFUDC!J46))))</f>
        <v>3055.77</v>
      </c>
      <c r="C46" s="349">
        <f t="shared" si="1"/>
        <v>30249067.229999997</v>
      </c>
      <c r="D46" s="349">
        <f t="shared" si="2"/>
        <v>30247539.344999999</v>
      </c>
      <c r="E46" s="349">
        <f>('Cost Report'!$L$29/12)*D46</f>
        <v>176443.97951249999</v>
      </c>
      <c r="F46" s="350">
        <f t="shared" si="3"/>
        <v>3274636.9797750004</v>
      </c>
      <c r="G46" s="346"/>
      <c r="H46" s="367"/>
      <c r="I46" s="367"/>
      <c r="J46" s="364">
        <v>1E-4</v>
      </c>
    </row>
    <row r="47" spans="1:10">
      <c r="A47" s="356">
        <f t="shared" si="0"/>
        <v>46692</v>
      </c>
      <c r="B47" s="355">
        <f>'Cost Report'!$F$23*(IF('Master Tab'!$C$10=1,AFUDC!H47,(IF('Master Tab'!$C$10=2,AFUDC!I47,AFUDC!J47))))</f>
        <v>3055.77</v>
      </c>
      <c r="C47" s="349">
        <f t="shared" si="1"/>
        <v>30252122.999999996</v>
      </c>
      <c r="D47" s="349">
        <f t="shared" si="2"/>
        <v>30250595.114999998</v>
      </c>
      <c r="E47" s="349">
        <f>('Cost Report'!$L$29/12)*D47</f>
        <v>176461.80483750001</v>
      </c>
      <c r="F47" s="350">
        <f t="shared" si="3"/>
        <v>3451098.7846125006</v>
      </c>
      <c r="G47" s="346"/>
      <c r="H47" s="367"/>
      <c r="I47" s="367"/>
      <c r="J47" s="364">
        <v>1E-4</v>
      </c>
    </row>
    <row r="48" spans="1:10" ht="15.75" thickBot="1">
      <c r="A48" s="357">
        <f t="shared" si="0"/>
        <v>46722</v>
      </c>
      <c r="B48" s="355">
        <f>'Cost Report'!$F$23*(IF('Master Tab'!$C$10=1,AFUDC!H48,(IF('Master Tab'!$C$10=2,AFUDC!I48,AFUDC!J48))))</f>
        <v>305577</v>
      </c>
      <c r="C48" s="351">
        <f t="shared" si="1"/>
        <v>30557699.999999996</v>
      </c>
      <c r="D48" s="351">
        <f t="shared" si="2"/>
        <v>30404911.499999996</v>
      </c>
      <c r="E48" s="351">
        <f>('Cost Report'!$L$29/12)*D48</f>
        <v>177361.98374999998</v>
      </c>
      <c r="F48" s="352">
        <f t="shared" si="3"/>
        <v>3628460.7683625007</v>
      </c>
      <c r="G48" s="365"/>
      <c r="H48" s="369"/>
      <c r="I48" s="369"/>
      <c r="J48" s="366">
        <v>0.01</v>
      </c>
    </row>
    <row r="49" spans="1:10" ht="15.75" thickBot="1">
      <c r="A49" s="346"/>
      <c r="B49" s="346"/>
      <c r="C49" s="346"/>
      <c r="D49" s="605" t="s">
        <v>603</v>
      </c>
      <c r="E49" s="606"/>
      <c r="F49" s="370">
        <f>F20</f>
        <v>141399.39056249999</v>
      </c>
      <c r="G49" s="346"/>
      <c r="H49" s="346"/>
      <c r="I49" s="346"/>
      <c r="J49" s="346"/>
    </row>
    <row r="50" spans="1:10" ht="15.75" thickBot="1">
      <c r="A50" s="346"/>
      <c r="B50" s="346"/>
      <c r="C50" s="346"/>
      <c r="D50" s="607" t="s">
        <v>604</v>
      </c>
      <c r="E50" s="608"/>
      <c r="F50" s="358">
        <f>F34</f>
        <v>1178717.44095</v>
      </c>
      <c r="G50" s="346"/>
      <c r="H50" s="346"/>
      <c r="I50" s="346"/>
      <c r="J50" s="346"/>
    </row>
    <row r="51" spans="1:10" ht="15.75" thickBot="1">
      <c r="A51" s="346"/>
      <c r="B51" s="346"/>
      <c r="C51" s="346"/>
      <c r="D51" s="609" t="s">
        <v>605</v>
      </c>
      <c r="E51" s="610"/>
      <c r="F51" s="358">
        <f>F48</f>
        <v>3628460.7683625007</v>
      </c>
      <c r="G51" s="346"/>
      <c r="H51" s="346"/>
      <c r="I51" s="346"/>
      <c r="J51" s="346"/>
    </row>
  </sheetData>
  <mergeCells count="3">
    <mergeCell ref="D49:E49"/>
    <mergeCell ref="D50:E50"/>
    <mergeCell ref="D51:E51"/>
  </mergeCells>
  <dataValidations disablePrompts="1" count="1">
    <dataValidation allowBlank="1" showInputMessage="1" showErrorMessage="1" errorTitle="Invalid Date" sqref="I15" xr:uid="{B3262B8B-FA08-484A-80D2-BC06D5039F5D}"/>
  </dataValidations>
  <pageMargins left="0.7" right="0.7" top="0.75" bottom="0.75" header="0.3" footer="0.3"/>
  <pageSetup scale="67" orientation="landscape" r:id="rId1"/>
  <headerFooter>
    <oddHeader>&amp;R&amp;"Times New Roman,Bold"&amp;10KyPSC Case No. 2025-00229
STAFF-DR-01-005(b) Attachment 4
Page &amp;P of &amp;N</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2BBE-CCF1-427F-B0AD-174C0A9E1027}">
  <sheetPr>
    <tabColor rgb="FF0070C0"/>
    <pageSetUpPr fitToPage="1"/>
  </sheetPr>
  <dimension ref="A1:AM524"/>
  <sheetViews>
    <sheetView view="pageLayout" zoomScaleNormal="100" workbookViewId="0">
      <selection activeCell="A4" sqref="A4:J4"/>
    </sheetView>
  </sheetViews>
  <sheetFormatPr defaultRowHeight="15"/>
  <cols>
    <col min="1" max="1" width="2.140625" customWidth="1"/>
    <col min="2" max="2" width="53.85546875" customWidth="1"/>
    <col min="3" max="3" width="36.7109375" bestFit="1" customWidth="1"/>
    <col min="4" max="4" width="90.5703125" bestFit="1" customWidth="1"/>
    <col min="5" max="5" width="13.42578125" customWidth="1"/>
    <col min="11" max="24" width="9.140625" style="402"/>
    <col min="25" max="25" width="10" style="402" bestFit="1" customWidth="1"/>
    <col min="26" max="26" width="11.5703125" style="402" bestFit="1" customWidth="1"/>
    <col min="27" max="39" width="9.140625" style="402"/>
  </cols>
  <sheetData>
    <row r="1" spans="2:4" ht="9.75" customHeight="1"/>
    <row r="2" spans="2:4">
      <c r="B2" s="16" t="s">
        <v>9</v>
      </c>
    </row>
    <row r="3" spans="2:4" ht="15.75" thickBot="1"/>
    <row r="4" spans="2:4" ht="21">
      <c r="B4" s="428" t="s">
        <v>10</v>
      </c>
      <c r="C4" s="429"/>
      <c r="D4" s="430"/>
    </row>
    <row r="5" spans="2:4" ht="19.5" thickBot="1">
      <c r="B5" s="24" t="s">
        <v>11</v>
      </c>
      <c r="C5" s="25" t="s">
        <v>12</v>
      </c>
      <c r="D5" s="26" t="s">
        <v>13</v>
      </c>
    </row>
    <row r="6" spans="2:4">
      <c r="B6" s="5" t="s">
        <v>14</v>
      </c>
      <c r="C6" s="18" t="s">
        <v>713</v>
      </c>
      <c r="D6" s="227" t="s">
        <v>15</v>
      </c>
    </row>
    <row r="7" spans="2:4">
      <c r="B7" s="6" t="s">
        <v>307</v>
      </c>
      <c r="C7" s="19" t="s">
        <v>445</v>
      </c>
      <c r="D7" s="228" t="s">
        <v>308</v>
      </c>
    </row>
    <row r="8" spans="2:4">
      <c r="B8" s="6" t="s">
        <v>0</v>
      </c>
      <c r="C8" s="19" t="s">
        <v>714</v>
      </c>
      <c r="D8" s="228"/>
    </row>
    <row r="9" spans="2:4">
      <c r="B9" s="6" t="s">
        <v>16</v>
      </c>
      <c r="C9" s="139">
        <v>45671</v>
      </c>
      <c r="D9" s="228" t="s">
        <v>17</v>
      </c>
    </row>
    <row r="10" spans="2:4">
      <c r="B10" s="6" t="s">
        <v>341</v>
      </c>
      <c r="C10" s="19">
        <v>3</v>
      </c>
      <c r="D10" s="228" t="s">
        <v>342</v>
      </c>
    </row>
    <row r="11" spans="2:4">
      <c r="B11" s="6" t="s">
        <v>18</v>
      </c>
      <c r="C11" s="19" t="s">
        <v>678</v>
      </c>
      <c r="D11" s="228"/>
    </row>
    <row r="12" spans="2:4">
      <c r="B12" s="6" t="s">
        <v>680</v>
      </c>
      <c r="C12" s="19" t="s">
        <v>710</v>
      </c>
      <c r="D12" s="228"/>
    </row>
    <row r="13" spans="2:4">
      <c r="B13" s="6" t="s">
        <v>681</v>
      </c>
      <c r="C13" s="19" t="s">
        <v>686</v>
      </c>
      <c r="D13" s="228"/>
    </row>
    <row r="14" spans="2:4">
      <c r="B14" s="6" t="s">
        <v>19</v>
      </c>
      <c r="C14" s="19" t="s">
        <v>712</v>
      </c>
      <c r="D14" s="228"/>
    </row>
    <row r="15" spans="2:4">
      <c r="B15" s="6" t="s">
        <v>20</v>
      </c>
      <c r="C15" s="19" t="s">
        <v>21</v>
      </c>
      <c r="D15" s="228"/>
    </row>
    <row r="16" spans="2:4">
      <c r="B16" s="6" t="s">
        <v>22</v>
      </c>
      <c r="C16" s="19" t="s">
        <v>711</v>
      </c>
      <c r="D16" s="228" t="s">
        <v>23</v>
      </c>
    </row>
    <row r="17" spans="2:11" ht="15" customHeight="1">
      <c r="B17" s="6" t="s">
        <v>286</v>
      </c>
      <c r="C17" s="19">
        <v>46</v>
      </c>
      <c r="D17" s="228" t="s">
        <v>675</v>
      </c>
      <c r="E17" s="379" t="s">
        <v>606</v>
      </c>
      <c r="F17" s="221"/>
      <c r="G17" s="221"/>
      <c r="H17" s="221"/>
      <c r="I17" s="221"/>
      <c r="J17" s="221"/>
      <c r="K17" s="406"/>
    </row>
    <row r="18" spans="2:11">
      <c r="B18" s="6" t="s">
        <v>287</v>
      </c>
      <c r="C18" s="19">
        <v>16</v>
      </c>
      <c r="D18" s="228" t="s">
        <v>676</v>
      </c>
      <c r="E18" s="238"/>
      <c r="F18" s="221"/>
      <c r="G18" s="221"/>
      <c r="H18" s="221"/>
      <c r="I18" s="221"/>
      <c r="J18" s="221"/>
      <c r="K18" s="406"/>
    </row>
    <row r="19" spans="2:11">
      <c r="B19" s="6" t="s">
        <v>288</v>
      </c>
      <c r="C19" s="19">
        <v>10</v>
      </c>
      <c r="D19" s="228" t="s">
        <v>677</v>
      </c>
      <c r="E19" s="238"/>
      <c r="F19" s="221"/>
      <c r="G19" s="221"/>
      <c r="H19" s="221"/>
      <c r="I19" s="221"/>
      <c r="J19" s="221"/>
      <c r="K19" s="406"/>
    </row>
    <row r="20" spans="2:11">
      <c r="B20" s="6" t="s">
        <v>24</v>
      </c>
      <c r="C20" s="19" t="s">
        <v>712</v>
      </c>
      <c r="D20" s="228"/>
    </row>
    <row r="21" spans="2:11">
      <c r="B21" s="6" t="s">
        <v>25</v>
      </c>
      <c r="C21" s="19"/>
      <c r="D21" s="228" t="s">
        <v>26</v>
      </c>
    </row>
    <row r="22" spans="2:11">
      <c r="B22" s="6" t="s">
        <v>39</v>
      </c>
      <c r="C22" s="19"/>
      <c r="D22" s="228" t="s">
        <v>27</v>
      </c>
    </row>
    <row r="23" spans="2:11">
      <c r="B23" s="6" t="s">
        <v>38</v>
      </c>
      <c r="C23" s="19"/>
      <c r="D23" s="228"/>
    </row>
    <row r="24" spans="2:11">
      <c r="B24" s="6" t="s">
        <v>28</v>
      </c>
      <c r="C24" s="19" t="s">
        <v>620</v>
      </c>
      <c r="D24" s="244" t="s">
        <v>679</v>
      </c>
    </row>
    <row r="25" spans="2:11">
      <c r="B25" s="6" t="s">
        <v>29</v>
      </c>
      <c r="C25" s="19" t="s">
        <v>237</v>
      </c>
      <c r="D25" s="228"/>
    </row>
    <row r="26" spans="2:11">
      <c r="B26" s="6" t="s">
        <v>30</v>
      </c>
      <c r="C26" s="19" t="s">
        <v>771</v>
      </c>
      <c r="D26" s="228" t="s">
        <v>295</v>
      </c>
      <c r="E26" s="220" t="s">
        <v>296</v>
      </c>
    </row>
    <row r="27" spans="2:11" hidden="1">
      <c r="B27" s="6" t="s">
        <v>31</v>
      </c>
      <c r="C27" s="20"/>
      <c r="D27" s="228" t="s">
        <v>32</v>
      </c>
    </row>
    <row r="28" spans="2:11">
      <c r="B28" s="6" t="s">
        <v>33</v>
      </c>
      <c r="C28" s="19" t="s">
        <v>770</v>
      </c>
      <c r="D28" s="228"/>
    </row>
    <row r="29" spans="2:11">
      <c r="B29" s="6" t="s">
        <v>179</v>
      </c>
      <c r="C29" s="19">
        <v>0</v>
      </c>
      <c r="D29" s="244" t="s">
        <v>340</v>
      </c>
    </row>
    <row r="30" spans="2:11">
      <c r="B30" s="6" t="s">
        <v>180</v>
      </c>
      <c r="C30" s="226">
        <v>2.5000000000000001E-2</v>
      </c>
      <c r="D30" s="228" t="s">
        <v>192</v>
      </c>
    </row>
    <row r="31" spans="2:11">
      <c r="B31" s="6" t="s">
        <v>182</v>
      </c>
      <c r="C31" s="154">
        <v>0.15</v>
      </c>
      <c r="D31" s="228" t="s">
        <v>181</v>
      </c>
    </row>
    <row r="32" spans="2:11">
      <c r="B32" s="6" t="s">
        <v>166</v>
      </c>
      <c r="C32" s="139">
        <v>45352</v>
      </c>
      <c r="D32" s="228" t="s">
        <v>291</v>
      </c>
    </row>
    <row r="33" spans="1:10">
      <c r="B33" s="6" t="s">
        <v>167</v>
      </c>
      <c r="C33" s="233">
        <f>C34-(5*30.4)</f>
        <v>46598.400000000001</v>
      </c>
      <c r="D33" s="228" t="s">
        <v>290</v>
      </c>
      <c r="E33" s="220" t="s">
        <v>289</v>
      </c>
    </row>
    <row r="34" spans="1:10">
      <c r="B34" s="6" t="s">
        <v>543</v>
      </c>
      <c r="C34" s="233">
        <f>$C$32+(30.4*$C$17)</f>
        <v>46750.400000000001</v>
      </c>
      <c r="D34" s="228" t="s">
        <v>290</v>
      </c>
    </row>
    <row r="35" spans="1:10" ht="15.75" thickBot="1">
      <c r="B35" s="234" t="s">
        <v>312</v>
      </c>
      <c r="C35" s="235">
        <v>46325</v>
      </c>
      <c r="D35" s="236" t="s">
        <v>306</v>
      </c>
      <c r="E35" s="220" t="s">
        <v>289</v>
      </c>
    </row>
    <row r="37" spans="1:10">
      <c r="B37" t="s">
        <v>34</v>
      </c>
    </row>
    <row r="38" spans="1:10">
      <c r="A38">
        <v>1</v>
      </c>
      <c r="B38" t="s">
        <v>35</v>
      </c>
    </row>
    <row r="39" spans="1:10">
      <c r="A39">
        <v>2</v>
      </c>
      <c r="B39" t="s">
        <v>36</v>
      </c>
    </row>
    <row r="40" spans="1:10">
      <c r="A40">
        <v>3</v>
      </c>
      <c r="B40" t="s">
        <v>37</v>
      </c>
    </row>
    <row r="41" spans="1:10">
      <c r="B41" s="402"/>
      <c r="C41" s="402"/>
      <c r="D41" s="402"/>
      <c r="E41" s="402"/>
      <c r="F41" s="402"/>
      <c r="G41" s="402"/>
      <c r="H41" s="402"/>
      <c r="I41" s="402"/>
      <c r="J41" s="402"/>
    </row>
    <row r="42" spans="1:10">
      <c r="B42" s="402"/>
      <c r="C42" s="402"/>
      <c r="D42" s="402"/>
      <c r="E42" s="402"/>
      <c r="F42" s="402"/>
      <c r="G42" s="402"/>
      <c r="H42" s="402"/>
      <c r="I42" s="402"/>
      <c r="J42" s="402"/>
    </row>
    <row r="43" spans="1:10">
      <c r="B43" s="402"/>
      <c r="C43" s="402"/>
      <c r="D43" s="402"/>
      <c r="E43" s="402"/>
      <c r="F43" s="402"/>
      <c r="G43" s="402"/>
      <c r="H43" s="402"/>
      <c r="I43" s="402"/>
      <c r="J43" s="402"/>
    </row>
    <row r="44" spans="1:10">
      <c r="B44" s="402"/>
      <c r="C44" s="402"/>
      <c r="D44" s="402"/>
      <c r="E44" s="402"/>
      <c r="F44" s="402"/>
      <c r="G44" s="402"/>
      <c r="H44" s="402"/>
      <c r="I44" s="402"/>
      <c r="J44" s="402"/>
    </row>
    <row r="45" spans="1:10">
      <c r="B45" s="402"/>
      <c r="C45" s="402"/>
      <c r="D45" s="402"/>
      <c r="E45" s="402"/>
      <c r="F45" s="402"/>
      <c r="G45" s="402"/>
      <c r="H45" s="402"/>
      <c r="I45" s="402"/>
      <c r="J45" s="402"/>
    </row>
    <row r="46" spans="1:10">
      <c r="B46" s="402"/>
      <c r="C46" s="402"/>
      <c r="D46" s="402"/>
      <c r="E46" s="402"/>
      <c r="F46" s="402"/>
      <c r="G46" s="402"/>
      <c r="H46" s="402"/>
      <c r="I46" s="402"/>
      <c r="J46" s="402"/>
    </row>
    <row r="47" spans="1:10">
      <c r="B47" s="402"/>
      <c r="C47" s="402"/>
      <c r="D47" s="402"/>
      <c r="E47" s="402"/>
      <c r="F47" s="402"/>
      <c r="G47" s="402"/>
      <c r="H47" s="402"/>
      <c r="I47" s="402"/>
      <c r="J47" s="402"/>
    </row>
    <row r="48" spans="1:10">
      <c r="B48" s="402"/>
      <c r="C48" s="402"/>
      <c r="D48" s="402"/>
      <c r="E48" s="402"/>
      <c r="F48" s="402"/>
      <c r="G48" s="402"/>
      <c r="H48" s="402"/>
      <c r="I48" s="402"/>
      <c r="J48" s="402"/>
    </row>
    <row r="49" spans="2:10">
      <c r="B49" s="402"/>
      <c r="C49" s="402"/>
      <c r="D49" s="402"/>
      <c r="E49" s="402"/>
      <c r="F49" s="402"/>
      <c r="G49" s="402"/>
      <c r="H49" s="402"/>
      <c r="I49" s="402"/>
      <c r="J49" s="402"/>
    </row>
    <row r="50" spans="2:10">
      <c r="B50" s="402"/>
      <c r="C50" s="402"/>
      <c r="D50" s="402"/>
      <c r="E50" s="402"/>
      <c r="F50" s="402"/>
      <c r="G50" s="402"/>
      <c r="H50" s="402"/>
      <c r="I50" s="402"/>
      <c r="J50" s="402"/>
    </row>
    <row r="51" spans="2:10">
      <c r="B51" s="402"/>
      <c r="C51" s="402"/>
      <c r="D51" s="402"/>
      <c r="E51" s="402"/>
      <c r="F51" s="402"/>
      <c r="G51" s="402"/>
      <c r="H51" s="402"/>
      <c r="I51" s="402"/>
      <c r="J51" s="402"/>
    </row>
    <row r="52" spans="2:10">
      <c r="B52" s="402"/>
      <c r="C52" s="402"/>
      <c r="D52" s="402"/>
      <c r="E52" s="402"/>
      <c r="F52" s="402"/>
      <c r="G52" s="402"/>
      <c r="H52" s="402"/>
      <c r="I52" s="402"/>
      <c r="J52" s="402"/>
    </row>
    <row r="53" spans="2:10">
      <c r="B53" s="402"/>
      <c r="C53" s="402"/>
      <c r="D53" s="402"/>
      <c r="E53" s="402"/>
      <c r="F53" s="402"/>
      <c r="G53" s="402"/>
      <c r="H53" s="402"/>
      <c r="I53" s="402"/>
      <c r="J53" s="402"/>
    </row>
    <row r="54" spans="2:10">
      <c r="B54" s="402"/>
      <c r="C54" s="402"/>
      <c r="D54" s="402"/>
      <c r="E54" s="402"/>
      <c r="F54" s="402"/>
      <c r="G54" s="402"/>
      <c r="H54" s="402"/>
      <c r="I54" s="402"/>
      <c r="J54" s="402"/>
    </row>
    <row r="55" spans="2:10">
      <c r="B55" s="402"/>
      <c r="C55" s="402"/>
      <c r="D55" s="402"/>
      <c r="E55" s="402"/>
      <c r="F55" s="402"/>
      <c r="G55" s="402"/>
      <c r="H55" s="402"/>
      <c r="I55" s="402"/>
      <c r="J55" s="402"/>
    </row>
    <row r="56" spans="2:10">
      <c r="B56" s="402"/>
      <c r="C56" s="402"/>
      <c r="D56" s="402"/>
      <c r="E56" s="402"/>
      <c r="F56" s="402"/>
      <c r="G56" s="402"/>
      <c r="H56" s="402"/>
      <c r="I56" s="402"/>
      <c r="J56" s="402"/>
    </row>
    <row r="57" spans="2:10">
      <c r="B57" s="402"/>
      <c r="C57" s="402"/>
      <c r="D57" s="402"/>
      <c r="E57" s="402"/>
      <c r="F57" s="402"/>
      <c r="G57" s="402"/>
      <c r="H57" s="402"/>
      <c r="I57" s="402"/>
      <c r="J57" s="402"/>
    </row>
    <row r="58" spans="2:10">
      <c r="B58" s="402"/>
      <c r="C58" s="402"/>
      <c r="D58" s="402"/>
      <c r="E58" s="402"/>
      <c r="F58" s="402"/>
      <c r="G58" s="402"/>
      <c r="H58" s="402"/>
      <c r="I58" s="402"/>
      <c r="J58" s="402"/>
    </row>
    <row r="59" spans="2:10">
      <c r="B59" s="402"/>
      <c r="C59" s="402"/>
      <c r="D59" s="402"/>
      <c r="E59" s="402"/>
      <c r="F59" s="402"/>
      <c r="G59" s="402"/>
      <c r="H59" s="402"/>
      <c r="I59" s="402"/>
      <c r="J59" s="402"/>
    </row>
    <row r="60" spans="2:10">
      <c r="B60" s="402"/>
      <c r="C60" s="402"/>
      <c r="D60" s="402"/>
      <c r="E60" s="402"/>
      <c r="F60" s="402"/>
      <c r="G60" s="402"/>
      <c r="H60" s="402"/>
      <c r="I60" s="402"/>
      <c r="J60" s="402"/>
    </row>
    <row r="61" spans="2:10">
      <c r="B61" s="402"/>
      <c r="C61" s="402"/>
      <c r="D61" s="402"/>
      <c r="E61" s="402"/>
      <c r="F61" s="402"/>
      <c r="G61" s="402"/>
      <c r="H61" s="402"/>
      <c r="I61" s="402"/>
      <c r="J61" s="402"/>
    </row>
    <row r="62" spans="2:10">
      <c r="B62" s="402"/>
      <c r="C62" s="402"/>
      <c r="D62" s="402"/>
      <c r="E62" s="402"/>
      <c r="F62" s="402"/>
      <c r="G62" s="402"/>
      <c r="H62" s="402"/>
      <c r="I62" s="402"/>
      <c r="J62" s="402"/>
    </row>
    <row r="63" spans="2:10">
      <c r="B63" s="402"/>
      <c r="C63" s="402"/>
      <c r="D63" s="402"/>
      <c r="E63" s="402"/>
      <c r="F63" s="402"/>
      <c r="G63" s="402"/>
      <c r="H63" s="402"/>
      <c r="I63" s="402"/>
      <c r="J63" s="402"/>
    </row>
    <row r="64" spans="2:10">
      <c r="B64" s="402"/>
      <c r="C64" s="402"/>
      <c r="D64" s="402"/>
      <c r="E64" s="402"/>
      <c r="F64" s="402"/>
      <c r="G64" s="402"/>
      <c r="H64" s="402"/>
      <c r="I64" s="402"/>
      <c r="J64" s="402"/>
    </row>
    <row r="65" spans="2:10">
      <c r="B65" s="402"/>
      <c r="C65" s="402"/>
      <c r="D65" s="402"/>
      <c r="E65" s="402"/>
      <c r="F65" s="402"/>
      <c r="G65" s="402"/>
      <c r="H65" s="402"/>
      <c r="I65" s="402"/>
      <c r="J65" s="402"/>
    </row>
    <row r="66" spans="2:10">
      <c r="B66" s="402"/>
      <c r="C66" s="402"/>
      <c r="D66" s="402"/>
      <c r="E66" s="402"/>
      <c r="F66" s="402"/>
      <c r="G66" s="402"/>
      <c r="H66" s="402"/>
      <c r="I66" s="402"/>
      <c r="J66" s="402"/>
    </row>
    <row r="67" spans="2:10">
      <c r="B67" s="402"/>
      <c r="C67" s="402"/>
      <c r="D67" s="402"/>
      <c r="E67" s="402"/>
      <c r="F67" s="402"/>
      <c r="G67" s="402"/>
      <c r="H67" s="402"/>
      <c r="I67" s="402"/>
      <c r="J67" s="402"/>
    </row>
    <row r="68" spans="2:10" hidden="1">
      <c r="B68" s="402"/>
      <c r="C68" s="402"/>
      <c r="D68" s="402"/>
      <c r="E68" s="402" t="s">
        <v>688</v>
      </c>
      <c r="F68" s="402"/>
      <c r="G68" s="402"/>
      <c r="H68" s="402"/>
      <c r="I68" s="402"/>
      <c r="J68" s="402"/>
    </row>
    <row r="69" spans="2:10" hidden="1">
      <c r="B69" s="402"/>
      <c r="C69" s="402"/>
      <c r="D69" s="402"/>
      <c r="E69" s="402" t="s">
        <v>682</v>
      </c>
      <c r="F69" s="403">
        <v>2500</v>
      </c>
      <c r="G69" s="403">
        <v>2000</v>
      </c>
      <c r="H69" s="402"/>
      <c r="I69" s="402"/>
      <c r="J69" s="402"/>
    </row>
    <row r="70" spans="2:10" hidden="1">
      <c r="B70" s="402"/>
      <c r="C70" s="402"/>
      <c r="D70" s="402"/>
      <c r="E70" s="402" t="s">
        <v>683</v>
      </c>
      <c r="F70" s="403">
        <v>2000</v>
      </c>
      <c r="G70" s="403">
        <v>1500</v>
      </c>
      <c r="H70" s="402"/>
      <c r="I70" s="402"/>
      <c r="J70" s="402"/>
    </row>
    <row r="71" spans="2:10" hidden="1">
      <c r="B71" s="402"/>
      <c r="C71" s="402"/>
      <c r="D71" s="402"/>
      <c r="E71" s="402" t="s">
        <v>684</v>
      </c>
      <c r="F71" s="403">
        <v>4100</v>
      </c>
      <c r="G71" s="403">
        <v>3500</v>
      </c>
      <c r="H71" s="402"/>
      <c r="I71" s="402"/>
      <c r="J71" s="402"/>
    </row>
    <row r="72" spans="2:10" hidden="1">
      <c r="B72" s="402"/>
      <c r="C72" s="402"/>
      <c r="D72" s="402"/>
      <c r="E72" s="402" t="s">
        <v>685</v>
      </c>
      <c r="F72" s="403">
        <v>4700</v>
      </c>
      <c r="G72" s="403">
        <v>4000</v>
      </c>
      <c r="H72" s="402"/>
      <c r="I72" s="402"/>
      <c r="J72" s="402"/>
    </row>
    <row r="73" spans="2:10" hidden="1">
      <c r="B73" s="402"/>
      <c r="C73" s="402"/>
      <c r="D73" s="402" t="s">
        <v>698</v>
      </c>
      <c r="E73" s="402" t="s">
        <v>686</v>
      </c>
      <c r="F73" s="403">
        <v>3500</v>
      </c>
      <c r="G73" s="403">
        <v>3000</v>
      </c>
      <c r="H73" s="402"/>
      <c r="I73" s="402"/>
      <c r="J73" s="402"/>
    </row>
    <row r="74" spans="2:10" hidden="1">
      <c r="B74" s="402"/>
      <c r="C74" s="402"/>
      <c r="D74" s="402" t="s">
        <v>695</v>
      </c>
      <c r="E74" s="402" t="s">
        <v>687</v>
      </c>
      <c r="F74" s="403">
        <v>5200</v>
      </c>
      <c r="G74" s="403">
        <v>4500</v>
      </c>
      <c r="H74" s="402"/>
      <c r="I74" s="402"/>
      <c r="J74" s="402"/>
    </row>
    <row r="75" spans="2:10" hidden="1">
      <c r="B75" s="402"/>
      <c r="C75" s="402"/>
      <c r="D75" s="402" t="s">
        <v>696</v>
      </c>
      <c r="E75" s="402"/>
      <c r="F75" s="402"/>
      <c r="G75" s="402"/>
      <c r="H75" s="402"/>
      <c r="I75" s="402"/>
      <c r="J75" s="402"/>
    </row>
    <row r="76" spans="2:10">
      <c r="B76" s="402"/>
      <c r="C76" s="402"/>
      <c r="D76" s="402"/>
      <c r="E76" s="402"/>
      <c r="F76" s="402"/>
      <c r="G76" s="402"/>
      <c r="H76" s="402"/>
      <c r="I76" s="402"/>
      <c r="J76" s="402"/>
    </row>
    <row r="77" spans="2:10">
      <c r="B77" s="402"/>
      <c r="C77" s="402"/>
      <c r="D77" s="402"/>
      <c r="E77" s="402"/>
      <c r="F77" s="402"/>
      <c r="G77" s="402"/>
      <c r="H77" s="402"/>
      <c r="I77" s="402"/>
      <c r="J77" s="402"/>
    </row>
    <row r="78" spans="2:10">
      <c r="B78" s="402"/>
      <c r="C78" s="402"/>
      <c r="D78" s="402"/>
      <c r="E78" s="402"/>
      <c r="F78" s="402"/>
      <c r="G78" s="402"/>
      <c r="H78" s="402"/>
      <c r="I78" s="402"/>
      <c r="J78" s="402"/>
    </row>
    <row r="79" spans="2:10">
      <c r="B79" s="402"/>
      <c r="C79" s="402"/>
      <c r="D79" s="402"/>
      <c r="E79" s="402"/>
      <c r="F79" s="402"/>
      <c r="G79" s="402"/>
      <c r="H79" s="402"/>
      <c r="I79" s="402"/>
      <c r="J79" s="402"/>
    </row>
    <row r="80" spans="2:10">
      <c r="B80" s="402"/>
      <c r="C80" s="402"/>
      <c r="D80" s="402"/>
      <c r="E80" s="402"/>
      <c r="F80" s="402"/>
      <c r="G80" s="402"/>
      <c r="H80" s="402"/>
      <c r="I80" s="402"/>
      <c r="J80" s="402"/>
    </row>
    <row r="81" spans="2:10">
      <c r="B81" s="402"/>
      <c r="C81" s="402"/>
      <c r="D81" s="402"/>
      <c r="E81" s="402"/>
      <c r="F81" s="402"/>
      <c r="G81" s="402"/>
      <c r="H81" s="402"/>
      <c r="I81" s="402"/>
      <c r="J81" s="402"/>
    </row>
    <row r="82" spans="2:10">
      <c r="B82" s="402"/>
      <c r="C82" s="402"/>
      <c r="D82" s="402"/>
      <c r="E82" s="402"/>
      <c r="F82" s="402"/>
      <c r="G82" s="402"/>
      <c r="H82" s="402"/>
      <c r="I82" s="402"/>
      <c r="J82" s="402"/>
    </row>
    <row r="83" spans="2:10">
      <c r="B83" s="402"/>
      <c r="C83" s="402"/>
      <c r="D83" s="402"/>
      <c r="E83" s="402"/>
      <c r="F83" s="402"/>
      <c r="G83" s="402"/>
      <c r="H83" s="402"/>
      <c r="I83" s="402"/>
      <c r="J83" s="402"/>
    </row>
    <row r="84" spans="2:10">
      <c r="B84" s="402"/>
      <c r="C84" s="402"/>
      <c r="D84" s="402"/>
      <c r="E84" s="402"/>
      <c r="F84" s="402"/>
      <c r="G84" s="402"/>
      <c r="H84" s="402"/>
      <c r="I84" s="402"/>
      <c r="J84" s="402"/>
    </row>
    <row r="85" spans="2:10">
      <c r="B85" s="402"/>
      <c r="C85" s="402"/>
      <c r="D85" s="402"/>
      <c r="E85" s="402"/>
      <c r="F85" s="402"/>
      <c r="G85" s="402"/>
      <c r="H85" s="402"/>
      <c r="I85" s="402"/>
      <c r="J85" s="402"/>
    </row>
    <row r="86" spans="2:10">
      <c r="B86" s="402"/>
      <c r="C86" s="402"/>
      <c r="D86" s="402"/>
      <c r="E86" s="402"/>
      <c r="F86" s="402"/>
      <c r="G86" s="402"/>
      <c r="H86" s="402"/>
      <c r="I86" s="402"/>
      <c r="J86" s="402"/>
    </row>
    <row r="87" spans="2:10">
      <c r="B87" s="402"/>
      <c r="C87" s="402"/>
      <c r="D87" s="402"/>
      <c r="E87" s="402"/>
      <c r="F87" s="402"/>
      <c r="G87" s="402"/>
      <c r="H87" s="402"/>
      <c r="I87" s="402"/>
      <c r="J87" s="402"/>
    </row>
    <row r="88" spans="2:10">
      <c r="B88" s="402"/>
      <c r="C88" s="402"/>
      <c r="D88" s="402"/>
      <c r="E88" s="402"/>
      <c r="F88" s="402"/>
      <c r="G88" s="402"/>
      <c r="H88" s="402"/>
      <c r="I88" s="402"/>
      <c r="J88" s="402"/>
    </row>
    <row r="89" spans="2:10">
      <c r="B89" s="402"/>
      <c r="C89" s="402"/>
      <c r="D89" s="402"/>
      <c r="E89" s="402"/>
      <c r="F89" s="402"/>
      <c r="G89" s="402"/>
      <c r="H89" s="402"/>
      <c r="I89" s="402"/>
      <c r="J89" s="402"/>
    </row>
    <row r="90" spans="2:10">
      <c r="B90" s="402"/>
      <c r="C90" s="402"/>
      <c r="D90" s="402"/>
      <c r="E90" s="402"/>
      <c r="F90" s="402"/>
      <c r="G90" s="402"/>
      <c r="H90" s="402"/>
      <c r="I90" s="402"/>
      <c r="J90" s="402"/>
    </row>
    <row r="91" spans="2:10">
      <c r="B91" s="402"/>
      <c r="C91" s="402"/>
      <c r="D91" s="402"/>
      <c r="E91" s="402"/>
      <c r="F91" s="402"/>
      <c r="G91" s="402"/>
      <c r="H91" s="402"/>
      <c r="I91" s="402"/>
      <c r="J91" s="402"/>
    </row>
    <row r="92" spans="2:10">
      <c r="B92" s="402"/>
      <c r="C92" s="402"/>
      <c r="D92" s="402"/>
      <c r="E92" s="402"/>
      <c r="F92" s="402"/>
      <c r="G92" s="402"/>
      <c r="H92" s="402"/>
      <c r="I92" s="402"/>
      <c r="J92" s="402"/>
    </row>
    <row r="93" spans="2:10">
      <c r="B93" s="402"/>
      <c r="C93" s="402"/>
      <c r="D93" s="402"/>
      <c r="E93" s="402"/>
      <c r="F93" s="402"/>
      <c r="G93" s="402"/>
      <c r="H93" s="402"/>
      <c r="I93" s="402"/>
      <c r="J93" s="402"/>
    </row>
    <row r="94" spans="2:10">
      <c r="B94" s="402"/>
      <c r="C94" s="402"/>
      <c r="D94" s="402"/>
      <c r="E94" s="402"/>
      <c r="F94" s="402"/>
      <c r="G94" s="402"/>
      <c r="H94" s="402"/>
      <c r="I94" s="402"/>
      <c r="J94" s="402"/>
    </row>
    <row r="95" spans="2:10">
      <c r="B95" s="402"/>
      <c r="C95" s="402"/>
      <c r="D95" s="402"/>
      <c r="E95" s="402"/>
      <c r="F95" s="402"/>
      <c r="G95" s="402"/>
      <c r="H95" s="402"/>
      <c r="I95" s="402"/>
      <c r="J95" s="402"/>
    </row>
    <row r="96" spans="2:10">
      <c r="B96" s="402"/>
      <c r="C96" s="402"/>
      <c r="D96" s="402"/>
      <c r="E96" s="402"/>
      <c r="F96" s="402"/>
      <c r="G96" s="402"/>
      <c r="H96" s="402"/>
      <c r="I96" s="402"/>
      <c r="J96" s="402"/>
    </row>
    <row r="97" spans="2:26">
      <c r="B97" s="402"/>
      <c r="C97" s="402"/>
      <c r="D97" s="402"/>
      <c r="E97" s="402"/>
      <c r="F97" s="402"/>
      <c r="G97" s="402"/>
      <c r="H97" s="402"/>
      <c r="I97" s="402"/>
      <c r="J97" s="402"/>
    </row>
    <row r="98" spans="2:26">
      <c r="B98" s="402"/>
      <c r="C98" s="402"/>
      <c r="D98" s="402"/>
      <c r="E98" s="402"/>
      <c r="F98" s="402"/>
      <c r="G98" s="402"/>
      <c r="H98" s="402"/>
      <c r="I98" s="402"/>
      <c r="J98" s="402"/>
    </row>
    <row r="99" spans="2:26">
      <c r="B99" s="402"/>
      <c r="C99" s="402"/>
      <c r="D99" s="402"/>
      <c r="E99" s="402"/>
      <c r="F99" s="402"/>
      <c r="G99" s="402"/>
      <c r="H99" s="402"/>
      <c r="I99" s="402"/>
      <c r="J99" s="402"/>
    </row>
    <row r="100" spans="2:26">
      <c r="B100" s="402"/>
      <c r="C100" s="402"/>
      <c r="D100" s="402"/>
      <c r="E100" s="402"/>
      <c r="F100" s="402"/>
      <c r="G100" s="402"/>
      <c r="H100" s="402"/>
      <c r="I100" s="402"/>
      <c r="J100" s="402"/>
    </row>
    <row r="101" spans="2:26">
      <c r="B101" s="402"/>
      <c r="C101" s="402"/>
      <c r="D101" s="402"/>
      <c r="E101" s="402"/>
      <c r="F101" s="402"/>
      <c r="G101" s="402"/>
      <c r="H101" s="402"/>
      <c r="I101" s="402"/>
      <c r="J101" s="402"/>
    </row>
    <row r="102" spans="2:26">
      <c r="B102" s="402"/>
      <c r="C102" s="402"/>
      <c r="D102" s="402"/>
      <c r="E102" s="402"/>
      <c r="F102" s="402"/>
      <c r="G102" s="402"/>
      <c r="H102" s="402"/>
      <c r="I102" s="402"/>
      <c r="J102" s="402"/>
    </row>
    <row r="103" spans="2:26">
      <c r="B103" s="402"/>
      <c r="C103" s="402"/>
      <c r="D103" s="402"/>
      <c r="E103" s="402"/>
      <c r="F103" s="402"/>
      <c r="G103" s="402"/>
      <c r="H103" s="402"/>
      <c r="I103" s="402"/>
      <c r="J103" s="402"/>
    </row>
    <row r="104" spans="2:26">
      <c r="B104" s="402"/>
      <c r="C104" s="402"/>
      <c r="D104" s="402"/>
      <c r="E104" s="402"/>
      <c r="F104" s="402"/>
      <c r="G104" s="402"/>
      <c r="H104" s="402"/>
      <c r="I104" s="402"/>
      <c r="J104" s="402"/>
    </row>
    <row r="105" spans="2:26">
      <c r="B105" s="402"/>
      <c r="C105" s="402"/>
      <c r="D105" s="402"/>
      <c r="E105" s="402"/>
      <c r="F105" s="402"/>
      <c r="G105" s="402"/>
      <c r="H105" s="402"/>
      <c r="I105" s="402"/>
      <c r="J105" s="402"/>
      <c r="X105" s="402" t="s">
        <v>309</v>
      </c>
      <c r="Y105" s="402" t="s">
        <v>70</v>
      </c>
      <c r="Z105" s="402" t="s">
        <v>343</v>
      </c>
    </row>
    <row r="106" spans="2:26">
      <c r="B106" s="402"/>
      <c r="C106" s="402"/>
      <c r="D106" s="402"/>
      <c r="E106" s="402"/>
      <c r="F106" s="402"/>
      <c r="G106" s="402"/>
      <c r="H106" s="402"/>
      <c r="I106" s="402"/>
      <c r="J106" s="402"/>
      <c r="Y106" s="402" t="s">
        <v>68</v>
      </c>
    </row>
    <row r="107" spans="2:26">
      <c r="B107" s="402"/>
      <c r="C107" s="402"/>
      <c r="D107" s="402"/>
      <c r="E107" s="402"/>
      <c r="F107" s="402"/>
      <c r="G107" s="402"/>
      <c r="H107" s="402"/>
      <c r="I107" s="402"/>
      <c r="J107" s="402"/>
      <c r="Y107" s="402" t="s">
        <v>310</v>
      </c>
    </row>
    <row r="108" spans="2:26">
      <c r="B108" s="402"/>
      <c r="C108" s="402"/>
      <c r="D108" s="402"/>
      <c r="E108" s="402"/>
      <c r="F108" s="402"/>
      <c r="G108" s="402"/>
      <c r="H108" s="402"/>
      <c r="I108" s="402"/>
      <c r="J108" s="402"/>
      <c r="Y108" s="402" t="s">
        <v>62</v>
      </c>
    </row>
    <row r="109" spans="2:26">
      <c r="B109" s="402"/>
      <c r="C109" s="402"/>
      <c r="D109" s="402"/>
      <c r="E109" s="402"/>
      <c r="F109" s="402"/>
      <c r="G109" s="402"/>
      <c r="H109" s="402"/>
      <c r="I109" s="402"/>
      <c r="J109" s="402"/>
      <c r="Y109" s="402" t="s">
        <v>692</v>
      </c>
    </row>
    <row r="110" spans="2:26">
      <c r="B110" s="402"/>
      <c r="C110" s="402"/>
      <c r="D110" s="402"/>
      <c r="E110" s="402"/>
      <c r="F110" s="402"/>
      <c r="G110" s="402"/>
      <c r="H110" s="402"/>
      <c r="I110" s="402"/>
      <c r="J110" s="402"/>
      <c r="Y110" s="402" t="s">
        <v>185</v>
      </c>
    </row>
    <row r="111" spans="2:26">
      <c r="B111" s="402"/>
      <c r="C111" s="402"/>
      <c r="D111" s="402"/>
      <c r="E111" s="402"/>
      <c r="F111" s="402"/>
      <c r="G111" s="402"/>
      <c r="H111" s="402"/>
      <c r="I111" s="402"/>
      <c r="J111" s="402"/>
      <c r="Y111" s="402" t="s">
        <v>693</v>
      </c>
    </row>
    <row r="112" spans="2:26">
      <c r="B112" s="402"/>
      <c r="C112" s="402"/>
      <c r="D112" s="402"/>
      <c r="E112" s="402"/>
      <c r="F112" s="402"/>
      <c r="G112" s="402"/>
      <c r="H112" s="402"/>
      <c r="I112" s="402"/>
      <c r="J112" s="402"/>
      <c r="Y112" s="402" t="s">
        <v>63</v>
      </c>
    </row>
    <row r="113" spans="2:25">
      <c r="B113" s="402"/>
      <c r="C113" s="402"/>
      <c r="D113" s="402"/>
      <c r="E113" s="402"/>
      <c r="F113" s="402"/>
      <c r="G113" s="402"/>
      <c r="H113" s="402"/>
      <c r="I113" s="402"/>
      <c r="J113" s="402"/>
      <c r="Y113" s="402" t="s">
        <v>311</v>
      </c>
    </row>
    <row r="114" spans="2:25">
      <c r="B114" s="402"/>
      <c r="C114" s="402"/>
      <c r="D114" s="402"/>
      <c r="E114" s="402"/>
      <c r="F114" s="402"/>
      <c r="G114" s="402"/>
      <c r="H114" s="402"/>
      <c r="I114" s="402"/>
      <c r="J114" s="402"/>
      <c r="Y114" s="402" t="s">
        <v>66</v>
      </c>
    </row>
    <row r="115" spans="2:25">
      <c r="B115" s="402"/>
      <c r="C115" s="402"/>
      <c r="D115" s="402"/>
      <c r="E115" s="402"/>
      <c r="F115" s="402"/>
      <c r="G115" s="402"/>
      <c r="H115" s="402"/>
      <c r="I115" s="402"/>
      <c r="J115" s="402"/>
      <c r="Y115" s="402" t="s">
        <v>75</v>
      </c>
    </row>
    <row r="116" spans="2:25">
      <c r="B116" s="402"/>
      <c r="C116" s="402"/>
      <c r="D116" s="402"/>
      <c r="E116" s="402"/>
      <c r="F116" s="402"/>
      <c r="G116" s="402"/>
      <c r="H116" s="402"/>
      <c r="I116" s="402"/>
      <c r="J116" s="402"/>
      <c r="Y116" s="402" t="s">
        <v>83</v>
      </c>
    </row>
    <row r="117" spans="2:25">
      <c r="B117" s="402"/>
      <c r="C117" s="402"/>
      <c r="D117" s="402"/>
      <c r="E117" s="402"/>
      <c r="F117" s="402"/>
      <c r="G117" s="402"/>
      <c r="H117" s="402"/>
      <c r="I117" s="402"/>
      <c r="J117" s="402"/>
      <c r="Y117" s="402" t="s">
        <v>73</v>
      </c>
    </row>
    <row r="118" spans="2:25">
      <c r="B118" s="402"/>
      <c r="C118" s="402"/>
      <c r="D118" s="402"/>
      <c r="E118" s="402"/>
      <c r="F118" s="402"/>
      <c r="G118" s="402"/>
      <c r="H118" s="402"/>
      <c r="I118" s="402"/>
      <c r="J118" s="402"/>
      <c r="Y118" s="402" t="s">
        <v>694</v>
      </c>
    </row>
    <row r="119" spans="2:25">
      <c r="B119" s="402"/>
      <c r="C119" s="402"/>
      <c r="D119" s="402"/>
      <c r="E119" s="402"/>
      <c r="F119" s="402"/>
      <c r="G119" s="402"/>
      <c r="H119" s="402"/>
      <c r="I119" s="402"/>
      <c r="J119" s="402"/>
    </row>
    <row r="120" spans="2:25">
      <c r="B120" s="402"/>
      <c r="C120" s="402"/>
      <c r="D120" s="402"/>
      <c r="E120" s="402"/>
      <c r="F120" s="402"/>
      <c r="G120" s="402"/>
      <c r="H120" s="402"/>
      <c r="I120" s="402"/>
      <c r="J120" s="402"/>
    </row>
    <row r="121" spans="2:25">
      <c r="B121" s="402"/>
      <c r="C121" s="402"/>
      <c r="D121" s="402"/>
      <c r="E121" s="402"/>
      <c r="F121" s="402"/>
      <c r="G121" s="402"/>
      <c r="H121" s="402"/>
      <c r="I121" s="402"/>
      <c r="J121" s="402"/>
    </row>
    <row r="122" spans="2:25">
      <c r="B122" s="402"/>
      <c r="C122" s="402"/>
      <c r="D122" s="402"/>
      <c r="E122" s="402"/>
      <c r="F122" s="402"/>
      <c r="G122" s="402"/>
      <c r="H122" s="402"/>
      <c r="I122" s="402"/>
      <c r="J122" s="402"/>
    </row>
    <row r="123" spans="2:25">
      <c r="B123" s="402"/>
      <c r="C123" s="402"/>
      <c r="D123" s="402"/>
      <c r="E123" s="402"/>
      <c r="F123" s="402"/>
      <c r="G123" s="402"/>
      <c r="H123" s="402"/>
      <c r="I123" s="402"/>
      <c r="J123" s="402"/>
    </row>
    <row r="124" spans="2:25">
      <c r="B124" s="402"/>
      <c r="C124" s="402"/>
      <c r="D124" s="402"/>
      <c r="E124" s="402"/>
      <c r="F124" s="402"/>
      <c r="G124" s="402"/>
      <c r="H124" s="402"/>
      <c r="I124" s="402"/>
      <c r="J124" s="402"/>
    </row>
    <row r="125" spans="2:25">
      <c r="B125" s="402"/>
      <c r="C125" s="402"/>
      <c r="D125" s="402"/>
      <c r="E125" s="402"/>
      <c r="F125" s="402"/>
      <c r="G125" s="402"/>
      <c r="H125" s="402"/>
      <c r="I125" s="402"/>
      <c r="J125" s="402"/>
    </row>
    <row r="126" spans="2:25">
      <c r="B126" s="402"/>
      <c r="C126" s="402"/>
      <c r="D126" s="402"/>
      <c r="E126" s="402"/>
      <c r="F126" s="402"/>
      <c r="G126" s="402"/>
      <c r="H126" s="402"/>
      <c r="I126" s="402"/>
      <c r="J126" s="402"/>
    </row>
    <row r="127" spans="2:25">
      <c r="B127" s="402"/>
      <c r="C127" s="402"/>
      <c r="D127" s="402"/>
      <c r="E127" s="402"/>
      <c r="F127" s="402"/>
      <c r="G127" s="402"/>
      <c r="H127" s="402"/>
      <c r="I127" s="402"/>
      <c r="J127" s="402"/>
    </row>
    <row r="128" spans="2:25">
      <c r="B128" s="402"/>
      <c r="C128" s="402"/>
      <c r="D128" s="402"/>
      <c r="E128" s="402"/>
      <c r="F128" s="402"/>
      <c r="G128" s="402"/>
      <c r="H128" s="402"/>
      <c r="I128" s="402"/>
      <c r="J128" s="402"/>
    </row>
    <row r="129" spans="2:10">
      <c r="B129" s="402"/>
      <c r="C129" s="402"/>
      <c r="D129" s="402"/>
      <c r="E129" s="402"/>
      <c r="F129" s="402"/>
      <c r="G129" s="402"/>
      <c r="H129" s="402"/>
      <c r="I129" s="402"/>
      <c r="J129" s="402"/>
    </row>
    <row r="130" spans="2:10">
      <c r="B130" s="402"/>
      <c r="C130" s="402"/>
      <c r="D130" s="402"/>
      <c r="E130" s="402"/>
      <c r="F130" s="402"/>
      <c r="G130" s="402"/>
      <c r="H130" s="402"/>
      <c r="I130" s="402"/>
      <c r="J130" s="402"/>
    </row>
    <row r="131" spans="2:10">
      <c r="B131" s="402"/>
      <c r="C131" s="402"/>
      <c r="D131" s="402"/>
      <c r="E131" s="402"/>
      <c r="F131" s="402"/>
      <c r="G131" s="402"/>
      <c r="H131" s="402"/>
      <c r="I131" s="402"/>
      <c r="J131" s="402"/>
    </row>
    <row r="132" spans="2:10">
      <c r="B132" s="402"/>
      <c r="C132" s="402"/>
      <c r="D132" s="402"/>
      <c r="E132" s="402"/>
      <c r="F132" s="402"/>
      <c r="G132" s="402"/>
      <c r="H132" s="402"/>
      <c r="I132" s="402"/>
      <c r="J132" s="402"/>
    </row>
    <row r="133" spans="2:10">
      <c r="B133" s="402"/>
      <c r="C133" s="402"/>
      <c r="D133" s="402"/>
      <c r="E133" s="402"/>
      <c r="F133" s="402"/>
      <c r="G133" s="402"/>
      <c r="H133" s="402"/>
      <c r="I133" s="402"/>
      <c r="J133" s="402"/>
    </row>
    <row r="134" spans="2:10">
      <c r="B134" s="402"/>
      <c r="C134" s="402"/>
      <c r="D134" s="402"/>
      <c r="E134" s="402"/>
      <c r="F134" s="402"/>
      <c r="G134" s="402"/>
      <c r="H134" s="402"/>
      <c r="I134" s="402"/>
      <c r="J134" s="402"/>
    </row>
    <row r="135" spans="2:10">
      <c r="B135" s="402"/>
      <c r="C135" s="402"/>
      <c r="D135" s="402"/>
      <c r="E135" s="402"/>
      <c r="F135" s="402"/>
      <c r="G135" s="402"/>
      <c r="H135" s="402"/>
      <c r="I135" s="402"/>
      <c r="J135" s="402"/>
    </row>
    <row r="136" spans="2:10">
      <c r="B136" s="402"/>
      <c r="C136" s="402"/>
      <c r="D136" s="402"/>
      <c r="E136" s="402"/>
      <c r="F136" s="402"/>
      <c r="G136" s="402"/>
      <c r="H136" s="402"/>
      <c r="I136" s="402"/>
      <c r="J136" s="402"/>
    </row>
    <row r="137" spans="2:10">
      <c r="B137" s="402"/>
      <c r="C137" s="402"/>
      <c r="D137" s="402"/>
      <c r="E137" s="402"/>
      <c r="F137" s="402"/>
      <c r="G137" s="402"/>
      <c r="H137" s="402"/>
      <c r="I137" s="402"/>
      <c r="J137" s="402"/>
    </row>
    <row r="138" spans="2:10">
      <c r="B138" s="402"/>
      <c r="C138" s="402"/>
      <c r="D138" s="402"/>
      <c r="E138" s="402"/>
      <c r="F138" s="402"/>
      <c r="G138" s="402"/>
      <c r="H138" s="402"/>
      <c r="I138" s="402"/>
      <c r="J138" s="402"/>
    </row>
    <row r="139" spans="2:10">
      <c r="B139" s="402"/>
      <c r="C139" s="402"/>
      <c r="D139" s="402"/>
      <c r="E139" s="402"/>
      <c r="F139" s="402"/>
      <c r="G139" s="402"/>
      <c r="H139" s="402"/>
      <c r="I139" s="402"/>
      <c r="J139" s="402"/>
    </row>
    <row r="140" spans="2:10">
      <c r="B140" s="402"/>
      <c r="C140" s="402"/>
      <c r="D140" s="402"/>
      <c r="E140" s="402"/>
      <c r="F140" s="402"/>
      <c r="G140" s="402"/>
      <c r="H140" s="402"/>
      <c r="I140" s="402"/>
      <c r="J140" s="402"/>
    </row>
    <row r="141" spans="2:10">
      <c r="B141" s="402"/>
      <c r="C141" s="402"/>
      <c r="D141" s="402"/>
      <c r="E141" s="402"/>
      <c r="F141" s="402"/>
      <c r="G141" s="402"/>
      <c r="H141" s="402"/>
      <c r="I141" s="402"/>
      <c r="J141" s="402"/>
    </row>
    <row r="142" spans="2:10">
      <c r="B142" s="402"/>
      <c r="C142" s="402"/>
      <c r="D142" s="402"/>
      <c r="E142" s="402"/>
      <c r="F142" s="402"/>
      <c r="G142" s="402"/>
      <c r="H142" s="402"/>
      <c r="I142" s="402"/>
      <c r="J142" s="402"/>
    </row>
    <row r="143" spans="2:10">
      <c r="B143" s="402"/>
      <c r="C143" s="402"/>
      <c r="D143" s="402"/>
      <c r="E143" s="402"/>
      <c r="F143" s="402"/>
      <c r="G143" s="402"/>
      <c r="H143" s="402"/>
      <c r="I143" s="402"/>
      <c r="J143" s="402"/>
    </row>
    <row r="144" spans="2:10">
      <c r="B144" s="402"/>
      <c r="C144" s="402"/>
      <c r="D144" s="402"/>
      <c r="E144" s="402"/>
      <c r="F144" s="402"/>
      <c r="G144" s="402"/>
      <c r="H144" s="402"/>
      <c r="I144" s="402"/>
      <c r="J144" s="402"/>
    </row>
    <row r="145" spans="2:10">
      <c r="B145" s="402"/>
      <c r="C145" s="402"/>
      <c r="D145" s="402"/>
      <c r="E145" s="402"/>
      <c r="F145" s="402"/>
      <c r="G145" s="402"/>
      <c r="H145" s="402"/>
      <c r="I145" s="402"/>
      <c r="J145" s="402"/>
    </row>
    <row r="146" spans="2:10">
      <c r="B146" s="402"/>
      <c r="C146" s="402"/>
      <c r="D146" s="402"/>
      <c r="E146" s="402"/>
      <c r="F146" s="402"/>
      <c r="G146" s="402"/>
      <c r="H146" s="402"/>
      <c r="I146" s="402"/>
      <c r="J146" s="402"/>
    </row>
    <row r="147" spans="2:10">
      <c r="B147" s="402"/>
      <c r="C147" s="402"/>
      <c r="D147" s="402"/>
      <c r="E147" s="402"/>
      <c r="F147" s="402"/>
      <c r="G147" s="402"/>
      <c r="H147" s="402"/>
      <c r="I147" s="402"/>
      <c r="J147" s="402"/>
    </row>
    <row r="148" spans="2:10">
      <c r="B148" s="402"/>
      <c r="C148" s="402"/>
      <c r="D148" s="402"/>
      <c r="E148" s="402"/>
      <c r="F148" s="402"/>
      <c r="G148" s="402"/>
      <c r="H148" s="402"/>
      <c r="I148" s="402"/>
      <c r="J148" s="402"/>
    </row>
    <row r="149" spans="2:10">
      <c r="B149" s="402"/>
      <c r="C149" s="402"/>
      <c r="D149" s="402"/>
      <c r="E149" s="402"/>
      <c r="F149" s="402"/>
      <c r="G149" s="402"/>
      <c r="H149" s="402"/>
      <c r="I149" s="402"/>
      <c r="J149" s="402"/>
    </row>
    <row r="150" spans="2:10">
      <c r="B150" s="402"/>
      <c r="C150" s="402"/>
      <c r="D150" s="402"/>
      <c r="E150" s="402"/>
      <c r="F150" s="402"/>
      <c r="G150" s="402"/>
      <c r="H150" s="402"/>
      <c r="I150" s="402"/>
      <c r="J150" s="402"/>
    </row>
    <row r="151" spans="2:10">
      <c r="B151" s="402"/>
      <c r="C151" s="402"/>
      <c r="D151" s="402"/>
      <c r="E151" s="402"/>
      <c r="F151" s="402"/>
      <c r="G151" s="402"/>
      <c r="H151" s="402"/>
      <c r="I151" s="402"/>
      <c r="J151" s="402"/>
    </row>
    <row r="152" spans="2:10">
      <c r="B152" s="402"/>
      <c r="C152" s="402"/>
      <c r="D152" s="402"/>
      <c r="E152" s="402"/>
      <c r="F152" s="402"/>
      <c r="G152" s="402"/>
      <c r="H152" s="402"/>
      <c r="I152" s="402"/>
      <c r="J152" s="402"/>
    </row>
    <row r="153" spans="2:10">
      <c r="B153" s="402"/>
      <c r="C153" s="402"/>
      <c r="D153" s="402"/>
      <c r="E153" s="402"/>
      <c r="F153" s="402"/>
      <c r="G153" s="402"/>
      <c r="H153" s="402"/>
      <c r="I153" s="402"/>
      <c r="J153" s="402"/>
    </row>
    <row r="154" spans="2:10">
      <c r="B154" s="402"/>
      <c r="C154" s="402"/>
      <c r="D154" s="402"/>
      <c r="E154" s="402"/>
      <c r="F154" s="402"/>
      <c r="G154" s="402"/>
      <c r="H154" s="402"/>
      <c r="I154" s="402"/>
      <c r="J154" s="402"/>
    </row>
    <row r="155" spans="2:10">
      <c r="B155" s="402"/>
      <c r="C155" s="402"/>
      <c r="D155" s="402"/>
      <c r="E155" s="402"/>
      <c r="F155" s="402"/>
      <c r="G155" s="402"/>
      <c r="H155" s="402"/>
      <c r="I155" s="402"/>
      <c r="J155" s="402"/>
    </row>
    <row r="156" spans="2:10">
      <c r="B156" s="402"/>
      <c r="C156" s="402"/>
      <c r="D156" s="402"/>
      <c r="E156" s="402"/>
      <c r="F156" s="402"/>
      <c r="G156" s="402"/>
      <c r="H156" s="402"/>
      <c r="I156" s="402"/>
      <c r="J156" s="402"/>
    </row>
    <row r="157" spans="2:10">
      <c r="B157" s="402"/>
      <c r="C157" s="402"/>
      <c r="D157" s="402"/>
      <c r="E157" s="402"/>
      <c r="F157" s="402"/>
      <c r="G157" s="402"/>
      <c r="H157" s="402"/>
      <c r="I157" s="402"/>
      <c r="J157" s="402"/>
    </row>
    <row r="158" spans="2:10">
      <c r="B158" s="402"/>
      <c r="C158" s="402"/>
      <c r="D158" s="402"/>
      <c r="E158" s="402"/>
      <c r="F158" s="402"/>
      <c r="G158" s="402"/>
      <c r="H158" s="402"/>
      <c r="I158" s="402"/>
      <c r="J158" s="402"/>
    </row>
    <row r="159" spans="2:10">
      <c r="B159" s="402"/>
      <c r="C159" s="402"/>
      <c r="D159" s="402"/>
      <c r="E159" s="402"/>
      <c r="F159" s="402"/>
      <c r="G159" s="402"/>
      <c r="H159" s="402"/>
      <c r="I159" s="402"/>
      <c r="J159" s="402"/>
    </row>
    <row r="160" spans="2:10">
      <c r="B160" s="402"/>
      <c r="C160" s="402"/>
      <c r="D160" s="402"/>
      <c r="E160" s="402"/>
      <c r="F160" s="402"/>
      <c r="G160" s="402"/>
      <c r="H160" s="402"/>
      <c r="I160" s="402"/>
      <c r="J160" s="402"/>
    </row>
    <row r="161" spans="2:10">
      <c r="B161" s="402"/>
      <c r="C161" s="402"/>
      <c r="D161" s="402"/>
      <c r="E161" s="402"/>
      <c r="F161" s="402"/>
      <c r="G161" s="402"/>
      <c r="H161" s="402"/>
      <c r="I161" s="402"/>
      <c r="J161" s="402"/>
    </row>
    <row r="162" spans="2:10">
      <c r="B162" s="402"/>
      <c r="C162" s="402"/>
      <c r="D162" s="402"/>
      <c r="E162" s="402"/>
      <c r="F162" s="402"/>
      <c r="G162" s="402"/>
      <c r="H162" s="402"/>
      <c r="I162" s="402"/>
      <c r="J162" s="402"/>
    </row>
    <row r="163" spans="2:10">
      <c r="B163" s="402"/>
      <c r="C163" s="402"/>
      <c r="D163" s="402"/>
      <c r="E163" s="402"/>
      <c r="F163" s="402"/>
      <c r="G163" s="402"/>
      <c r="H163" s="402"/>
      <c r="I163" s="402"/>
      <c r="J163" s="402"/>
    </row>
    <row r="164" spans="2:10">
      <c r="B164" s="402"/>
      <c r="C164" s="402"/>
      <c r="D164" s="402"/>
      <c r="E164" s="402"/>
      <c r="F164" s="402"/>
      <c r="G164" s="402"/>
      <c r="H164" s="402"/>
      <c r="I164" s="402"/>
      <c r="J164" s="402"/>
    </row>
    <row r="165" spans="2:10">
      <c r="B165" s="402"/>
      <c r="C165" s="402"/>
      <c r="D165" s="402"/>
      <c r="E165" s="402"/>
      <c r="F165" s="402"/>
      <c r="G165" s="402"/>
      <c r="H165" s="402"/>
      <c r="I165" s="402"/>
      <c r="J165" s="402"/>
    </row>
    <row r="166" spans="2:10">
      <c r="B166" s="402"/>
      <c r="C166" s="402"/>
      <c r="D166" s="402"/>
      <c r="E166" s="402"/>
      <c r="F166" s="402"/>
      <c r="G166" s="402"/>
      <c r="H166" s="402"/>
      <c r="I166" s="402"/>
      <c r="J166" s="402"/>
    </row>
    <row r="167" spans="2:10">
      <c r="B167" s="402"/>
      <c r="C167" s="402"/>
      <c r="D167" s="402"/>
      <c r="E167" s="402"/>
      <c r="F167" s="402"/>
      <c r="G167" s="402"/>
      <c r="H167" s="402"/>
      <c r="I167" s="402"/>
      <c r="J167" s="402"/>
    </row>
    <row r="168" spans="2:10">
      <c r="B168" s="402"/>
      <c r="C168" s="402"/>
      <c r="D168" s="402"/>
      <c r="E168" s="402"/>
      <c r="F168" s="402"/>
      <c r="G168" s="402"/>
      <c r="H168" s="402"/>
      <c r="I168" s="402"/>
      <c r="J168" s="402"/>
    </row>
    <row r="169" spans="2:10">
      <c r="B169" s="402"/>
      <c r="C169" s="402"/>
      <c r="D169" s="402"/>
      <c r="E169" s="402"/>
      <c r="F169" s="402"/>
      <c r="G169" s="402"/>
      <c r="H169" s="402"/>
      <c r="I169" s="402"/>
      <c r="J169" s="402"/>
    </row>
    <row r="170" spans="2:10">
      <c r="B170" s="402"/>
      <c r="C170" s="402"/>
      <c r="D170" s="402"/>
      <c r="E170" s="402"/>
      <c r="F170" s="402"/>
      <c r="G170" s="402"/>
      <c r="H170" s="402"/>
      <c r="I170" s="402"/>
      <c r="J170" s="402"/>
    </row>
    <row r="171" spans="2:10">
      <c r="B171" s="402"/>
      <c r="C171" s="402"/>
      <c r="D171" s="402"/>
      <c r="E171" s="402"/>
      <c r="F171" s="402"/>
      <c r="G171" s="402"/>
      <c r="H171" s="402"/>
      <c r="I171" s="402"/>
      <c r="J171" s="402"/>
    </row>
    <row r="172" spans="2:10">
      <c r="B172" s="402"/>
      <c r="C172" s="402"/>
      <c r="D172" s="402"/>
      <c r="E172" s="402"/>
      <c r="F172" s="402"/>
      <c r="G172" s="402"/>
      <c r="H172" s="402"/>
      <c r="I172" s="402"/>
      <c r="J172" s="402"/>
    </row>
    <row r="173" spans="2:10">
      <c r="B173" s="402"/>
      <c r="C173" s="402"/>
      <c r="D173" s="402"/>
      <c r="E173" s="402"/>
      <c r="F173" s="402"/>
      <c r="G173" s="402"/>
      <c r="H173" s="402"/>
      <c r="I173" s="402"/>
      <c r="J173" s="402"/>
    </row>
    <row r="174" spans="2:10">
      <c r="B174" s="402"/>
      <c r="C174" s="402"/>
      <c r="D174" s="402"/>
      <c r="E174" s="402"/>
      <c r="F174" s="402"/>
      <c r="G174" s="402"/>
      <c r="H174" s="402"/>
      <c r="I174" s="402"/>
      <c r="J174" s="402"/>
    </row>
    <row r="175" spans="2:10">
      <c r="B175" s="402"/>
      <c r="C175" s="402"/>
      <c r="D175" s="402"/>
      <c r="E175" s="402"/>
      <c r="F175" s="402"/>
      <c r="G175" s="402"/>
      <c r="H175" s="402"/>
      <c r="I175" s="402"/>
      <c r="J175" s="402"/>
    </row>
    <row r="176" spans="2:10">
      <c r="B176" s="402"/>
      <c r="C176" s="402"/>
      <c r="D176" s="402"/>
      <c r="E176" s="402"/>
      <c r="F176" s="402"/>
      <c r="G176" s="402"/>
      <c r="H176" s="402"/>
      <c r="I176" s="402"/>
      <c r="J176" s="402"/>
    </row>
    <row r="177" spans="2:10">
      <c r="B177" s="402"/>
      <c r="C177" s="402"/>
      <c r="D177" s="402"/>
      <c r="E177" s="402"/>
      <c r="F177" s="402"/>
      <c r="G177" s="402"/>
      <c r="H177" s="402"/>
      <c r="I177" s="402"/>
      <c r="J177" s="402"/>
    </row>
    <row r="178" spans="2:10">
      <c r="B178" s="402"/>
      <c r="C178" s="402"/>
      <c r="D178" s="402"/>
      <c r="E178" s="402"/>
      <c r="F178" s="402"/>
      <c r="G178" s="402"/>
      <c r="H178" s="402"/>
      <c r="I178" s="402"/>
      <c r="J178" s="402"/>
    </row>
    <row r="179" spans="2:10">
      <c r="B179" s="402"/>
      <c r="C179" s="402"/>
      <c r="D179" s="402"/>
      <c r="E179" s="402"/>
      <c r="F179" s="402"/>
      <c r="G179" s="402"/>
      <c r="H179" s="402"/>
      <c r="I179" s="402"/>
      <c r="J179" s="402"/>
    </row>
    <row r="180" spans="2:10">
      <c r="B180" s="402"/>
      <c r="C180" s="402"/>
      <c r="D180" s="402"/>
      <c r="E180" s="402"/>
      <c r="F180" s="402"/>
      <c r="G180" s="402"/>
      <c r="H180" s="402"/>
      <c r="I180" s="402"/>
      <c r="J180" s="402"/>
    </row>
    <row r="181" spans="2:10">
      <c r="B181" s="402"/>
      <c r="C181" s="402"/>
      <c r="D181" s="402"/>
      <c r="E181" s="402"/>
      <c r="F181" s="402"/>
      <c r="G181" s="402"/>
      <c r="H181" s="402"/>
      <c r="I181" s="402"/>
      <c r="J181" s="402"/>
    </row>
    <row r="182" spans="2:10">
      <c r="B182" s="402"/>
      <c r="C182" s="402"/>
      <c r="D182" s="402"/>
      <c r="E182" s="402"/>
      <c r="F182" s="402"/>
      <c r="G182" s="402"/>
      <c r="H182" s="402"/>
      <c r="I182" s="402"/>
      <c r="J182" s="402"/>
    </row>
    <row r="183" spans="2:10">
      <c r="B183" s="402"/>
      <c r="C183" s="402"/>
      <c r="D183" s="402"/>
      <c r="E183" s="402"/>
      <c r="F183" s="402"/>
      <c r="G183" s="402"/>
      <c r="H183" s="402"/>
      <c r="I183" s="402"/>
      <c r="J183" s="402"/>
    </row>
    <row r="184" spans="2:10">
      <c r="B184" s="402"/>
      <c r="C184" s="402"/>
      <c r="D184" s="402"/>
      <c r="E184" s="402"/>
      <c r="F184" s="402"/>
      <c r="G184" s="402"/>
      <c r="H184" s="402"/>
      <c r="I184" s="402"/>
      <c r="J184" s="402"/>
    </row>
    <row r="185" spans="2:10">
      <c r="B185" s="402"/>
      <c r="C185" s="402"/>
      <c r="D185" s="402"/>
      <c r="E185" s="402"/>
      <c r="F185" s="402"/>
      <c r="G185" s="402"/>
      <c r="H185" s="402"/>
      <c r="I185" s="402"/>
      <c r="J185" s="402"/>
    </row>
    <row r="186" spans="2:10">
      <c r="B186" s="402"/>
      <c r="C186" s="402"/>
      <c r="D186" s="402"/>
      <c r="E186" s="402"/>
      <c r="F186" s="402"/>
      <c r="G186" s="402"/>
      <c r="H186" s="402"/>
      <c r="I186" s="402"/>
      <c r="J186" s="402"/>
    </row>
    <row r="187" spans="2:10">
      <c r="B187" s="402"/>
      <c r="C187" s="402"/>
      <c r="D187" s="402"/>
      <c r="E187" s="402"/>
      <c r="F187" s="402"/>
      <c r="G187" s="402"/>
      <c r="H187" s="402"/>
      <c r="I187" s="402"/>
      <c r="J187" s="402"/>
    </row>
    <row r="188" spans="2:10">
      <c r="B188" s="402"/>
      <c r="C188" s="402"/>
      <c r="D188" s="402"/>
      <c r="E188" s="402"/>
      <c r="F188" s="402"/>
      <c r="G188" s="402"/>
      <c r="H188" s="402"/>
      <c r="I188" s="402"/>
      <c r="J188" s="402"/>
    </row>
    <row r="189" spans="2:10">
      <c r="B189" s="402"/>
      <c r="C189" s="402"/>
      <c r="D189" s="402"/>
      <c r="E189" s="402"/>
      <c r="F189" s="402"/>
      <c r="G189" s="402"/>
      <c r="H189" s="402"/>
      <c r="I189" s="402"/>
      <c r="J189" s="402"/>
    </row>
    <row r="190" spans="2:10">
      <c r="B190" s="402"/>
      <c r="C190" s="402"/>
      <c r="D190" s="402"/>
      <c r="E190" s="402"/>
      <c r="F190" s="402"/>
      <c r="G190" s="402"/>
      <c r="H190" s="402"/>
      <c r="I190" s="402"/>
      <c r="J190" s="402"/>
    </row>
    <row r="191" spans="2:10">
      <c r="B191" s="402"/>
      <c r="C191" s="402"/>
      <c r="D191" s="402"/>
      <c r="E191" s="402"/>
      <c r="F191" s="402"/>
      <c r="G191" s="402"/>
      <c r="H191" s="402"/>
      <c r="I191" s="402"/>
      <c r="J191" s="402"/>
    </row>
    <row r="192" spans="2:10">
      <c r="B192" s="402"/>
      <c r="C192" s="402"/>
      <c r="D192" s="402"/>
      <c r="E192" s="402"/>
      <c r="F192" s="402"/>
      <c r="G192" s="402"/>
      <c r="H192" s="402"/>
      <c r="I192" s="402"/>
      <c r="J192" s="402"/>
    </row>
    <row r="193" spans="2:10">
      <c r="B193" s="402"/>
      <c r="C193" s="402"/>
      <c r="D193" s="402"/>
      <c r="E193" s="402"/>
      <c r="F193" s="402"/>
      <c r="G193" s="402"/>
      <c r="H193" s="402"/>
      <c r="I193" s="402"/>
      <c r="J193" s="402"/>
    </row>
    <row r="194" spans="2:10">
      <c r="B194" s="402"/>
      <c r="C194" s="402"/>
      <c r="D194" s="402"/>
      <c r="E194" s="402"/>
      <c r="F194" s="402"/>
      <c r="G194" s="402"/>
      <c r="H194" s="402"/>
      <c r="I194" s="402"/>
      <c r="J194" s="402"/>
    </row>
    <row r="195" spans="2:10">
      <c r="B195" s="402"/>
      <c r="C195" s="402"/>
      <c r="D195" s="402"/>
      <c r="E195" s="402"/>
      <c r="F195" s="402"/>
      <c r="G195" s="402"/>
      <c r="H195" s="402"/>
      <c r="I195" s="402"/>
      <c r="J195" s="402"/>
    </row>
    <row r="196" spans="2:10">
      <c r="B196" s="402"/>
      <c r="C196" s="402"/>
      <c r="D196" s="402"/>
      <c r="E196" s="402"/>
      <c r="F196" s="402"/>
      <c r="G196" s="402"/>
      <c r="H196" s="402"/>
      <c r="I196" s="402"/>
      <c r="J196" s="402"/>
    </row>
    <row r="197" spans="2:10">
      <c r="B197" s="402"/>
      <c r="C197" s="402"/>
      <c r="D197" s="402"/>
      <c r="E197" s="402"/>
      <c r="F197" s="402"/>
      <c r="G197" s="402"/>
      <c r="H197" s="402"/>
      <c r="I197" s="402"/>
      <c r="J197" s="402"/>
    </row>
    <row r="198" spans="2:10">
      <c r="B198" s="402"/>
      <c r="C198" s="402"/>
      <c r="D198" s="402"/>
      <c r="E198" s="402"/>
      <c r="F198" s="402"/>
      <c r="G198" s="402"/>
      <c r="H198" s="402"/>
      <c r="I198" s="402"/>
      <c r="J198" s="402"/>
    </row>
    <row r="199" spans="2:10">
      <c r="B199" s="402"/>
      <c r="C199" s="402"/>
      <c r="D199" s="402"/>
      <c r="E199" s="402"/>
      <c r="F199" s="402"/>
      <c r="G199" s="402"/>
      <c r="H199" s="402"/>
      <c r="I199" s="402"/>
      <c r="J199" s="402"/>
    </row>
    <row r="200" spans="2:10">
      <c r="B200" s="402"/>
      <c r="C200" s="402"/>
      <c r="D200" s="402"/>
      <c r="E200" s="402"/>
      <c r="F200" s="402"/>
      <c r="G200" s="402"/>
      <c r="H200" s="402"/>
      <c r="I200" s="402"/>
      <c r="J200" s="402"/>
    </row>
    <row r="201" spans="2:10">
      <c r="B201" s="402"/>
      <c r="C201" s="402"/>
      <c r="D201" s="402"/>
      <c r="E201" s="402"/>
      <c r="F201" s="402"/>
      <c r="G201" s="402"/>
      <c r="H201" s="402"/>
      <c r="I201" s="402"/>
      <c r="J201" s="402"/>
    </row>
    <row r="202" spans="2:10">
      <c r="B202" s="402"/>
      <c r="C202" s="402"/>
      <c r="D202" s="402"/>
      <c r="E202" s="402"/>
      <c r="F202" s="402"/>
      <c r="G202" s="402"/>
      <c r="H202" s="402"/>
      <c r="I202" s="402"/>
      <c r="J202" s="402"/>
    </row>
    <row r="203" spans="2:10">
      <c r="B203" s="402"/>
      <c r="C203" s="402"/>
      <c r="D203" s="402"/>
      <c r="E203" s="402"/>
      <c r="F203" s="402"/>
      <c r="G203" s="402"/>
      <c r="H203" s="402"/>
      <c r="I203" s="402"/>
      <c r="J203" s="402"/>
    </row>
    <row r="204" spans="2:10">
      <c r="B204" s="402"/>
      <c r="C204" s="402"/>
      <c r="D204" s="402"/>
      <c r="E204" s="402"/>
      <c r="F204" s="402"/>
      <c r="G204" s="402"/>
      <c r="H204" s="402"/>
      <c r="I204" s="402"/>
      <c r="J204" s="402"/>
    </row>
    <row r="205" spans="2:10">
      <c r="B205" s="402"/>
      <c r="C205" s="402"/>
      <c r="D205" s="402"/>
      <c r="E205" s="402"/>
      <c r="F205" s="402"/>
      <c r="G205" s="402"/>
      <c r="H205" s="402"/>
      <c r="I205" s="402"/>
      <c r="J205" s="402"/>
    </row>
    <row r="206" spans="2:10">
      <c r="B206" s="402"/>
      <c r="C206" s="402"/>
      <c r="D206" s="402"/>
      <c r="E206" s="402"/>
      <c r="F206" s="402"/>
      <c r="G206" s="402"/>
      <c r="H206" s="402"/>
      <c r="I206" s="402"/>
      <c r="J206" s="402"/>
    </row>
    <row r="207" spans="2:10">
      <c r="B207" s="402"/>
      <c r="C207" s="402"/>
      <c r="D207" s="402"/>
      <c r="E207" s="402"/>
      <c r="F207" s="402"/>
      <c r="G207" s="402"/>
      <c r="H207" s="402"/>
      <c r="I207" s="402"/>
      <c r="J207" s="402"/>
    </row>
    <row r="208" spans="2:10">
      <c r="B208" s="402"/>
      <c r="C208" s="402"/>
      <c r="D208" s="402"/>
      <c r="E208" s="402"/>
      <c r="F208" s="402"/>
      <c r="G208" s="402"/>
      <c r="H208" s="402"/>
      <c r="I208" s="402"/>
      <c r="J208" s="402"/>
    </row>
    <row r="209" spans="2:10">
      <c r="B209" s="402"/>
      <c r="C209" s="402"/>
      <c r="D209" s="402"/>
      <c r="E209" s="402"/>
      <c r="F209" s="402"/>
      <c r="G209" s="402"/>
      <c r="H209" s="402"/>
      <c r="I209" s="402"/>
      <c r="J209" s="402"/>
    </row>
    <row r="210" spans="2:10">
      <c r="B210" s="402"/>
      <c r="C210" s="402"/>
      <c r="D210" s="402"/>
      <c r="E210" s="402"/>
      <c r="F210" s="402"/>
      <c r="G210" s="402"/>
      <c r="H210" s="402"/>
      <c r="I210" s="402"/>
      <c r="J210" s="402"/>
    </row>
    <row r="211" spans="2:10">
      <c r="B211" s="402"/>
      <c r="C211" s="402"/>
      <c r="D211" s="402"/>
      <c r="E211" s="402"/>
      <c r="F211" s="402"/>
      <c r="G211" s="402"/>
      <c r="H211" s="402"/>
      <c r="I211" s="402"/>
      <c r="J211" s="402"/>
    </row>
    <row r="212" spans="2:10">
      <c r="B212" s="402"/>
      <c r="C212" s="402"/>
      <c r="D212" s="402"/>
      <c r="E212" s="402"/>
      <c r="F212" s="402"/>
      <c r="G212" s="402"/>
      <c r="H212" s="402"/>
      <c r="I212" s="402"/>
      <c r="J212" s="402"/>
    </row>
    <row r="213" spans="2:10">
      <c r="B213" s="402"/>
      <c r="C213" s="402"/>
      <c r="D213" s="402"/>
      <c r="E213" s="402"/>
      <c r="F213" s="402"/>
      <c r="G213" s="402"/>
      <c r="H213" s="402"/>
      <c r="I213" s="402"/>
      <c r="J213" s="402"/>
    </row>
    <row r="214" spans="2:10">
      <c r="B214" s="402"/>
      <c r="C214" s="402"/>
      <c r="D214" s="402"/>
      <c r="E214" s="402"/>
      <c r="F214" s="402"/>
      <c r="G214" s="402"/>
      <c r="H214" s="402"/>
      <c r="I214" s="402"/>
      <c r="J214" s="402"/>
    </row>
    <row r="215" spans="2:10">
      <c r="B215" s="402"/>
      <c r="C215" s="402"/>
      <c r="D215" s="402"/>
      <c r="E215" s="402"/>
      <c r="F215" s="402"/>
      <c r="G215" s="402"/>
      <c r="H215" s="402"/>
      <c r="I215" s="402"/>
      <c r="J215" s="402"/>
    </row>
    <row r="216" spans="2:10">
      <c r="B216" s="402"/>
      <c r="C216" s="402"/>
      <c r="D216" s="402"/>
      <c r="E216" s="402"/>
      <c r="F216" s="402"/>
      <c r="G216" s="402"/>
      <c r="H216" s="402"/>
      <c r="I216" s="402"/>
      <c r="J216" s="402"/>
    </row>
    <row r="217" spans="2:10">
      <c r="B217" s="402"/>
      <c r="C217" s="402"/>
      <c r="D217" s="402"/>
      <c r="E217" s="402"/>
      <c r="F217" s="402"/>
      <c r="G217" s="402"/>
      <c r="H217" s="402"/>
      <c r="I217" s="402"/>
      <c r="J217" s="402"/>
    </row>
    <row r="218" spans="2:10">
      <c r="B218" s="402"/>
      <c r="C218" s="402"/>
      <c r="D218" s="402"/>
      <c r="E218" s="402"/>
      <c r="F218" s="402"/>
      <c r="G218" s="402"/>
      <c r="H218" s="402"/>
      <c r="I218" s="402"/>
      <c r="J218" s="402"/>
    </row>
    <row r="219" spans="2:10">
      <c r="B219" s="402"/>
      <c r="C219" s="402"/>
      <c r="D219" s="402"/>
      <c r="E219" s="402"/>
      <c r="F219" s="402"/>
      <c r="G219" s="402"/>
      <c r="H219" s="402"/>
      <c r="I219" s="402"/>
      <c r="J219" s="402"/>
    </row>
    <row r="220" spans="2:10">
      <c r="B220" s="402"/>
      <c r="C220" s="402"/>
      <c r="D220" s="402"/>
      <c r="E220" s="402"/>
      <c r="F220" s="402"/>
      <c r="G220" s="402"/>
      <c r="H220" s="402"/>
      <c r="I220" s="402"/>
      <c r="J220" s="402"/>
    </row>
    <row r="221" spans="2:10">
      <c r="B221" s="402"/>
      <c r="C221" s="402"/>
      <c r="D221" s="402"/>
      <c r="E221" s="402"/>
      <c r="F221" s="402"/>
      <c r="G221" s="402"/>
      <c r="H221" s="402"/>
      <c r="I221" s="402"/>
      <c r="J221" s="402"/>
    </row>
    <row r="222" spans="2:10">
      <c r="B222" s="402"/>
      <c r="C222" s="402"/>
      <c r="D222" s="402"/>
      <c r="E222" s="402"/>
      <c r="F222" s="402"/>
      <c r="G222" s="402"/>
      <c r="H222" s="402"/>
      <c r="I222" s="402"/>
      <c r="J222" s="402"/>
    </row>
    <row r="223" spans="2:10">
      <c r="B223" s="402"/>
      <c r="C223" s="402"/>
      <c r="D223" s="402"/>
      <c r="E223" s="402"/>
      <c r="F223" s="402"/>
      <c r="G223" s="402"/>
      <c r="H223" s="402"/>
      <c r="I223" s="402"/>
      <c r="J223" s="402"/>
    </row>
    <row r="224" spans="2:10">
      <c r="B224" s="402"/>
      <c r="C224" s="402"/>
      <c r="D224" s="402"/>
      <c r="E224" s="402"/>
      <c r="F224" s="402"/>
      <c r="G224" s="402"/>
      <c r="H224" s="402"/>
      <c r="I224" s="402"/>
      <c r="J224" s="402"/>
    </row>
    <row r="225" spans="2:10">
      <c r="B225" s="402"/>
      <c r="C225" s="402"/>
      <c r="D225" s="402"/>
      <c r="E225" s="402"/>
      <c r="F225" s="402"/>
      <c r="G225" s="402"/>
      <c r="H225" s="402"/>
      <c r="I225" s="402"/>
      <c r="J225" s="402"/>
    </row>
    <row r="226" spans="2:10">
      <c r="B226" s="402"/>
      <c r="C226" s="402"/>
      <c r="D226" s="402"/>
      <c r="E226" s="402"/>
      <c r="F226" s="402"/>
      <c r="G226" s="402"/>
      <c r="H226" s="402"/>
      <c r="I226" s="402"/>
      <c r="J226" s="402"/>
    </row>
    <row r="227" spans="2:10">
      <c r="B227" s="402"/>
      <c r="C227" s="402"/>
      <c r="D227" s="402"/>
      <c r="E227" s="402"/>
      <c r="F227" s="402"/>
      <c r="G227" s="402"/>
      <c r="H227" s="402"/>
      <c r="I227" s="402"/>
      <c r="J227" s="402"/>
    </row>
    <row r="228" spans="2:10">
      <c r="B228" s="402"/>
      <c r="C228" s="402"/>
      <c r="D228" s="402"/>
      <c r="E228" s="402"/>
      <c r="F228" s="402"/>
      <c r="G228" s="402"/>
      <c r="H228" s="402"/>
      <c r="I228" s="402"/>
      <c r="J228" s="402"/>
    </row>
    <row r="229" spans="2:10">
      <c r="B229" s="402"/>
      <c r="C229" s="402"/>
      <c r="D229" s="402"/>
      <c r="E229" s="402"/>
      <c r="F229" s="402"/>
      <c r="G229" s="402"/>
      <c r="H229" s="402"/>
      <c r="I229" s="402"/>
      <c r="J229" s="402"/>
    </row>
    <row r="230" spans="2:10">
      <c r="B230" s="402"/>
      <c r="C230" s="402"/>
      <c r="D230" s="402"/>
      <c r="E230" s="402"/>
      <c r="F230" s="402"/>
      <c r="G230" s="402"/>
      <c r="H230" s="402"/>
      <c r="I230" s="402"/>
      <c r="J230" s="402"/>
    </row>
    <row r="231" spans="2:10">
      <c r="B231" s="402"/>
      <c r="C231" s="402"/>
      <c r="D231" s="402"/>
      <c r="E231" s="402"/>
      <c r="F231" s="402"/>
      <c r="G231" s="402"/>
      <c r="H231" s="402"/>
      <c r="I231" s="402"/>
      <c r="J231" s="402"/>
    </row>
    <row r="232" spans="2:10">
      <c r="B232" s="402"/>
      <c r="C232" s="402"/>
      <c r="D232" s="402"/>
      <c r="E232" s="402"/>
      <c r="F232" s="402"/>
      <c r="G232" s="402"/>
      <c r="H232" s="402"/>
      <c r="I232" s="402"/>
      <c r="J232" s="402"/>
    </row>
    <row r="233" spans="2:10">
      <c r="B233" s="402"/>
      <c r="C233" s="402"/>
      <c r="D233" s="402"/>
      <c r="E233" s="402"/>
      <c r="F233" s="402"/>
      <c r="G233" s="402"/>
      <c r="H233" s="402"/>
      <c r="I233" s="402"/>
      <c r="J233" s="402"/>
    </row>
    <row r="234" spans="2:10">
      <c r="B234" s="402"/>
      <c r="C234" s="402"/>
      <c r="D234" s="402"/>
      <c r="E234" s="402"/>
      <c r="F234" s="402"/>
      <c r="G234" s="402"/>
      <c r="H234" s="402"/>
      <c r="I234" s="402"/>
      <c r="J234" s="402"/>
    </row>
    <row r="235" spans="2:10">
      <c r="B235" s="402"/>
      <c r="C235" s="402"/>
      <c r="D235" s="402"/>
      <c r="E235" s="402"/>
      <c r="F235" s="402"/>
      <c r="G235" s="402"/>
      <c r="H235" s="402"/>
      <c r="I235" s="402"/>
      <c r="J235" s="402"/>
    </row>
    <row r="236" spans="2:10">
      <c r="B236" s="402"/>
      <c r="C236" s="402"/>
      <c r="D236" s="402"/>
      <c r="E236" s="402"/>
      <c r="F236" s="402"/>
      <c r="G236" s="402"/>
      <c r="H236" s="402"/>
      <c r="I236" s="402"/>
      <c r="J236" s="402"/>
    </row>
    <row r="237" spans="2:10">
      <c r="B237" s="402"/>
      <c r="C237" s="402"/>
      <c r="D237" s="402"/>
      <c r="E237" s="402"/>
      <c r="F237" s="402"/>
      <c r="G237" s="402"/>
      <c r="H237" s="402"/>
      <c r="I237" s="402"/>
      <c r="J237" s="402"/>
    </row>
    <row r="238" spans="2:10">
      <c r="B238" s="402"/>
      <c r="C238" s="402"/>
      <c r="D238" s="402"/>
      <c r="E238" s="402"/>
      <c r="F238" s="402"/>
      <c r="G238" s="402"/>
      <c r="H238" s="402"/>
      <c r="I238" s="402"/>
      <c r="J238" s="402"/>
    </row>
    <row r="239" spans="2:10">
      <c r="B239" s="402"/>
      <c r="C239" s="402"/>
      <c r="D239" s="402"/>
      <c r="E239" s="402"/>
      <c r="F239" s="402"/>
      <c r="G239" s="402"/>
      <c r="H239" s="402"/>
      <c r="I239" s="402"/>
      <c r="J239" s="402"/>
    </row>
    <row r="240" spans="2:10">
      <c r="B240" s="402"/>
      <c r="C240" s="402"/>
      <c r="D240" s="402"/>
      <c r="E240" s="402"/>
      <c r="F240" s="402"/>
      <c r="G240" s="402"/>
      <c r="H240" s="402"/>
      <c r="I240" s="402"/>
      <c r="J240" s="402"/>
    </row>
    <row r="241" spans="2:10">
      <c r="B241" s="402"/>
      <c r="C241" s="402"/>
      <c r="D241" s="402"/>
      <c r="E241" s="402"/>
      <c r="F241" s="402"/>
      <c r="G241" s="402"/>
      <c r="H241" s="402"/>
      <c r="I241" s="402"/>
      <c r="J241" s="402"/>
    </row>
    <row r="242" spans="2:10">
      <c r="B242" s="402"/>
      <c r="C242" s="402"/>
      <c r="D242" s="402"/>
      <c r="E242" s="402"/>
      <c r="F242" s="402"/>
      <c r="G242" s="402"/>
      <c r="H242" s="402"/>
      <c r="I242" s="402"/>
      <c r="J242" s="402"/>
    </row>
    <row r="243" spans="2:10">
      <c r="B243" s="402"/>
      <c r="C243" s="402"/>
      <c r="D243" s="402"/>
      <c r="E243" s="402"/>
      <c r="F243" s="402"/>
      <c r="G243" s="402"/>
      <c r="H243" s="402"/>
      <c r="I243" s="402"/>
      <c r="J243" s="402"/>
    </row>
    <row r="244" spans="2:10">
      <c r="B244" s="402"/>
      <c r="C244" s="402"/>
      <c r="D244" s="402"/>
      <c r="E244" s="402"/>
      <c r="F244" s="402"/>
      <c r="G244" s="402"/>
      <c r="H244" s="402"/>
      <c r="I244" s="402"/>
      <c r="J244" s="402"/>
    </row>
    <row r="245" spans="2:10">
      <c r="B245" s="402"/>
      <c r="C245" s="402"/>
      <c r="D245" s="402"/>
      <c r="E245" s="402"/>
      <c r="F245" s="402"/>
      <c r="G245" s="402"/>
      <c r="H245" s="402"/>
      <c r="I245" s="402"/>
      <c r="J245" s="402"/>
    </row>
    <row r="246" spans="2:10">
      <c r="B246" s="402"/>
      <c r="C246" s="402"/>
      <c r="D246" s="402"/>
      <c r="E246" s="402"/>
      <c r="F246" s="402"/>
      <c r="G246" s="402"/>
      <c r="H246" s="402"/>
      <c r="I246" s="402"/>
      <c r="J246" s="402"/>
    </row>
    <row r="247" spans="2:10">
      <c r="B247" s="402"/>
      <c r="C247" s="402"/>
      <c r="D247" s="402"/>
      <c r="E247" s="402"/>
      <c r="F247" s="402"/>
      <c r="G247" s="402"/>
      <c r="H247" s="402"/>
      <c r="I247" s="402"/>
      <c r="J247" s="402"/>
    </row>
    <row r="248" spans="2:10">
      <c r="B248" s="402"/>
      <c r="C248" s="402"/>
      <c r="D248" s="402"/>
      <c r="E248" s="402"/>
      <c r="F248" s="402"/>
      <c r="G248" s="402"/>
      <c r="H248" s="402"/>
      <c r="I248" s="402"/>
      <c r="J248" s="402"/>
    </row>
    <row r="249" spans="2:10">
      <c r="B249" s="402"/>
      <c r="C249" s="402"/>
      <c r="D249" s="402"/>
      <c r="E249" s="402"/>
      <c r="F249" s="402"/>
      <c r="G249" s="402"/>
      <c r="H249" s="402"/>
      <c r="I249" s="402"/>
      <c r="J249" s="402"/>
    </row>
    <row r="250" spans="2:10">
      <c r="B250" s="402"/>
      <c r="C250" s="402"/>
      <c r="D250" s="402"/>
      <c r="E250" s="402"/>
      <c r="F250" s="402"/>
      <c r="G250" s="402"/>
      <c r="H250" s="402"/>
      <c r="I250" s="402"/>
      <c r="J250" s="402"/>
    </row>
    <row r="251" spans="2:10">
      <c r="B251" s="402"/>
      <c r="C251" s="402"/>
      <c r="D251" s="402"/>
      <c r="E251" s="402"/>
      <c r="F251" s="402"/>
      <c r="G251" s="402"/>
      <c r="H251" s="402"/>
      <c r="I251" s="402"/>
      <c r="J251" s="402"/>
    </row>
    <row r="252" spans="2:10">
      <c r="B252" s="402"/>
      <c r="C252" s="402"/>
      <c r="D252" s="402"/>
      <c r="E252" s="402"/>
      <c r="F252" s="402"/>
      <c r="G252" s="402"/>
      <c r="H252" s="402"/>
      <c r="I252" s="402"/>
      <c r="J252" s="402"/>
    </row>
    <row r="253" spans="2:10">
      <c r="B253" s="402"/>
      <c r="C253" s="402"/>
      <c r="D253" s="402"/>
      <c r="E253" s="402"/>
      <c r="F253" s="402"/>
      <c r="G253" s="402"/>
      <c r="H253" s="402"/>
      <c r="I253" s="402"/>
      <c r="J253" s="402"/>
    </row>
    <row r="254" spans="2:10">
      <c r="B254" s="402"/>
      <c r="C254" s="402"/>
      <c r="D254" s="402"/>
      <c r="E254" s="402"/>
      <c r="F254" s="402"/>
      <c r="G254" s="402"/>
      <c r="H254" s="402"/>
      <c r="I254" s="402"/>
      <c r="J254" s="402"/>
    </row>
    <row r="255" spans="2:10">
      <c r="B255" s="402"/>
      <c r="C255" s="402"/>
      <c r="D255" s="402"/>
      <c r="E255" s="402"/>
      <c r="F255" s="402"/>
      <c r="G255" s="402"/>
      <c r="H255" s="402"/>
      <c r="I255" s="402"/>
      <c r="J255" s="402"/>
    </row>
    <row r="256" spans="2:10">
      <c r="B256" s="402"/>
      <c r="C256" s="402"/>
      <c r="D256" s="402"/>
      <c r="E256" s="402"/>
      <c r="F256" s="402"/>
      <c r="G256" s="402"/>
      <c r="H256" s="402"/>
      <c r="I256" s="402"/>
      <c r="J256" s="402"/>
    </row>
    <row r="257" spans="2:10">
      <c r="B257" s="402"/>
      <c r="C257" s="402"/>
      <c r="D257" s="402"/>
      <c r="E257" s="402"/>
      <c r="F257" s="402"/>
      <c r="G257" s="402"/>
      <c r="H257" s="402"/>
      <c r="I257" s="402"/>
      <c r="J257" s="402"/>
    </row>
    <row r="258" spans="2:10">
      <c r="B258" s="402"/>
      <c r="C258" s="402"/>
      <c r="D258" s="402"/>
      <c r="E258" s="402"/>
      <c r="F258" s="402"/>
      <c r="G258" s="402"/>
      <c r="H258" s="402"/>
      <c r="I258" s="402"/>
      <c r="J258" s="402"/>
    </row>
    <row r="259" spans="2:10">
      <c r="B259" s="402"/>
      <c r="C259" s="402"/>
      <c r="D259" s="402"/>
      <c r="E259" s="402"/>
      <c r="F259" s="402"/>
      <c r="G259" s="402"/>
      <c r="H259" s="402"/>
      <c r="I259" s="402"/>
      <c r="J259" s="402"/>
    </row>
    <row r="260" spans="2:10">
      <c r="B260" s="402"/>
      <c r="C260" s="402"/>
      <c r="D260" s="402"/>
      <c r="E260" s="402"/>
      <c r="F260" s="402"/>
      <c r="G260" s="402"/>
      <c r="H260" s="402"/>
      <c r="I260" s="402"/>
      <c r="J260" s="402"/>
    </row>
    <row r="261" spans="2:10">
      <c r="B261" s="402"/>
      <c r="C261" s="402"/>
      <c r="D261" s="402"/>
      <c r="E261" s="402"/>
      <c r="F261" s="402"/>
      <c r="G261" s="402"/>
      <c r="H261" s="402"/>
      <c r="I261" s="402"/>
      <c r="J261" s="402"/>
    </row>
    <row r="262" spans="2:10">
      <c r="B262" s="402"/>
      <c r="C262" s="402"/>
      <c r="D262" s="402"/>
      <c r="E262" s="402"/>
      <c r="F262" s="402"/>
      <c r="G262" s="402"/>
      <c r="H262" s="402"/>
      <c r="I262" s="402"/>
      <c r="J262" s="402"/>
    </row>
    <row r="263" spans="2:10">
      <c r="B263" s="402"/>
      <c r="C263" s="402"/>
      <c r="D263" s="402"/>
      <c r="E263" s="402"/>
      <c r="F263" s="402"/>
      <c r="G263" s="402"/>
      <c r="H263" s="402"/>
      <c r="I263" s="402"/>
      <c r="J263" s="402"/>
    </row>
    <row r="264" spans="2:10">
      <c r="B264" s="402"/>
      <c r="C264" s="402"/>
      <c r="D264" s="402"/>
      <c r="E264" s="402"/>
      <c r="F264" s="402"/>
      <c r="G264" s="402"/>
      <c r="H264" s="402"/>
      <c r="I264" s="402"/>
      <c r="J264" s="402"/>
    </row>
    <row r="265" spans="2:10">
      <c r="B265" s="402"/>
      <c r="C265" s="402"/>
      <c r="D265" s="402"/>
      <c r="E265" s="402"/>
      <c r="F265" s="402"/>
      <c r="G265" s="402"/>
      <c r="H265" s="402"/>
      <c r="I265" s="402"/>
      <c r="J265" s="402"/>
    </row>
    <row r="266" spans="2:10">
      <c r="B266" s="402"/>
      <c r="C266" s="402"/>
      <c r="D266" s="402"/>
      <c r="E266" s="402"/>
      <c r="F266" s="402"/>
      <c r="G266" s="402"/>
      <c r="H266" s="402"/>
      <c r="I266" s="402"/>
      <c r="J266" s="402"/>
    </row>
    <row r="267" spans="2:10">
      <c r="B267" s="402"/>
      <c r="C267" s="402"/>
      <c r="D267" s="402"/>
      <c r="E267" s="402"/>
      <c r="F267" s="402"/>
      <c r="G267" s="402"/>
      <c r="H267" s="402"/>
      <c r="I267" s="402"/>
      <c r="J267" s="402"/>
    </row>
    <row r="268" spans="2:10">
      <c r="B268" s="402"/>
      <c r="C268" s="402"/>
      <c r="D268" s="402"/>
      <c r="E268" s="402"/>
      <c r="F268" s="402"/>
      <c r="G268" s="402"/>
      <c r="H268" s="402"/>
      <c r="I268" s="402"/>
      <c r="J268" s="402"/>
    </row>
    <row r="269" spans="2:10">
      <c r="B269" s="402"/>
      <c r="C269" s="402"/>
      <c r="D269" s="402"/>
      <c r="E269" s="402"/>
      <c r="F269" s="402"/>
      <c r="G269" s="402"/>
      <c r="H269" s="402"/>
      <c r="I269" s="402"/>
      <c r="J269" s="402"/>
    </row>
    <row r="270" spans="2:10">
      <c r="B270" s="402"/>
      <c r="C270" s="402"/>
      <c r="D270" s="402"/>
      <c r="E270" s="402"/>
      <c r="F270" s="402"/>
      <c r="G270" s="402"/>
      <c r="H270" s="402"/>
      <c r="I270" s="402"/>
      <c r="J270" s="402"/>
    </row>
    <row r="271" spans="2:10">
      <c r="B271" s="402"/>
      <c r="C271" s="402"/>
      <c r="D271" s="402"/>
      <c r="E271" s="402"/>
      <c r="F271" s="402"/>
      <c r="G271" s="402"/>
      <c r="H271" s="402"/>
      <c r="I271" s="402"/>
      <c r="J271" s="402"/>
    </row>
    <row r="272" spans="2:10">
      <c r="B272" s="402"/>
      <c r="C272" s="402"/>
      <c r="D272" s="402"/>
      <c r="E272" s="402"/>
      <c r="F272" s="402"/>
      <c r="G272" s="402"/>
      <c r="H272" s="402"/>
      <c r="I272" s="402"/>
      <c r="J272" s="402"/>
    </row>
    <row r="273" spans="2:10">
      <c r="B273" s="402"/>
      <c r="C273" s="402"/>
      <c r="D273" s="402"/>
      <c r="E273" s="402"/>
      <c r="F273" s="402"/>
      <c r="G273" s="402"/>
      <c r="H273" s="402"/>
      <c r="I273" s="402"/>
      <c r="J273" s="402"/>
    </row>
    <row r="274" spans="2:10">
      <c r="B274" s="402"/>
      <c r="C274" s="402"/>
      <c r="D274" s="402"/>
      <c r="E274" s="402"/>
      <c r="F274" s="402"/>
      <c r="G274" s="402"/>
      <c r="H274" s="402"/>
      <c r="I274" s="402"/>
      <c r="J274" s="402"/>
    </row>
    <row r="275" spans="2:10">
      <c r="B275" s="402"/>
      <c r="C275" s="402"/>
      <c r="D275" s="402"/>
      <c r="E275" s="402"/>
      <c r="F275" s="402"/>
      <c r="G275" s="402"/>
      <c r="H275" s="402"/>
      <c r="I275" s="402"/>
      <c r="J275" s="402"/>
    </row>
    <row r="276" spans="2:10">
      <c r="B276" s="402"/>
      <c r="C276" s="402"/>
      <c r="D276" s="402"/>
      <c r="E276" s="402"/>
      <c r="F276" s="402"/>
      <c r="G276" s="402"/>
      <c r="H276" s="402"/>
      <c r="I276" s="402"/>
      <c r="J276" s="402"/>
    </row>
    <row r="277" spans="2:10">
      <c r="B277" s="402"/>
      <c r="C277" s="402"/>
      <c r="D277" s="402"/>
      <c r="E277" s="402"/>
      <c r="F277" s="402"/>
      <c r="G277" s="402"/>
      <c r="H277" s="402"/>
      <c r="I277" s="402"/>
      <c r="J277" s="402"/>
    </row>
    <row r="278" spans="2:10">
      <c r="B278" s="402"/>
      <c r="C278" s="402"/>
      <c r="D278" s="402"/>
      <c r="E278" s="402"/>
      <c r="F278" s="402"/>
      <c r="G278" s="402"/>
      <c r="H278" s="402"/>
      <c r="I278" s="402"/>
      <c r="J278" s="402"/>
    </row>
    <row r="279" spans="2:10">
      <c r="B279" s="402"/>
      <c r="C279" s="402"/>
      <c r="D279" s="402"/>
      <c r="E279" s="402"/>
      <c r="F279" s="402"/>
      <c r="G279" s="402"/>
      <c r="H279" s="402"/>
      <c r="I279" s="402"/>
      <c r="J279" s="402"/>
    </row>
    <row r="280" spans="2:10">
      <c r="B280" s="402"/>
      <c r="C280" s="402"/>
      <c r="D280" s="402"/>
      <c r="E280" s="402"/>
      <c r="F280" s="402"/>
      <c r="G280" s="402"/>
      <c r="H280" s="402"/>
      <c r="I280" s="402"/>
      <c r="J280" s="402"/>
    </row>
    <row r="281" spans="2:10">
      <c r="B281" s="402"/>
      <c r="C281" s="402"/>
      <c r="D281" s="402"/>
      <c r="E281" s="402"/>
      <c r="F281" s="402"/>
      <c r="G281" s="402"/>
      <c r="H281" s="402"/>
      <c r="I281" s="402"/>
      <c r="J281" s="402"/>
    </row>
    <row r="282" spans="2:10">
      <c r="B282" s="402"/>
      <c r="C282" s="402"/>
      <c r="D282" s="402"/>
      <c r="E282" s="402"/>
      <c r="F282" s="402"/>
      <c r="G282" s="402"/>
      <c r="H282" s="402"/>
      <c r="I282" s="402"/>
      <c r="J282" s="402"/>
    </row>
    <row r="283" spans="2:10">
      <c r="B283" s="402"/>
      <c r="C283" s="402"/>
      <c r="D283" s="402"/>
      <c r="E283" s="402"/>
      <c r="F283" s="402"/>
      <c r="G283" s="402"/>
      <c r="H283" s="402"/>
      <c r="I283" s="402"/>
      <c r="J283" s="402"/>
    </row>
    <row r="284" spans="2:10">
      <c r="B284" s="402"/>
      <c r="C284" s="402"/>
      <c r="D284" s="402"/>
      <c r="E284" s="402"/>
      <c r="F284" s="402"/>
      <c r="G284" s="402"/>
      <c r="H284" s="402"/>
      <c r="I284" s="402"/>
      <c r="J284" s="402"/>
    </row>
    <row r="285" spans="2:10">
      <c r="B285" s="402"/>
      <c r="C285" s="402"/>
      <c r="D285" s="402"/>
      <c r="E285" s="402"/>
      <c r="F285" s="402"/>
      <c r="G285" s="402"/>
      <c r="H285" s="402"/>
      <c r="I285" s="402"/>
      <c r="J285" s="402"/>
    </row>
    <row r="286" spans="2:10">
      <c r="B286" s="402"/>
      <c r="C286" s="402"/>
      <c r="D286" s="402"/>
      <c r="E286" s="402"/>
      <c r="F286" s="402"/>
      <c r="G286" s="402"/>
      <c r="H286" s="402"/>
      <c r="I286" s="402"/>
      <c r="J286" s="402"/>
    </row>
    <row r="287" spans="2:10">
      <c r="B287" s="402"/>
      <c r="C287" s="402"/>
      <c r="D287" s="402"/>
      <c r="E287" s="402"/>
      <c r="F287" s="402"/>
      <c r="G287" s="402"/>
      <c r="H287" s="402"/>
      <c r="I287" s="402"/>
      <c r="J287" s="402"/>
    </row>
    <row r="288" spans="2:10">
      <c r="B288" s="402"/>
      <c r="C288" s="402"/>
      <c r="D288" s="402"/>
      <c r="E288" s="402"/>
      <c r="F288" s="402"/>
      <c r="G288" s="402"/>
      <c r="H288" s="402"/>
      <c r="I288" s="402"/>
      <c r="J288" s="402"/>
    </row>
    <row r="289" spans="2:10">
      <c r="B289" s="402"/>
      <c r="C289" s="402"/>
      <c r="D289" s="402"/>
      <c r="E289" s="402"/>
      <c r="F289" s="402"/>
      <c r="G289" s="402"/>
      <c r="H289" s="402"/>
      <c r="I289" s="402"/>
      <c r="J289" s="402"/>
    </row>
    <row r="290" spans="2:10">
      <c r="B290" s="402"/>
      <c r="C290" s="402"/>
      <c r="D290" s="402"/>
      <c r="E290" s="402"/>
      <c r="F290" s="402"/>
      <c r="G290" s="402"/>
      <c r="H290" s="402"/>
      <c r="I290" s="402"/>
      <c r="J290" s="402"/>
    </row>
    <row r="291" spans="2:10">
      <c r="B291" s="402"/>
      <c r="C291" s="402"/>
      <c r="D291" s="402"/>
      <c r="E291" s="402"/>
      <c r="F291" s="402"/>
      <c r="G291" s="402"/>
      <c r="H291" s="402"/>
      <c r="I291" s="402"/>
      <c r="J291" s="402"/>
    </row>
    <row r="292" spans="2:10">
      <c r="B292" s="402"/>
      <c r="C292" s="402"/>
      <c r="D292" s="402"/>
      <c r="E292" s="402"/>
      <c r="F292" s="402"/>
      <c r="G292" s="402"/>
      <c r="H292" s="402"/>
      <c r="I292" s="402"/>
      <c r="J292" s="402"/>
    </row>
    <row r="293" spans="2:10">
      <c r="B293" s="402"/>
      <c r="C293" s="402"/>
      <c r="D293" s="402"/>
      <c r="E293" s="402"/>
      <c r="F293" s="402"/>
      <c r="G293" s="402"/>
      <c r="H293" s="402"/>
      <c r="I293" s="402"/>
      <c r="J293" s="402"/>
    </row>
    <row r="294" spans="2:10">
      <c r="B294" s="402"/>
      <c r="C294" s="402"/>
      <c r="D294" s="402"/>
      <c r="E294" s="402"/>
      <c r="F294" s="402"/>
      <c r="G294" s="402"/>
      <c r="H294" s="402"/>
      <c r="I294" s="402"/>
      <c r="J294" s="402"/>
    </row>
    <row r="295" spans="2:10">
      <c r="B295" s="402"/>
      <c r="C295" s="402"/>
      <c r="D295" s="402"/>
      <c r="E295" s="402"/>
      <c r="F295" s="402"/>
      <c r="G295" s="402"/>
      <c r="H295" s="402"/>
      <c r="I295" s="402"/>
      <c r="J295" s="402"/>
    </row>
    <row r="296" spans="2:10">
      <c r="B296" s="402"/>
      <c r="C296" s="402"/>
      <c r="D296" s="402"/>
      <c r="E296" s="402"/>
      <c r="F296" s="402"/>
      <c r="G296" s="402"/>
      <c r="H296" s="402"/>
      <c r="I296" s="402"/>
      <c r="J296" s="402"/>
    </row>
    <row r="297" spans="2:10">
      <c r="B297" s="402"/>
      <c r="C297" s="402"/>
      <c r="D297" s="402"/>
      <c r="E297" s="402"/>
      <c r="F297" s="402"/>
      <c r="G297" s="402"/>
      <c r="H297" s="402"/>
      <c r="I297" s="402"/>
      <c r="J297" s="402"/>
    </row>
    <row r="298" spans="2:10">
      <c r="B298" s="402"/>
      <c r="C298" s="402"/>
      <c r="D298" s="402"/>
      <c r="E298" s="402"/>
      <c r="F298" s="402"/>
      <c r="G298" s="402"/>
      <c r="H298" s="402"/>
      <c r="I298" s="402"/>
      <c r="J298" s="402"/>
    </row>
    <row r="299" spans="2:10">
      <c r="B299" s="402"/>
      <c r="C299" s="402"/>
      <c r="D299" s="402"/>
      <c r="E299" s="402"/>
      <c r="F299" s="402"/>
      <c r="G299" s="402"/>
      <c r="H299" s="402"/>
      <c r="I299" s="402"/>
      <c r="J299" s="402"/>
    </row>
    <row r="300" spans="2:10">
      <c r="B300" s="402"/>
      <c r="C300" s="402"/>
      <c r="D300" s="402"/>
      <c r="E300" s="402"/>
      <c r="F300" s="402"/>
      <c r="G300" s="402"/>
      <c r="H300" s="402"/>
      <c r="I300" s="402"/>
      <c r="J300" s="402"/>
    </row>
    <row r="301" spans="2:10">
      <c r="B301" s="402"/>
      <c r="C301" s="402"/>
      <c r="D301" s="402"/>
      <c r="E301" s="402"/>
      <c r="F301" s="402"/>
      <c r="G301" s="402"/>
      <c r="H301" s="402"/>
      <c r="I301" s="402"/>
      <c r="J301" s="402"/>
    </row>
    <row r="302" spans="2:10">
      <c r="B302" s="402"/>
      <c r="C302" s="402"/>
      <c r="D302" s="402"/>
      <c r="E302" s="402"/>
      <c r="F302" s="402"/>
      <c r="G302" s="402"/>
      <c r="H302" s="402"/>
      <c r="I302" s="402"/>
      <c r="J302" s="402"/>
    </row>
    <row r="303" spans="2:10">
      <c r="B303" s="402"/>
      <c r="C303" s="402"/>
      <c r="D303" s="402"/>
      <c r="E303" s="402"/>
      <c r="F303" s="402"/>
      <c r="G303" s="402"/>
      <c r="H303" s="402"/>
      <c r="I303" s="402"/>
      <c r="J303" s="402"/>
    </row>
    <row r="304" spans="2:10">
      <c r="B304" s="402"/>
      <c r="C304" s="402"/>
      <c r="D304" s="402"/>
      <c r="E304" s="402"/>
      <c r="F304" s="402"/>
      <c r="G304" s="402"/>
      <c r="H304" s="402"/>
      <c r="I304" s="402"/>
      <c r="J304" s="402"/>
    </row>
    <row r="305" spans="2:10">
      <c r="B305" s="402"/>
      <c r="C305" s="402"/>
      <c r="D305" s="402"/>
      <c r="E305" s="402"/>
      <c r="F305" s="402"/>
      <c r="G305" s="402"/>
      <c r="H305" s="402"/>
      <c r="I305" s="402"/>
      <c r="J305" s="402"/>
    </row>
    <row r="306" spans="2:10">
      <c r="B306" s="402"/>
      <c r="C306" s="402"/>
      <c r="D306" s="402"/>
      <c r="E306" s="402"/>
      <c r="F306" s="402"/>
      <c r="G306" s="402"/>
      <c r="H306" s="402"/>
      <c r="I306" s="402"/>
      <c r="J306" s="402"/>
    </row>
    <row r="307" spans="2:10">
      <c r="B307" s="402"/>
      <c r="C307" s="402"/>
      <c r="D307" s="402"/>
      <c r="E307" s="402"/>
      <c r="F307" s="402"/>
      <c r="G307" s="402"/>
      <c r="H307" s="402"/>
      <c r="I307" s="402"/>
      <c r="J307" s="402"/>
    </row>
    <row r="308" spans="2:10">
      <c r="B308" s="402"/>
      <c r="C308" s="402"/>
      <c r="D308" s="402"/>
      <c r="E308" s="402"/>
      <c r="F308" s="402"/>
      <c r="G308" s="402"/>
      <c r="H308" s="402"/>
      <c r="I308" s="402"/>
      <c r="J308" s="402"/>
    </row>
    <row r="309" spans="2:10">
      <c r="B309" s="402"/>
      <c r="C309" s="402"/>
      <c r="D309" s="402"/>
      <c r="E309" s="402"/>
      <c r="F309" s="402"/>
      <c r="G309" s="402"/>
      <c r="H309" s="402"/>
      <c r="I309" s="402"/>
      <c r="J309" s="402"/>
    </row>
    <row r="310" spans="2:10">
      <c r="B310" s="402"/>
      <c r="C310" s="402"/>
      <c r="D310" s="402"/>
      <c r="E310" s="402"/>
      <c r="F310" s="402"/>
      <c r="G310" s="402"/>
      <c r="H310" s="402"/>
      <c r="I310" s="402"/>
      <c r="J310" s="402"/>
    </row>
    <row r="311" spans="2:10">
      <c r="B311" s="402"/>
      <c r="C311" s="402"/>
      <c r="D311" s="402"/>
      <c r="E311" s="402"/>
      <c r="F311" s="402"/>
      <c r="G311" s="402"/>
      <c r="H311" s="402"/>
      <c r="I311" s="402"/>
      <c r="J311" s="402"/>
    </row>
    <row r="312" spans="2:10">
      <c r="B312" s="402"/>
      <c r="C312" s="402"/>
      <c r="D312" s="402"/>
      <c r="E312" s="402"/>
      <c r="F312" s="402"/>
      <c r="G312" s="402"/>
      <c r="H312" s="402"/>
      <c r="I312" s="402"/>
      <c r="J312" s="402"/>
    </row>
    <row r="313" spans="2:10">
      <c r="B313" s="402"/>
      <c r="C313" s="402"/>
      <c r="D313" s="402"/>
      <c r="E313" s="402"/>
      <c r="F313" s="402"/>
      <c r="G313" s="402"/>
      <c r="H313" s="402"/>
      <c r="I313" s="402"/>
      <c r="J313" s="402"/>
    </row>
    <row r="314" spans="2:10">
      <c r="B314" s="402"/>
      <c r="C314" s="402"/>
      <c r="D314" s="402"/>
      <c r="E314" s="402"/>
      <c r="F314" s="402"/>
      <c r="G314" s="402"/>
      <c r="H314" s="402"/>
      <c r="I314" s="402"/>
      <c r="J314" s="402"/>
    </row>
    <row r="315" spans="2:10">
      <c r="B315" s="402"/>
      <c r="C315" s="402"/>
      <c r="D315" s="402"/>
      <c r="E315" s="402"/>
      <c r="F315" s="402"/>
      <c r="G315" s="402"/>
      <c r="H315" s="402"/>
      <c r="I315" s="402"/>
      <c r="J315" s="402"/>
    </row>
    <row r="316" spans="2:10">
      <c r="B316" s="402"/>
      <c r="C316" s="402"/>
      <c r="D316" s="402"/>
      <c r="E316" s="402"/>
      <c r="F316" s="402"/>
      <c r="G316" s="402"/>
      <c r="H316" s="402"/>
      <c r="I316" s="402"/>
      <c r="J316" s="402"/>
    </row>
    <row r="317" spans="2:10">
      <c r="B317" s="402"/>
      <c r="C317" s="402"/>
      <c r="D317" s="402"/>
      <c r="E317" s="402"/>
      <c r="F317" s="402"/>
      <c r="G317" s="402"/>
      <c r="H317" s="402"/>
      <c r="I317" s="402"/>
      <c r="J317" s="402"/>
    </row>
    <row r="318" spans="2:10">
      <c r="B318" s="402"/>
      <c r="C318" s="402"/>
      <c r="D318" s="402"/>
      <c r="E318" s="402"/>
      <c r="F318" s="402"/>
      <c r="G318" s="402"/>
      <c r="H318" s="402"/>
      <c r="I318" s="402"/>
      <c r="J318" s="402"/>
    </row>
    <row r="319" spans="2:10">
      <c r="B319" s="402"/>
      <c r="C319" s="402"/>
      <c r="D319" s="402"/>
      <c r="E319" s="402"/>
      <c r="F319" s="402"/>
      <c r="G319" s="402"/>
      <c r="H319" s="402"/>
      <c r="I319" s="402"/>
      <c r="J319" s="402"/>
    </row>
    <row r="320" spans="2:10">
      <c r="B320" s="402"/>
      <c r="C320" s="402"/>
      <c r="D320" s="402"/>
      <c r="E320" s="402"/>
      <c r="F320" s="402"/>
      <c r="G320" s="402"/>
      <c r="H320" s="402"/>
      <c r="I320" s="402"/>
      <c r="J320" s="402"/>
    </row>
    <row r="321" spans="2:10">
      <c r="B321" s="402"/>
      <c r="C321" s="402"/>
      <c r="D321" s="402"/>
      <c r="E321" s="402"/>
      <c r="F321" s="402"/>
      <c r="G321" s="402"/>
      <c r="H321" s="402"/>
      <c r="I321" s="402"/>
      <c r="J321" s="402"/>
    </row>
    <row r="322" spans="2:10">
      <c r="B322" s="402"/>
      <c r="C322" s="402"/>
      <c r="D322" s="402"/>
      <c r="E322" s="402"/>
      <c r="F322" s="402"/>
      <c r="G322" s="402"/>
      <c r="H322" s="402"/>
      <c r="I322" s="402"/>
      <c r="J322" s="402"/>
    </row>
    <row r="323" spans="2:10">
      <c r="B323" s="402"/>
      <c r="C323" s="402"/>
      <c r="D323" s="402"/>
      <c r="E323" s="402"/>
      <c r="F323" s="402"/>
      <c r="G323" s="402"/>
      <c r="H323" s="402"/>
      <c r="I323" s="402"/>
      <c r="J323" s="402"/>
    </row>
    <row r="324" spans="2:10">
      <c r="B324" s="402"/>
      <c r="C324" s="402"/>
      <c r="D324" s="402"/>
      <c r="E324" s="402"/>
      <c r="F324" s="402"/>
      <c r="G324" s="402"/>
      <c r="H324" s="402"/>
      <c r="I324" s="402"/>
      <c r="J324" s="402"/>
    </row>
    <row r="325" spans="2:10">
      <c r="B325" s="402"/>
      <c r="C325" s="402"/>
      <c r="D325" s="402"/>
      <c r="E325" s="402"/>
      <c r="F325" s="402"/>
      <c r="G325" s="402"/>
      <c r="H325" s="402"/>
      <c r="I325" s="402"/>
      <c r="J325" s="402"/>
    </row>
    <row r="326" spans="2:10">
      <c r="B326" s="402"/>
      <c r="C326" s="402"/>
      <c r="D326" s="402"/>
      <c r="E326" s="402"/>
      <c r="F326" s="402"/>
      <c r="G326" s="402"/>
      <c r="H326" s="402"/>
      <c r="I326" s="402"/>
      <c r="J326" s="402"/>
    </row>
    <row r="327" spans="2:10">
      <c r="B327" s="402"/>
      <c r="C327" s="402"/>
      <c r="D327" s="402"/>
      <c r="E327" s="402"/>
      <c r="F327" s="402"/>
      <c r="G327" s="402"/>
      <c r="H327" s="402"/>
      <c r="I327" s="402"/>
      <c r="J327" s="402"/>
    </row>
    <row r="328" spans="2:10">
      <c r="B328" s="402"/>
      <c r="C328" s="402"/>
      <c r="D328" s="402"/>
      <c r="E328" s="402"/>
      <c r="F328" s="402"/>
      <c r="G328" s="402"/>
      <c r="H328" s="402"/>
      <c r="I328" s="402"/>
      <c r="J328" s="402"/>
    </row>
    <row r="329" spans="2:10">
      <c r="B329" s="402"/>
      <c r="C329" s="402"/>
      <c r="D329" s="402"/>
      <c r="E329" s="402"/>
      <c r="F329" s="402"/>
      <c r="G329" s="402"/>
      <c r="H329" s="402"/>
      <c r="I329" s="402"/>
      <c r="J329" s="402"/>
    </row>
    <row r="330" spans="2:10">
      <c r="B330" s="402"/>
      <c r="C330" s="402"/>
      <c r="D330" s="402"/>
      <c r="E330" s="402"/>
      <c r="F330" s="402"/>
      <c r="G330" s="402"/>
      <c r="H330" s="402"/>
      <c r="I330" s="402"/>
      <c r="J330" s="402"/>
    </row>
    <row r="331" spans="2:10">
      <c r="B331" s="402"/>
      <c r="C331" s="402"/>
      <c r="D331" s="402"/>
      <c r="E331" s="402"/>
      <c r="F331" s="402"/>
      <c r="G331" s="402"/>
      <c r="H331" s="402"/>
      <c r="I331" s="402"/>
      <c r="J331" s="402"/>
    </row>
    <row r="332" spans="2:10">
      <c r="B332" s="402"/>
      <c r="C332" s="402"/>
      <c r="D332" s="402"/>
      <c r="E332" s="402"/>
      <c r="F332" s="402"/>
      <c r="G332" s="402"/>
      <c r="H332" s="402"/>
      <c r="I332" s="402"/>
      <c r="J332" s="402"/>
    </row>
    <row r="333" spans="2:10">
      <c r="B333" s="402"/>
      <c r="C333" s="402"/>
      <c r="D333" s="402"/>
      <c r="E333" s="402"/>
      <c r="F333" s="402"/>
      <c r="G333" s="402"/>
      <c r="H333" s="402"/>
      <c r="I333" s="402"/>
      <c r="J333" s="402"/>
    </row>
    <row r="334" spans="2:10">
      <c r="B334" s="402"/>
      <c r="C334" s="402"/>
      <c r="D334" s="402"/>
      <c r="E334" s="402"/>
      <c r="F334" s="402"/>
      <c r="G334" s="402"/>
      <c r="H334" s="402"/>
      <c r="I334" s="402"/>
      <c r="J334" s="402"/>
    </row>
    <row r="335" spans="2:10">
      <c r="B335" s="402"/>
      <c r="C335" s="402"/>
      <c r="D335" s="402"/>
      <c r="E335" s="402"/>
      <c r="F335" s="402"/>
      <c r="G335" s="402"/>
      <c r="H335" s="402"/>
      <c r="I335" s="402"/>
      <c r="J335" s="402"/>
    </row>
    <row r="336" spans="2:10">
      <c r="B336" s="402"/>
      <c r="C336" s="402"/>
      <c r="D336" s="402"/>
      <c r="E336" s="402"/>
      <c r="F336" s="402"/>
      <c r="G336" s="402"/>
      <c r="H336" s="402"/>
      <c r="I336" s="402"/>
      <c r="J336" s="402"/>
    </row>
    <row r="337" spans="2:10">
      <c r="B337" s="402"/>
      <c r="C337" s="402"/>
      <c r="D337" s="402"/>
      <c r="E337" s="402"/>
      <c r="F337" s="402"/>
      <c r="G337" s="402"/>
      <c r="H337" s="402"/>
      <c r="I337" s="402"/>
      <c r="J337" s="402"/>
    </row>
    <row r="338" spans="2:10">
      <c r="B338" s="402"/>
      <c r="C338" s="402"/>
      <c r="D338" s="402"/>
      <c r="E338" s="402"/>
      <c r="F338" s="402"/>
      <c r="G338" s="402"/>
      <c r="H338" s="402"/>
      <c r="I338" s="402"/>
      <c r="J338" s="402"/>
    </row>
    <row r="339" spans="2:10">
      <c r="B339" s="402"/>
      <c r="C339" s="402"/>
      <c r="D339" s="402"/>
      <c r="E339" s="402"/>
      <c r="F339" s="402"/>
      <c r="G339" s="402"/>
      <c r="H339" s="402"/>
      <c r="I339" s="402"/>
      <c r="J339" s="402"/>
    </row>
    <row r="340" spans="2:10">
      <c r="B340" s="402"/>
      <c r="C340" s="402"/>
      <c r="D340" s="402"/>
      <c r="E340" s="402"/>
      <c r="F340" s="402"/>
      <c r="G340" s="402"/>
      <c r="H340" s="402"/>
      <c r="I340" s="402"/>
      <c r="J340" s="402"/>
    </row>
    <row r="341" spans="2:10">
      <c r="B341" s="402"/>
      <c r="C341" s="402"/>
      <c r="D341" s="402"/>
      <c r="E341" s="402"/>
      <c r="F341" s="402"/>
      <c r="G341" s="402"/>
      <c r="H341" s="402"/>
      <c r="I341" s="402"/>
      <c r="J341" s="402"/>
    </row>
    <row r="342" spans="2:10">
      <c r="B342" s="402"/>
      <c r="C342" s="402"/>
      <c r="D342" s="402"/>
      <c r="E342" s="402"/>
      <c r="F342" s="402"/>
      <c r="G342" s="402"/>
      <c r="H342" s="402"/>
      <c r="I342" s="402"/>
      <c r="J342" s="402"/>
    </row>
    <row r="343" spans="2:10">
      <c r="B343" s="402"/>
      <c r="C343" s="402"/>
      <c r="D343" s="402"/>
      <c r="E343" s="402"/>
      <c r="F343" s="402"/>
      <c r="G343" s="402"/>
      <c r="H343" s="402"/>
      <c r="I343" s="402"/>
      <c r="J343" s="402"/>
    </row>
    <row r="344" spans="2:10">
      <c r="B344" s="402"/>
      <c r="C344" s="402"/>
      <c r="D344" s="402"/>
      <c r="E344" s="402"/>
      <c r="F344" s="402"/>
      <c r="G344" s="402"/>
      <c r="H344" s="402"/>
      <c r="I344" s="402"/>
      <c r="J344" s="402"/>
    </row>
    <row r="345" spans="2:10">
      <c r="B345" s="402"/>
      <c r="C345" s="402"/>
      <c r="D345" s="402"/>
      <c r="E345" s="402"/>
      <c r="F345" s="402"/>
      <c r="G345" s="402"/>
      <c r="H345" s="402"/>
      <c r="I345" s="402"/>
      <c r="J345" s="402"/>
    </row>
    <row r="346" spans="2:10">
      <c r="B346" s="402"/>
      <c r="C346" s="402"/>
      <c r="D346" s="402"/>
      <c r="E346" s="402"/>
      <c r="F346" s="402"/>
      <c r="G346" s="402"/>
      <c r="H346" s="402"/>
      <c r="I346" s="402"/>
      <c r="J346" s="402"/>
    </row>
    <row r="347" spans="2:10">
      <c r="B347" s="402"/>
      <c r="C347" s="402"/>
      <c r="D347" s="402"/>
      <c r="E347" s="402"/>
      <c r="F347" s="402"/>
      <c r="G347" s="402"/>
      <c r="H347" s="402"/>
      <c r="I347" s="402"/>
      <c r="J347" s="402"/>
    </row>
    <row r="348" spans="2:10">
      <c r="B348" s="402"/>
      <c r="C348" s="402"/>
      <c r="D348" s="402"/>
      <c r="E348" s="402"/>
      <c r="F348" s="402"/>
      <c r="G348" s="402"/>
      <c r="H348" s="402"/>
      <c r="I348" s="402"/>
      <c r="J348" s="402"/>
    </row>
    <row r="349" spans="2:10">
      <c r="B349" s="402"/>
      <c r="C349" s="402"/>
      <c r="D349" s="402"/>
      <c r="E349" s="402"/>
      <c r="F349" s="402"/>
      <c r="G349" s="402"/>
      <c r="H349" s="402"/>
      <c r="I349" s="402"/>
      <c r="J349" s="402"/>
    </row>
    <row r="350" spans="2:10">
      <c r="B350" s="402"/>
      <c r="C350" s="402"/>
      <c r="D350" s="402"/>
      <c r="E350" s="402"/>
      <c r="F350" s="402"/>
      <c r="G350" s="402"/>
      <c r="H350" s="402"/>
      <c r="I350" s="402"/>
      <c r="J350" s="402"/>
    </row>
    <row r="351" spans="2:10">
      <c r="B351" s="402"/>
      <c r="C351" s="402"/>
      <c r="D351" s="402"/>
      <c r="E351" s="402"/>
      <c r="F351" s="402"/>
      <c r="G351" s="402"/>
      <c r="H351" s="402"/>
      <c r="I351" s="402"/>
      <c r="J351" s="402"/>
    </row>
    <row r="352" spans="2:10">
      <c r="B352" s="402"/>
      <c r="C352" s="402"/>
      <c r="D352" s="402"/>
      <c r="E352" s="402"/>
      <c r="F352" s="402"/>
      <c r="G352" s="402"/>
      <c r="H352" s="402"/>
      <c r="I352" s="402"/>
      <c r="J352" s="402"/>
    </row>
    <row r="353" spans="2:10">
      <c r="B353" s="402"/>
      <c r="C353" s="402"/>
      <c r="D353" s="402"/>
      <c r="E353" s="402"/>
      <c r="F353" s="402"/>
      <c r="G353" s="402"/>
      <c r="H353" s="402"/>
      <c r="I353" s="402"/>
      <c r="J353" s="402"/>
    </row>
    <row r="354" spans="2:10">
      <c r="B354" s="402"/>
      <c r="C354" s="402"/>
      <c r="D354" s="402"/>
      <c r="E354" s="402"/>
      <c r="F354" s="402"/>
      <c r="G354" s="402"/>
      <c r="H354" s="402"/>
      <c r="I354" s="402"/>
      <c r="J354" s="402"/>
    </row>
    <row r="355" spans="2:10">
      <c r="B355" s="402"/>
      <c r="C355" s="402"/>
      <c r="D355" s="402"/>
      <c r="E355" s="402"/>
      <c r="F355" s="402"/>
      <c r="G355" s="402"/>
      <c r="H355" s="402"/>
      <c r="I355" s="402"/>
      <c r="J355" s="402"/>
    </row>
    <row r="356" spans="2:10">
      <c r="B356" s="402"/>
      <c r="C356" s="402"/>
      <c r="D356" s="402"/>
      <c r="E356" s="402"/>
      <c r="F356" s="402"/>
      <c r="G356" s="402"/>
      <c r="H356" s="402"/>
      <c r="I356" s="402"/>
      <c r="J356" s="402"/>
    </row>
    <row r="357" spans="2:10">
      <c r="B357" s="402"/>
      <c r="C357" s="402"/>
      <c r="D357" s="402"/>
      <c r="E357" s="402"/>
      <c r="F357" s="402"/>
      <c r="G357" s="402"/>
      <c r="H357" s="402"/>
      <c r="I357" s="402"/>
      <c r="J357" s="402"/>
    </row>
    <row r="358" spans="2:10">
      <c r="B358" s="402"/>
      <c r="C358" s="402"/>
      <c r="D358" s="402"/>
      <c r="E358" s="402"/>
      <c r="F358" s="402"/>
      <c r="G358" s="402"/>
      <c r="H358" s="402"/>
      <c r="I358" s="402"/>
      <c r="J358" s="402"/>
    </row>
    <row r="359" spans="2:10">
      <c r="B359" s="402"/>
      <c r="C359" s="402"/>
      <c r="D359" s="402"/>
      <c r="E359" s="402"/>
      <c r="F359" s="402"/>
      <c r="G359" s="402"/>
      <c r="H359" s="402"/>
      <c r="I359" s="402"/>
      <c r="J359" s="402"/>
    </row>
    <row r="360" spans="2:10">
      <c r="B360" s="402"/>
      <c r="C360" s="402"/>
      <c r="D360" s="402"/>
      <c r="E360" s="402"/>
      <c r="F360" s="402"/>
      <c r="G360" s="402"/>
      <c r="H360" s="402"/>
      <c r="I360" s="402"/>
      <c r="J360" s="402"/>
    </row>
    <row r="361" spans="2:10">
      <c r="B361" s="402"/>
      <c r="C361" s="402"/>
      <c r="D361" s="402"/>
      <c r="E361" s="402"/>
      <c r="F361" s="402"/>
      <c r="G361" s="402"/>
      <c r="H361" s="402"/>
      <c r="I361" s="402"/>
      <c r="J361" s="402"/>
    </row>
    <row r="362" spans="2:10">
      <c r="B362" s="402"/>
      <c r="C362" s="402"/>
      <c r="D362" s="402"/>
      <c r="E362" s="402"/>
      <c r="F362" s="402"/>
      <c r="G362" s="402"/>
      <c r="H362" s="402"/>
      <c r="I362" s="402"/>
      <c r="J362" s="402"/>
    </row>
    <row r="363" spans="2:10">
      <c r="B363" s="402"/>
      <c r="C363" s="402"/>
      <c r="D363" s="402"/>
      <c r="E363" s="402"/>
      <c r="F363" s="402"/>
      <c r="G363" s="402"/>
      <c r="H363" s="402"/>
      <c r="I363" s="402"/>
      <c r="J363" s="402"/>
    </row>
    <row r="364" spans="2:10">
      <c r="B364" s="402"/>
      <c r="C364" s="402"/>
      <c r="D364" s="402"/>
      <c r="E364" s="402"/>
      <c r="F364" s="402"/>
      <c r="G364" s="402"/>
      <c r="H364" s="402"/>
      <c r="I364" s="402"/>
      <c r="J364" s="402"/>
    </row>
    <row r="365" spans="2:10">
      <c r="B365" s="402"/>
      <c r="C365" s="402"/>
      <c r="D365" s="402"/>
      <c r="E365" s="402"/>
      <c r="F365" s="402"/>
      <c r="G365" s="402"/>
      <c r="H365" s="402"/>
      <c r="I365" s="402"/>
      <c r="J365" s="402"/>
    </row>
    <row r="366" spans="2:10">
      <c r="B366" s="402"/>
      <c r="C366" s="402"/>
      <c r="D366" s="402"/>
      <c r="E366" s="402"/>
      <c r="F366" s="402"/>
      <c r="G366" s="402"/>
      <c r="H366" s="402"/>
      <c r="I366" s="402"/>
      <c r="J366" s="402"/>
    </row>
    <row r="367" spans="2:10">
      <c r="B367" s="402"/>
      <c r="C367" s="402"/>
      <c r="D367" s="402"/>
      <c r="E367" s="402"/>
      <c r="F367" s="402"/>
      <c r="G367" s="402"/>
      <c r="H367" s="402"/>
      <c r="I367" s="402"/>
      <c r="J367" s="402"/>
    </row>
    <row r="368" spans="2:10">
      <c r="B368" s="402"/>
      <c r="C368" s="402"/>
      <c r="D368" s="402"/>
      <c r="E368" s="402"/>
      <c r="F368" s="402"/>
      <c r="G368" s="402"/>
      <c r="H368" s="402"/>
      <c r="I368" s="402"/>
      <c r="J368" s="402"/>
    </row>
    <row r="369" spans="2:10">
      <c r="B369" s="402"/>
      <c r="C369" s="402"/>
      <c r="D369" s="402"/>
      <c r="E369" s="402"/>
      <c r="F369" s="402"/>
      <c r="G369" s="402"/>
      <c r="H369" s="402"/>
      <c r="I369" s="402"/>
      <c r="J369" s="402"/>
    </row>
    <row r="370" spans="2:10">
      <c r="B370" s="402"/>
      <c r="C370" s="402"/>
      <c r="D370" s="402"/>
      <c r="E370" s="402"/>
      <c r="F370" s="402"/>
      <c r="G370" s="402"/>
      <c r="H370" s="402"/>
      <c r="I370" s="402"/>
      <c r="J370" s="402"/>
    </row>
    <row r="371" spans="2:10">
      <c r="B371" s="402"/>
      <c r="C371" s="402"/>
      <c r="D371" s="402"/>
      <c r="E371" s="402"/>
      <c r="F371" s="402"/>
      <c r="G371" s="402"/>
      <c r="H371" s="402"/>
      <c r="I371" s="402"/>
      <c r="J371" s="402"/>
    </row>
    <row r="372" spans="2:10">
      <c r="B372" s="402"/>
      <c r="C372" s="402"/>
      <c r="D372" s="402"/>
      <c r="E372" s="402"/>
      <c r="F372" s="402"/>
      <c r="G372" s="402"/>
      <c r="H372" s="402"/>
      <c r="I372" s="402"/>
      <c r="J372" s="402"/>
    </row>
    <row r="373" spans="2:10">
      <c r="B373" s="402"/>
      <c r="C373" s="402"/>
      <c r="D373" s="402"/>
      <c r="E373" s="402"/>
      <c r="F373" s="402"/>
      <c r="G373" s="402"/>
      <c r="H373" s="402"/>
      <c r="I373" s="402"/>
      <c r="J373" s="402"/>
    </row>
    <row r="374" spans="2:10">
      <c r="B374" s="402"/>
      <c r="C374" s="402"/>
      <c r="D374" s="402"/>
      <c r="E374" s="402"/>
      <c r="F374" s="402"/>
      <c r="G374" s="402"/>
      <c r="H374" s="402"/>
      <c r="I374" s="402"/>
      <c r="J374" s="402"/>
    </row>
    <row r="375" spans="2:10">
      <c r="B375" s="402"/>
      <c r="C375" s="402"/>
      <c r="D375" s="402"/>
      <c r="E375" s="402"/>
      <c r="F375" s="402"/>
      <c r="G375" s="402"/>
      <c r="H375" s="402"/>
      <c r="I375" s="402"/>
      <c r="J375" s="402"/>
    </row>
    <row r="376" spans="2:10">
      <c r="B376" s="402"/>
      <c r="C376" s="402"/>
      <c r="D376" s="402"/>
      <c r="E376" s="402"/>
      <c r="F376" s="402"/>
      <c r="G376" s="402"/>
      <c r="H376" s="402"/>
      <c r="I376" s="402"/>
      <c r="J376" s="402"/>
    </row>
    <row r="377" spans="2:10">
      <c r="B377" s="402"/>
      <c r="C377" s="402"/>
      <c r="D377" s="402"/>
      <c r="E377" s="402"/>
      <c r="F377" s="402"/>
      <c r="G377" s="402"/>
      <c r="H377" s="402"/>
      <c r="I377" s="402"/>
      <c r="J377" s="402"/>
    </row>
    <row r="378" spans="2:10">
      <c r="B378" s="402"/>
      <c r="C378" s="402"/>
      <c r="D378" s="402"/>
      <c r="E378" s="402"/>
      <c r="F378" s="402"/>
      <c r="G378" s="402"/>
      <c r="H378" s="402"/>
      <c r="I378" s="402"/>
      <c r="J378" s="402"/>
    </row>
    <row r="379" spans="2:10">
      <c r="B379" s="402"/>
      <c r="C379" s="402"/>
      <c r="D379" s="402"/>
      <c r="E379" s="402"/>
      <c r="F379" s="402"/>
      <c r="G379" s="402"/>
      <c r="H379" s="402"/>
      <c r="I379" s="402"/>
      <c r="J379" s="402"/>
    </row>
    <row r="380" spans="2:10">
      <c r="B380" s="402"/>
      <c r="C380" s="402"/>
      <c r="D380" s="402"/>
      <c r="E380" s="402"/>
      <c r="F380" s="402"/>
      <c r="G380" s="402"/>
      <c r="H380" s="402"/>
      <c r="I380" s="402"/>
      <c r="J380" s="402"/>
    </row>
    <row r="381" spans="2:10">
      <c r="B381" s="402"/>
      <c r="C381" s="402"/>
      <c r="D381" s="402"/>
      <c r="E381" s="402"/>
      <c r="F381" s="402"/>
      <c r="G381" s="402"/>
      <c r="H381" s="402"/>
      <c r="I381" s="402"/>
      <c r="J381" s="402"/>
    </row>
    <row r="382" spans="2:10">
      <c r="B382" s="402"/>
      <c r="C382" s="402"/>
      <c r="D382" s="402"/>
      <c r="E382" s="402"/>
      <c r="F382" s="402"/>
      <c r="G382" s="402"/>
      <c r="H382" s="402"/>
      <c r="I382" s="402"/>
      <c r="J382" s="402"/>
    </row>
    <row r="383" spans="2:10">
      <c r="B383" s="402"/>
      <c r="C383" s="402"/>
      <c r="D383" s="402"/>
      <c r="E383" s="402"/>
      <c r="F383" s="402"/>
      <c r="G383" s="402"/>
      <c r="H383" s="402"/>
      <c r="I383" s="402"/>
      <c r="J383" s="402"/>
    </row>
    <row r="384" spans="2:10">
      <c r="B384" s="402"/>
      <c r="C384" s="402"/>
      <c r="D384" s="402"/>
      <c r="E384" s="402"/>
      <c r="F384" s="402"/>
      <c r="G384" s="402"/>
      <c r="H384" s="402"/>
      <c r="I384" s="402"/>
      <c r="J384" s="402"/>
    </row>
    <row r="385" spans="2:10">
      <c r="B385" s="402"/>
      <c r="C385" s="402"/>
      <c r="D385" s="402"/>
      <c r="E385" s="402"/>
      <c r="F385" s="402"/>
      <c r="G385" s="402"/>
      <c r="H385" s="402"/>
      <c r="I385" s="402"/>
      <c r="J385" s="402"/>
    </row>
    <row r="386" spans="2:10">
      <c r="B386" s="402"/>
      <c r="C386" s="402"/>
      <c r="D386" s="402"/>
      <c r="E386" s="402"/>
      <c r="F386" s="402"/>
      <c r="G386" s="402"/>
      <c r="H386" s="402"/>
      <c r="I386" s="402"/>
      <c r="J386" s="402"/>
    </row>
    <row r="387" spans="2:10">
      <c r="B387" s="402"/>
      <c r="C387" s="402"/>
      <c r="D387" s="402"/>
      <c r="E387" s="402"/>
      <c r="F387" s="402"/>
      <c r="G387" s="402"/>
      <c r="H387" s="402"/>
      <c r="I387" s="402"/>
      <c r="J387" s="402"/>
    </row>
    <row r="388" spans="2:10">
      <c r="B388" s="402"/>
      <c r="C388" s="402"/>
      <c r="D388" s="402"/>
      <c r="E388" s="402"/>
      <c r="F388" s="402"/>
      <c r="G388" s="402"/>
      <c r="H388" s="402"/>
      <c r="I388" s="402"/>
      <c r="J388" s="402"/>
    </row>
    <row r="389" spans="2:10">
      <c r="B389" s="402"/>
      <c r="C389" s="402"/>
      <c r="D389" s="402"/>
      <c r="E389" s="402"/>
      <c r="F389" s="402"/>
      <c r="G389" s="402"/>
      <c r="H389" s="402"/>
      <c r="I389" s="402"/>
      <c r="J389" s="402"/>
    </row>
    <row r="390" spans="2:10">
      <c r="B390" s="402"/>
      <c r="C390" s="402"/>
      <c r="D390" s="402"/>
      <c r="E390" s="402"/>
      <c r="F390" s="402"/>
      <c r="G390" s="402"/>
      <c r="H390" s="402"/>
      <c r="I390" s="402"/>
      <c r="J390" s="402"/>
    </row>
    <row r="391" spans="2:10">
      <c r="B391" s="402"/>
      <c r="C391" s="402"/>
      <c r="D391" s="402"/>
      <c r="E391" s="402"/>
      <c r="F391" s="402"/>
      <c r="G391" s="402"/>
      <c r="H391" s="402"/>
      <c r="I391" s="402"/>
      <c r="J391" s="402"/>
    </row>
    <row r="392" spans="2:10">
      <c r="B392" s="402"/>
      <c r="C392" s="402"/>
      <c r="D392" s="402"/>
      <c r="E392" s="402"/>
      <c r="F392" s="402"/>
      <c r="G392" s="402"/>
      <c r="H392" s="402"/>
      <c r="I392" s="402"/>
      <c r="J392" s="402"/>
    </row>
    <row r="393" spans="2:10">
      <c r="B393" s="402"/>
      <c r="C393" s="402"/>
      <c r="D393" s="402"/>
      <c r="E393" s="402"/>
      <c r="F393" s="402"/>
      <c r="G393" s="402"/>
      <c r="H393" s="402"/>
      <c r="I393" s="402"/>
      <c r="J393" s="402"/>
    </row>
    <row r="394" spans="2:10">
      <c r="B394" s="402"/>
      <c r="C394" s="402"/>
      <c r="D394" s="402"/>
      <c r="E394" s="402"/>
      <c r="F394" s="402"/>
      <c r="G394" s="402"/>
      <c r="H394" s="402"/>
      <c r="I394" s="402"/>
      <c r="J394" s="402"/>
    </row>
    <row r="395" spans="2:10">
      <c r="B395" s="402"/>
      <c r="C395" s="402"/>
      <c r="D395" s="402"/>
      <c r="E395" s="402"/>
      <c r="F395" s="402"/>
      <c r="G395" s="402"/>
      <c r="H395" s="402"/>
      <c r="I395" s="402"/>
      <c r="J395" s="402"/>
    </row>
    <row r="396" spans="2:10">
      <c r="B396" s="402"/>
      <c r="C396" s="402"/>
      <c r="D396" s="402"/>
      <c r="E396" s="402"/>
      <c r="F396" s="402"/>
      <c r="G396" s="402"/>
      <c r="H396" s="402"/>
      <c r="I396" s="402"/>
      <c r="J396" s="402"/>
    </row>
    <row r="397" spans="2:10">
      <c r="B397" s="402"/>
      <c r="C397" s="402"/>
      <c r="D397" s="402"/>
      <c r="E397" s="402"/>
      <c r="F397" s="402"/>
      <c r="G397" s="402"/>
      <c r="H397" s="402"/>
      <c r="I397" s="402"/>
      <c r="J397" s="402"/>
    </row>
    <row r="398" spans="2:10">
      <c r="B398" s="402"/>
      <c r="C398" s="402"/>
      <c r="D398" s="402"/>
      <c r="E398" s="402"/>
      <c r="F398" s="402"/>
      <c r="G398" s="402"/>
      <c r="H398" s="402"/>
      <c r="I398" s="402"/>
      <c r="J398" s="402"/>
    </row>
    <row r="399" spans="2:10">
      <c r="B399" s="402"/>
      <c r="C399" s="402"/>
      <c r="D399" s="402"/>
      <c r="E399" s="402"/>
      <c r="F399" s="402"/>
      <c r="G399" s="402"/>
      <c r="H399" s="402"/>
      <c r="I399" s="402"/>
      <c r="J399" s="402"/>
    </row>
    <row r="400" spans="2:10">
      <c r="B400" s="402"/>
      <c r="C400" s="402"/>
      <c r="D400" s="402"/>
      <c r="E400" s="402"/>
      <c r="F400" s="402"/>
      <c r="G400" s="402"/>
      <c r="H400" s="402"/>
      <c r="I400" s="402"/>
      <c r="J400" s="402"/>
    </row>
    <row r="401" spans="2:10">
      <c r="B401" s="402"/>
      <c r="C401" s="402"/>
      <c r="D401" s="402"/>
      <c r="E401" s="402"/>
      <c r="F401" s="402"/>
      <c r="G401" s="402"/>
      <c r="H401" s="402"/>
      <c r="I401" s="402"/>
      <c r="J401" s="402"/>
    </row>
    <row r="402" spans="2:10">
      <c r="B402" s="402"/>
      <c r="C402" s="402"/>
      <c r="D402" s="402"/>
      <c r="E402" s="402"/>
      <c r="F402" s="402"/>
      <c r="G402" s="402"/>
      <c r="H402" s="402"/>
      <c r="I402" s="402"/>
      <c r="J402" s="402"/>
    </row>
    <row r="403" spans="2:10">
      <c r="B403" s="402"/>
      <c r="C403" s="402"/>
      <c r="D403" s="402"/>
      <c r="E403" s="402"/>
      <c r="F403" s="402"/>
      <c r="G403" s="402"/>
      <c r="H403" s="402"/>
      <c r="I403" s="402"/>
      <c r="J403" s="402"/>
    </row>
    <row r="404" spans="2:10">
      <c r="B404" s="402"/>
      <c r="C404" s="402"/>
      <c r="D404" s="402"/>
      <c r="E404" s="402"/>
      <c r="F404" s="402"/>
      <c r="G404" s="402"/>
      <c r="H404" s="402"/>
      <c r="I404" s="402"/>
      <c r="J404" s="402"/>
    </row>
    <row r="405" spans="2:10">
      <c r="B405" s="402"/>
      <c r="C405" s="402"/>
      <c r="D405" s="402"/>
      <c r="E405" s="402"/>
      <c r="F405" s="402"/>
      <c r="G405" s="402"/>
      <c r="H405" s="402"/>
      <c r="I405" s="402"/>
      <c r="J405" s="402"/>
    </row>
    <row r="406" spans="2:10">
      <c r="B406" s="402"/>
      <c r="C406" s="402"/>
      <c r="D406" s="402"/>
      <c r="E406" s="402"/>
      <c r="F406" s="402"/>
      <c r="G406" s="402"/>
      <c r="H406" s="402"/>
      <c r="I406" s="402"/>
      <c r="J406" s="402"/>
    </row>
    <row r="407" spans="2:10">
      <c r="B407" s="402"/>
      <c r="C407" s="402"/>
      <c r="D407" s="402"/>
      <c r="E407" s="402"/>
      <c r="F407" s="402"/>
      <c r="G407" s="402"/>
      <c r="H407" s="402"/>
      <c r="I407" s="402"/>
      <c r="J407" s="402"/>
    </row>
    <row r="408" spans="2:10">
      <c r="B408" s="402"/>
      <c r="C408" s="402"/>
      <c r="D408" s="402"/>
      <c r="E408" s="402"/>
      <c r="F408" s="402"/>
      <c r="G408" s="402"/>
      <c r="H408" s="402"/>
      <c r="I408" s="402"/>
      <c r="J408" s="402"/>
    </row>
    <row r="409" spans="2:10">
      <c r="B409" s="402"/>
      <c r="C409" s="402"/>
      <c r="D409" s="402"/>
      <c r="E409" s="402"/>
      <c r="F409" s="402"/>
      <c r="G409" s="402"/>
      <c r="H409" s="402"/>
      <c r="I409" s="402"/>
      <c r="J409" s="402"/>
    </row>
    <row r="410" spans="2:10">
      <c r="B410" s="402"/>
      <c r="C410" s="402"/>
      <c r="D410" s="402"/>
      <c r="E410" s="402"/>
      <c r="F410" s="402"/>
      <c r="G410" s="402"/>
      <c r="H410" s="402"/>
      <c r="I410" s="402"/>
      <c r="J410" s="402"/>
    </row>
    <row r="411" spans="2:10">
      <c r="B411" s="402"/>
      <c r="C411" s="402"/>
      <c r="D411" s="402"/>
      <c r="E411" s="402"/>
      <c r="F411" s="402"/>
      <c r="G411" s="402"/>
      <c r="H411" s="402"/>
      <c r="I411" s="402"/>
      <c r="J411" s="402"/>
    </row>
    <row r="412" spans="2:10">
      <c r="B412" s="402"/>
      <c r="C412" s="402"/>
      <c r="D412" s="402"/>
      <c r="E412" s="402"/>
      <c r="F412" s="402"/>
      <c r="G412" s="402"/>
      <c r="H412" s="402"/>
      <c r="I412" s="402"/>
      <c r="J412" s="402"/>
    </row>
    <row r="413" spans="2:10">
      <c r="B413" s="402"/>
      <c r="C413" s="402"/>
      <c r="D413" s="402"/>
      <c r="E413" s="402"/>
      <c r="F413" s="402"/>
      <c r="G413" s="402"/>
      <c r="H413" s="402"/>
      <c r="I413" s="402"/>
      <c r="J413" s="402"/>
    </row>
    <row r="414" spans="2:10">
      <c r="B414" s="402"/>
      <c r="C414" s="402"/>
      <c r="D414" s="402"/>
      <c r="E414" s="402"/>
      <c r="F414" s="402"/>
      <c r="G414" s="402"/>
      <c r="H414" s="402"/>
      <c r="I414" s="402"/>
      <c r="J414" s="402"/>
    </row>
    <row r="415" spans="2:10">
      <c r="B415" s="402"/>
      <c r="C415" s="402"/>
      <c r="D415" s="402"/>
      <c r="E415" s="402"/>
      <c r="F415" s="402"/>
      <c r="G415" s="402"/>
      <c r="H415" s="402"/>
      <c r="I415" s="402"/>
      <c r="J415" s="402"/>
    </row>
    <row r="416" spans="2:10">
      <c r="B416" s="402"/>
      <c r="C416" s="402"/>
      <c r="D416" s="402"/>
      <c r="E416" s="402"/>
      <c r="F416" s="402"/>
      <c r="G416" s="402"/>
      <c r="H416" s="402"/>
      <c r="I416" s="402"/>
      <c r="J416" s="402"/>
    </row>
    <row r="417" spans="2:10">
      <c r="B417" s="402"/>
      <c r="C417" s="402"/>
      <c r="D417" s="402"/>
      <c r="E417" s="402"/>
      <c r="F417" s="402"/>
      <c r="G417" s="402"/>
      <c r="H417" s="402"/>
      <c r="I417" s="402"/>
      <c r="J417" s="402"/>
    </row>
    <row r="418" spans="2:10">
      <c r="B418" s="402"/>
      <c r="C418" s="402"/>
      <c r="D418" s="402"/>
      <c r="E418" s="402"/>
      <c r="F418" s="402"/>
      <c r="G418" s="402"/>
      <c r="H418" s="402"/>
      <c r="I418" s="402"/>
      <c r="J418" s="402"/>
    </row>
    <row r="419" spans="2:10">
      <c r="B419" s="402"/>
      <c r="C419" s="402"/>
      <c r="D419" s="402"/>
      <c r="E419" s="402"/>
      <c r="F419" s="402"/>
      <c r="G419" s="402"/>
      <c r="H419" s="402"/>
      <c r="I419" s="402"/>
      <c r="J419" s="402"/>
    </row>
    <row r="420" spans="2:10">
      <c r="B420" s="402"/>
      <c r="C420" s="402"/>
      <c r="D420" s="402"/>
      <c r="E420" s="402"/>
      <c r="F420" s="402"/>
      <c r="G420" s="402"/>
      <c r="H420" s="402"/>
      <c r="I420" s="402"/>
      <c r="J420" s="402"/>
    </row>
    <row r="421" spans="2:10">
      <c r="B421" s="402"/>
      <c r="C421" s="402"/>
      <c r="D421" s="402"/>
      <c r="E421" s="402"/>
      <c r="F421" s="402"/>
      <c r="G421" s="402"/>
      <c r="H421" s="402"/>
      <c r="I421" s="402"/>
      <c r="J421" s="402"/>
    </row>
    <row r="422" spans="2:10">
      <c r="B422" s="402"/>
      <c r="C422" s="402"/>
      <c r="D422" s="402"/>
      <c r="E422" s="402"/>
      <c r="F422" s="402"/>
      <c r="G422" s="402"/>
      <c r="H422" s="402"/>
      <c r="I422" s="402"/>
      <c r="J422" s="402"/>
    </row>
    <row r="423" spans="2:10">
      <c r="B423" s="402"/>
      <c r="C423" s="402"/>
      <c r="D423" s="402"/>
      <c r="E423" s="402"/>
      <c r="F423" s="402"/>
      <c r="G423" s="402"/>
      <c r="H423" s="402"/>
      <c r="I423" s="402"/>
      <c r="J423" s="402"/>
    </row>
    <row r="424" spans="2:10">
      <c r="B424" s="402"/>
      <c r="C424" s="402"/>
      <c r="D424" s="402"/>
      <c r="E424" s="402"/>
      <c r="F424" s="402"/>
      <c r="G424" s="402"/>
      <c r="H424" s="402"/>
      <c r="I424" s="402"/>
      <c r="J424" s="402"/>
    </row>
    <row r="425" spans="2:10">
      <c r="B425" s="402"/>
      <c r="C425" s="402"/>
      <c r="D425" s="402"/>
      <c r="E425" s="402"/>
      <c r="F425" s="402"/>
      <c r="G425" s="402"/>
      <c r="H425" s="402"/>
      <c r="I425" s="402"/>
      <c r="J425" s="402"/>
    </row>
    <row r="426" spans="2:10">
      <c r="B426" s="402"/>
      <c r="C426" s="402"/>
      <c r="D426" s="402"/>
      <c r="E426" s="402"/>
      <c r="F426" s="402"/>
      <c r="G426" s="402"/>
      <c r="H426" s="402"/>
      <c r="I426" s="402"/>
      <c r="J426" s="402"/>
    </row>
    <row r="427" spans="2:10">
      <c r="B427" s="402"/>
      <c r="C427" s="402"/>
      <c r="D427" s="402"/>
      <c r="E427" s="402"/>
      <c r="F427" s="402"/>
      <c r="G427" s="402"/>
      <c r="H427" s="402"/>
      <c r="I427" s="402"/>
      <c r="J427" s="402"/>
    </row>
    <row r="428" spans="2:10">
      <c r="B428" s="402"/>
      <c r="C428" s="402"/>
      <c r="D428" s="402"/>
      <c r="E428" s="402"/>
      <c r="F428" s="402"/>
      <c r="G428" s="402"/>
      <c r="H428" s="402"/>
      <c r="I428" s="402"/>
      <c r="J428" s="402"/>
    </row>
    <row r="429" spans="2:10">
      <c r="B429" s="402"/>
      <c r="C429" s="402"/>
      <c r="D429" s="402"/>
      <c r="E429" s="402"/>
      <c r="F429" s="402"/>
      <c r="G429" s="402"/>
      <c r="H429" s="402"/>
      <c r="I429" s="402"/>
      <c r="J429" s="402"/>
    </row>
    <row r="430" spans="2:10">
      <c r="B430" s="402"/>
      <c r="C430" s="402"/>
      <c r="D430" s="402"/>
      <c r="E430" s="402"/>
      <c r="F430" s="402"/>
      <c r="G430" s="402"/>
      <c r="H430" s="402"/>
      <c r="I430" s="402"/>
      <c r="J430" s="402"/>
    </row>
    <row r="431" spans="2:10">
      <c r="B431" s="402"/>
      <c r="C431" s="402"/>
      <c r="D431" s="402"/>
      <c r="E431" s="402"/>
      <c r="F431" s="402"/>
      <c r="G431" s="402"/>
      <c r="H431" s="402"/>
      <c r="I431" s="402"/>
      <c r="J431" s="402"/>
    </row>
    <row r="432" spans="2:10">
      <c r="B432" s="402"/>
      <c r="C432" s="402"/>
      <c r="D432" s="402"/>
      <c r="E432" s="402"/>
      <c r="F432" s="402"/>
      <c r="G432" s="402"/>
      <c r="H432" s="402"/>
      <c r="I432" s="402"/>
      <c r="J432" s="402"/>
    </row>
    <row r="433" spans="2:10">
      <c r="B433" s="402"/>
      <c r="C433" s="402"/>
      <c r="D433" s="402"/>
      <c r="E433" s="402"/>
      <c r="F433" s="402"/>
      <c r="G433" s="402"/>
      <c r="H433" s="402"/>
      <c r="I433" s="402"/>
      <c r="J433" s="402"/>
    </row>
    <row r="434" spans="2:10">
      <c r="B434" s="402"/>
      <c r="C434" s="402"/>
      <c r="D434" s="402"/>
      <c r="E434" s="402"/>
      <c r="F434" s="402"/>
      <c r="G434" s="402"/>
      <c r="H434" s="402"/>
      <c r="I434" s="402"/>
      <c r="J434" s="402"/>
    </row>
    <row r="435" spans="2:10">
      <c r="B435" s="402"/>
      <c r="C435" s="402"/>
      <c r="D435" s="402"/>
      <c r="E435" s="402"/>
      <c r="F435" s="402"/>
      <c r="G435" s="402"/>
      <c r="H435" s="402"/>
      <c r="I435" s="402"/>
      <c r="J435" s="402"/>
    </row>
    <row r="436" spans="2:10">
      <c r="B436" s="402"/>
      <c r="C436" s="402"/>
      <c r="D436" s="402"/>
      <c r="E436" s="402"/>
      <c r="F436" s="402"/>
      <c r="G436" s="402"/>
      <c r="H436" s="402"/>
      <c r="I436" s="402"/>
      <c r="J436" s="402"/>
    </row>
    <row r="437" spans="2:10">
      <c r="B437" s="402"/>
      <c r="C437" s="402"/>
      <c r="D437" s="402"/>
      <c r="E437" s="402"/>
      <c r="F437" s="402"/>
      <c r="G437" s="402"/>
      <c r="H437" s="402"/>
      <c r="I437" s="402"/>
      <c r="J437" s="402"/>
    </row>
    <row r="438" spans="2:10">
      <c r="B438" s="402"/>
      <c r="C438" s="402"/>
      <c r="D438" s="402"/>
      <c r="E438" s="402"/>
      <c r="F438" s="402"/>
      <c r="G438" s="402"/>
      <c r="H438" s="402"/>
      <c r="I438" s="402"/>
      <c r="J438" s="402"/>
    </row>
    <row r="439" spans="2:10">
      <c r="B439" s="402"/>
      <c r="C439" s="402"/>
      <c r="D439" s="402"/>
      <c r="E439" s="402"/>
      <c r="F439" s="402"/>
      <c r="G439" s="402"/>
      <c r="H439" s="402"/>
      <c r="I439" s="402"/>
      <c r="J439" s="402"/>
    </row>
    <row r="440" spans="2:10">
      <c r="B440" s="402"/>
      <c r="C440" s="402"/>
      <c r="D440" s="402"/>
      <c r="E440" s="402"/>
      <c r="F440" s="402"/>
      <c r="G440" s="402"/>
      <c r="H440" s="402"/>
      <c r="I440" s="402"/>
      <c r="J440" s="402"/>
    </row>
    <row r="441" spans="2:10">
      <c r="B441" s="402"/>
      <c r="C441" s="402"/>
      <c r="D441" s="402"/>
      <c r="E441" s="402"/>
      <c r="F441" s="402"/>
      <c r="G441" s="402"/>
      <c r="H441" s="402"/>
      <c r="I441" s="402"/>
      <c r="J441" s="402"/>
    </row>
    <row r="442" spans="2:10">
      <c r="B442" s="402"/>
      <c r="C442" s="402"/>
      <c r="D442" s="402"/>
      <c r="E442" s="402"/>
      <c r="F442" s="402"/>
      <c r="G442" s="402"/>
      <c r="H442" s="402"/>
      <c r="I442" s="402"/>
      <c r="J442" s="402"/>
    </row>
    <row r="443" spans="2:10">
      <c r="B443" s="402"/>
      <c r="C443" s="402"/>
      <c r="D443" s="402"/>
      <c r="E443" s="402"/>
      <c r="F443" s="402"/>
      <c r="G443" s="402"/>
      <c r="H443" s="402"/>
      <c r="I443" s="402"/>
      <c r="J443" s="402"/>
    </row>
    <row r="444" spans="2:10">
      <c r="B444" s="402"/>
      <c r="C444" s="402"/>
      <c r="D444" s="402"/>
      <c r="E444" s="402"/>
      <c r="F444" s="402"/>
      <c r="G444" s="402"/>
      <c r="H444" s="402"/>
      <c r="I444" s="402"/>
      <c r="J444" s="402"/>
    </row>
    <row r="445" spans="2:10">
      <c r="B445" s="402"/>
      <c r="C445" s="402"/>
      <c r="D445" s="402"/>
      <c r="E445" s="402"/>
      <c r="F445" s="402"/>
      <c r="G445" s="402"/>
      <c r="H445" s="402"/>
      <c r="I445" s="402"/>
      <c r="J445" s="402"/>
    </row>
    <row r="446" spans="2:10">
      <c r="B446" s="402"/>
      <c r="C446" s="402"/>
      <c r="D446" s="402"/>
      <c r="E446" s="402"/>
      <c r="F446" s="402"/>
      <c r="G446" s="402"/>
      <c r="H446" s="402"/>
      <c r="I446" s="402"/>
      <c r="J446" s="402"/>
    </row>
    <row r="447" spans="2:10">
      <c r="B447" s="402"/>
      <c r="C447" s="402"/>
      <c r="D447" s="402"/>
      <c r="E447" s="402"/>
      <c r="F447" s="402"/>
      <c r="G447" s="402"/>
      <c r="H447" s="402"/>
      <c r="I447" s="402"/>
      <c r="J447" s="402"/>
    </row>
    <row r="448" spans="2:10">
      <c r="B448" s="402"/>
      <c r="C448" s="402"/>
      <c r="D448" s="402"/>
      <c r="E448" s="402"/>
      <c r="F448" s="402"/>
      <c r="G448" s="402"/>
      <c r="H448" s="402"/>
      <c r="I448" s="402"/>
      <c r="J448" s="402"/>
    </row>
    <row r="449" spans="2:10">
      <c r="B449" s="402"/>
      <c r="C449" s="402"/>
      <c r="D449" s="402"/>
      <c r="E449" s="402"/>
      <c r="F449" s="402"/>
      <c r="G449" s="402"/>
      <c r="H449" s="402"/>
      <c r="I449" s="402"/>
      <c r="J449" s="402"/>
    </row>
    <row r="450" spans="2:10">
      <c r="B450" s="402"/>
      <c r="C450" s="402"/>
      <c r="D450" s="402"/>
      <c r="E450" s="402"/>
      <c r="F450" s="402"/>
      <c r="G450" s="402"/>
      <c r="H450" s="402"/>
      <c r="I450" s="402"/>
      <c r="J450" s="402"/>
    </row>
    <row r="451" spans="2:10">
      <c r="B451" s="402"/>
      <c r="C451" s="402"/>
      <c r="D451" s="402"/>
      <c r="E451" s="402"/>
      <c r="F451" s="402"/>
      <c r="G451" s="402"/>
      <c r="H451" s="402"/>
      <c r="I451" s="402"/>
      <c r="J451" s="402"/>
    </row>
    <row r="452" spans="2:10">
      <c r="B452" s="402"/>
      <c r="C452" s="402"/>
      <c r="D452" s="402"/>
      <c r="E452" s="402"/>
      <c r="F452" s="402"/>
      <c r="G452" s="402"/>
      <c r="H452" s="402"/>
      <c r="I452" s="402"/>
      <c r="J452" s="402"/>
    </row>
    <row r="453" spans="2:10">
      <c r="B453" s="402"/>
      <c r="C453" s="402"/>
      <c r="D453" s="402"/>
      <c r="E453" s="402"/>
      <c r="F453" s="402"/>
      <c r="G453" s="402"/>
      <c r="H453" s="402"/>
      <c r="I453" s="402"/>
      <c r="J453" s="402"/>
    </row>
    <row r="454" spans="2:10">
      <c r="B454" s="402"/>
      <c r="C454" s="402"/>
      <c r="D454" s="402"/>
      <c r="E454" s="402"/>
      <c r="F454" s="402"/>
      <c r="G454" s="402"/>
      <c r="H454" s="402"/>
      <c r="I454" s="402"/>
      <c r="J454" s="402"/>
    </row>
    <row r="455" spans="2:10">
      <c r="B455" s="402"/>
      <c r="C455" s="402"/>
      <c r="D455" s="402"/>
      <c r="E455" s="402"/>
      <c r="F455" s="402"/>
      <c r="G455" s="402"/>
      <c r="H455" s="402"/>
      <c r="I455" s="402"/>
      <c r="J455" s="402"/>
    </row>
    <row r="456" spans="2:10">
      <c r="B456" s="402"/>
      <c r="C456" s="402"/>
      <c r="D456" s="402"/>
      <c r="E456" s="402"/>
      <c r="F456" s="402"/>
      <c r="G456" s="402"/>
      <c r="H456" s="402"/>
      <c r="I456" s="402"/>
      <c r="J456" s="402"/>
    </row>
    <row r="457" spans="2:10">
      <c r="B457" s="402"/>
      <c r="C457" s="402"/>
      <c r="D457" s="402"/>
      <c r="E457" s="402"/>
      <c r="F457" s="402"/>
      <c r="G457" s="402"/>
      <c r="H457" s="402"/>
      <c r="I457" s="402"/>
      <c r="J457" s="402"/>
    </row>
    <row r="458" spans="2:10">
      <c r="B458" s="402"/>
      <c r="C458" s="402"/>
      <c r="D458" s="402"/>
      <c r="E458" s="402"/>
      <c r="F458" s="402"/>
      <c r="G458" s="402"/>
      <c r="H458" s="402"/>
      <c r="I458" s="402"/>
      <c r="J458" s="402"/>
    </row>
    <row r="459" spans="2:10">
      <c r="B459" s="402"/>
      <c r="C459" s="402"/>
      <c r="D459" s="402"/>
      <c r="E459" s="402"/>
      <c r="F459" s="402"/>
      <c r="G459" s="402"/>
      <c r="H459" s="402"/>
      <c r="I459" s="402"/>
      <c r="J459" s="402"/>
    </row>
    <row r="460" spans="2:10">
      <c r="B460" s="402"/>
      <c r="C460" s="402"/>
      <c r="D460" s="402"/>
      <c r="E460" s="402"/>
      <c r="F460" s="402"/>
      <c r="G460" s="402"/>
      <c r="H460" s="402"/>
      <c r="I460" s="402"/>
      <c r="J460" s="402"/>
    </row>
    <row r="461" spans="2:10">
      <c r="B461" s="402"/>
      <c r="C461" s="402"/>
      <c r="D461" s="402"/>
      <c r="E461" s="402"/>
      <c r="F461" s="402"/>
      <c r="G461" s="402"/>
      <c r="H461" s="402"/>
      <c r="I461" s="402"/>
      <c r="J461" s="402"/>
    </row>
    <row r="462" spans="2:10">
      <c r="B462" s="402"/>
      <c r="C462" s="402"/>
      <c r="D462" s="402"/>
      <c r="E462" s="402"/>
      <c r="F462" s="402"/>
      <c r="G462" s="402"/>
      <c r="H462" s="402"/>
      <c r="I462" s="402"/>
      <c r="J462" s="402"/>
    </row>
    <row r="463" spans="2:10">
      <c r="B463" s="402"/>
      <c r="C463" s="402"/>
      <c r="D463" s="402"/>
      <c r="E463" s="402"/>
      <c r="F463" s="402"/>
      <c r="G463" s="402"/>
      <c r="H463" s="402"/>
      <c r="I463" s="402"/>
      <c r="J463" s="402"/>
    </row>
    <row r="464" spans="2:10">
      <c r="B464" s="402"/>
      <c r="C464" s="402"/>
      <c r="D464" s="402"/>
      <c r="E464" s="402"/>
      <c r="F464" s="402"/>
      <c r="G464" s="402"/>
      <c r="H464" s="402"/>
      <c r="I464" s="402"/>
      <c r="J464" s="402"/>
    </row>
    <row r="465" spans="2:10">
      <c r="B465" s="402"/>
      <c r="C465" s="402"/>
      <c r="D465" s="402"/>
      <c r="E465" s="402"/>
      <c r="F465" s="402"/>
      <c r="G465" s="402"/>
      <c r="H465" s="402"/>
      <c r="I465" s="402"/>
      <c r="J465" s="402"/>
    </row>
    <row r="466" spans="2:10">
      <c r="B466" s="402"/>
      <c r="C466" s="402"/>
      <c r="D466" s="402"/>
      <c r="E466" s="402"/>
      <c r="F466" s="402"/>
      <c r="G466" s="402"/>
      <c r="H466" s="402"/>
      <c r="I466" s="402"/>
      <c r="J466" s="402"/>
    </row>
    <row r="467" spans="2:10">
      <c r="B467" s="402"/>
      <c r="C467" s="402"/>
      <c r="D467" s="402"/>
      <c r="E467" s="402"/>
      <c r="F467" s="402"/>
      <c r="G467" s="402"/>
      <c r="H467" s="402"/>
      <c r="I467" s="402"/>
      <c r="J467" s="402"/>
    </row>
    <row r="468" spans="2:10">
      <c r="B468" s="402"/>
      <c r="C468" s="402"/>
      <c r="D468" s="402"/>
      <c r="E468" s="402"/>
      <c r="F468" s="402"/>
      <c r="G468" s="402"/>
      <c r="H468" s="402"/>
      <c r="I468" s="402"/>
      <c r="J468" s="402"/>
    </row>
    <row r="469" spans="2:10">
      <c r="B469" s="402"/>
      <c r="C469" s="402"/>
      <c r="D469" s="402"/>
      <c r="E469" s="402"/>
      <c r="F469" s="402"/>
      <c r="G469" s="402"/>
      <c r="H469" s="402"/>
      <c r="I469" s="402"/>
      <c r="J469" s="402"/>
    </row>
    <row r="470" spans="2:10">
      <c r="B470" s="402"/>
      <c r="C470" s="402"/>
      <c r="D470" s="402"/>
      <c r="E470" s="402"/>
      <c r="F470" s="402"/>
      <c r="G470" s="402"/>
      <c r="H470" s="402"/>
      <c r="I470" s="402"/>
      <c r="J470" s="402"/>
    </row>
    <row r="471" spans="2:10">
      <c r="B471" s="402"/>
      <c r="C471" s="402"/>
      <c r="D471" s="402"/>
      <c r="E471" s="402"/>
      <c r="F471" s="402"/>
      <c r="G471" s="402"/>
      <c r="H471" s="402"/>
      <c r="I471" s="402"/>
      <c r="J471" s="402"/>
    </row>
    <row r="472" spans="2:10">
      <c r="B472" s="402"/>
      <c r="C472" s="402"/>
      <c r="D472" s="402"/>
      <c r="E472" s="402"/>
      <c r="F472" s="402"/>
      <c r="G472" s="402"/>
      <c r="H472" s="402"/>
      <c r="I472" s="402"/>
      <c r="J472" s="402"/>
    </row>
    <row r="473" spans="2:10">
      <c r="B473" s="402"/>
      <c r="C473" s="402"/>
      <c r="D473" s="402"/>
      <c r="E473" s="402"/>
      <c r="F473" s="402"/>
      <c r="G473" s="402"/>
      <c r="H473" s="402"/>
      <c r="I473" s="402"/>
      <c r="J473" s="402"/>
    </row>
    <row r="474" spans="2:10">
      <c r="B474" s="402"/>
      <c r="C474" s="402"/>
      <c r="D474" s="402"/>
      <c r="E474" s="402"/>
      <c r="F474" s="402"/>
      <c r="G474" s="402"/>
      <c r="H474" s="402"/>
      <c r="I474" s="402"/>
      <c r="J474" s="402"/>
    </row>
    <row r="475" spans="2:10">
      <c r="B475" s="402"/>
      <c r="C475" s="402"/>
      <c r="D475" s="402"/>
      <c r="E475" s="402"/>
      <c r="F475" s="402"/>
      <c r="G475" s="402"/>
      <c r="H475" s="402"/>
      <c r="I475" s="402"/>
      <c r="J475" s="402"/>
    </row>
    <row r="476" spans="2:10">
      <c r="B476" s="402"/>
      <c r="C476" s="402"/>
      <c r="D476" s="402"/>
      <c r="E476" s="402"/>
      <c r="F476" s="402"/>
      <c r="G476" s="402"/>
      <c r="H476" s="402"/>
      <c r="I476" s="402"/>
      <c r="J476" s="402"/>
    </row>
    <row r="477" spans="2:10">
      <c r="B477" s="402"/>
      <c r="C477" s="402"/>
      <c r="D477" s="402"/>
      <c r="E477" s="402"/>
      <c r="F477" s="402"/>
      <c r="G477" s="402"/>
      <c r="H477" s="402"/>
      <c r="I477" s="402"/>
      <c r="J477" s="402"/>
    </row>
    <row r="478" spans="2:10">
      <c r="B478" s="402"/>
      <c r="C478" s="402"/>
      <c r="D478" s="402"/>
      <c r="E478" s="402"/>
      <c r="F478" s="402"/>
      <c r="G478" s="402"/>
      <c r="H478" s="402"/>
      <c r="I478" s="402"/>
      <c r="J478" s="402"/>
    </row>
    <row r="479" spans="2:10">
      <c r="B479" s="402"/>
      <c r="C479" s="402"/>
      <c r="D479" s="402"/>
      <c r="E479" s="402"/>
      <c r="F479" s="402"/>
      <c r="G479" s="402"/>
      <c r="H479" s="402"/>
      <c r="I479" s="402"/>
      <c r="J479" s="402"/>
    </row>
    <row r="480" spans="2:10">
      <c r="B480" s="402"/>
      <c r="C480" s="402"/>
      <c r="D480" s="402"/>
      <c r="E480" s="402"/>
      <c r="F480" s="402"/>
      <c r="G480" s="402"/>
      <c r="H480" s="402"/>
      <c r="I480" s="402"/>
      <c r="J480" s="402"/>
    </row>
    <row r="481" spans="2:10">
      <c r="B481" s="402"/>
      <c r="C481" s="402"/>
      <c r="D481" s="402"/>
      <c r="E481" s="402"/>
      <c r="F481" s="402"/>
      <c r="G481" s="402"/>
      <c r="H481" s="402"/>
      <c r="I481" s="402"/>
      <c r="J481" s="402"/>
    </row>
    <row r="482" spans="2:10">
      <c r="B482" s="402"/>
      <c r="C482" s="402"/>
      <c r="D482" s="402"/>
      <c r="E482" s="402"/>
      <c r="F482" s="402"/>
      <c r="G482" s="402"/>
      <c r="H482" s="402"/>
      <c r="I482" s="402"/>
      <c r="J482" s="402"/>
    </row>
    <row r="483" spans="2:10">
      <c r="B483" s="402"/>
      <c r="C483" s="402"/>
      <c r="D483" s="402"/>
      <c r="E483" s="402"/>
      <c r="F483" s="402"/>
      <c r="G483" s="402"/>
      <c r="H483" s="402"/>
      <c r="I483" s="402"/>
      <c r="J483" s="402"/>
    </row>
    <row r="484" spans="2:10">
      <c r="B484" s="402"/>
      <c r="C484" s="402"/>
      <c r="D484" s="402"/>
      <c r="E484" s="402"/>
      <c r="F484" s="402"/>
      <c r="G484" s="402"/>
      <c r="H484" s="402"/>
      <c r="I484" s="402"/>
      <c r="J484" s="402"/>
    </row>
    <row r="485" spans="2:10">
      <c r="B485" s="402"/>
      <c r="C485" s="402"/>
      <c r="D485" s="402"/>
      <c r="E485" s="402"/>
      <c r="F485" s="402"/>
      <c r="G485" s="402"/>
      <c r="H485" s="402"/>
      <c r="I485" s="402"/>
      <c r="J485" s="402"/>
    </row>
    <row r="486" spans="2:10">
      <c r="B486" s="402"/>
      <c r="C486" s="402"/>
      <c r="D486" s="402"/>
      <c r="E486" s="402"/>
      <c r="F486" s="402"/>
      <c r="G486" s="402"/>
      <c r="H486" s="402"/>
      <c r="I486" s="402"/>
      <c r="J486" s="402"/>
    </row>
    <row r="487" spans="2:10">
      <c r="B487" s="402"/>
      <c r="C487" s="402"/>
      <c r="D487" s="402"/>
      <c r="E487" s="402"/>
      <c r="F487" s="402"/>
      <c r="G487" s="402"/>
      <c r="H487" s="402"/>
      <c r="I487" s="402"/>
      <c r="J487" s="402"/>
    </row>
    <row r="488" spans="2:10">
      <c r="B488" s="402"/>
      <c r="C488" s="402"/>
      <c r="D488" s="402"/>
      <c r="E488" s="402"/>
      <c r="F488" s="402"/>
      <c r="G488" s="402"/>
      <c r="H488" s="402"/>
      <c r="I488" s="402"/>
      <c r="J488" s="402"/>
    </row>
    <row r="489" spans="2:10">
      <c r="B489" s="402"/>
      <c r="C489" s="402"/>
      <c r="D489" s="402"/>
      <c r="E489" s="402"/>
      <c r="F489" s="402"/>
      <c r="G489" s="402"/>
      <c r="H489" s="402"/>
      <c r="I489" s="402"/>
      <c r="J489" s="402"/>
    </row>
    <row r="490" spans="2:10">
      <c r="B490" s="402"/>
      <c r="C490" s="402"/>
      <c r="D490" s="402"/>
      <c r="E490" s="402"/>
      <c r="F490" s="402"/>
      <c r="G490" s="402"/>
      <c r="H490" s="402"/>
      <c r="I490" s="402"/>
      <c r="J490" s="402"/>
    </row>
    <row r="491" spans="2:10">
      <c r="B491" s="402"/>
      <c r="C491" s="402"/>
      <c r="D491" s="402"/>
      <c r="E491" s="402"/>
      <c r="F491" s="402"/>
      <c r="G491" s="402"/>
      <c r="H491" s="402"/>
      <c r="I491" s="402"/>
      <c r="J491" s="402"/>
    </row>
    <row r="492" spans="2:10">
      <c r="B492" s="402"/>
      <c r="C492" s="402"/>
      <c r="D492" s="402"/>
      <c r="E492" s="402"/>
      <c r="F492" s="402"/>
      <c r="G492" s="402"/>
      <c r="H492" s="402"/>
      <c r="I492" s="402"/>
      <c r="J492" s="402"/>
    </row>
    <row r="493" spans="2:10">
      <c r="B493" s="402"/>
      <c r="C493" s="402"/>
      <c r="D493" s="402"/>
      <c r="E493" s="402"/>
      <c r="F493" s="402"/>
      <c r="G493" s="402"/>
      <c r="H493" s="402"/>
      <c r="I493" s="402"/>
      <c r="J493" s="402"/>
    </row>
    <row r="494" spans="2:10">
      <c r="B494" s="402"/>
      <c r="C494" s="402"/>
      <c r="D494" s="402"/>
      <c r="E494" s="402"/>
      <c r="F494" s="402"/>
      <c r="G494" s="402"/>
      <c r="H494" s="402"/>
      <c r="I494" s="402"/>
      <c r="J494" s="402"/>
    </row>
    <row r="495" spans="2:10">
      <c r="B495" s="402"/>
      <c r="C495" s="402"/>
      <c r="D495" s="402"/>
      <c r="E495" s="402"/>
      <c r="F495" s="402"/>
      <c r="G495" s="402"/>
      <c r="H495" s="402"/>
      <c r="I495" s="402"/>
      <c r="J495" s="402"/>
    </row>
    <row r="496" spans="2:10">
      <c r="B496" s="402"/>
      <c r="C496" s="402"/>
      <c r="D496" s="402"/>
      <c r="E496" s="402"/>
      <c r="F496" s="402"/>
      <c r="G496" s="402"/>
      <c r="H496" s="402"/>
      <c r="I496" s="402"/>
      <c r="J496" s="402"/>
    </row>
    <row r="497" spans="2:10">
      <c r="B497" s="402"/>
      <c r="C497" s="402"/>
      <c r="D497" s="402"/>
      <c r="E497" s="402"/>
      <c r="F497" s="402"/>
      <c r="G497" s="402"/>
      <c r="H497" s="402"/>
      <c r="I497" s="402"/>
      <c r="J497" s="402"/>
    </row>
    <row r="498" spans="2:10">
      <c r="B498" s="402"/>
      <c r="C498" s="402"/>
      <c r="D498" s="402"/>
      <c r="E498" s="402"/>
      <c r="F498" s="402"/>
      <c r="G498" s="402"/>
      <c r="H498" s="402"/>
      <c r="I498" s="402"/>
      <c r="J498" s="402"/>
    </row>
    <row r="499" spans="2:10">
      <c r="B499" s="402"/>
      <c r="C499" s="402"/>
      <c r="D499" s="402"/>
      <c r="E499" s="402"/>
      <c r="F499" s="402"/>
      <c r="G499" s="402"/>
      <c r="H499" s="402"/>
      <c r="I499" s="402"/>
      <c r="J499" s="402"/>
    </row>
    <row r="500" spans="2:10">
      <c r="B500" s="402"/>
      <c r="C500" s="402"/>
      <c r="D500" s="402"/>
      <c r="E500" s="402"/>
      <c r="F500" s="402"/>
      <c r="G500" s="402"/>
      <c r="H500" s="402"/>
      <c r="I500" s="402"/>
      <c r="J500" s="402"/>
    </row>
    <row r="501" spans="2:10">
      <c r="B501" s="402"/>
      <c r="C501" s="402"/>
      <c r="D501" s="402"/>
      <c r="E501" s="402"/>
      <c r="F501" s="402"/>
      <c r="G501" s="402"/>
      <c r="H501" s="402"/>
      <c r="I501" s="402"/>
      <c r="J501" s="402"/>
    </row>
    <row r="502" spans="2:10">
      <c r="B502" s="402"/>
      <c r="C502" s="402"/>
      <c r="D502" s="402"/>
      <c r="E502" s="402"/>
      <c r="F502" s="402"/>
      <c r="G502" s="402"/>
      <c r="H502" s="402"/>
      <c r="I502" s="402"/>
      <c r="J502" s="402"/>
    </row>
    <row r="503" spans="2:10">
      <c r="B503" s="402"/>
      <c r="C503" s="402"/>
      <c r="D503" s="402"/>
      <c r="E503" s="402"/>
      <c r="F503" s="402"/>
      <c r="G503" s="402"/>
      <c r="H503" s="402"/>
      <c r="I503" s="402"/>
      <c r="J503" s="402"/>
    </row>
    <row r="504" spans="2:10">
      <c r="B504" s="402"/>
      <c r="C504" s="402"/>
      <c r="D504" s="402"/>
      <c r="E504" s="402"/>
      <c r="F504" s="402"/>
      <c r="G504" s="402"/>
      <c r="H504" s="402"/>
      <c r="I504" s="402"/>
      <c r="J504" s="402"/>
    </row>
    <row r="505" spans="2:10">
      <c r="B505" s="402"/>
      <c r="C505" s="402"/>
      <c r="D505" s="402"/>
      <c r="E505" s="402"/>
      <c r="F505" s="402"/>
      <c r="G505" s="402"/>
      <c r="H505" s="402"/>
      <c r="I505" s="402"/>
      <c r="J505" s="402"/>
    </row>
    <row r="506" spans="2:10">
      <c r="B506" s="402"/>
      <c r="C506" s="402"/>
      <c r="D506" s="402"/>
      <c r="E506" s="402"/>
      <c r="F506" s="402"/>
      <c r="G506" s="402"/>
      <c r="H506" s="402"/>
      <c r="I506" s="402"/>
      <c r="J506" s="402"/>
    </row>
    <row r="507" spans="2:10">
      <c r="B507" s="402"/>
      <c r="C507" s="402"/>
      <c r="D507" s="402"/>
      <c r="E507" s="402"/>
      <c r="F507" s="402"/>
      <c r="G507" s="402"/>
      <c r="H507" s="402"/>
      <c r="I507" s="402"/>
      <c r="J507" s="402"/>
    </row>
    <row r="508" spans="2:10">
      <c r="B508" s="402"/>
      <c r="C508" s="402"/>
      <c r="D508" s="402"/>
      <c r="E508" s="402"/>
      <c r="F508" s="402"/>
      <c r="G508" s="402"/>
      <c r="H508" s="402"/>
      <c r="I508" s="402"/>
      <c r="J508" s="402"/>
    </row>
    <row r="509" spans="2:10">
      <c r="B509" s="402"/>
      <c r="C509" s="402"/>
      <c r="D509" s="402"/>
      <c r="E509" s="402"/>
      <c r="F509" s="402"/>
      <c r="G509" s="402"/>
      <c r="H509" s="402"/>
      <c r="I509" s="402"/>
      <c r="J509" s="402"/>
    </row>
    <row r="510" spans="2:10">
      <c r="B510" s="402"/>
      <c r="C510" s="402"/>
      <c r="D510" s="402"/>
      <c r="E510" s="402"/>
      <c r="F510" s="402"/>
      <c r="G510" s="402"/>
      <c r="H510" s="402"/>
      <c r="I510" s="402"/>
      <c r="J510" s="402"/>
    </row>
    <row r="511" spans="2:10">
      <c r="B511" s="402"/>
      <c r="C511" s="402"/>
      <c r="D511" s="402"/>
      <c r="E511" s="402"/>
      <c r="F511" s="402"/>
      <c r="G511" s="402"/>
      <c r="H511" s="402"/>
      <c r="I511" s="402"/>
      <c r="J511" s="402"/>
    </row>
    <row r="512" spans="2:10">
      <c r="B512" s="402"/>
      <c r="C512" s="402"/>
      <c r="D512" s="402"/>
      <c r="E512" s="402"/>
      <c r="F512" s="402"/>
      <c r="G512" s="402"/>
      <c r="H512" s="402"/>
      <c r="I512" s="402"/>
      <c r="J512" s="402"/>
    </row>
    <row r="513" spans="2:10">
      <c r="B513" s="402"/>
      <c r="C513" s="402"/>
      <c r="D513" s="402"/>
      <c r="E513" s="402"/>
      <c r="F513" s="402"/>
      <c r="G513" s="402"/>
      <c r="H513" s="402"/>
      <c r="I513" s="402"/>
      <c r="J513" s="402"/>
    </row>
    <row r="514" spans="2:10">
      <c r="B514" s="402"/>
      <c r="C514" s="402"/>
      <c r="D514" s="402"/>
      <c r="E514" s="402"/>
      <c r="F514" s="402"/>
      <c r="G514" s="402"/>
      <c r="H514" s="402"/>
      <c r="I514" s="402"/>
      <c r="J514" s="402"/>
    </row>
    <row r="515" spans="2:10">
      <c r="B515" s="402"/>
      <c r="C515" s="402"/>
      <c r="D515" s="402"/>
      <c r="E515" s="402"/>
      <c r="F515" s="402"/>
      <c r="G515" s="402"/>
      <c r="H515" s="402"/>
      <c r="I515" s="402"/>
      <c r="J515" s="402"/>
    </row>
    <row r="516" spans="2:10">
      <c r="B516" s="402"/>
      <c r="C516" s="402"/>
      <c r="D516" s="402"/>
      <c r="E516" s="402"/>
      <c r="F516" s="402"/>
      <c r="G516" s="402"/>
      <c r="H516" s="402"/>
      <c r="I516" s="402"/>
      <c r="J516" s="402"/>
    </row>
    <row r="517" spans="2:10">
      <c r="B517" s="402"/>
      <c r="C517" s="402"/>
      <c r="D517" s="402"/>
      <c r="E517" s="402"/>
      <c r="F517" s="402"/>
      <c r="G517" s="402"/>
      <c r="H517" s="402"/>
      <c r="I517" s="402"/>
      <c r="J517" s="402"/>
    </row>
    <row r="518" spans="2:10">
      <c r="B518" s="402"/>
      <c r="C518" s="402"/>
      <c r="D518" s="402"/>
      <c r="E518" s="402"/>
      <c r="F518" s="402"/>
      <c r="G518" s="402"/>
      <c r="H518" s="402"/>
      <c r="I518" s="402"/>
      <c r="J518" s="402"/>
    </row>
    <row r="519" spans="2:10">
      <c r="B519" s="402"/>
      <c r="C519" s="402"/>
      <c r="D519" s="402"/>
      <c r="E519" s="402"/>
      <c r="F519" s="402"/>
      <c r="G519" s="402"/>
      <c r="H519" s="402"/>
      <c r="I519" s="402"/>
      <c r="J519" s="402"/>
    </row>
    <row r="520" spans="2:10">
      <c r="B520" s="402"/>
      <c r="C520" s="402"/>
      <c r="D520" s="402"/>
      <c r="E520" s="402"/>
      <c r="F520" s="402"/>
      <c r="G520" s="402"/>
      <c r="H520" s="402"/>
      <c r="I520" s="402"/>
      <c r="J520" s="402"/>
    </row>
    <row r="521" spans="2:10">
      <c r="B521" s="402"/>
      <c r="C521" s="402"/>
      <c r="D521" s="402"/>
      <c r="E521" s="402"/>
      <c r="F521" s="402"/>
      <c r="G521" s="402"/>
      <c r="H521" s="402"/>
      <c r="I521" s="402"/>
      <c r="J521" s="402"/>
    </row>
    <row r="522" spans="2:10">
      <c r="B522" s="402"/>
      <c r="C522" s="402"/>
      <c r="D522" s="402"/>
      <c r="E522" s="402"/>
      <c r="F522" s="402"/>
      <c r="G522" s="402"/>
      <c r="H522" s="402"/>
      <c r="I522" s="402"/>
      <c r="J522" s="402"/>
    </row>
    <row r="523" spans="2:10">
      <c r="B523" s="402"/>
      <c r="C523" s="402"/>
      <c r="D523" s="402"/>
      <c r="E523" s="402"/>
      <c r="F523" s="402"/>
      <c r="G523" s="402"/>
      <c r="H523" s="402"/>
      <c r="I523" s="402"/>
      <c r="J523" s="402"/>
    </row>
    <row r="524" spans="2:10">
      <c r="B524" s="402"/>
      <c r="C524" s="402"/>
      <c r="D524" s="402"/>
      <c r="E524" s="402"/>
      <c r="F524" s="402"/>
      <c r="G524" s="402"/>
      <c r="H524" s="402"/>
      <c r="I524" s="402"/>
      <c r="J524" s="402"/>
    </row>
  </sheetData>
  <sheetProtection formatCells="0" formatColumns="0" formatRows="0" insertColumns="0" insertRows="0" deleteColumns="0" deleteRows="0"/>
  <protectedRanges>
    <protectedRange algorithmName="SHA-512" hashValue="VNr1jv1pLkMOO4KfaU7hLsvLOdchgL6LwTERe2wsYodhbCl7F1jHmxeg7HIoUXvYzl5Nvi7tpYokgPS1/O95iQ==" saltValue="MvEzjZ/G2gPtKIhTzlmWCQ==" spinCount="100000" sqref="A1:XFD1048576" name="Range1" securityDescriptor="O:WDG:WDD:(A;;CC;;;S-1-5-21-577582919-1435025626-1914702595-3758127)(A;;CC;;;S-1-5-21-577582919-1435025626-1914702595-3758875)(A;;CC;;;S-1-5-21-577582919-1435025626-1914702595-3758999)(A;;CC;;;S-1-5-21-577582919-1435025626-1914702595-3940917)(A;;CC;;;S-1-5-21-577582919-1435025626-1914702595-4023729)"/>
  </protectedRanges>
  <mergeCells count="1">
    <mergeCell ref="B4:D4"/>
  </mergeCells>
  <conditionalFormatting sqref="C35">
    <cfRule type="cellIs" dxfId="9" priority="1" operator="greaterThan">
      <formula>$C$33</formula>
    </cfRule>
    <cfRule type="cellIs" dxfId="8" priority="2" operator="lessThan">
      <formula>$C$33</formula>
    </cfRule>
  </conditionalFormatting>
  <dataValidations disablePrompts="1" count="1">
    <dataValidation type="list" allowBlank="1" showInputMessage="1" showErrorMessage="1" sqref="C13" xr:uid="{E0BE97C6-935F-4FA1-BDA9-2828F3C66521}">
      <formula1>$E$68:$E$74</formula1>
    </dataValidation>
  </dataValidations>
  <pageMargins left="0.7" right="0.7" top="0.75" bottom="0.75" header="0.3" footer="0.3"/>
  <pageSetup scale="66" orientation="landscape" r:id="rId1"/>
  <headerFooter>
    <oddHeader>&amp;R&amp;"Times New Roman,Bold"&amp;10KyPSC Case No. 2025-00229
STAFF-DR-01-005(b) Attachment 4
Page &amp;P of &amp;N</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B4A9B69-2F19-451D-B6F1-6C7C3C995D7C}">
          <x14:formula1>
            <xm:f>'Cost Report'!C41:C73</xm:f>
          </x14:formula1>
          <xm:sqref>C24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863AF-4C1F-4FE0-B200-535CEC63B753}">
  <sheetPr>
    <tabColor rgb="FF92D050"/>
    <pageSetUpPr fitToPage="1"/>
  </sheetPr>
  <dimension ref="A1:K46"/>
  <sheetViews>
    <sheetView showGridLines="0" view="pageLayout" zoomScaleNormal="100" workbookViewId="0">
      <selection activeCell="A4" sqref="A4:J4"/>
    </sheetView>
  </sheetViews>
  <sheetFormatPr defaultRowHeight="15"/>
  <cols>
    <col min="2" max="3" width="7.28515625" customWidth="1"/>
    <col min="4" max="4" width="27.85546875" customWidth="1"/>
    <col min="5" max="5" width="15.140625" customWidth="1"/>
    <col min="6" max="6" width="17" customWidth="1"/>
    <col min="7" max="7" width="15.28515625" customWidth="1"/>
    <col min="8" max="8" width="1.85546875" customWidth="1"/>
    <col min="10" max="10" width="14.28515625" customWidth="1"/>
    <col min="11" max="11" width="15.5703125" customWidth="1"/>
    <col min="12" max="12" width="14.28515625" bestFit="1" customWidth="1"/>
  </cols>
  <sheetData>
    <row r="1" spans="1:11" ht="48" customHeight="1">
      <c r="A1" s="215"/>
      <c r="B1" s="437" t="s">
        <v>281</v>
      </c>
      <c r="C1" s="438"/>
      <c r="D1" s="439" t="s">
        <v>280</v>
      </c>
      <c r="E1" s="440"/>
      <c r="F1" s="440"/>
      <c r="G1" s="215"/>
      <c r="H1" s="215"/>
      <c r="I1" s="215"/>
      <c r="J1" s="215"/>
      <c r="K1" s="215"/>
    </row>
    <row r="2" spans="1:11" ht="9" customHeight="1"/>
    <row r="3" spans="1:11" ht="15.75" customHeight="1">
      <c r="B3" s="114"/>
      <c r="C3" s="214" t="s">
        <v>279</v>
      </c>
    </row>
    <row r="4" spans="1:11" ht="12.75" customHeight="1">
      <c r="J4" s="213" t="s">
        <v>278</v>
      </c>
      <c r="K4" s="212" t="s">
        <v>1</v>
      </c>
    </row>
    <row r="5" spans="1:11" ht="15.75">
      <c r="B5" t="s">
        <v>277</v>
      </c>
      <c r="D5" s="441" t="str">
        <f>'Master Tab'!C8</f>
        <v>Line AM07 Pipeline Replacement-Phase 4</v>
      </c>
      <c r="E5" s="442"/>
      <c r="F5" s="211" t="s">
        <v>16</v>
      </c>
      <c r="G5" s="216">
        <f>'Master Tab'!C9</f>
        <v>45671</v>
      </c>
      <c r="J5" s="210" t="s">
        <v>274</v>
      </c>
      <c r="K5" s="209" t="s">
        <v>237</v>
      </c>
    </row>
    <row r="6" spans="1:11">
      <c r="J6" s="210" t="s">
        <v>276</v>
      </c>
      <c r="K6" s="209" t="s">
        <v>235</v>
      </c>
    </row>
    <row r="7" spans="1:11" ht="15.75">
      <c r="B7" t="s">
        <v>275</v>
      </c>
      <c r="D7" s="208" t="s">
        <v>274</v>
      </c>
      <c r="F7" t="s">
        <v>273</v>
      </c>
      <c r="G7" s="207" t="str">
        <f>VLOOKUP(D7,J4:K7,2,FALSE)</f>
        <v>Class 4</v>
      </c>
      <c r="J7" s="206" t="s">
        <v>272</v>
      </c>
      <c r="K7" s="205" t="s">
        <v>235</v>
      </c>
    </row>
    <row r="8" spans="1:11" ht="9" customHeight="1"/>
    <row r="9" spans="1:11" ht="10.5" customHeight="1" thickBot="1"/>
    <row r="10" spans="1:11" ht="19.5" thickBot="1">
      <c r="B10" s="443" t="s">
        <v>271</v>
      </c>
      <c r="C10" s="444"/>
      <c r="D10" s="444"/>
      <c r="E10" s="444"/>
      <c r="F10" s="444"/>
      <c r="G10" s="445"/>
    </row>
    <row r="11" spans="1:11" ht="27" customHeight="1">
      <c r="B11" s="446" t="s">
        <v>270</v>
      </c>
      <c r="C11" s="447"/>
      <c r="E11" s="448" t="s">
        <v>269</v>
      </c>
      <c r="F11" s="450" t="s">
        <v>268</v>
      </c>
      <c r="G11" s="452" t="s">
        <v>267</v>
      </c>
    </row>
    <row r="12" spans="1:11">
      <c r="B12" s="204" t="s">
        <v>266</v>
      </c>
      <c r="C12" s="203" t="s">
        <v>265</v>
      </c>
      <c r="D12" s="48" t="s">
        <v>264</v>
      </c>
      <c r="E12" s="449"/>
      <c r="F12" s="451"/>
      <c r="G12" s="453"/>
    </row>
    <row r="13" spans="1:11">
      <c r="A13" s="201" t="str">
        <f t="shared" ref="A13:A21" si="0">IF(OR(B13&gt;0,C13&lt;0),"Error","OK")</f>
        <v>OK</v>
      </c>
      <c r="B13" s="219">
        <f>_xlfn.IFS($G$7=$K$4,$E$38,$G$7=$K$5,$E$40,$G$7=$K$6,$E$42,$G$7=$K$7,$E$42)</f>
        <v>-0.3</v>
      </c>
      <c r="C13" s="219">
        <f>_xlfn.IFS($G$7=$K$4,$F$38,$G$7=$K$5,$F$40,$G$7=$K$6,$F$42,$G$7=$K$7,$F$42)</f>
        <v>0.5</v>
      </c>
      <c r="D13" s="202" t="s">
        <v>6</v>
      </c>
      <c r="E13" s="189">
        <f t="shared" ref="E13:E21" si="1">F13*(1+B13)</f>
        <v>1535520</v>
      </c>
      <c r="F13" s="217">
        <f>'Cost Report'!D11</f>
        <v>2193600</v>
      </c>
      <c r="G13" s="182">
        <f t="shared" ref="G13:G21" si="2">F13*(1+C13)</f>
        <v>3290400</v>
      </c>
    </row>
    <row r="14" spans="1:11">
      <c r="A14" s="201" t="str">
        <f t="shared" si="0"/>
        <v>OK</v>
      </c>
      <c r="B14" s="219">
        <f t="shared" ref="B14:B21" si="3">_xlfn.IFS($G$7=$K$4,$E$38,$G$7=$K$5,$E$40,$G$7=$K$6,$E$42,$G$7=$K$7,$E$42)</f>
        <v>-0.3</v>
      </c>
      <c r="C14" s="219">
        <f t="shared" ref="C14:C21" si="4">_xlfn.IFS($G$7=$K$4,$F$38,$G$7=$K$5,$F$40,$G$7=$K$6,$F$42,$G$7=$K$7,$F$42)</f>
        <v>0.5</v>
      </c>
      <c r="D14" s="176" t="s">
        <v>282</v>
      </c>
      <c r="E14" s="189">
        <f t="shared" si="1"/>
        <v>2746870</v>
      </c>
      <c r="F14" s="217">
        <f>SUM('Cost Report'!D12:D15)</f>
        <v>3924100</v>
      </c>
      <c r="G14" s="182">
        <f t="shared" si="2"/>
        <v>5886150</v>
      </c>
    </row>
    <row r="15" spans="1:11">
      <c r="A15" s="201" t="str">
        <f t="shared" si="0"/>
        <v>OK</v>
      </c>
      <c r="B15" s="219">
        <f t="shared" si="3"/>
        <v>-0.3</v>
      </c>
      <c r="C15" s="219">
        <f t="shared" si="4"/>
        <v>0.5</v>
      </c>
      <c r="D15" s="176" t="s">
        <v>67</v>
      </c>
      <c r="E15" s="189">
        <f t="shared" si="1"/>
        <v>3210690</v>
      </c>
      <c r="F15" s="217">
        <f>'Cost Report'!D16</f>
        <v>4586700</v>
      </c>
      <c r="G15" s="182">
        <f t="shared" si="2"/>
        <v>6880050</v>
      </c>
    </row>
    <row r="16" spans="1:11">
      <c r="A16" s="201" t="str">
        <f t="shared" si="0"/>
        <v>OK</v>
      </c>
      <c r="B16" s="219">
        <f t="shared" si="3"/>
        <v>-0.3</v>
      </c>
      <c r="C16" s="219">
        <f t="shared" si="4"/>
        <v>0.5</v>
      </c>
      <c r="D16" s="176" t="s">
        <v>283</v>
      </c>
      <c r="E16" s="189">
        <f t="shared" si="1"/>
        <v>11609920</v>
      </c>
      <c r="F16" s="217">
        <f>SUM('Cost Report'!D17:D18)</f>
        <v>16585600</v>
      </c>
      <c r="G16" s="182">
        <f t="shared" si="2"/>
        <v>24878400</v>
      </c>
    </row>
    <row r="17" spans="1:11">
      <c r="A17" s="201" t="str">
        <f t="shared" si="0"/>
        <v>OK</v>
      </c>
      <c r="B17" s="219">
        <f t="shared" si="3"/>
        <v>-0.3</v>
      </c>
      <c r="C17" s="219">
        <f t="shared" si="4"/>
        <v>0.5</v>
      </c>
      <c r="D17" s="176" t="s">
        <v>284</v>
      </c>
      <c r="E17" s="189">
        <f t="shared" si="1"/>
        <v>1621690</v>
      </c>
      <c r="F17" s="217">
        <f>'Cost Report'!D19</f>
        <v>2316700</v>
      </c>
      <c r="G17" s="182">
        <f t="shared" si="2"/>
        <v>3475050</v>
      </c>
    </row>
    <row r="18" spans="1:11">
      <c r="A18" s="201" t="str">
        <f t="shared" si="0"/>
        <v>OK</v>
      </c>
      <c r="B18" s="219">
        <f t="shared" si="3"/>
        <v>-0.3</v>
      </c>
      <c r="C18" s="219">
        <f t="shared" si="4"/>
        <v>0.5</v>
      </c>
      <c r="D18" s="176" t="s">
        <v>74</v>
      </c>
      <c r="E18" s="189">
        <f t="shared" si="1"/>
        <v>708400</v>
      </c>
      <c r="F18" s="217">
        <f>'Cost Report'!D21</f>
        <v>1012000</v>
      </c>
      <c r="G18" s="182">
        <f t="shared" si="2"/>
        <v>1518000</v>
      </c>
    </row>
    <row r="19" spans="1:11">
      <c r="A19" s="201" t="str">
        <f t="shared" si="0"/>
        <v>OK</v>
      </c>
      <c r="B19" s="219">
        <f t="shared" si="3"/>
        <v>-0.3</v>
      </c>
      <c r="C19" s="219">
        <f t="shared" si="4"/>
        <v>0.5</v>
      </c>
      <c r="D19" s="176" t="s">
        <v>8</v>
      </c>
      <c r="E19" s="189">
        <f t="shared" si="1"/>
        <v>38640</v>
      </c>
      <c r="F19" s="217">
        <f>'Cost Report'!D22</f>
        <v>55200</v>
      </c>
      <c r="G19" s="182">
        <f t="shared" si="2"/>
        <v>82800</v>
      </c>
    </row>
    <row r="20" spans="1:11">
      <c r="A20" s="201" t="str">
        <f t="shared" si="0"/>
        <v>OK</v>
      </c>
      <c r="B20" s="219">
        <f t="shared" si="3"/>
        <v>-0.3</v>
      </c>
      <c r="C20" s="219">
        <f t="shared" si="4"/>
        <v>0.5</v>
      </c>
      <c r="D20" s="176" t="s">
        <v>90</v>
      </c>
      <c r="E20" s="189">
        <f t="shared" si="1"/>
        <v>1270010</v>
      </c>
      <c r="F20" s="217">
        <f>'Cost Report'!D29</f>
        <v>1814300</v>
      </c>
      <c r="G20" s="182">
        <f t="shared" si="2"/>
        <v>2721450</v>
      </c>
    </row>
    <row r="21" spans="1:11" ht="17.25">
      <c r="A21" s="201" t="str">
        <f t="shared" si="0"/>
        <v>OK</v>
      </c>
      <c r="B21" s="219">
        <f t="shared" si="3"/>
        <v>-0.3</v>
      </c>
      <c r="C21" s="219">
        <f t="shared" si="4"/>
        <v>0.5</v>
      </c>
      <c r="D21" s="176" t="s">
        <v>285</v>
      </c>
      <c r="E21" s="200">
        <f t="shared" si="1"/>
        <v>3667230</v>
      </c>
      <c r="F21" s="218">
        <f>'Cost Report'!D30</f>
        <v>5238900</v>
      </c>
      <c r="G21" s="199">
        <f t="shared" si="2"/>
        <v>7858350</v>
      </c>
    </row>
    <row r="22" spans="1:11">
      <c r="B22" s="198"/>
      <c r="C22" s="198"/>
      <c r="D22" s="197" t="s">
        <v>263</v>
      </c>
      <c r="E22" s="196">
        <f>SUM(E13:E21)</f>
        <v>26408970</v>
      </c>
      <c r="F22" s="196">
        <f>SUM(F13:F21)</f>
        <v>37727100</v>
      </c>
      <c r="G22" s="195">
        <f>SUM(G13:G21)</f>
        <v>56590650</v>
      </c>
      <c r="J22" t="s">
        <v>262</v>
      </c>
      <c r="K22" s="174">
        <f>SUM(E22)</f>
        <v>26408970</v>
      </c>
    </row>
    <row r="23" spans="1:11">
      <c r="C23" s="173"/>
      <c r="D23" s="194"/>
      <c r="E23" s="189"/>
      <c r="F23" s="189"/>
      <c r="G23" s="189"/>
      <c r="J23" t="s">
        <v>261</v>
      </c>
      <c r="K23" s="174">
        <f>SUM(F22*4)</f>
        <v>150908400</v>
      </c>
    </row>
    <row r="24" spans="1:11">
      <c r="C24" s="435">
        <f>(F24+F25)/F22</f>
        <v>3.3333333333333333E-2</v>
      </c>
      <c r="D24" s="191" t="s">
        <v>260</v>
      </c>
      <c r="E24" s="191"/>
      <c r="F24" s="193">
        <v>0</v>
      </c>
      <c r="G24" s="189"/>
      <c r="J24" t="s">
        <v>259</v>
      </c>
      <c r="K24" s="192">
        <f>SUM(G22)</f>
        <v>56590650</v>
      </c>
    </row>
    <row r="25" spans="1:11">
      <c r="C25" s="435"/>
      <c r="D25" s="191" t="s">
        <v>258</v>
      </c>
      <c r="E25" s="191"/>
      <c r="F25" s="190">
        <f>SUM(((F22*4)+(E22+G22))/6)-F22</f>
        <v>1257570</v>
      </c>
      <c r="G25" s="189"/>
      <c r="J25" t="s">
        <v>61</v>
      </c>
      <c r="K25" s="188">
        <f>SUM(K22:K24)</f>
        <v>233908020</v>
      </c>
    </row>
    <row r="26" spans="1:11" ht="15.75" thickBot="1">
      <c r="C26" s="173"/>
      <c r="D26" s="187" t="s">
        <v>257</v>
      </c>
      <c r="E26" s="185"/>
      <c r="F26" s="186">
        <f>F24+F25</f>
        <v>1257570</v>
      </c>
      <c r="G26" s="185"/>
      <c r="J26" t="s">
        <v>256</v>
      </c>
      <c r="K26" s="174">
        <f>SUM(K25/6)</f>
        <v>38984670</v>
      </c>
    </row>
    <row r="27" spans="1:11">
      <c r="C27" s="173"/>
      <c r="D27" s="181"/>
      <c r="E27" s="184">
        <f>+E22</f>
        <v>26408970</v>
      </c>
      <c r="F27" s="183">
        <f>F22+F26</f>
        <v>38984670</v>
      </c>
      <c r="G27" s="182">
        <f>+G22</f>
        <v>56590650</v>
      </c>
    </row>
    <row r="28" spans="1:11" ht="15.75" thickBot="1">
      <c r="C28" s="173"/>
      <c r="D28" s="181"/>
      <c r="E28" s="180" t="s">
        <v>255</v>
      </c>
      <c r="F28" s="179" t="s">
        <v>254</v>
      </c>
      <c r="G28" s="178" t="s">
        <v>253</v>
      </c>
      <c r="J28" t="s">
        <v>252</v>
      </c>
      <c r="K28" s="174">
        <f>SUM(F22)</f>
        <v>37727100</v>
      </c>
    </row>
    <row r="29" spans="1:11">
      <c r="D29" s="2" t="s">
        <v>251</v>
      </c>
      <c r="E29" s="177">
        <f>+(E27-F27)/F27</f>
        <v>-0.32258064516129031</v>
      </c>
      <c r="G29" s="177">
        <f>+(G27-F27)/F27</f>
        <v>0.45161290322580644</v>
      </c>
      <c r="J29" t="s">
        <v>250</v>
      </c>
      <c r="K29" s="174">
        <f>SUM(K26-K28)</f>
        <v>1257570</v>
      </c>
    </row>
    <row r="30" spans="1:11">
      <c r="D30" s="176" t="s">
        <v>249</v>
      </c>
      <c r="E30" s="175" t="s">
        <v>248</v>
      </c>
      <c r="F30" s="175" t="s">
        <v>247</v>
      </c>
      <c r="G30" s="175" t="s">
        <v>246</v>
      </c>
    </row>
    <row r="31" spans="1:11" ht="41.25" customHeight="1">
      <c r="C31" s="436" t="s">
        <v>245</v>
      </c>
      <c r="D31" s="436"/>
      <c r="E31" s="436"/>
      <c r="F31" s="436"/>
      <c r="G31" s="436"/>
      <c r="I31" s="171"/>
      <c r="K31" s="174">
        <f>SUM((E22+G22+(F22*4))/6)</f>
        <v>38984670</v>
      </c>
    </row>
    <row r="34" spans="1:9">
      <c r="C34" s="173"/>
      <c r="D34" s="172"/>
      <c r="E34" s="1"/>
      <c r="F34" s="1"/>
      <c r="G34" s="1"/>
      <c r="I34" s="171"/>
    </row>
    <row r="35" spans="1:9">
      <c r="C35" s="48" t="s">
        <v>244</v>
      </c>
    </row>
    <row r="36" spans="1:9">
      <c r="C36" s="3" t="s">
        <v>243</v>
      </c>
      <c r="D36" s="2" t="s">
        <v>242</v>
      </c>
      <c r="E36" s="3" t="s">
        <v>241</v>
      </c>
      <c r="F36" s="3" t="s">
        <v>240</v>
      </c>
    </row>
    <row r="37" spans="1:9" ht="15" customHeight="1">
      <c r="A37" s="171"/>
      <c r="B37" s="171" t="s">
        <v>1</v>
      </c>
      <c r="C37" s="431">
        <v>5</v>
      </c>
      <c r="D37" s="433" t="s">
        <v>239</v>
      </c>
      <c r="E37" s="170">
        <v>-0.2</v>
      </c>
      <c r="F37" s="170">
        <v>0.3</v>
      </c>
    </row>
    <row r="38" spans="1:9">
      <c r="A38" s="171"/>
      <c r="B38" s="171" t="s">
        <v>1</v>
      </c>
      <c r="C38" s="432"/>
      <c r="D38" s="434"/>
      <c r="E38" s="170">
        <v>-0.5</v>
      </c>
      <c r="F38" s="170">
        <v>1</v>
      </c>
    </row>
    <row r="39" spans="1:9" ht="15" customHeight="1">
      <c r="A39" s="171"/>
      <c r="B39" s="171" t="s">
        <v>237</v>
      </c>
      <c r="C39" s="431">
        <v>4</v>
      </c>
      <c r="D39" s="433" t="s">
        <v>238</v>
      </c>
      <c r="E39" s="170">
        <v>-0.15</v>
      </c>
      <c r="F39" s="170">
        <v>0.2</v>
      </c>
    </row>
    <row r="40" spans="1:9">
      <c r="A40" s="171"/>
      <c r="B40" s="171" t="s">
        <v>237</v>
      </c>
      <c r="C40" s="432"/>
      <c r="D40" s="434"/>
      <c r="E40" s="170">
        <v>-0.3</v>
      </c>
      <c r="F40" s="170">
        <v>0.5</v>
      </c>
    </row>
    <row r="41" spans="1:9" ht="15" customHeight="1">
      <c r="A41" s="171"/>
      <c r="B41" s="171" t="s">
        <v>235</v>
      </c>
      <c r="C41" s="431">
        <v>3</v>
      </c>
      <c r="D41" s="433" t="s">
        <v>236</v>
      </c>
      <c r="E41" s="170">
        <v>-0.1</v>
      </c>
      <c r="F41" s="170">
        <v>0.1</v>
      </c>
    </row>
    <row r="42" spans="1:9">
      <c r="A42" s="171"/>
      <c r="B42" s="171" t="s">
        <v>235</v>
      </c>
      <c r="C42" s="432"/>
      <c r="D42" s="434"/>
      <c r="E42" s="170">
        <v>-0.2</v>
      </c>
      <c r="F42" s="170">
        <v>0.3</v>
      </c>
    </row>
    <row r="43" spans="1:9" ht="15" customHeight="1">
      <c r="A43" s="171"/>
      <c r="B43" s="171" t="s">
        <v>234</v>
      </c>
      <c r="C43" s="431">
        <v>2</v>
      </c>
      <c r="D43" s="433" t="s">
        <v>233</v>
      </c>
      <c r="E43" s="170">
        <v>-0.05</v>
      </c>
      <c r="F43" s="170">
        <v>0.05</v>
      </c>
    </row>
    <row r="44" spans="1:9">
      <c r="A44" s="171"/>
      <c r="B44" s="171" t="s">
        <v>234</v>
      </c>
      <c r="C44" s="432"/>
      <c r="D44" s="434"/>
      <c r="E44" s="170">
        <v>-0.15</v>
      </c>
      <c r="F44" s="170">
        <v>0.2</v>
      </c>
    </row>
    <row r="45" spans="1:9" ht="15" customHeight="1">
      <c r="A45" s="171"/>
      <c r="B45" s="171" t="s">
        <v>232</v>
      </c>
      <c r="C45" s="431">
        <v>1</v>
      </c>
      <c r="D45" s="433" t="s">
        <v>233</v>
      </c>
      <c r="E45" s="170">
        <v>-0.03</v>
      </c>
      <c r="F45" s="170">
        <v>0.03</v>
      </c>
    </row>
    <row r="46" spans="1:9">
      <c r="A46" s="171"/>
      <c r="B46" s="171" t="s">
        <v>232</v>
      </c>
      <c r="C46" s="432"/>
      <c r="D46" s="434"/>
      <c r="E46" s="170">
        <v>-0.1</v>
      </c>
      <c r="F46" s="170">
        <v>0.15</v>
      </c>
    </row>
  </sheetData>
  <protectedRanges>
    <protectedRange algorithmName="SHA-512" hashValue="hPm4Kj/LrV0Rr/2C0TGZRCZ3VDLqOwm5xwLpMsng7V3UHJB/kmuyx1y2XBQ3GlauKxMcQ804Y2u+d0+GOPzhsw==" saltValue="KVCTDUspS40pvStlgAOq/Q==" spinCount="100000" sqref="A25:K35 G24:K24 A24:E24 A22:K23 D13:K21 A13:A21 A8:K12 E7:K7 A7:C7 A1:K6 A36:F46 H36:K46 G36:G47" name="Range1" securityDescriptor="O:WDG:WDD:(A;;CC;;;S-1-5-21-577582919-1435025626-1914702595-4020469)(A;;CC;;;S-1-5-21-577582919-1435025626-1914702595-3758999)(A;;CC;;;S-1-5-21-577582919-1435025626-1914702595-3758875)(A;;CC;;;S-1-5-21-577582919-1435025626-1914702595-4023729)(A;;CC;;;S-1-5-21-577582919-1435025626-1914702595-3758127)"/>
  </protectedRanges>
  <mergeCells count="20">
    <mergeCell ref="B1:C1"/>
    <mergeCell ref="D1:F1"/>
    <mergeCell ref="D5:E5"/>
    <mergeCell ref="B10:G10"/>
    <mergeCell ref="B11:C11"/>
    <mergeCell ref="E11:E12"/>
    <mergeCell ref="F11:F12"/>
    <mergeCell ref="G11:G12"/>
    <mergeCell ref="C24:C25"/>
    <mergeCell ref="C31:G31"/>
    <mergeCell ref="C37:C38"/>
    <mergeCell ref="D37:D38"/>
    <mergeCell ref="C39:C40"/>
    <mergeCell ref="D39:D40"/>
    <mergeCell ref="C41:C42"/>
    <mergeCell ref="D41:D42"/>
    <mergeCell ref="C43:C44"/>
    <mergeCell ref="D43:D44"/>
    <mergeCell ref="C45:C46"/>
    <mergeCell ref="D45:D46"/>
  </mergeCells>
  <conditionalFormatting sqref="B13:C21">
    <cfRule type="cellIs" dxfId="7" priority="8" operator="greaterThan">
      <formula>0</formula>
    </cfRule>
  </conditionalFormatting>
  <conditionalFormatting sqref="C37:F46">
    <cfRule type="expression" dxfId="6" priority="9">
      <formula>$B37=$G$7</formula>
    </cfRule>
  </conditionalFormatting>
  <dataValidations count="1">
    <dataValidation type="list" allowBlank="1" showInputMessage="1" showErrorMessage="1" sqref="D7" xr:uid="{00000000-0002-0000-0100-000000000000}">
      <formula1>$J$4:$J$7</formula1>
    </dataValidation>
  </dataValidations>
  <pageMargins left="0.7" right="0.7" top="0.75" bottom="0.75" header="0.3" footer="0.3"/>
  <pageSetup scale="67" orientation="landscape" r:id="rId1"/>
  <headerFooter>
    <oddHeader>&amp;R&amp;"Times New Roman,Bold"&amp;10KyPSC Case No. 2025-00229
STAFF-DR-01-005(b) Attachment 4
Page &amp;P of &amp;N</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D9C5-AD02-4801-B369-B7DD587AAFCD}">
  <sheetPr>
    <tabColor rgb="FF92D050"/>
    <pageSetUpPr fitToPage="1"/>
  </sheetPr>
  <dimension ref="B1:D27"/>
  <sheetViews>
    <sheetView view="pageLayout" zoomScaleNormal="100" workbookViewId="0">
      <selection activeCell="A4" sqref="A4:J4"/>
    </sheetView>
  </sheetViews>
  <sheetFormatPr defaultRowHeight="15"/>
  <cols>
    <col min="1" max="1" width="1.5703125" customWidth="1"/>
    <col min="2" max="2" width="30.42578125" customWidth="1"/>
    <col min="3" max="3" width="23.42578125" customWidth="1"/>
    <col min="4" max="4" width="95" bestFit="1" customWidth="1"/>
  </cols>
  <sheetData>
    <row r="1" spans="2:4" ht="9.75" customHeight="1" thickBot="1"/>
    <row r="2" spans="2:4" ht="23.25">
      <c r="B2" s="454" t="str">
        <f>'Master Tab'!C8</f>
        <v>Line AM07 Pipeline Replacement-Phase 4</v>
      </c>
      <c r="C2" s="455"/>
    </row>
    <row r="3" spans="2:4" ht="21">
      <c r="B3" s="456" t="s">
        <v>160</v>
      </c>
      <c r="C3" s="457"/>
    </row>
    <row r="4" spans="2:4" ht="16.5" thickBot="1">
      <c r="B4" s="458">
        <f>'Master Tab'!C9</f>
        <v>45671</v>
      </c>
      <c r="C4" s="459"/>
    </row>
    <row r="5" spans="2:4" ht="27" customHeight="1" thickBot="1">
      <c r="B5" s="149" t="s">
        <v>11</v>
      </c>
      <c r="C5" s="150" t="s">
        <v>161</v>
      </c>
    </row>
    <row r="6" spans="2:4">
      <c r="B6" s="144" t="s">
        <v>162</v>
      </c>
      <c r="C6" s="145">
        <f>'Cost Report'!D11+'Cost Report'!D14+'Cost Report'!D15+'Cost Report'!D17+'Cost Report'!D18+'Cost Report'!D19+'Cost Report'!D20+'Cost Report'!D25</f>
        <v>22249500</v>
      </c>
      <c r="D6" t="s">
        <v>183</v>
      </c>
    </row>
    <row r="7" spans="2:4">
      <c r="B7" s="144" t="s">
        <v>163</v>
      </c>
      <c r="C7" s="146">
        <f>'Cost Report'!D16</f>
        <v>4586700</v>
      </c>
      <c r="D7" t="s">
        <v>169</v>
      </c>
    </row>
    <row r="8" spans="2:4">
      <c r="B8" s="144" t="s">
        <v>74</v>
      </c>
      <c r="C8" s="146">
        <f>'Cost Report'!D21</f>
        <v>1012000</v>
      </c>
      <c r="D8" t="s">
        <v>170</v>
      </c>
    </row>
    <row r="9" spans="2:4">
      <c r="B9" s="144" t="s">
        <v>164</v>
      </c>
      <c r="C9" s="146">
        <f>'Cost Report'!D12</f>
        <v>2500000</v>
      </c>
      <c r="D9" t="s">
        <v>171</v>
      </c>
    </row>
    <row r="10" spans="2:4" ht="15.75" thickBot="1">
      <c r="B10" s="144" t="s">
        <v>8</v>
      </c>
      <c r="C10" s="147">
        <f>'Cost Report'!D13+'Cost Report'!D22</f>
        <v>1091000</v>
      </c>
      <c r="D10" t="s">
        <v>172</v>
      </c>
    </row>
    <row r="11" spans="2:4">
      <c r="B11" s="144" t="s">
        <v>165</v>
      </c>
      <c r="C11" s="145">
        <f>SUM(C6:C10)</f>
        <v>31439200</v>
      </c>
    </row>
    <row r="12" spans="2:4">
      <c r="B12" s="144"/>
      <c r="C12" s="143"/>
    </row>
    <row r="13" spans="2:4" ht="15.75" thickBot="1">
      <c r="B13" s="144" t="s">
        <v>143</v>
      </c>
      <c r="C13" s="147">
        <f>'Cost Report'!D24</f>
        <v>4644000</v>
      </c>
      <c r="D13" t="s">
        <v>143</v>
      </c>
    </row>
    <row r="14" spans="2:4">
      <c r="B14" s="144" t="s">
        <v>165</v>
      </c>
      <c r="C14" s="145">
        <f>SUM(C11:C13)</f>
        <v>36083200</v>
      </c>
    </row>
    <row r="15" spans="2:4">
      <c r="B15" s="144"/>
      <c r="C15" s="143"/>
    </row>
    <row r="16" spans="2:4">
      <c r="B16" s="144" t="s">
        <v>90</v>
      </c>
      <c r="C16" s="146">
        <v>0</v>
      </c>
      <c r="D16" s="152" t="s">
        <v>173</v>
      </c>
    </row>
    <row r="17" spans="2:4" ht="15.75" thickBot="1">
      <c r="B17" s="144" t="s">
        <v>85</v>
      </c>
      <c r="C17" s="147">
        <v>0</v>
      </c>
      <c r="D17" s="152" t="s">
        <v>173</v>
      </c>
    </row>
    <row r="18" spans="2:4">
      <c r="B18" s="144" t="s">
        <v>61</v>
      </c>
      <c r="C18" s="148">
        <f>SUM(C14:C17)</f>
        <v>36083200</v>
      </c>
    </row>
    <row r="19" spans="2:4">
      <c r="B19" s="36"/>
      <c r="C19" s="27"/>
    </row>
    <row r="20" spans="2:4">
      <c r="B20" s="36"/>
      <c r="C20" s="27"/>
    </row>
    <row r="21" spans="2:4">
      <c r="B21" s="151" t="s">
        <v>166</v>
      </c>
      <c r="C21" s="140">
        <f>'Master Tab'!C32</f>
        <v>45352</v>
      </c>
      <c r="D21" t="s">
        <v>174</v>
      </c>
    </row>
    <row r="22" spans="2:4">
      <c r="B22" s="151" t="s">
        <v>167</v>
      </c>
      <c r="C22" s="140">
        <f>'Master Tab'!C33</f>
        <v>46598.400000000001</v>
      </c>
      <c r="D22" t="s">
        <v>175</v>
      </c>
    </row>
    <row r="23" spans="2:4">
      <c r="B23" s="151" t="s">
        <v>168</v>
      </c>
      <c r="C23" s="140">
        <f>'Master Tab'!C35</f>
        <v>46325</v>
      </c>
      <c r="D23" t="s">
        <v>176</v>
      </c>
    </row>
    <row r="24" spans="2:4">
      <c r="B24" s="36"/>
      <c r="C24" s="27"/>
    </row>
    <row r="25" spans="2:4" ht="15.75" thickBot="1">
      <c r="B25" s="141"/>
      <c r="C25" s="142"/>
    </row>
    <row r="26" spans="2:4">
      <c r="B26" s="460" t="s">
        <v>186</v>
      </c>
      <c r="C26" s="460"/>
    </row>
    <row r="27" spans="2:4">
      <c r="B27" s="461"/>
      <c r="C27" s="461"/>
    </row>
  </sheetData>
  <mergeCells count="4">
    <mergeCell ref="B2:C2"/>
    <mergeCell ref="B3:C3"/>
    <mergeCell ref="B4:C4"/>
    <mergeCell ref="B26:C27"/>
  </mergeCells>
  <pageMargins left="0.7" right="0.7" top="0.75" bottom="0.75" header="0.3" footer="0.3"/>
  <pageSetup scale="81" orientation="landscape" r:id="rId1"/>
  <headerFooter>
    <oddHeader>&amp;R&amp;"Times New Roman,Bold"&amp;10KyPSC Case No. 2025-00229
STAFF-DR-01-005(b) Attachment 4
Page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C462-5C3B-4DF6-83E7-D2F92DEAB6EA}">
  <sheetPr>
    <tabColor rgb="FF0070C0"/>
    <pageSetUpPr fitToPage="1"/>
  </sheetPr>
  <dimension ref="A1:G39"/>
  <sheetViews>
    <sheetView view="pageLayout" zoomScaleNormal="100" workbookViewId="0">
      <selection activeCell="A4" sqref="A4:J4"/>
    </sheetView>
  </sheetViews>
  <sheetFormatPr defaultRowHeight="15"/>
  <cols>
    <col min="1" max="7" width="23" customWidth="1"/>
  </cols>
  <sheetData>
    <row r="1" spans="1:7" ht="22.5" customHeight="1">
      <c r="A1" s="477" t="str">
        <f>'Master Tab'!C8</f>
        <v>Line AM07 Pipeline Replacement-Phase 4</v>
      </c>
      <c r="B1" s="478"/>
      <c r="C1" s="478"/>
      <c r="D1" s="478"/>
      <c r="E1" s="478"/>
      <c r="F1" s="478"/>
      <c r="G1" s="479"/>
    </row>
    <row r="2" spans="1:7" ht="22.5" customHeight="1">
      <c r="A2" s="480"/>
      <c r="B2" s="481"/>
      <c r="C2" s="481"/>
      <c r="D2" s="481"/>
      <c r="E2" s="481"/>
      <c r="F2" s="481"/>
      <c r="G2" s="482"/>
    </row>
    <row r="3" spans="1:7" ht="30" customHeight="1">
      <c r="A3" s="483" t="s">
        <v>40</v>
      </c>
      <c r="B3" s="484"/>
      <c r="C3" s="484"/>
      <c r="D3" s="484"/>
      <c r="E3" s="484"/>
      <c r="F3" s="484"/>
      <c r="G3" s="485"/>
    </row>
    <row r="4" spans="1:7" ht="30" customHeight="1">
      <c r="A4" s="486">
        <f>'Master Tab'!C9</f>
        <v>45671</v>
      </c>
      <c r="B4" s="484"/>
      <c r="C4" s="484"/>
      <c r="D4" s="484"/>
      <c r="E4" s="484"/>
      <c r="F4" s="484"/>
      <c r="G4" s="485"/>
    </row>
    <row r="5" spans="1:7">
      <c r="A5" s="21"/>
      <c r="B5" s="22"/>
      <c r="C5" s="22"/>
      <c r="D5" s="22"/>
      <c r="E5" s="22"/>
      <c r="F5" s="22" t="s">
        <v>41</v>
      </c>
      <c r="G5" s="23" t="str">
        <f>'Master Tab'!C6</f>
        <v>E-Initiate</v>
      </c>
    </row>
    <row r="6" spans="1:7" ht="222" customHeight="1">
      <c r="A6" s="487" t="s">
        <v>715</v>
      </c>
      <c r="B6" s="488"/>
      <c r="C6" s="488"/>
      <c r="D6" s="488"/>
      <c r="E6" s="488"/>
      <c r="F6" s="489"/>
      <c r="G6" s="490"/>
    </row>
    <row r="7" spans="1:7" ht="14.45" customHeight="1">
      <c r="A7" s="487" t="s">
        <v>716</v>
      </c>
      <c r="B7" s="488"/>
      <c r="C7" s="488"/>
      <c r="D7" s="488"/>
      <c r="E7" s="488"/>
      <c r="F7" s="489"/>
      <c r="G7" s="490"/>
    </row>
    <row r="8" spans="1:7" ht="14.45" customHeight="1">
      <c r="A8" s="487" t="s">
        <v>645</v>
      </c>
      <c r="B8" s="488"/>
      <c r="C8" s="488"/>
      <c r="D8" s="488"/>
      <c r="E8" s="488"/>
      <c r="F8" s="489"/>
      <c r="G8" s="490"/>
    </row>
    <row r="9" spans="1:7" ht="37.15" customHeight="1">
      <c r="A9" s="487" t="s">
        <v>717</v>
      </c>
      <c r="B9" s="488"/>
      <c r="C9" s="488"/>
      <c r="D9" s="488"/>
      <c r="E9" s="488"/>
      <c r="F9" s="489"/>
      <c r="G9" s="490"/>
    </row>
    <row r="10" spans="1:7" ht="14.45" customHeight="1">
      <c r="A10" s="487" t="s">
        <v>718</v>
      </c>
      <c r="B10" s="488"/>
      <c r="C10" s="488"/>
      <c r="D10" s="488"/>
      <c r="E10" s="488"/>
      <c r="F10" s="489"/>
      <c r="G10" s="490"/>
    </row>
    <row r="11" spans="1:7" ht="14.45" customHeight="1">
      <c r="A11" s="487" t="s">
        <v>719</v>
      </c>
      <c r="B11" s="488"/>
      <c r="C11" s="488"/>
      <c r="D11" s="488"/>
      <c r="E11" s="488"/>
      <c r="F11" s="489"/>
      <c r="G11" s="490"/>
    </row>
    <row r="12" spans="1:7" ht="14.45" customHeight="1">
      <c r="A12" s="487" t="s">
        <v>720</v>
      </c>
      <c r="B12" s="488"/>
      <c r="C12" s="488"/>
      <c r="D12" s="488"/>
      <c r="E12" s="488"/>
      <c r="F12" s="489"/>
      <c r="G12" s="490"/>
    </row>
    <row r="13" spans="1:7" ht="14.45" customHeight="1">
      <c r="A13" s="487" t="s">
        <v>721</v>
      </c>
      <c r="B13" s="488"/>
      <c r="C13" s="488"/>
      <c r="D13" s="488"/>
      <c r="E13" s="488"/>
      <c r="F13" s="489"/>
      <c r="G13" s="490"/>
    </row>
    <row r="14" spans="1:7">
      <c r="A14" s="474" t="s">
        <v>722</v>
      </c>
      <c r="B14" s="475"/>
      <c r="C14" s="475"/>
      <c r="D14" s="475"/>
      <c r="E14" s="475"/>
      <c r="F14" s="475"/>
      <c r="G14" s="476"/>
    </row>
    <row r="15" spans="1:7">
      <c r="A15" s="474" t="s">
        <v>723</v>
      </c>
      <c r="B15" s="475"/>
      <c r="C15" s="475"/>
      <c r="D15" s="475"/>
      <c r="E15" s="475"/>
      <c r="F15" s="475"/>
      <c r="G15" s="476"/>
    </row>
    <row r="16" spans="1:7">
      <c r="A16" s="468" t="s">
        <v>724</v>
      </c>
      <c r="B16" s="469"/>
      <c r="C16" s="469"/>
      <c r="D16" s="469"/>
      <c r="E16" s="469"/>
      <c r="F16" s="469"/>
      <c r="G16" s="470"/>
    </row>
    <row r="17" spans="1:7">
      <c r="A17" s="468" t="s">
        <v>725</v>
      </c>
      <c r="B17" s="469"/>
      <c r="C17" s="469"/>
      <c r="D17" s="469"/>
      <c r="E17" s="469"/>
      <c r="F17" s="469"/>
      <c r="G17" s="470"/>
    </row>
    <row r="18" spans="1:7">
      <c r="A18" s="468" t="s">
        <v>726</v>
      </c>
      <c r="B18" s="469"/>
      <c r="C18" s="469"/>
      <c r="D18" s="469"/>
      <c r="E18" s="469"/>
      <c r="F18" s="469"/>
      <c r="G18" s="470"/>
    </row>
    <row r="19" spans="1:7" ht="15.75" thickBot="1">
      <c r="A19" s="468" t="s">
        <v>727</v>
      </c>
      <c r="B19" s="469"/>
      <c r="C19" s="469"/>
      <c r="D19" s="469"/>
      <c r="E19" s="469"/>
      <c r="F19" s="469"/>
      <c r="G19" s="470"/>
    </row>
    <row r="20" spans="1:7">
      <c r="A20" s="471" t="s">
        <v>728</v>
      </c>
      <c r="B20" s="472"/>
      <c r="C20" s="472"/>
      <c r="D20" s="472"/>
      <c r="E20" s="472"/>
      <c r="F20" s="472"/>
      <c r="G20" s="473"/>
    </row>
    <row r="21" spans="1:7">
      <c r="A21" s="465" t="s">
        <v>729</v>
      </c>
      <c r="B21" s="466"/>
      <c r="C21" s="466"/>
      <c r="D21" s="466"/>
      <c r="E21" s="466"/>
      <c r="F21" s="466"/>
      <c r="G21" s="467"/>
    </row>
    <row r="22" spans="1:7">
      <c r="A22" s="465" t="s">
        <v>730</v>
      </c>
      <c r="B22" s="466"/>
      <c r="C22" s="466"/>
      <c r="D22" s="466"/>
      <c r="E22" s="466"/>
      <c r="F22" s="466"/>
      <c r="G22" s="467"/>
    </row>
    <row r="23" spans="1:7">
      <c r="A23" s="465" t="s">
        <v>731</v>
      </c>
      <c r="B23" s="466"/>
      <c r="C23" s="466"/>
      <c r="D23" s="466"/>
      <c r="E23" s="466"/>
      <c r="F23" s="466"/>
      <c r="G23" s="467"/>
    </row>
    <row r="24" spans="1:7">
      <c r="A24" s="465" t="s">
        <v>732</v>
      </c>
      <c r="B24" s="466"/>
      <c r="C24" s="466"/>
      <c r="D24" s="466"/>
      <c r="E24" s="466"/>
      <c r="F24" s="466"/>
      <c r="G24" s="467"/>
    </row>
    <row r="25" spans="1:7" ht="15.75" thickBot="1">
      <c r="A25" s="462" t="s">
        <v>733</v>
      </c>
      <c r="B25" s="463"/>
      <c r="C25" s="463"/>
      <c r="D25" s="463"/>
      <c r="E25" s="463"/>
      <c r="F25" s="463"/>
      <c r="G25" s="464"/>
    </row>
    <row r="26" spans="1:7">
      <c r="A26" s="491" t="s">
        <v>734</v>
      </c>
      <c r="B26" s="492"/>
      <c r="C26" s="492"/>
      <c r="D26" s="492"/>
      <c r="E26" s="492"/>
      <c r="F26" s="492"/>
      <c r="G26" s="493"/>
    </row>
    <row r="27" spans="1:7">
      <c r="A27" s="494" t="s">
        <v>772</v>
      </c>
      <c r="B27" s="469"/>
      <c r="C27" s="469"/>
      <c r="D27" s="469"/>
      <c r="E27" s="469"/>
      <c r="F27" s="469"/>
      <c r="G27" s="495"/>
    </row>
    <row r="28" spans="1:7">
      <c r="A28" s="494" t="s">
        <v>716</v>
      </c>
      <c r="B28" s="469"/>
      <c r="C28" s="469"/>
      <c r="D28" s="469"/>
      <c r="E28" s="469"/>
      <c r="F28" s="469"/>
      <c r="G28" s="495"/>
    </row>
    <row r="29" spans="1:7">
      <c r="A29" s="494" t="s">
        <v>773</v>
      </c>
      <c r="B29" s="469"/>
      <c r="C29" s="469"/>
      <c r="D29" s="469"/>
      <c r="E29" s="469"/>
      <c r="F29" s="469"/>
      <c r="G29" s="495"/>
    </row>
    <row r="30" spans="1:7">
      <c r="A30" s="494" t="s">
        <v>774</v>
      </c>
      <c r="B30" s="469"/>
      <c r="C30" s="469"/>
      <c r="D30" s="469"/>
      <c r="E30" s="469"/>
      <c r="F30" s="469"/>
      <c r="G30" s="495"/>
    </row>
    <row r="31" spans="1:7">
      <c r="A31" s="494" t="s">
        <v>775</v>
      </c>
      <c r="B31" s="469"/>
      <c r="C31" s="469"/>
      <c r="D31" s="469"/>
      <c r="E31" s="469"/>
      <c r="F31" s="469"/>
      <c r="G31" s="495"/>
    </row>
    <row r="32" spans="1:7">
      <c r="A32" s="494" t="s">
        <v>776</v>
      </c>
      <c r="B32" s="469"/>
      <c r="C32" s="469"/>
      <c r="D32" s="469"/>
      <c r="E32" s="469"/>
      <c r="F32" s="469"/>
      <c r="G32" s="495"/>
    </row>
    <row r="33" spans="1:7">
      <c r="A33" s="494" t="s">
        <v>792</v>
      </c>
      <c r="B33" s="469"/>
      <c r="C33" s="469"/>
      <c r="D33" s="469"/>
      <c r="E33" s="469"/>
      <c r="F33" s="469"/>
      <c r="G33" s="495"/>
    </row>
    <row r="34" spans="1:7">
      <c r="A34" s="494" t="s">
        <v>777</v>
      </c>
      <c r="B34" s="469"/>
      <c r="C34" s="469"/>
      <c r="D34" s="469"/>
      <c r="E34" s="469"/>
      <c r="F34" s="469"/>
      <c r="G34" s="495"/>
    </row>
    <row r="35" spans="1:7">
      <c r="A35" s="494" t="s">
        <v>780</v>
      </c>
      <c r="B35" s="469"/>
      <c r="C35" s="469"/>
      <c r="D35" s="469"/>
      <c r="E35" s="469"/>
      <c r="F35" s="469"/>
      <c r="G35" s="495"/>
    </row>
    <row r="36" spans="1:7">
      <c r="A36" s="494" t="s">
        <v>778</v>
      </c>
      <c r="B36" s="469"/>
      <c r="C36" s="469"/>
      <c r="D36" s="469"/>
      <c r="E36" s="469"/>
      <c r="F36" s="469"/>
      <c r="G36" s="495"/>
    </row>
    <row r="37" spans="1:7">
      <c r="A37" s="494" t="s">
        <v>779</v>
      </c>
      <c r="B37" s="469"/>
      <c r="C37" s="469"/>
      <c r="D37" s="469"/>
      <c r="E37" s="469"/>
      <c r="F37" s="469"/>
      <c r="G37" s="495"/>
    </row>
    <row r="38" spans="1:7" ht="15.75" thickBot="1">
      <c r="A38" s="496" t="s">
        <v>791</v>
      </c>
      <c r="B38" s="497"/>
      <c r="C38" s="497"/>
      <c r="D38" s="497"/>
      <c r="E38" s="497"/>
      <c r="F38" s="497"/>
      <c r="G38" s="498"/>
    </row>
    <row r="39" spans="1:7" ht="15.75" thickBot="1">
      <c r="A39" s="496" t="s">
        <v>797</v>
      </c>
      <c r="B39" s="497"/>
      <c r="C39" s="497"/>
      <c r="D39" s="497"/>
      <c r="E39" s="497"/>
      <c r="F39" s="497"/>
      <c r="G39" s="498"/>
    </row>
  </sheetData>
  <sheetProtection formatCells="0" formatColumns="0" formatRows="0" insertColumns="0" insertRows="0" deleteColumns="0" deleteRows="0"/>
  <protectedRanges>
    <protectedRange algorithmName="SHA-512" hashValue="AcDTjHjA8gqQ6FTFjGrK90J4BwckDBvxuwCX4gUWLEmWeLRwaGJQDJl8J5bPdZ6hc+wqjBkbplny6z0gRCbD1w==" saltValue="K3wVTxL8ItBC6b7rKLJN4g==" spinCount="100000" sqref="A1:XFD5 H6:XFD25 A26:XFD1048576" name="Range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AcDTjHjA8gqQ6FTFjGrK90J4BwckDBvxuwCX4gUWLEmWeLRwaGJQDJl8J5bPdZ6hc+wqjBkbplny6z0gRCbD1w==" saltValue="K3wVTxL8ItBC6b7rKLJN4g==" spinCount="100000" sqref="A6:G25" name="Range1_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s>
  <mergeCells count="37">
    <mergeCell ref="A36:G36"/>
    <mergeCell ref="A37:G37"/>
    <mergeCell ref="A39:G39"/>
    <mergeCell ref="A31:G31"/>
    <mergeCell ref="A32:G32"/>
    <mergeCell ref="A33:G33"/>
    <mergeCell ref="A34:G34"/>
    <mergeCell ref="A35:G35"/>
    <mergeCell ref="A38:G38"/>
    <mergeCell ref="A26:G26"/>
    <mergeCell ref="A27:G27"/>
    <mergeCell ref="A28:G28"/>
    <mergeCell ref="A29:G29"/>
    <mergeCell ref="A30:G30"/>
    <mergeCell ref="A15:G15"/>
    <mergeCell ref="A1:G2"/>
    <mergeCell ref="A3:G3"/>
    <mergeCell ref="A4:G4"/>
    <mergeCell ref="A14:G14"/>
    <mergeCell ref="A6:G6"/>
    <mergeCell ref="A7:G7"/>
    <mergeCell ref="A13:G13"/>
    <mergeCell ref="A8:G8"/>
    <mergeCell ref="A9:G9"/>
    <mergeCell ref="A10:G10"/>
    <mergeCell ref="A11:G11"/>
    <mergeCell ref="A12:G12"/>
    <mergeCell ref="A16:G16"/>
    <mergeCell ref="A17:G17"/>
    <mergeCell ref="A18:G18"/>
    <mergeCell ref="A19:G19"/>
    <mergeCell ref="A20:G20"/>
    <mergeCell ref="A25:G25"/>
    <mergeCell ref="A21:G21"/>
    <mergeCell ref="A22:G22"/>
    <mergeCell ref="A23:G23"/>
    <mergeCell ref="A24:G24"/>
  </mergeCells>
  <pageMargins left="0.7" right="0.7" top="0.75" bottom="0.75" header="0.3" footer="0.3"/>
  <pageSetup scale="60" orientation="landscape" r:id="rId1"/>
  <headerFooter>
    <oddHeader>&amp;R&amp;"Times New Roman,Bold"&amp;10KyPSC Case No. 2025-00229
STAFF-DR-01-005(b) Attachment 4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EFBA-E35E-4222-8693-03057374AD29}">
  <sheetPr>
    <tabColor rgb="FF0070C0"/>
    <pageSetUpPr fitToPage="1"/>
  </sheetPr>
  <dimension ref="B1:J34"/>
  <sheetViews>
    <sheetView view="pageLayout" zoomScaleNormal="100" workbookViewId="0">
      <selection activeCell="A4" sqref="A4:J4"/>
    </sheetView>
  </sheetViews>
  <sheetFormatPr defaultRowHeight="15"/>
  <cols>
    <col min="1" max="1" width="2.85546875" customWidth="1"/>
    <col min="2" max="2" width="6.85546875" style="1" customWidth="1"/>
    <col min="3" max="3" width="8.5703125" style="1" bestFit="1" customWidth="1"/>
    <col min="4" max="4" width="14.5703125" style="411" customWidth="1"/>
    <col min="5" max="5" width="76" style="1" customWidth="1"/>
    <col min="6" max="6" width="19.140625" style="1" bestFit="1" customWidth="1"/>
    <col min="7" max="7" width="17.7109375" style="1" bestFit="1" customWidth="1"/>
    <col min="8" max="8" width="15.28515625" style="1" bestFit="1" customWidth="1"/>
    <col min="9" max="9" width="19" style="1" bestFit="1" customWidth="1"/>
    <col min="10" max="10" width="20.28515625" style="1" bestFit="1" customWidth="1"/>
  </cols>
  <sheetData>
    <row r="1" spans="2:10">
      <c r="B1" s="35" t="s">
        <v>42</v>
      </c>
    </row>
    <row r="2" spans="2:10" ht="8.25" customHeight="1" thickBot="1"/>
    <row r="3" spans="2:10" ht="26.25">
      <c r="B3" s="499" t="s">
        <v>44</v>
      </c>
      <c r="C3" s="500"/>
      <c r="D3" s="500"/>
      <c r="E3" s="500"/>
      <c r="F3" s="500"/>
      <c r="G3" s="500"/>
      <c r="H3" s="500"/>
      <c r="I3" s="500"/>
      <c r="J3" s="501"/>
    </row>
    <row r="4" spans="2:10" ht="21">
      <c r="B4" s="456" t="str">
        <f>'Master Tab'!C8</f>
        <v>Line AM07 Pipeline Replacement-Phase 4</v>
      </c>
      <c r="C4" s="502"/>
      <c r="D4" s="502"/>
      <c r="E4" s="502"/>
      <c r="F4" s="502"/>
      <c r="G4" s="502"/>
      <c r="H4" s="502"/>
      <c r="I4" s="502"/>
      <c r="J4" s="457"/>
    </row>
    <row r="5" spans="2:10" ht="21">
      <c r="B5" s="456" t="s">
        <v>45</v>
      </c>
      <c r="C5" s="502"/>
      <c r="D5" s="502"/>
      <c r="E5" s="502"/>
      <c r="F5" s="502"/>
      <c r="G5" s="502"/>
      <c r="H5" s="502"/>
      <c r="I5" s="502"/>
      <c r="J5" s="457"/>
    </row>
    <row r="6" spans="2:10" ht="15.75" thickBot="1">
      <c r="B6" s="504"/>
      <c r="C6" s="505"/>
      <c r="D6" s="505"/>
      <c r="E6" s="505"/>
      <c r="F6" s="505"/>
      <c r="G6" s="503" t="s">
        <v>54</v>
      </c>
      <c r="H6" s="503"/>
      <c r="I6" s="503"/>
      <c r="J6" s="30" t="str">
        <f>'Master Tab'!C6</f>
        <v>E-Initiate</v>
      </c>
    </row>
    <row r="7" spans="2:10" ht="26.25" customHeight="1" thickBot="1">
      <c r="B7" s="34" t="s">
        <v>46</v>
      </c>
      <c r="C7" s="34" t="s">
        <v>43</v>
      </c>
      <c r="D7" s="412" t="s">
        <v>47</v>
      </c>
      <c r="E7" s="34" t="s">
        <v>11</v>
      </c>
      <c r="F7" s="34" t="s">
        <v>48</v>
      </c>
      <c r="G7" s="34" t="s">
        <v>49</v>
      </c>
      <c r="H7" s="34" t="s">
        <v>50</v>
      </c>
      <c r="I7" s="34" t="s">
        <v>55</v>
      </c>
      <c r="J7" s="34" t="s">
        <v>51</v>
      </c>
    </row>
    <row r="8" spans="2:10">
      <c r="B8" s="8">
        <v>1</v>
      </c>
      <c r="C8" s="28" t="s">
        <v>3</v>
      </c>
      <c r="D8" s="413" t="s">
        <v>52</v>
      </c>
      <c r="E8" s="409" t="s">
        <v>53</v>
      </c>
      <c r="F8" s="31">
        <v>0</v>
      </c>
      <c r="G8" s="31">
        <v>0</v>
      </c>
      <c r="H8" s="31">
        <v>0</v>
      </c>
      <c r="I8" s="28" t="s">
        <v>7</v>
      </c>
      <c r="J8" s="9"/>
    </row>
    <row r="9" spans="2:10">
      <c r="B9" s="12">
        <v>2</v>
      </c>
      <c r="C9" s="3" t="s">
        <v>735</v>
      </c>
      <c r="D9" s="414">
        <v>44078</v>
      </c>
      <c r="E9" s="410" t="s">
        <v>736</v>
      </c>
      <c r="F9" s="32">
        <v>0</v>
      </c>
      <c r="G9" s="32">
        <v>34101000</v>
      </c>
      <c r="H9" s="32">
        <v>34101000</v>
      </c>
      <c r="I9" s="3" t="s">
        <v>737</v>
      </c>
      <c r="J9" s="13" t="s">
        <v>738</v>
      </c>
    </row>
    <row r="10" spans="2:10" ht="49.9" customHeight="1">
      <c r="B10" s="12">
        <v>3</v>
      </c>
      <c r="C10" s="3" t="s">
        <v>739</v>
      </c>
      <c r="D10" s="414">
        <v>45260</v>
      </c>
      <c r="E10" s="410" t="s">
        <v>740</v>
      </c>
      <c r="F10" s="32">
        <v>34101000</v>
      </c>
      <c r="G10" s="32">
        <v>63627700</v>
      </c>
      <c r="H10" s="32">
        <v>29526700</v>
      </c>
      <c r="I10" s="3" t="s">
        <v>741</v>
      </c>
      <c r="J10" s="13" t="s">
        <v>742</v>
      </c>
    </row>
    <row r="11" spans="2:10" ht="31.9" customHeight="1">
      <c r="B11" s="12">
        <v>4</v>
      </c>
      <c r="C11" s="3" t="s">
        <v>743</v>
      </c>
      <c r="D11" s="414">
        <v>45371</v>
      </c>
      <c r="E11" s="410" t="s">
        <v>744</v>
      </c>
      <c r="F11" s="32">
        <v>63627700</v>
      </c>
      <c r="G11" s="32">
        <v>44355800</v>
      </c>
      <c r="H11" s="32">
        <v>-19271900</v>
      </c>
      <c r="I11" s="3" t="s">
        <v>741</v>
      </c>
      <c r="J11" s="13" t="s">
        <v>742</v>
      </c>
    </row>
    <row r="12" spans="2:10" ht="30">
      <c r="B12" s="12">
        <v>5</v>
      </c>
      <c r="C12" s="3" t="s">
        <v>745</v>
      </c>
      <c r="D12" s="414">
        <v>45671</v>
      </c>
      <c r="E12" s="410" t="s">
        <v>795</v>
      </c>
      <c r="F12" s="32">
        <f>G11</f>
        <v>44355800</v>
      </c>
      <c r="G12" s="32">
        <f>'Cost Report'!D32</f>
        <v>43136400</v>
      </c>
      <c r="H12" s="32">
        <f>G12-F12</f>
        <v>-1219400</v>
      </c>
      <c r="I12" s="3" t="s">
        <v>746</v>
      </c>
      <c r="J12" s="13" t="s">
        <v>711</v>
      </c>
    </row>
    <row r="13" spans="2:10">
      <c r="B13" s="12">
        <v>6</v>
      </c>
      <c r="C13" s="3"/>
      <c r="D13" s="414"/>
      <c r="E13" s="3"/>
      <c r="F13" s="32"/>
      <c r="G13" s="32"/>
      <c r="H13" s="32"/>
      <c r="I13" s="3"/>
      <c r="J13" s="13"/>
    </row>
    <row r="14" spans="2:10">
      <c r="B14" s="12">
        <v>7</v>
      </c>
      <c r="C14" s="3"/>
      <c r="D14" s="414"/>
      <c r="E14" s="3"/>
      <c r="F14" s="32"/>
      <c r="G14" s="32"/>
      <c r="H14" s="32"/>
      <c r="I14" s="3"/>
      <c r="J14" s="13"/>
    </row>
    <row r="15" spans="2:10">
      <c r="B15" s="12">
        <v>8</v>
      </c>
      <c r="C15" s="3"/>
      <c r="D15" s="414"/>
      <c r="E15" s="3"/>
      <c r="F15" s="32"/>
      <c r="G15" s="32"/>
      <c r="H15" s="32"/>
      <c r="I15" s="3"/>
      <c r="J15" s="13"/>
    </row>
    <row r="16" spans="2:10">
      <c r="B16" s="12">
        <v>9</v>
      </c>
      <c r="C16" s="3"/>
      <c r="D16" s="414"/>
      <c r="E16" s="3"/>
      <c r="F16" s="32"/>
      <c r="G16" s="32"/>
      <c r="H16" s="32"/>
      <c r="I16" s="3"/>
      <c r="J16" s="13"/>
    </row>
    <row r="17" spans="2:10">
      <c r="B17" s="12">
        <v>10</v>
      </c>
      <c r="C17" s="3"/>
      <c r="D17" s="414"/>
      <c r="E17" s="3"/>
      <c r="F17" s="32"/>
      <c r="G17" s="32"/>
      <c r="H17" s="32"/>
      <c r="I17" s="3"/>
      <c r="J17" s="13"/>
    </row>
    <row r="18" spans="2:10">
      <c r="B18" s="12">
        <v>11</v>
      </c>
      <c r="C18" s="3"/>
      <c r="D18" s="414"/>
      <c r="E18" s="3"/>
      <c r="F18" s="32"/>
      <c r="G18" s="32"/>
      <c r="H18" s="32"/>
      <c r="I18" s="3"/>
      <c r="J18" s="13"/>
    </row>
    <row r="19" spans="2:10">
      <c r="B19" s="12">
        <v>12</v>
      </c>
      <c r="C19" s="3"/>
      <c r="D19" s="414"/>
      <c r="E19" s="3"/>
      <c r="F19" s="32"/>
      <c r="G19" s="32"/>
      <c r="H19" s="32"/>
      <c r="I19" s="3"/>
      <c r="J19" s="13"/>
    </row>
    <row r="20" spans="2:10">
      <c r="B20" s="12">
        <v>13</v>
      </c>
      <c r="C20" s="3"/>
      <c r="D20" s="414"/>
      <c r="E20" s="3"/>
      <c r="F20" s="32"/>
      <c r="G20" s="32"/>
      <c r="H20" s="32"/>
      <c r="I20" s="3"/>
      <c r="J20" s="13"/>
    </row>
    <row r="21" spans="2:10">
      <c r="B21" s="12">
        <v>14</v>
      </c>
      <c r="C21" s="3"/>
      <c r="D21" s="414"/>
      <c r="E21" s="3"/>
      <c r="F21" s="32"/>
      <c r="G21" s="32"/>
      <c r="H21" s="32"/>
      <c r="I21" s="3"/>
      <c r="J21" s="13"/>
    </row>
    <row r="22" spans="2:10">
      <c r="B22" s="12">
        <v>15</v>
      </c>
      <c r="C22" s="3"/>
      <c r="D22" s="414"/>
      <c r="E22" s="3"/>
      <c r="F22" s="32"/>
      <c r="G22" s="32"/>
      <c r="H22" s="32"/>
      <c r="I22" s="3"/>
      <c r="J22" s="13"/>
    </row>
    <row r="23" spans="2:10">
      <c r="B23" s="12">
        <v>16</v>
      </c>
      <c r="C23" s="3"/>
      <c r="D23" s="414"/>
      <c r="E23" s="3"/>
      <c r="F23" s="32"/>
      <c r="G23" s="32"/>
      <c r="H23" s="32"/>
      <c r="I23" s="3"/>
      <c r="J23" s="13"/>
    </row>
    <row r="24" spans="2:10">
      <c r="B24" s="12">
        <v>17</v>
      </c>
      <c r="C24" s="3"/>
      <c r="D24" s="414"/>
      <c r="E24" s="3"/>
      <c r="F24" s="32"/>
      <c r="G24" s="32"/>
      <c r="H24" s="32"/>
      <c r="I24" s="3"/>
      <c r="J24" s="13"/>
    </row>
    <row r="25" spans="2:10">
      <c r="B25" s="12">
        <v>18</v>
      </c>
      <c r="C25" s="3"/>
      <c r="D25" s="414"/>
      <c r="E25" s="3"/>
      <c r="F25" s="32"/>
      <c r="G25" s="32"/>
      <c r="H25" s="32"/>
      <c r="I25" s="3"/>
      <c r="J25" s="13"/>
    </row>
    <row r="26" spans="2:10">
      <c r="B26" s="12">
        <v>19</v>
      </c>
      <c r="C26" s="3"/>
      <c r="D26" s="414"/>
      <c r="E26" s="3"/>
      <c r="F26" s="32"/>
      <c r="G26" s="32"/>
      <c r="H26" s="32"/>
      <c r="I26" s="3"/>
      <c r="J26" s="13"/>
    </row>
    <row r="27" spans="2:10">
      <c r="B27" s="12">
        <v>20</v>
      </c>
      <c r="C27" s="3"/>
      <c r="D27" s="414"/>
      <c r="E27" s="3"/>
      <c r="F27" s="32"/>
      <c r="G27" s="32"/>
      <c r="H27" s="32"/>
      <c r="I27" s="3"/>
      <c r="J27" s="13"/>
    </row>
    <row r="28" spans="2:10">
      <c r="B28" s="12">
        <v>21</v>
      </c>
      <c r="C28" s="3"/>
      <c r="D28" s="414"/>
      <c r="E28" s="3"/>
      <c r="F28" s="32"/>
      <c r="G28" s="32"/>
      <c r="H28" s="32"/>
      <c r="I28" s="3"/>
      <c r="J28" s="13"/>
    </row>
    <row r="29" spans="2:10">
      <c r="B29" s="12">
        <v>22</v>
      </c>
      <c r="C29" s="3"/>
      <c r="D29" s="414"/>
      <c r="E29" s="3"/>
      <c r="F29" s="32"/>
      <c r="G29" s="32"/>
      <c r="H29" s="32"/>
      <c r="I29" s="3"/>
      <c r="J29" s="13"/>
    </row>
    <row r="30" spans="2:10">
      <c r="B30" s="12">
        <v>23</v>
      </c>
      <c r="C30" s="3"/>
      <c r="D30" s="414"/>
      <c r="E30" s="3"/>
      <c r="F30" s="32"/>
      <c r="G30" s="32"/>
      <c r="H30" s="32"/>
      <c r="I30" s="3"/>
      <c r="J30" s="13"/>
    </row>
    <row r="31" spans="2:10">
      <c r="B31" s="12">
        <v>24</v>
      </c>
      <c r="C31" s="3"/>
      <c r="D31" s="414"/>
      <c r="E31" s="3"/>
      <c r="F31" s="32"/>
      <c r="G31" s="32"/>
      <c r="H31" s="32"/>
      <c r="I31" s="3"/>
      <c r="J31" s="13"/>
    </row>
    <row r="32" spans="2:10">
      <c r="B32" s="12">
        <v>25</v>
      </c>
      <c r="C32" s="3"/>
      <c r="D32" s="414"/>
      <c r="E32" s="3"/>
      <c r="F32" s="32"/>
      <c r="G32" s="32"/>
      <c r="H32" s="32"/>
      <c r="I32" s="3"/>
      <c r="J32" s="13"/>
    </row>
    <row r="33" spans="2:10">
      <c r="B33" s="12">
        <v>26</v>
      </c>
      <c r="C33" s="3"/>
      <c r="D33" s="414"/>
      <c r="E33" s="3"/>
      <c r="F33" s="32"/>
      <c r="G33" s="32"/>
      <c r="H33" s="32"/>
      <c r="I33" s="3"/>
      <c r="J33" s="13"/>
    </row>
    <row r="34" spans="2:10" ht="15.75" thickBot="1">
      <c r="B34" s="10"/>
      <c r="C34" s="29"/>
      <c r="D34" s="415"/>
      <c r="E34" s="29"/>
      <c r="F34" s="33"/>
      <c r="G34" s="33"/>
      <c r="H34" s="33"/>
      <c r="I34" s="29"/>
      <c r="J34" s="11"/>
    </row>
  </sheetData>
  <protectedRanges>
    <protectedRange algorithmName="SHA-512" hashValue="KUZzOaajJlYykLfdsNW3FRpKsbwmwpAr/41fapyxfUrNcEvkmZ8oJVUTFxWoCsp5Aq0HhUrDqg5xa6dvpONxhQ==" saltValue="1XzJvVSOwsMcfJsKA0bO2g==" spinCount="100000" sqref="B3:J34" name="Range1" securityDescriptor="O:WDG:WDD:(A;;CC;;;S-1-5-21-577582919-1435025626-1914702595-4020469)(A;;CC;;;S-1-5-21-577582919-1435025626-1914702595-3758999)(A;;CC;;;S-1-5-21-577582919-1435025626-1914702595-3758875)(A;;CC;;;S-1-5-21-577582919-1435025626-1914702595-4023729)(A;;CC;;;S-1-5-21-577582919-1435025626-1914702595-3758127)"/>
  </protectedRanges>
  <mergeCells count="5">
    <mergeCell ref="B3:J3"/>
    <mergeCell ref="B4:J4"/>
    <mergeCell ref="B5:J5"/>
    <mergeCell ref="G6:I6"/>
    <mergeCell ref="B6:F6"/>
  </mergeCells>
  <pageMargins left="0.7" right="0.7" top="0.75" bottom="0.75" header="0.3" footer="0.3"/>
  <pageSetup scale="61" orientation="landscape" r:id="rId1"/>
  <headerFooter>
    <oddHeader>&amp;R&amp;"Times New Roman,Bold"&amp;10KyPSC Case No. 2025-00229
STAFF-DR-01-005(b) Attachment 4
Page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B55C-E7A0-4F76-9B9E-95580C345972}">
  <sheetPr>
    <tabColor rgb="FF0070C0"/>
    <pageSetUpPr fitToPage="1"/>
  </sheetPr>
  <dimension ref="A1:L73"/>
  <sheetViews>
    <sheetView view="pageLayout" zoomScaleNormal="100" workbookViewId="0">
      <selection activeCell="A4" sqref="A4:J4"/>
    </sheetView>
  </sheetViews>
  <sheetFormatPr defaultRowHeight="15"/>
  <cols>
    <col min="1" max="1" width="0.7109375" customWidth="1"/>
    <col min="2" max="2" width="10.85546875" customWidth="1"/>
    <col min="3" max="3" width="26.28515625" customWidth="1"/>
    <col min="4" max="4" width="22.85546875" customWidth="1"/>
    <col min="5" max="5" width="1" customWidth="1"/>
    <col min="6" max="6" width="21.7109375" customWidth="1"/>
    <col min="7" max="7" width="21.7109375" style="1" customWidth="1"/>
    <col min="8" max="8" width="1" customWidth="1"/>
    <col min="9" max="9" width="21.7109375" customWidth="1"/>
    <col min="10" max="10" width="1.42578125" bestFit="1" customWidth="1"/>
    <col min="11" max="11" width="10.5703125" bestFit="1" customWidth="1"/>
    <col min="12" max="12" width="7" bestFit="1" customWidth="1"/>
  </cols>
  <sheetData>
    <row r="1" spans="1:10" ht="3.75" customHeight="1" thickBot="1">
      <c r="B1" s="4"/>
      <c r="C1" s="4"/>
      <c r="D1" s="4"/>
      <c r="E1" s="4"/>
      <c r="F1" s="4"/>
      <c r="G1" s="7"/>
      <c r="H1" s="4"/>
      <c r="I1" s="4"/>
    </row>
    <row r="2" spans="1:10" ht="31.5">
      <c r="A2" s="27"/>
      <c r="B2" s="508" t="str">
        <f>'Master Tab'!C8</f>
        <v>Line AM07 Pipeline Replacement-Phase 4</v>
      </c>
      <c r="C2" s="508"/>
      <c r="D2" s="508"/>
      <c r="E2" s="508"/>
      <c r="F2" s="508"/>
      <c r="G2" s="508"/>
      <c r="H2" s="508"/>
      <c r="I2" s="508"/>
      <c r="J2" s="36"/>
    </row>
    <row r="3" spans="1:10" ht="21">
      <c r="A3" s="27"/>
      <c r="B3" s="509" t="str">
        <f>'Master Tab'!C12</f>
        <v>Erlanger, KY</v>
      </c>
      <c r="C3" s="510"/>
      <c r="D3" s="510"/>
      <c r="E3" s="510"/>
      <c r="F3" s="510"/>
      <c r="G3" s="510"/>
      <c r="H3" s="510"/>
      <c r="I3" s="510"/>
      <c r="J3" s="36"/>
    </row>
    <row r="4" spans="1:10" ht="18.75">
      <c r="A4" s="27"/>
      <c r="B4" s="511" t="s">
        <v>56</v>
      </c>
      <c r="C4" s="511"/>
      <c r="D4" s="511"/>
      <c r="E4" s="511"/>
      <c r="F4" s="511"/>
      <c r="G4" s="511"/>
      <c r="H4" s="511"/>
      <c r="I4" s="511"/>
      <c r="J4" s="36"/>
    </row>
    <row r="5" spans="1:10" ht="18.75">
      <c r="A5" s="27"/>
      <c r="B5" s="511" t="str">
        <f>'Master Tab'!C24</f>
        <v>GD70 - Kentucky</v>
      </c>
      <c r="C5" s="511"/>
      <c r="D5" s="511"/>
      <c r="E5" s="511"/>
      <c r="F5" s="511"/>
      <c r="G5" s="511"/>
      <c r="H5" s="511"/>
      <c r="I5" s="511"/>
      <c r="J5" s="36"/>
    </row>
    <row r="6" spans="1:10" ht="15.75" thickBot="1">
      <c r="A6" s="27"/>
      <c r="B6" s="515">
        <f>'Master Tab'!C9</f>
        <v>45671</v>
      </c>
      <c r="C6" s="516"/>
      <c r="D6" s="516"/>
      <c r="E6" s="516"/>
      <c r="F6" s="516"/>
      <c r="G6" s="516"/>
      <c r="H6" s="516"/>
      <c r="I6" s="516"/>
      <c r="J6" s="36"/>
    </row>
    <row r="7" spans="1:10" ht="30" customHeight="1" thickBot="1">
      <c r="A7" s="27"/>
      <c r="B7" s="243" t="s">
        <v>2</v>
      </c>
      <c r="C7" s="242" t="str">
        <f>'Master Tab'!C6</f>
        <v>E-Initiate</v>
      </c>
      <c r="D7" s="513" t="s">
        <v>57</v>
      </c>
      <c r="E7" s="54"/>
      <c r="F7" s="512" t="s">
        <v>58</v>
      </c>
      <c r="G7" s="512"/>
      <c r="H7" s="56" t="s">
        <v>7</v>
      </c>
      <c r="I7" s="408"/>
      <c r="J7" s="36"/>
    </row>
    <row r="8" spans="1:10" ht="15.75" thickBot="1">
      <c r="A8" s="27"/>
      <c r="B8" s="44"/>
      <c r="C8" s="45"/>
      <c r="D8" s="514"/>
      <c r="E8" s="55"/>
      <c r="F8" s="118" t="s">
        <v>150</v>
      </c>
      <c r="G8" s="49" t="s">
        <v>770</v>
      </c>
      <c r="H8" s="57"/>
      <c r="I8" s="52" t="s">
        <v>794</v>
      </c>
      <c r="J8" s="36"/>
    </row>
    <row r="9" spans="1:10" ht="15.75" thickBot="1">
      <c r="A9" s="27"/>
      <c r="B9" s="44"/>
      <c r="C9" s="45"/>
      <c r="D9" s="514"/>
      <c r="E9" s="55"/>
      <c r="F9" s="118" t="s">
        <v>151</v>
      </c>
      <c r="G9" s="49" t="s">
        <v>771</v>
      </c>
      <c r="H9" s="57"/>
      <c r="I9" s="52" t="s">
        <v>793</v>
      </c>
      <c r="J9" s="36"/>
    </row>
    <row r="10" spans="1:10" ht="21.75" thickBot="1">
      <c r="A10" s="27"/>
      <c r="B10" s="46" t="s">
        <v>60</v>
      </c>
      <c r="C10" s="47" t="s">
        <v>11</v>
      </c>
      <c r="D10" s="514"/>
      <c r="E10" s="55"/>
      <c r="F10" s="50" t="s">
        <v>61</v>
      </c>
      <c r="G10" s="51" t="s">
        <v>91</v>
      </c>
      <c r="H10" s="57"/>
      <c r="I10" s="53" t="s">
        <v>545</v>
      </c>
      <c r="J10" s="36"/>
    </row>
    <row r="11" spans="1:10">
      <c r="A11" s="27"/>
      <c r="B11" s="37" t="s">
        <v>62</v>
      </c>
      <c r="C11" s="40" t="s">
        <v>6</v>
      </c>
      <c r="D11" s="59">
        <f t="shared" ref="D11:D22" si="0">SUM(G11:I11)</f>
        <v>2193600</v>
      </c>
      <c r="E11" s="60"/>
      <c r="F11" s="61">
        <f t="shared" ref="F11:F22" si="1">SUM(G11:G11)</f>
        <v>2171600</v>
      </c>
      <c r="G11" s="61">
        <f>CEILING('Pipeline 1'!$I$27,100)</f>
        <v>2171600</v>
      </c>
      <c r="H11" s="62"/>
      <c r="I11" s="63">
        <f>CEILING('Demo 1'!$I$13,100)</f>
        <v>22000</v>
      </c>
      <c r="J11" s="36"/>
    </row>
    <row r="12" spans="1:10">
      <c r="A12" s="27"/>
      <c r="B12" s="38" t="s">
        <v>63</v>
      </c>
      <c r="C12" s="41" t="s">
        <v>321</v>
      </c>
      <c r="D12" s="64">
        <f t="shared" si="0"/>
        <v>2500000</v>
      </c>
      <c r="E12" s="60"/>
      <c r="F12" s="65">
        <f t="shared" si="1"/>
        <v>2500000</v>
      </c>
      <c r="G12" s="65">
        <f>SUM('Pipeline 1'!$H$30:$H$35)</f>
        <v>2500000</v>
      </c>
      <c r="H12" s="62"/>
      <c r="I12" s="66">
        <v>0</v>
      </c>
      <c r="J12" s="36" t="s">
        <v>7</v>
      </c>
    </row>
    <row r="13" spans="1:10">
      <c r="A13" s="27"/>
      <c r="B13" s="38" t="s">
        <v>63</v>
      </c>
      <c r="C13" s="41" t="s">
        <v>322</v>
      </c>
      <c r="D13" s="64">
        <f t="shared" si="0"/>
        <v>1035800</v>
      </c>
      <c r="E13" s="60"/>
      <c r="F13" s="65">
        <f t="shared" si="1"/>
        <v>1035800</v>
      </c>
      <c r="G13" s="65">
        <f>SUM('Pipeline 1'!$H$36:$H$41)</f>
        <v>1035800</v>
      </c>
      <c r="H13" s="62"/>
      <c r="I13" s="66">
        <f>SUM('Demo 1'!$H$16:$H$18)</f>
        <v>0</v>
      </c>
      <c r="J13" s="36"/>
    </row>
    <row r="14" spans="1:10">
      <c r="A14" s="27"/>
      <c r="B14" s="38" t="s">
        <v>63</v>
      </c>
      <c r="C14" s="41" t="s">
        <v>64</v>
      </c>
      <c r="D14" s="64">
        <f t="shared" si="0"/>
        <v>358300</v>
      </c>
      <c r="E14" s="60"/>
      <c r="F14" s="65">
        <f t="shared" si="1"/>
        <v>358300</v>
      </c>
      <c r="G14" s="65">
        <f>SUM('Pipeline 1'!$H$42)</f>
        <v>358300</v>
      </c>
      <c r="H14" s="62"/>
      <c r="I14" s="66">
        <f>'Demo 1'!$H$19</f>
        <v>0</v>
      </c>
      <c r="J14" s="36"/>
    </row>
    <row r="15" spans="1:10">
      <c r="A15" s="27"/>
      <c r="B15" s="38" t="s">
        <v>63</v>
      </c>
      <c r="C15" s="41" t="s">
        <v>65</v>
      </c>
      <c r="D15" s="64">
        <f t="shared" si="0"/>
        <v>30000</v>
      </c>
      <c r="E15" s="60"/>
      <c r="F15" s="65">
        <f t="shared" si="1"/>
        <v>30000</v>
      </c>
      <c r="G15" s="65">
        <f>SUM('Pipeline 1'!$H$43)</f>
        <v>30000</v>
      </c>
      <c r="H15" s="62"/>
      <c r="I15" s="66">
        <v>0</v>
      </c>
      <c r="J15" s="36"/>
    </row>
    <row r="16" spans="1:10">
      <c r="A16" s="27"/>
      <c r="B16" s="38" t="s">
        <v>66</v>
      </c>
      <c r="C16" s="41" t="s">
        <v>67</v>
      </c>
      <c r="D16" s="64">
        <f t="shared" si="0"/>
        <v>4586700</v>
      </c>
      <c r="E16" s="60"/>
      <c r="F16" s="65">
        <f t="shared" si="1"/>
        <v>4580500</v>
      </c>
      <c r="G16" s="65">
        <f>CEILING('Pipeline 1'!$I$206,100)</f>
        <v>4580500</v>
      </c>
      <c r="H16" s="62"/>
      <c r="I16" s="66">
        <f>CEILING('Demo 1'!$I$54,100)</f>
        <v>6200</v>
      </c>
      <c r="J16" s="36"/>
    </row>
    <row r="17" spans="1:12">
      <c r="A17" s="27"/>
      <c r="B17" s="38" t="s">
        <v>68</v>
      </c>
      <c r="C17" s="41" t="s">
        <v>69</v>
      </c>
      <c r="D17" s="64">
        <f t="shared" si="0"/>
        <v>16585600</v>
      </c>
      <c r="E17" s="60"/>
      <c r="F17" s="65">
        <f t="shared" si="1"/>
        <v>16317800</v>
      </c>
      <c r="G17" s="65">
        <f>CEILING('Pipeline 1'!$I$170,100)</f>
        <v>16317800</v>
      </c>
      <c r="H17" s="62"/>
      <c r="I17" s="66">
        <f>CEILING('Demo 1'!$I$41,100)</f>
        <v>267800</v>
      </c>
      <c r="J17" s="36"/>
    </row>
    <row r="18" spans="1:12">
      <c r="A18" s="27"/>
      <c r="B18" s="38" t="s">
        <v>70</v>
      </c>
      <c r="C18" s="41" t="s">
        <v>71</v>
      </c>
      <c r="D18" s="64">
        <f t="shared" si="0"/>
        <v>0</v>
      </c>
      <c r="E18" s="60"/>
      <c r="F18" s="65">
        <f t="shared" si="1"/>
        <v>0</v>
      </c>
      <c r="G18" s="71">
        <v>0</v>
      </c>
      <c r="H18" s="62"/>
      <c r="I18" s="128">
        <v>0</v>
      </c>
      <c r="J18" s="36"/>
    </row>
    <row r="19" spans="1:12">
      <c r="A19" s="27"/>
      <c r="B19" s="38" t="s">
        <v>185</v>
      </c>
      <c r="C19" s="41" t="s">
        <v>72</v>
      </c>
      <c r="D19" s="64">
        <f t="shared" si="0"/>
        <v>2316700</v>
      </c>
      <c r="E19" s="60"/>
      <c r="F19" s="65">
        <f t="shared" si="1"/>
        <v>2284500</v>
      </c>
      <c r="G19" s="65">
        <f>CEILING('Pipeline 1'!$H$173,100)</f>
        <v>2284500</v>
      </c>
      <c r="H19" s="62"/>
      <c r="I19" s="66">
        <f>CEILING('Demo 1'!$H$44,100)</f>
        <v>32200</v>
      </c>
      <c r="J19" s="36" t="s">
        <v>7</v>
      </c>
    </row>
    <row r="20" spans="1:12">
      <c r="A20" s="27"/>
      <c r="B20" s="38" t="s">
        <v>185</v>
      </c>
      <c r="C20" s="41" t="s">
        <v>494</v>
      </c>
      <c r="D20" s="64">
        <f t="shared" si="0"/>
        <v>285600</v>
      </c>
      <c r="E20" s="60"/>
      <c r="F20" s="65">
        <f t="shared" si="1"/>
        <v>285600</v>
      </c>
      <c r="G20" s="65">
        <f>CEILING('Pipeline 1'!$H$174,100)</f>
        <v>285600</v>
      </c>
      <c r="H20" s="62"/>
      <c r="I20" s="66">
        <f>CEILING('Demo 1'!$H$45,100)</f>
        <v>0</v>
      </c>
      <c r="J20" s="36" t="s">
        <v>7</v>
      </c>
    </row>
    <row r="21" spans="1:12">
      <c r="A21" s="27"/>
      <c r="B21" s="38" t="s">
        <v>73</v>
      </c>
      <c r="C21" s="41" t="s">
        <v>697</v>
      </c>
      <c r="D21" s="64">
        <f t="shared" si="0"/>
        <v>1012000</v>
      </c>
      <c r="E21" s="60"/>
      <c r="F21" s="65">
        <f t="shared" si="1"/>
        <v>943000</v>
      </c>
      <c r="G21" s="65">
        <f>CEILING('Pipeline 1'!$H$5,100)</f>
        <v>943000</v>
      </c>
      <c r="H21" s="62"/>
      <c r="I21" s="66">
        <f>CEILING('Demo 1'!$H$5,100)</f>
        <v>69000</v>
      </c>
      <c r="J21" s="36" t="s">
        <v>7</v>
      </c>
    </row>
    <row r="22" spans="1:12" ht="15.75" thickBot="1">
      <c r="A22" s="27"/>
      <c r="B22" s="39" t="s">
        <v>75</v>
      </c>
      <c r="C22" s="42" t="s">
        <v>76</v>
      </c>
      <c r="D22" s="67">
        <f t="shared" si="0"/>
        <v>55200</v>
      </c>
      <c r="E22" s="60"/>
      <c r="F22" s="68">
        <f t="shared" si="1"/>
        <v>50600</v>
      </c>
      <c r="G22" s="68">
        <f>CEILING('Pipeline 1'!$H$6,100)</f>
        <v>50600</v>
      </c>
      <c r="H22" s="62"/>
      <c r="I22" s="69">
        <f>CEILING('Demo 1'!$H$6,100)</f>
        <v>4600</v>
      </c>
      <c r="J22" s="36"/>
    </row>
    <row r="23" spans="1:12" s="48" customFormat="1" ht="15.75" thickBot="1">
      <c r="A23" s="72"/>
      <c r="B23" s="519" t="s">
        <v>77</v>
      </c>
      <c r="C23" s="520"/>
      <c r="D23" s="73">
        <f>SUM(D11:D22)</f>
        <v>30959500</v>
      </c>
      <c r="E23" s="74"/>
      <c r="F23" s="75">
        <f t="shared" ref="F23:G23" si="2">SUM(F11:F22)</f>
        <v>30557700</v>
      </c>
      <c r="G23" s="75">
        <f t="shared" si="2"/>
        <v>30557700</v>
      </c>
      <c r="H23" s="76"/>
      <c r="I23" s="75">
        <f>SUM(I11:I22)</f>
        <v>401800</v>
      </c>
      <c r="J23" s="248"/>
    </row>
    <row r="24" spans="1:12">
      <c r="A24" s="27"/>
      <c r="B24" s="37" t="s">
        <v>7</v>
      </c>
      <c r="C24" s="43" t="s">
        <v>78</v>
      </c>
      <c r="D24" s="70">
        <f>SUM(G24:I24)</f>
        <v>4644000</v>
      </c>
      <c r="E24" s="60"/>
      <c r="F24" s="61">
        <f>SUM(G24:G24)</f>
        <v>4583700</v>
      </c>
      <c r="G24" s="61">
        <f>CEILING('Pipeline 1'!$I$209,100)</f>
        <v>4583700</v>
      </c>
      <c r="H24" s="62"/>
      <c r="I24" s="63">
        <f>CEILING('Demo 1'!$I$57,100)</f>
        <v>60300</v>
      </c>
      <c r="J24" s="36"/>
    </row>
    <row r="25" spans="1:12" ht="15.75" thickBot="1">
      <c r="A25" s="27"/>
      <c r="B25" s="39" t="s">
        <v>7</v>
      </c>
      <c r="C25" s="42" t="s">
        <v>79</v>
      </c>
      <c r="D25" s="67">
        <f>SUM(G25:I25)</f>
        <v>479700</v>
      </c>
      <c r="E25" s="60"/>
      <c r="F25" s="68">
        <f>SUM(G25:G25)</f>
        <v>472200</v>
      </c>
      <c r="G25" s="68">
        <f>CEILING('Pipeline 1'!$I$208,100)</f>
        <v>472200</v>
      </c>
      <c r="H25" s="62"/>
      <c r="I25" s="69">
        <f>CEILING('Demo 1'!$I$56,100)</f>
        <v>7500</v>
      </c>
      <c r="J25" s="36"/>
    </row>
    <row r="26" spans="1:12" s="48" customFormat="1" ht="15.75" thickBot="1">
      <c r="A26" s="72"/>
      <c r="B26" s="523" t="s">
        <v>80</v>
      </c>
      <c r="C26" s="524"/>
      <c r="D26" s="155">
        <f>SUM(D24:D25)</f>
        <v>5123700</v>
      </c>
      <c r="E26" s="74"/>
      <c r="F26" s="157">
        <f t="shared" ref="F26:G26" si="3">SUM(F24:F25)</f>
        <v>5055900</v>
      </c>
      <c r="G26" s="157">
        <f t="shared" si="3"/>
        <v>5055900</v>
      </c>
      <c r="H26" s="76"/>
      <c r="I26" s="157">
        <f>SUM(I24:I25)</f>
        <v>67800</v>
      </c>
      <c r="J26" s="248"/>
    </row>
    <row r="27" spans="1:12" ht="5.25" customHeight="1" thickBot="1">
      <c r="B27" s="58"/>
      <c r="C27" s="159"/>
      <c r="D27" s="160"/>
      <c r="E27" s="62"/>
      <c r="F27" s="161"/>
      <c r="G27" s="161"/>
      <c r="H27" s="62"/>
      <c r="I27" s="161"/>
      <c r="J27" s="36"/>
    </row>
    <row r="28" spans="1:12" s="48" customFormat="1" ht="15.75" thickBot="1">
      <c r="A28" s="72"/>
      <c r="B28" s="521" t="s">
        <v>81</v>
      </c>
      <c r="C28" s="522"/>
      <c r="D28" s="158">
        <f>SUM(D23,D26)</f>
        <v>36083200</v>
      </c>
      <c r="E28" s="74"/>
      <c r="F28" s="156">
        <f>SUM(F26,F23)</f>
        <v>35613600</v>
      </c>
      <c r="G28" s="156">
        <f t="shared" ref="G28" si="4">SUM(G23,G26)</f>
        <v>35613600</v>
      </c>
      <c r="H28" s="76"/>
      <c r="I28" s="156">
        <f>SUM(I23,I26)</f>
        <v>469600</v>
      </c>
      <c r="J28" s="248"/>
    </row>
    <row r="29" spans="1:12">
      <c r="A29" s="27"/>
      <c r="B29" s="38" t="s">
        <v>311</v>
      </c>
      <c r="C29" s="41" t="s">
        <v>82</v>
      </c>
      <c r="D29" s="64">
        <f>SUM(G29:I29)</f>
        <v>1814300</v>
      </c>
      <c r="E29" s="60"/>
      <c r="F29" s="65">
        <f>SUM(G29:G29)</f>
        <v>1814300</v>
      </c>
      <c r="G29" s="65">
        <f>CEILING((IF('Master Tab'!$C$10=1,AFUDC!$F$49,IF('Master Tab'!$C$10=2,AFUDC!$F$50,AFUDC!$F$51))*('Cost Report'!G23/'Cost Report'!$F$23))/2,100)</f>
        <v>1814300</v>
      </c>
      <c r="H29" s="62"/>
      <c r="I29" s="66">
        <v>0</v>
      </c>
      <c r="J29" s="36"/>
      <c r="K29" s="169" t="s">
        <v>90</v>
      </c>
      <c r="L29" s="169" cm="1">
        <f t="array" ref="L29">_xlfn.IFS('Master Tab'!C24='Cost Report'!C41,'Cost Report'!F41,'Master Tab'!C24='Cost Report'!C42,'Cost Report'!F42,'Master Tab'!C24='Cost Report'!C43,'Cost Report'!F43,'Master Tab'!C24='Cost Report'!C44,'Cost Report'!F44,'Master Tab'!C24='Cost Report'!C45,'Cost Report'!F45,'Master Tab'!C24='Cost Report'!C46,'Cost Report'!F46,'Master Tab'!C24='Cost Report'!C47,'Cost Report'!F47,'Master Tab'!C24='Cost Report'!C48,'Cost Report'!F48,'Master Tab'!C24='Cost Report'!C49,'Cost Report'!F49,'Master Tab'!C24='Cost Report'!C50,'Cost Report'!F50,'Master Tab'!C24='Cost Report'!C51,'Cost Report'!F51,'Master Tab'!C24='Cost Report'!C52,'Cost Report'!F52,'Master Tab'!C24='Cost Report'!C53,'Cost Report'!F53,'Master Tab'!C24='Cost Report'!C54,'Cost Report'!F54,'Master Tab'!C24='Cost Report'!C55,'Cost Report'!F55,'Master Tab'!C24='Cost Report'!C56,'Cost Report'!F56,'Master Tab'!C24='Cost Report'!C57,'Cost Report'!F57,'Master Tab'!C24='Cost Report'!C58,'Cost Report'!F58,'Master Tab'!C24='Cost Report'!C59,'Cost Report'!F59,'Master Tab'!C24='Cost Report'!C60,'Cost Report'!F60,'Master Tab'!C24='Cost Report'!C61,'Cost Report'!F61,'Master Tab'!C24='Cost Report'!C62,'Cost Report'!F62,'Master Tab'!C24='Cost Report'!C63,'Cost Report'!F63,'Master Tab'!C24='Cost Report'!C64,'Cost Report'!F64,'Master Tab'!C24='Cost Report'!C65,'Cost Report'!F65,'Master Tab'!C24='Cost Report'!C66,'Cost Report'!F66,'Master Tab'!C24='Cost Report'!C67,'Cost Report'!F67,'Master Tab'!C24='Cost Report'!C68,'Cost Report'!F68,'Master Tab'!C24='Cost Report'!C69,'Cost Report'!F69,'Master Tab'!C24='Cost Report'!C70,'Cost Report'!F70,'Master Tab'!C24='Cost Report'!C71,'Cost Report'!F71,'Master Tab'!C24='Cost Report'!C72,'Cost Report'!F72)</f>
        <v>7.0000000000000007E-2</v>
      </c>
    </row>
    <row r="30" spans="1:12" ht="15.75" thickBot="1">
      <c r="A30" s="27"/>
      <c r="B30" s="39" t="s">
        <v>83</v>
      </c>
      <c r="C30" s="42" t="s">
        <v>84</v>
      </c>
      <c r="D30" s="67">
        <f>SUM(G30:I30)</f>
        <v>5238900</v>
      </c>
      <c r="E30" s="60"/>
      <c r="F30" s="68">
        <f>SUM(G30:G30)</f>
        <v>5150800</v>
      </c>
      <c r="G30" s="68">
        <f>CEILING((SUM(G11,G17:G22,G24:G25)*$L$30),100)</f>
        <v>5150800</v>
      </c>
      <c r="H30" s="62"/>
      <c r="I30" s="69">
        <f>CEILING((SUM(I11,I17:I22,I24:I25)*$L$30),100)</f>
        <v>88100</v>
      </c>
      <c r="J30" s="36"/>
      <c r="K30" s="169" t="s">
        <v>85</v>
      </c>
      <c r="L30" s="169" cm="1">
        <f t="array" ref="L30">_xlfn.IFS('Master Tab'!C24='Cost Report'!C42,'Cost Report'!D42,'Master Tab'!C24='Cost Report'!C43,'Cost Report'!D43,'Master Tab'!C24='Cost Report'!C44,'Cost Report'!D44,'Master Tab'!C24='Cost Report'!C45,'Cost Report'!D45,'Master Tab'!C24='Cost Report'!C46,'Cost Report'!D46,'Master Tab'!C24='Cost Report'!C47,'Cost Report'!D47,'Master Tab'!C24='Cost Report'!C48,'Cost Report'!D48,'Master Tab'!C24='Cost Report'!C49,'Cost Report'!D49,'Master Tab'!C24='Cost Report'!C50,'Cost Report'!D50,'Master Tab'!C24='Cost Report'!C51,'Cost Report'!D51,'Master Tab'!C24='Cost Report'!C52,'Cost Report'!D52,'Master Tab'!C24='Cost Report'!C53,'Cost Report'!D53,'Master Tab'!C24='Cost Report'!C54,'Cost Report'!D54,'Master Tab'!C24='Cost Report'!C55,'Cost Report'!D55,'Master Tab'!C24='Cost Report'!C56,'Cost Report'!D56,'Master Tab'!C24='Cost Report'!C57,'Cost Report'!D57,'Master Tab'!C24='Cost Report'!C58,'Cost Report'!D58,'Master Tab'!C24='Cost Report'!C59,'Cost Report'!D59,'Master Tab'!C24='Cost Report'!C60,'Cost Report'!D60,'Master Tab'!C24='Cost Report'!C61,'Cost Report'!D61,'Master Tab'!C24='Cost Report'!C62,'Cost Report'!D62,'Master Tab'!C24='Cost Report'!C63,'Cost Report'!D63,'Master Tab'!C24='Cost Report'!C64,'Cost Report'!D64,'Master Tab'!C24='Cost Report'!C65,'Cost Report'!D65,'Master Tab'!C24='Cost Report'!C66,'Cost Report'!D66,'Master Tab'!C24='Cost Report'!C67,'Cost Report'!D67,'Master Tab'!C24='Cost Report'!C68,'Cost Report'!D68,'Master Tab'!C24='Cost Report'!C69,'Cost Report'!D69,'Master Tab'!C24='Cost Report'!C70,'Cost Report'!D70,'Master Tab'!C24='Cost Report'!C71,'Cost Report'!D71,'Master Tab'!C24='Cost Report'!C72,'Cost Report'!D72,'Master Tab'!C24='Cost Report'!C73,'Cost Report'!D73,'Master Tab'!C24='Cost Report'!C41,'Cost Report'!D41)</f>
        <v>0.19</v>
      </c>
    </row>
    <row r="31" spans="1:12" s="48" customFormat="1" ht="15.75" thickBot="1">
      <c r="A31" s="72"/>
      <c r="B31" s="519" t="s">
        <v>86</v>
      </c>
      <c r="C31" s="520"/>
      <c r="D31" s="73">
        <f>SUM(D29:D30)</f>
        <v>7053200</v>
      </c>
      <c r="E31" s="74"/>
      <c r="F31" s="75">
        <f t="shared" ref="F31:G31" si="5">SUM(F29:F30)</f>
        <v>6965100</v>
      </c>
      <c r="G31" s="75">
        <f t="shared" si="5"/>
        <v>6965100</v>
      </c>
      <c r="H31" s="76"/>
      <c r="I31" s="75">
        <f>SUM(I29:I30)</f>
        <v>88100</v>
      </c>
      <c r="J31" s="248"/>
    </row>
    <row r="32" spans="1:12" s="48" customFormat="1" ht="30" customHeight="1" thickBot="1">
      <c r="B32" s="517" t="s">
        <v>87</v>
      </c>
      <c r="C32" s="518"/>
      <c r="D32" s="77">
        <f>SUM(D31,D28)</f>
        <v>43136400</v>
      </c>
      <c r="E32" s="74"/>
      <c r="F32" s="78">
        <f>SUM(F31,F28)</f>
        <v>42578700</v>
      </c>
      <c r="G32" s="78">
        <f t="shared" ref="G32:I32" si="6">SUM(G28,G31)</f>
        <v>42578700</v>
      </c>
      <c r="H32" s="79"/>
      <c r="I32" s="80">
        <f t="shared" si="6"/>
        <v>557700</v>
      </c>
      <c r="J32" s="248"/>
    </row>
    <row r="33" spans="2:9" ht="6.75" customHeight="1">
      <c r="E33" s="17"/>
    </row>
    <row r="34" spans="2:9" ht="6.75" customHeight="1">
      <c r="B34" s="506" t="s">
        <v>88</v>
      </c>
    </row>
    <row r="35" spans="2:9" ht="18" customHeight="1">
      <c r="B35" s="506"/>
      <c r="C35" s="507" t="s">
        <v>89</v>
      </c>
      <c r="D35" s="507"/>
      <c r="E35" s="507"/>
      <c r="F35" s="507"/>
      <c r="G35" s="507"/>
      <c r="H35" s="507"/>
      <c r="I35" s="507"/>
    </row>
    <row r="36" spans="2:9">
      <c r="B36" s="506"/>
      <c r="C36" s="507" t="s">
        <v>786</v>
      </c>
      <c r="D36" s="507"/>
      <c r="E36" s="507"/>
      <c r="F36" s="507"/>
      <c r="G36" s="507"/>
      <c r="H36" s="507"/>
      <c r="I36" s="507"/>
    </row>
    <row r="37" spans="2:9">
      <c r="B37" s="506"/>
      <c r="C37" s="507" t="s">
        <v>787</v>
      </c>
      <c r="D37" s="507"/>
      <c r="E37" s="507"/>
      <c r="F37" s="507"/>
      <c r="G37" s="507"/>
      <c r="H37" s="507"/>
      <c r="I37" s="507"/>
    </row>
    <row r="38" spans="2:9">
      <c r="B38" s="506"/>
      <c r="C38" s="507" t="str">
        <f>CONCATENATE('Master Tab'!D73,TEXT('Master Tab'!C30,"0.0%"),'Master Tab'!D74,TEXT('Master Tab'!C32,"MM/DD/YY"),'Master Tab'!D75)</f>
        <v>4. Escalation was assumed at 2.5% per year with the project kicking off on 03/01/24.</v>
      </c>
      <c r="D38" s="507"/>
      <c r="E38" s="507"/>
      <c r="F38" s="507"/>
      <c r="G38" s="507"/>
      <c r="H38" s="507"/>
      <c r="I38" s="507"/>
    </row>
    <row r="39" spans="2:9">
      <c r="C39" t="s">
        <v>7</v>
      </c>
    </row>
    <row r="40" spans="2:9">
      <c r="D40" s="388" t="s">
        <v>634</v>
      </c>
      <c r="E40" s="153"/>
      <c r="F40" s="389" t="s">
        <v>635</v>
      </c>
    </row>
    <row r="41" spans="2:9" ht="19.5" customHeight="1">
      <c r="C41" s="390" t="s">
        <v>610</v>
      </c>
      <c r="D41" s="384">
        <v>0.19</v>
      </c>
      <c r="E41" s="404"/>
      <c r="F41" s="387">
        <v>7.0000000000000007E-2</v>
      </c>
    </row>
    <row r="42" spans="2:9">
      <c r="C42" s="390" t="s">
        <v>636</v>
      </c>
      <c r="D42" s="384">
        <v>0.13</v>
      </c>
      <c r="E42" s="404"/>
      <c r="F42" s="387">
        <v>6.9000000000000006E-2</v>
      </c>
    </row>
    <row r="43" spans="2:9">
      <c r="C43" s="390" t="s">
        <v>615</v>
      </c>
      <c r="D43" s="384">
        <v>0.23</v>
      </c>
      <c r="E43" s="404"/>
      <c r="F43" s="387">
        <v>5.6800000000000003E-2</v>
      </c>
    </row>
    <row r="44" spans="2:9">
      <c r="C44" s="390" t="s">
        <v>620</v>
      </c>
      <c r="D44" s="385">
        <v>0.19</v>
      </c>
      <c r="E44" s="404"/>
      <c r="F44" s="387">
        <v>7.0000000000000007E-2</v>
      </c>
    </row>
    <row r="45" spans="2:9">
      <c r="C45" s="390" t="s">
        <v>611</v>
      </c>
      <c r="D45" s="384">
        <v>0.23</v>
      </c>
      <c r="E45" s="405"/>
      <c r="F45" s="387">
        <v>5.6800000000000003E-2</v>
      </c>
    </row>
    <row r="46" spans="2:9">
      <c r="C46" s="390" t="s">
        <v>612</v>
      </c>
      <c r="D46" s="384">
        <v>0.23</v>
      </c>
      <c r="E46" s="405"/>
      <c r="F46" s="387">
        <v>5.6800000000000003E-2</v>
      </c>
    </row>
    <row r="47" spans="2:9">
      <c r="C47" s="390" t="s">
        <v>613</v>
      </c>
      <c r="D47" s="384">
        <v>0.23</v>
      </c>
      <c r="E47" s="405"/>
      <c r="F47" s="387">
        <v>5.6800000000000003E-2</v>
      </c>
    </row>
    <row r="48" spans="2:9">
      <c r="C48" s="390" t="s">
        <v>629</v>
      </c>
      <c r="D48" s="386">
        <v>0.13</v>
      </c>
      <c r="E48" s="405"/>
      <c r="F48" s="387">
        <v>6.9000000000000006E-2</v>
      </c>
    </row>
    <row r="49" spans="3:6">
      <c r="C49" s="390" t="s">
        <v>621</v>
      </c>
      <c r="D49" s="384">
        <v>0.02</v>
      </c>
      <c r="E49" s="405"/>
      <c r="F49" s="387">
        <v>6.9000000000000006E-2</v>
      </c>
    </row>
    <row r="50" spans="3:6">
      <c r="C50" s="390" t="s">
        <v>641</v>
      </c>
      <c r="D50" s="384">
        <v>0.13</v>
      </c>
      <c r="E50" s="405"/>
      <c r="F50" s="387">
        <v>6.9000000000000006E-2</v>
      </c>
    </row>
    <row r="51" spans="3:6">
      <c r="C51" s="390" t="s">
        <v>642</v>
      </c>
      <c r="D51" s="384">
        <v>0.02</v>
      </c>
      <c r="E51" s="405"/>
      <c r="F51" s="387">
        <v>6.9000000000000006E-2</v>
      </c>
    </row>
    <row r="52" spans="3:6">
      <c r="C52" s="390" t="s">
        <v>625</v>
      </c>
      <c r="D52" s="384">
        <v>0.13</v>
      </c>
      <c r="E52" s="405"/>
      <c r="F52" s="387">
        <v>6.9000000000000006E-2</v>
      </c>
    </row>
    <row r="53" spans="3:6">
      <c r="C53" s="390" t="s">
        <v>627</v>
      </c>
      <c r="D53" s="384">
        <v>0.13</v>
      </c>
      <c r="E53" s="405"/>
      <c r="F53" s="387">
        <v>6.9000000000000006E-2</v>
      </c>
    </row>
    <row r="54" spans="3:6">
      <c r="C54" s="390" t="s">
        <v>618</v>
      </c>
      <c r="D54" s="384">
        <v>0.13</v>
      </c>
      <c r="E54" s="405"/>
      <c r="F54" s="387">
        <v>6.9000000000000006E-2</v>
      </c>
    </row>
    <row r="55" spans="3:6">
      <c r="C55" s="390" t="s">
        <v>626</v>
      </c>
      <c r="D55" s="384">
        <v>0.13</v>
      </c>
      <c r="E55" s="405"/>
      <c r="F55" s="387">
        <v>6.9000000000000006E-2</v>
      </c>
    </row>
    <row r="56" spans="3:6">
      <c r="C56" s="390" t="s">
        <v>616</v>
      </c>
      <c r="D56" s="384">
        <v>0.13</v>
      </c>
      <c r="E56" s="405"/>
      <c r="F56" s="387">
        <v>6.9000000000000006E-2</v>
      </c>
    </row>
    <row r="57" spans="3:6">
      <c r="C57" s="390" t="s">
        <v>619</v>
      </c>
      <c r="D57" s="386">
        <v>0.13</v>
      </c>
      <c r="E57" s="405"/>
      <c r="F57" s="387">
        <v>6.9000000000000006E-2</v>
      </c>
    </row>
    <row r="58" spans="3:6">
      <c r="C58" s="390" t="s">
        <v>637</v>
      </c>
      <c r="D58" s="384">
        <v>0.02</v>
      </c>
      <c r="E58" s="405"/>
      <c r="F58" s="387">
        <v>6.9000000000000006E-2</v>
      </c>
    </row>
    <row r="59" spans="3:6">
      <c r="C59" s="390" t="s">
        <v>638</v>
      </c>
      <c r="D59" s="384">
        <v>0.13</v>
      </c>
      <c r="E59" s="405"/>
      <c r="F59" s="387">
        <v>6.9000000000000006E-2</v>
      </c>
    </row>
    <row r="60" spans="3:6">
      <c r="C60" s="390" t="s">
        <v>639</v>
      </c>
      <c r="D60" s="384">
        <v>0.13</v>
      </c>
      <c r="E60" s="405"/>
      <c r="F60" s="387">
        <v>6.9000000000000006E-2</v>
      </c>
    </row>
    <row r="61" spans="3:6">
      <c r="C61" s="390" t="s">
        <v>623</v>
      </c>
      <c r="D61" s="384">
        <v>0.13</v>
      </c>
      <c r="E61" s="405"/>
      <c r="F61" s="387">
        <v>6.9000000000000006E-2</v>
      </c>
    </row>
    <row r="62" spans="3:6">
      <c r="C62" s="390" t="s">
        <v>640</v>
      </c>
      <c r="D62" s="384">
        <v>0.13</v>
      </c>
      <c r="E62" s="405"/>
      <c r="F62" s="387">
        <v>6.9000000000000006E-2</v>
      </c>
    </row>
    <row r="63" spans="3:6">
      <c r="C63" s="390" t="s">
        <v>633</v>
      </c>
      <c r="D63" s="384">
        <v>0.13</v>
      </c>
      <c r="E63" s="405"/>
      <c r="F63" s="387">
        <v>6.9000000000000006E-2</v>
      </c>
    </row>
    <row r="64" spans="3:6">
      <c r="C64" s="390" t="s">
        <v>617</v>
      </c>
      <c r="D64" s="384">
        <v>0.11</v>
      </c>
      <c r="E64" s="405"/>
      <c r="F64" s="387">
        <v>6.9000000000000006E-2</v>
      </c>
    </row>
    <row r="65" spans="3:6">
      <c r="C65" s="390" t="s">
        <v>622</v>
      </c>
      <c r="D65" s="384">
        <v>0.13</v>
      </c>
      <c r="E65" s="405"/>
      <c r="F65" s="387">
        <v>6.9000000000000006E-2</v>
      </c>
    </row>
    <row r="66" spans="3:6">
      <c r="C66" s="390" t="s">
        <v>631</v>
      </c>
      <c r="D66" s="384">
        <v>0.13</v>
      </c>
      <c r="E66" s="405"/>
      <c r="F66" s="387">
        <v>6.9000000000000006E-2</v>
      </c>
    </row>
    <row r="67" spans="3:6">
      <c r="C67" s="390" t="s">
        <v>630</v>
      </c>
      <c r="D67" s="384">
        <v>0.13</v>
      </c>
      <c r="E67" s="405"/>
      <c r="F67" s="387">
        <v>6.9000000000000006E-2</v>
      </c>
    </row>
    <row r="68" spans="3:6">
      <c r="C68" s="390" t="s">
        <v>632</v>
      </c>
      <c r="D68" s="386">
        <v>0.13</v>
      </c>
      <c r="E68" s="405"/>
      <c r="F68" s="387">
        <v>6.9000000000000006E-2</v>
      </c>
    </row>
    <row r="69" spans="3:6">
      <c r="C69" s="390" t="s">
        <v>628</v>
      </c>
      <c r="D69" s="384">
        <v>0.13</v>
      </c>
      <c r="E69" s="405"/>
      <c r="F69" s="387">
        <v>6.9000000000000006E-2</v>
      </c>
    </row>
    <row r="70" spans="3:6">
      <c r="C70" s="390" t="s">
        <v>643</v>
      </c>
      <c r="D70" s="384">
        <v>0.13</v>
      </c>
      <c r="E70" s="405"/>
      <c r="F70" s="387">
        <v>6.9000000000000006E-2</v>
      </c>
    </row>
    <row r="71" spans="3:6">
      <c r="C71" s="390" t="s">
        <v>624</v>
      </c>
      <c r="D71" s="384">
        <v>0.13</v>
      </c>
      <c r="E71" s="405"/>
      <c r="F71" s="387">
        <v>6.9000000000000006E-2</v>
      </c>
    </row>
    <row r="72" spans="3:6">
      <c r="C72" s="390" t="s">
        <v>614</v>
      </c>
      <c r="D72" s="384">
        <v>0.23</v>
      </c>
      <c r="E72" s="405"/>
      <c r="F72" s="387">
        <v>5.6800000000000003E-2</v>
      </c>
    </row>
    <row r="73" spans="3:6">
      <c r="C73" s="391" t="s">
        <v>644</v>
      </c>
      <c r="D73" s="386">
        <v>0.13</v>
      </c>
      <c r="E73" s="383"/>
      <c r="F73" s="387">
        <v>6.9000000000000006E-2</v>
      </c>
    </row>
  </sheetData>
  <sheetProtection formatCells="0" formatColumns="0" formatRows="0" insertColumns="0" insertRows="0" deleteColumns="0" deleteRows="0"/>
  <protectedRanges>
    <protectedRange algorithmName="SHA-512" hashValue="yJ7YkBA2u/CLyu2V3VZTOOGQ6VlgGl1GQf3hwna+lgiECzFrbzmeW+wENCRbi04XT/jTCfPteaEsqqg9//hxFg==" saltValue="M/HQVSxuNTUSB1+aTa62cw==" spinCount="100000" sqref="A1:E40 F1:G39 J1:XFD1048576 F40 A74:G1048576 A41:C73 H1:H1048576 I1:I1048576" name="Range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yJ7YkBA2u/CLyu2V3VZTOOGQ6VlgGl1GQf3hwna+lgiECzFrbzmeW+wENCRbi04XT/jTCfPteaEsqqg9//hxFg==" saltValue="M/HQVSxuNTUSB1+aTa62cw==" spinCount="100000" sqref="D41:F73" name="Range1_2"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s>
  <mergeCells count="17">
    <mergeCell ref="B32:C32"/>
    <mergeCell ref="B31:C31"/>
    <mergeCell ref="B28:C28"/>
    <mergeCell ref="B26:C26"/>
    <mergeCell ref="B23:C23"/>
    <mergeCell ref="B2:I2"/>
    <mergeCell ref="B3:I3"/>
    <mergeCell ref="B4:I4"/>
    <mergeCell ref="B5:I5"/>
    <mergeCell ref="F7:G7"/>
    <mergeCell ref="D7:D10"/>
    <mergeCell ref="B6:I6"/>
    <mergeCell ref="B34:B38"/>
    <mergeCell ref="C35:I35"/>
    <mergeCell ref="C36:I36"/>
    <mergeCell ref="C37:I37"/>
    <mergeCell ref="C38:I38"/>
  </mergeCells>
  <pageMargins left="0.7" right="0.7" top="0.75" bottom="0.75" header="0.3" footer="0.3"/>
  <pageSetup scale="85" orientation="landscape" r:id="rId1"/>
  <headerFooter>
    <oddHeader>&amp;R&amp;"Times New Roman,Bold"&amp;10KyPSC Case No. 2025-00229
STAFF-DR-01-005(b) Attachment 4
Page &amp;P of &amp;N</oddHeader>
  </headerFooter>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B1D54-3812-4554-B678-60749CA53F1B}">
  <sheetPr>
    <tabColor rgb="FFFFFF00"/>
    <pageSetUpPr fitToPage="1"/>
  </sheetPr>
  <dimension ref="B1:V213"/>
  <sheetViews>
    <sheetView view="pageLayout" zoomScaleNormal="100" workbookViewId="0">
      <selection activeCell="A4" sqref="A4:J4"/>
    </sheetView>
  </sheetViews>
  <sheetFormatPr defaultRowHeight="15"/>
  <cols>
    <col min="1" max="1" width="9.140625" customWidth="1"/>
    <col min="2" max="2" width="14.85546875" style="1" customWidth="1"/>
    <col min="3" max="3" width="41.85546875" style="225" customWidth="1"/>
    <col min="4" max="4" width="11.5703125" style="137" customWidth="1"/>
    <col min="5" max="5" width="17.85546875" style="1" customWidth="1"/>
    <col min="6" max="6" width="13" style="86" customWidth="1"/>
    <col min="7" max="7" width="0.85546875" style="86" customWidth="1"/>
    <col min="8" max="8" width="16.28515625" style="86" customWidth="1"/>
    <col min="9" max="9" width="21.140625" style="86" customWidth="1"/>
    <col min="10" max="10" width="3.7109375" customWidth="1"/>
  </cols>
  <sheetData>
    <row r="1" spans="2:17" ht="23.25">
      <c r="B1" s="119"/>
      <c r="C1" s="527" t="str">
        <f>'Master Tab'!$C$8</f>
        <v>Line AM07 Pipeline Replacement-Phase 4</v>
      </c>
      <c r="D1" s="527"/>
      <c r="E1" s="527"/>
      <c r="F1" s="527"/>
      <c r="G1" s="527"/>
      <c r="H1" s="120"/>
      <c r="I1" s="121"/>
    </row>
    <row r="2" spans="2:17" ht="19.5" thickBot="1">
      <c r="B2" s="342">
        <f>'Master Tab'!$C$9</f>
        <v>45671</v>
      </c>
      <c r="C2" s="526" t="str">
        <f>'Master Tab'!$C$28</f>
        <v>24"/4" Steel</v>
      </c>
      <c r="D2" s="526"/>
      <c r="E2" s="526"/>
      <c r="F2" s="526"/>
      <c r="G2" s="526"/>
      <c r="H2" s="122" t="s">
        <v>92</v>
      </c>
      <c r="I2" s="123" t="str">
        <f>'Master Tab'!$C$6</f>
        <v>E-Initiate</v>
      </c>
    </row>
    <row r="3" spans="2:17" ht="15.75" thickBot="1">
      <c r="B3" s="125" t="s">
        <v>93</v>
      </c>
      <c r="C3" s="124" t="s">
        <v>94</v>
      </c>
      <c r="D3" s="129" t="s">
        <v>95</v>
      </c>
      <c r="E3" s="125" t="s">
        <v>96</v>
      </c>
      <c r="F3" s="126" t="s">
        <v>97</v>
      </c>
      <c r="G3" s="126"/>
      <c r="H3" s="126" t="s">
        <v>159</v>
      </c>
      <c r="I3" s="126" t="s">
        <v>98</v>
      </c>
      <c r="K3" s="507"/>
      <c r="L3" s="507"/>
      <c r="M3" s="507"/>
      <c r="N3" s="507"/>
      <c r="O3" s="507"/>
      <c r="P3" s="507"/>
      <c r="Q3" s="507"/>
    </row>
    <row r="4" spans="2:17" ht="15.75">
      <c r="B4" s="94" t="s">
        <v>99</v>
      </c>
      <c r="C4" s="223"/>
      <c r="D4" s="130"/>
      <c r="E4" s="83"/>
      <c r="F4" s="84"/>
      <c r="G4" s="84"/>
      <c r="H4" s="84"/>
      <c r="I4" s="93"/>
      <c r="K4" s="525"/>
      <c r="L4" s="525"/>
      <c r="M4" s="525"/>
      <c r="N4" s="525"/>
      <c r="O4" s="525"/>
      <c r="P4" s="525"/>
      <c r="Q4" s="525"/>
    </row>
    <row r="5" spans="2:17" ht="15" customHeight="1">
      <c r="B5" s="12" t="s">
        <v>530</v>
      </c>
      <c r="C5" s="2" t="s">
        <v>697</v>
      </c>
      <c r="D5" s="127">
        <f>'Master Tab'!$C$17</f>
        <v>46</v>
      </c>
      <c r="E5" s="92" t="s">
        <v>292</v>
      </c>
      <c r="F5" s="85">
        <v>20500</v>
      </c>
      <c r="G5" s="104" t="s">
        <v>7</v>
      </c>
      <c r="H5" s="85">
        <f>CEILING(F5*D5,100)</f>
        <v>943000</v>
      </c>
      <c r="I5" s="105"/>
      <c r="K5" s="538"/>
      <c r="L5" s="538"/>
      <c r="M5" s="538"/>
      <c r="N5" s="538"/>
      <c r="O5" s="538"/>
      <c r="P5" s="538"/>
      <c r="Q5" s="538"/>
    </row>
    <row r="6" spans="2:17">
      <c r="B6" s="12" t="s">
        <v>531</v>
      </c>
      <c r="C6" s="2" t="s">
        <v>101</v>
      </c>
      <c r="D6" s="127">
        <f>'Master Tab'!$C$17</f>
        <v>46</v>
      </c>
      <c r="E6" s="92" t="s">
        <v>292</v>
      </c>
      <c r="F6" s="85">
        <v>1100</v>
      </c>
      <c r="G6" s="104" t="s">
        <v>7</v>
      </c>
      <c r="H6" s="85">
        <f>CEILING(F6*D6,100)</f>
        <v>50600</v>
      </c>
      <c r="I6" s="105"/>
      <c r="K6" s="538"/>
      <c r="L6" s="538"/>
      <c r="M6" s="538"/>
      <c r="N6" s="538"/>
      <c r="O6" s="538"/>
      <c r="P6" s="538"/>
      <c r="Q6" s="538"/>
    </row>
    <row r="7" spans="2:17" ht="15.75">
      <c r="B7" s="94" t="s">
        <v>103</v>
      </c>
      <c r="C7" s="81"/>
      <c r="D7" s="130"/>
      <c r="E7" s="83"/>
      <c r="F7" s="84"/>
      <c r="G7" s="84"/>
      <c r="H7" s="84"/>
      <c r="I7" s="93">
        <f>CEILING(SUM(H5:H6),100)</f>
        <v>993600</v>
      </c>
    </row>
    <row r="8" spans="2:17" ht="8.25" customHeight="1">
      <c r="B8" s="347"/>
      <c r="C8" s="107"/>
      <c r="D8" s="131"/>
      <c r="E8" s="106"/>
      <c r="F8" s="108"/>
      <c r="G8" s="108"/>
      <c r="H8" s="108"/>
      <c r="I8" s="109"/>
    </row>
    <row r="9" spans="2:17" ht="15.75">
      <c r="B9" s="94" t="s">
        <v>104</v>
      </c>
      <c r="C9" s="81"/>
      <c r="D9" s="130"/>
      <c r="E9" s="83"/>
      <c r="F9" s="84"/>
      <c r="G9" s="84"/>
      <c r="H9" s="84"/>
      <c r="I9" s="93"/>
    </row>
    <row r="10" spans="2:17">
      <c r="B10" s="12" t="s">
        <v>501</v>
      </c>
      <c r="C10" s="418" t="s">
        <v>502</v>
      </c>
      <c r="D10" s="127">
        <v>1</v>
      </c>
      <c r="E10" s="426" t="s">
        <v>116</v>
      </c>
      <c r="F10" s="421">
        <v>4176</v>
      </c>
      <c r="G10" s="422"/>
      <c r="H10" s="421">
        <f t="shared" ref="H10:H26" si="0">F10*D10</f>
        <v>4176</v>
      </c>
      <c r="I10" s="105"/>
      <c r="K10" s="425" t="s">
        <v>766</v>
      </c>
      <c r="L10" s="152"/>
    </row>
    <row r="11" spans="2:17">
      <c r="B11" s="12" t="s">
        <v>503</v>
      </c>
      <c r="C11" s="418" t="s">
        <v>504</v>
      </c>
      <c r="D11" s="127">
        <v>1</v>
      </c>
      <c r="E11" s="426" t="s">
        <v>116</v>
      </c>
      <c r="F11" s="421">
        <v>8000</v>
      </c>
      <c r="G11" s="422"/>
      <c r="H11" s="421">
        <f t="shared" si="0"/>
        <v>8000</v>
      </c>
      <c r="I11" s="105"/>
      <c r="K11" s="425" t="s">
        <v>766</v>
      </c>
    </row>
    <row r="12" spans="2:17">
      <c r="B12" s="12" t="s">
        <v>505</v>
      </c>
      <c r="C12" s="418" t="s">
        <v>506</v>
      </c>
      <c r="D12" s="127">
        <v>1</v>
      </c>
      <c r="E12" s="426" t="s">
        <v>116</v>
      </c>
      <c r="F12" s="421">
        <f>57000+12945</f>
        <v>69945</v>
      </c>
      <c r="G12" s="422"/>
      <c r="H12" s="421">
        <f t="shared" si="0"/>
        <v>69945</v>
      </c>
      <c r="I12" s="105"/>
      <c r="K12" s="425" t="s">
        <v>766</v>
      </c>
    </row>
    <row r="13" spans="2:17">
      <c r="B13" s="12" t="s">
        <v>507</v>
      </c>
      <c r="C13" s="418" t="s">
        <v>508</v>
      </c>
      <c r="D13" s="127">
        <v>1</v>
      </c>
      <c r="E13" s="426" t="s">
        <v>116</v>
      </c>
      <c r="F13" s="421">
        <v>1153</v>
      </c>
      <c r="G13" s="422"/>
      <c r="H13" s="421">
        <f t="shared" si="0"/>
        <v>1153</v>
      </c>
      <c r="I13" s="105"/>
      <c r="K13" s="425" t="s">
        <v>766</v>
      </c>
    </row>
    <row r="14" spans="2:17">
      <c r="B14" s="12" t="s">
        <v>509</v>
      </c>
      <c r="C14" s="2" t="s">
        <v>510</v>
      </c>
      <c r="D14" s="416"/>
      <c r="E14" s="92" t="s">
        <v>116</v>
      </c>
      <c r="F14" s="85"/>
      <c r="G14" s="104"/>
      <c r="H14" s="85">
        <f t="shared" si="0"/>
        <v>0</v>
      </c>
      <c r="I14" s="105"/>
      <c r="K14" s="425"/>
    </row>
    <row r="15" spans="2:17">
      <c r="B15" s="12" t="s">
        <v>511</v>
      </c>
      <c r="C15" s="418" t="s">
        <v>512</v>
      </c>
      <c r="D15" s="127">
        <v>1</v>
      </c>
      <c r="E15" s="426" t="s">
        <v>116</v>
      </c>
      <c r="F15" s="421">
        <f>290261+7150</f>
        <v>297411</v>
      </c>
      <c r="G15" s="422"/>
      <c r="H15" s="421">
        <f t="shared" si="0"/>
        <v>297411</v>
      </c>
      <c r="I15" s="105"/>
      <c r="K15" s="425" t="s">
        <v>766</v>
      </c>
    </row>
    <row r="16" spans="2:17">
      <c r="B16" s="12" t="s">
        <v>513</v>
      </c>
      <c r="C16" s="418" t="s">
        <v>514</v>
      </c>
      <c r="D16" s="127">
        <v>1</v>
      </c>
      <c r="E16" s="426" t="s">
        <v>116</v>
      </c>
      <c r="F16" s="421">
        <v>29562</v>
      </c>
      <c r="G16" s="422"/>
      <c r="H16" s="421">
        <f t="shared" si="0"/>
        <v>29562</v>
      </c>
      <c r="I16" s="105"/>
      <c r="K16" s="425" t="s">
        <v>766</v>
      </c>
    </row>
    <row r="17" spans="2:13">
      <c r="B17" s="12" t="s">
        <v>515</v>
      </c>
      <c r="C17" s="418" t="s">
        <v>541</v>
      </c>
      <c r="D17" s="127">
        <v>1</v>
      </c>
      <c r="E17" s="426" t="s">
        <v>116</v>
      </c>
      <c r="F17" s="421">
        <f>92037+67545+5000</f>
        <v>164582</v>
      </c>
      <c r="G17" s="422"/>
      <c r="H17" s="421">
        <f t="shared" si="0"/>
        <v>164582</v>
      </c>
      <c r="I17" s="105"/>
      <c r="K17" s="425" t="s">
        <v>766</v>
      </c>
    </row>
    <row r="18" spans="2:13">
      <c r="B18" s="12" t="s">
        <v>516</v>
      </c>
      <c r="C18" s="418" t="s">
        <v>517</v>
      </c>
      <c r="D18" s="127">
        <v>1</v>
      </c>
      <c r="E18" s="426" t="s">
        <v>116</v>
      </c>
      <c r="F18" s="421">
        <f>32678+133514</f>
        <v>166192</v>
      </c>
      <c r="G18" s="422"/>
      <c r="H18" s="421">
        <f t="shared" si="0"/>
        <v>166192</v>
      </c>
      <c r="I18" s="105"/>
      <c r="K18" s="425" t="s">
        <v>766</v>
      </c>
    </row>
    <row r="19" spans="2:13">
      <c r="B19" s="12" t="s">
        <v>523</v>
      </c>
      <c r="C19" s="418" t="s">
        <v>105</v>
      </c>
      <c r="D19" s="127">
        <v>1</v>
      </c>
      <c r="E19" s="426" t="s">
        <v>116</v>
      </c>
      <c r="F19" s="421">
        <v>234953</v>
      </c>
      <c r="G19" s="422"/>
      <c r="H19" s="421">
        <f t="shared" si="0"/>
        <v>234953</v>
      </c>
      <c r="I19" s="105"/>
      <c r="K19" s="425" t="s">
        <v>766</v>
      </c>
    </row>
    <row r="20" spans="2:13">
      <c r="B20" s="12" t="s">
        <v>524</v>
      </c>
      <c r="C20" s="418" t="s">
        <v>106</v>
      </c>
      <c r="D20" s="127">
        <v>1</v>
      </c>
      <c r="E20" s="426" t="s">
        <v>116</v>
      </c>
      <c r="F20" s="421">
        <v>166799</v>
      </c>
      <c r="G20" s="422"/>
      <c r="H20" s="421">
        <f t="shared" si="0"/>
        <v>166799</v>
      </c>
      <c r="I20" s="105"/>
      <c r="K20" s="425" t="s">
        <v>766</v>
      </c>
    </row>
    <row r="21" spans="2:13">
      <c r="B21" s="12" t="s">
        <v>525</v>
      </c>
      <c r="C21" s="418" t="s">
        <v>518</v>
      </c>
      <c r="D21" s="127">
        <v>1</v>
      </c>
      <c r="E21" s="426" t="s">
        <v>116</v>
      </c>
      <c r="F21" s="421">
        <f>7000+48547</f>
        <v>55547</v>
      </c>
      <c r="G21" s="422"/>
      <c r="H21" s="421">
        <f t="shared" si="0"/>
        <v>55547</v>
      </c>
      <c r="I21" s="105"/>
      <c r="K21" s="425" t="s">
        <v>766</v>
      </c>
    </row>
    <row r="22" spans="2:13">
      <c r="B22" s="12" t="s">
        <v>526</v>
      </c>
      <c r="C22" s="418" t="s">
        <v>519</v>
      </c>
      <c r="D22" s="127">
        <v>1</v>
      </c>
      <c r="E22" s="426" t="s">
        <v>116</v>
      </c>
      <c r="F22" s="421">
        <v>28000</v>
      </c>
      <c r="G22" s="422"/>
      <c r="H22" s="421">
        <f t="shared" si="0"/>
        <v>28000</v>
      </c>
      <c r="I22" s="105"/>
      <c r="K22" s="425" t="s">
        <v>766</v>
      </c>
    </row>
    <row r="23" spans="2:13">
      <c r="B23" s="12" t="s">
        <v>527</v>
      </c>
      <c r="C23" s="418" t="s">
        <v>520</v>
      </c>
      <c r="D23" s="127">
        <v>1</v>
      </c>
      <c r="E23" s="426" t="s">
        <v>116</v>
      </c>
      <c r="F23" s="421">
        <v>407841</v>
      </c>
      <c r="G23" s="422"/>
      <c r="H23" s="421">
        <f t="shared" si="0"/>
        <v>407841</v>
      </c>
      <c r="I23" s="105"/>
      <c r="K23" s="425" t="s">
        <v>766</v>
      </c>
    </row>
    <row r="24" spans="2:13">
      <c r="B24" s="12" t="s">
        <v>528</v>
      </c>
      <c r="C24" s="418" t="s">
        <v>521</v>
      </c>
      <c r="D24" s="127">
        <v>1</v>
      </c>
      <c r="E24" s="426" t="s">
        <v>116</v>
      </c>
      <c r="F24" s="421">
        <v>535000</v>
      </c>
      <c r="G24" s="422"/>
      <c r="H24" s="421">
        <f t="shared" si="0"/>
        <v>535000</v>
      </c>
      <c r="I24" s="105"/>
      <c r="K24" s="425" t="s">
        <v>766</v>
      </c>
    </row>
    <row r="25" spans="2:13">
      <c r="B25" s="12" t="s">
        <v>528</v>
      </c>
      <c r="C25" s="418" t="s">
        <v>522</v>
      </c>
      <c r="D25" s="127">
        <v>1</v>
      </c>
      <c r="E25" s="426" t="s">
        <v>116</v>
      </c>
      <c r="F25" s="421">
        <v>463</v>
      </c>
      <c r="G25" s="422"/>
      <c r="H25" s="421">
        <f t="shared" si="0"/>
        <v>463</v>
      </c>
      <c r="I25" s="105"/>
      <c r="K25" s="425" t="s">
        <v>766</v>
      </c>
    </row>
    <row r="26" spans="2:13">
      <c r="B26" s="12" t="s">
        <v>529</v>
      </c>
      <c r="C26" s="2" t="s">
        <v>699</v>
      </c>
      <c r="D26" s="134">
        <v>1</v>
      </c>
      <c r="E26" s="162" t="s">
        <v>116</v>
      </c>
      <c r="F26" s="85">
        <v>1900</v>
      </c>
      <c r="G26" s="104"/>
      <c r="H26" s="85">
        <f t="shared" si="0"/>
        <v>1900</v>
      </c>
      <c r="I26" s="105"/>
      <c r="K26" t="s">
        <v>700</v>
      </c>
    </row>
    <row r="27" spans="2:13" ht="15.75">
      <c r="B27" s="94" t="s">
        <v>108</v>
      </c>
      <c r="C27" s="81"/>
      <c r="D27" s="130"/>
      <c r="E27" s="83"/>
      <c r="F27" s="84"/>
      <c r="G27" s="84"/>
      <c r="H27" s="110"/>
      <c r="I27" s="93">
        <f>CEILING(SUM(H10:H26),100)</f>
        <v>2171600</v>
      </c>
    </row>
    <row r="28" spans="2:13" ht="8.25" customHeight="1">
      <c r="B28" s="347"/>
      <c r="C28" s="107"/>
      <c r="D28" s="131"/>
      <c r="E28" s="106"/>
      <c r="F28" s="108"/>
      <c r="G28" s="108"/>
      <c r="H28" s="108"/>
      <c r="I28" s="109"/>
    </row>
    <row r="29" spans="2:13" ht="15.75">
      <c r="B29" s="94" t="s">
        <v>109</v>
      </c>
      <c r="C29" s="81"/>
      <c r="D29" s="130"/>
      <c r="E29" s="83"/>
      <c r="F29" s="84"/>
      <c r="G29" s="84"/>
      <c r="H29" s="84"/>
      <c r="I29" s="93"/>
    </row>
    <row r="30" spans="2:13">
      <c r="B30" s="12" t="s">
        <v>532</v>
      </c>
      <c r="C30" s="2" t="s">
        <v>314</v>
      </c>
      <c r="D30" s="132">
        <v>0</v>
      </c>
      <c r="E30" s="3" t="s">
        <v>110</v>
      </c>
      <c r="F30" s="85">
        <v>0</v>
      </c>
      <c r="G30" s="104"/>
      <c r="H30" s="85">
        <f t="shared" ref="H30:H43" si="1">CEILING(F30*D30,100)</f>
        <v>0</v>
      </c>
      <c r="I30" s="105"/>
      <c r="M30" t="s">
        <v>7</v>
      </c>
    </row>
    <row r="31" spans="2:13">
      <c r="B31" s="12" t="s">
        <v>532</v>
      </c>
      <c r="C31" s="2" t="s">
        <v>315</v>
      </c>
      <c r="D31" s="424">
        <v>0</v>
      </c>
      <c r="E31" s="3" t="s">
        <v>110</v>
      </c>
      <c r="F31" s="85">
        <v>156250</v>
      </c>
      <c r="G31" s="104"/>
      <c r="H31" s="85">
        <f>CEILING(F31*D31,100)</f>
        <v>0</v>
      </c>
      <c r="I31" s="105"/>
    </row>
    <row r="32" spans="2:13">
      <c r="B32" s="12" t="s">
        <v>533</v>
      </c>
      <c r="C32" s="2" t="s">
        <v>316</v>
      </c>
      <c r="D32" s="424">
        <v>0</v>
      </c>
      <c r="E32" s="3" t="s">
        <v>110</v>
      </c>
      <c r="F32" s="112">
        <f>F30*1.2</f>
        <v>0</v>
      </c>
      <c r="G32" s="104"/>
      <c r="H32" s="85">
        <f t="shared" si="1"/>
        <v>0</v>
      </c>
      <c r="I32" s="105"/>
    </row>
    <row r="33" spans="2:11">
      <c r="B33" s="12" t="s">
        <v>533</v>
      </c>
      <c r="C33" s="418" t="s">
        <v>796</v>
      </c>
      <c r="D33" s="427">
        <v>1</v>
      </c>
      <c r="E33" s="420" t="s">
        <v>116</v>
      </c>
      <c r="F33" s="112">
        <v>2500000</v>
      </c>
      <c r="G33" s="422"/>
      <c r="H33" s="421">
        <f>F33*D33</f>
        <v>2500000</v>
      </c>
      <c r="I33" s="423"/>
      <c r="J33" s="152"/>
      <c r="K33" s="152" t="s">
        <v>790</v>
      </c>
    </row>
    <row r="34" spans="2:11">
      <c r="B34" s="12" t="s">
        <v>533</v>
      </c>
      <c r="C34" s="2" t="s">
        <v>317</v>
      </c>
      <c r="D34" s="132">
        <v>0</v>
      </c>
      <c r="E34" s="3" t="s">
        <v>110</v>
      </c>
      <c r="F34" s="112">
        <f>F30*1.4</f>
        <v>0</v>
      </c>
      <c r="G34" s="104"/>
      <c r="H34" s="85">
        <f t="shared" si="1"/>
        <v>0</v>
      </c>
      <c r="I34" s="105"/>
    </row>
    <row r="35" spans="2:11">
      <c r="B35" s="12" t="s">
        <v>533</v>
      </c>
      <c r="C35" s="2" t="s">
        <v>319</v>
      </c>
      <c r="D35" s="132">
        <v>0</v>
      </c>
      <c r="E35" s="3" t="s">
        <v>110</v>
      </c>
      <c r="F35" s="112">
        <f>F31*1.4</f>
        <v>218750</v>
      </c>
      <c r="G35" s="104"/>
      <c r="H35" s="85">
        <f>CEILING(F35*D35,100)</f>
        <v>0</v>
      </c>
      <c r="I35" s="105"/>
    </row>
    <row r="36" spans="2:11">
      <c r="B36" s="12" t="s">
        <v>529</v>
      </c>
      <c r="C36" s="418" t="s">
        <v>324</v>
      </c>
      <c r="D36" s="427">
        <v>1</v>
      </c>
      <c r="E36" s="420" t="s">
        <v>116</v>
      </c>
      <c r="F36" s="112">
        <v>1000000</v>
      </c>
      <c r="G36" s="422"/>
      <c r="H36" s="421">
        <f t="shared" si="1"/>
        <v>1000000</v>
      </c>
      <c r="I36" s="105"/>
    </row>
    <row r="37" spans="2:11">
      <c r="B37" s="12" t="s">
        <v>529</v>
      </c>
      <c r="C37" s="2" t="s">
        <v>325</v>
      </c>
      <c r="D37" s="424">
        <v>0</v>
      </c>
      <c r="E37" s="3" t="s">
        <v>110</v>
      </c>
      <c r="F37" s="112">
        <f>F31*0.25</f>
        <v>39062.5</v>
      </c>
      <c r="G37" s="104"/>
      <c r="H37" s="85">
        <f>CEILING(F37*D37,100)</f>
        <v>0</v>
      </c>
      <c r="I37" s="105"/>
    </row>
    <row r="38" spans="2:11">
      <c r="B38" s="12" t="s">
        <v>534</v>
      </c>
      <c r="C38" s="2" t="s">
        <v>293</v>
      </c>
      <c r="D38" s="132">
        <v>0</v>
      </c>
      <c r="E38" s="3" t="s">
        <v>131</v>
      </c>
      <c r="F38" s="85">
        <v>10000</v>
      </c>
      <c r="G38" s="104"/>
      <c r="H38" s="85">
        <f t="shared" si="1"/>
        <v>0</v>
      </c>
      <c r="I38" s="105"/>
    </row>
    <row r="39" spans="2:11">
      <c r="B39" s="12" t="s">
        <v>529</v>
      </c>
      <c r="C39" s="2" t="s">
        <v>294</v>
      </c>
      <c r="D39" s="127">
        <v>0</v>
      </c>
      <c r="E39" s="3" t="s">
        <v>313</v>
      </c>
      <c r="F39" s="85">
        <v>4200</v>
      </c>
      <c r="G39" s="104"/>
      <c r="H39" s="85">
        <f t="shared" si="1"/>
        <v>0</v>
      </c>
      <c r="I39" s="105"/>
    </row>
    <row r="40" spans="2:11">
      <c r="B40" s="12" t="s">
        <v>535</v>
      </c>
      <c r="C40" s="2" t="s">
        <v>323</v>
      </c>
      <c r="D40" s="127">
        <v>11</v>
      </c>
      <c r="E40" s="3" t="s">
        <v>111</v>
      </c>
      <c r="F40" s="85">
        <v>3250</v>
      </c>
      <c r="G40" s="104"/>
      <c r="H40" s="85">
        <f t="shared" si="1"/>
        <v>35800</v>
      </c>
      <c r="I40" s="105"/>
    </row>
    <row r="41" spans="2:11">
      <c r="B41" s="12" t="s">
        <v>535</v>
      </c>
      <c r="C41" s="2" t="s">
        <v>345</v>
      </c>
      <c r="D41" s="132">
        <v>0</v>
      </c>
      <c r="E41" s="3" t="s">
        <v>110</v>
      </c>
      <c r="F41" s="85">
        <v>0</v>
      </c>
      <c r="G41" s="104"/>
      <c r="H41" s="85">
        <f>CEILING(F41*D41,100)</f>
        <v>0</v>
      </c>
      <c r="I41" s="105"/>
    </row>
    <row r="42" spans="2:11">
      <c r="B42" s="12" t="s">
        <v>536</v>
      </c>
      <c r="C42" s="418" t="s">
        <v>326</v>
      </c>
      <c r="D42" s="419">
        <v>1</v>
      </c>
      <c r="E42" s="420" t="s">
        <v>116</v>
      </c>
      <c r="F42" s="421">
        <f>321791.5+36500</f>
        <v>358291.5</v>
      </c>
      <c r="G42" s="422"/>
      <c r="H42" s="421">
        <f t="shared" si="1"/>
        <v>358300</v>
      </c>
      <c r="I42" s="423"/>
      <c r="J42" s="152"/>
      <c r="K42" s="152" t="s">
        <v>767</v>
      </c>
    </row>
    <row r="43" spans="2:11">
      <c r="B43" s="12" t="s">
        <v>536</v>
      </c>
      <c r="C43" s="2" t="s">
        <v>112</v>
      </c>
      <c r="D43" s="127">
        <v>1</v>
      </c>
      <c r="E43" s="92" t="s">
        <v>111</v>
      </c>
      <c r="F43" s="85">
        <v>30000</v>
      </c>
      <c r="G43" s="104"/>
      <c r="H43" s="85">
        <f t="shared" si="1"/>
        <v>30000</v>
      </c>
      <c r="I43" s="105"/>
    </row>
    <row r="44" spans="2:11" ht="15.75">
      <c r="B44" s="94" t="s">
        <v>113</v>
      </c>
      <c r="C44" s="81"/>
      <c r="D44" s="130"/>
      <c r="E44" s="83"/>
      <c r="F44" s="84"/>
      <c r="G44" s="110"/>
      <c r="H44" s="84"/>
      <c r="I44" s="93">
        <f>SUM(H30:H43)</f>
        <v>3924100</v>
      </c>
    </row>
    <row r="45" spans="2:11" ht="8.25" customHeight="1">
      <c r="B45" s="347"/>
      <c r="C45" s="107"/>
      <c r="D45" s="131"/>
      <c r="E45" s="106"/>
      <c r="F45" s="108"/>
      <c r="G45" s="108"/>
      <c r="H45" s="108"/>
      <c r="I45" s="109"/>
    </row>
    <row r="46" spans="2:11" ht="15.75">
      <c r="B46" s="94" t="s">
        <v>114</v>
      </c>
      <c r="C46" s="81"/>
      <c r="D46" s="133">
        <f>11480+520+80</f>
        <v>12080</v>
      </c>
      <c r="E46" s="90" t="s">
        <v>115</v>
      </c>
      <c r="F46" s="91"/>
      <c r="G46" s="84"/>
      <c r="H46" s="84"/>
      <c r="I46" s="93"/>
    </row>
    <row r="47" spans="2:11">
      <c r="B47" s="12">
        <v>820</v>
      </c>
      <c r="C47" s="2" t="s">
        <v>117</v>
      </c>
      <c r="D47" s="134">
        <v>1</v>
      </c>
      <c r="E47" s="92" t="s">
        <v>116</v>
      </c>
      <c r="F47" s="112">
        <f>(SUM(H48:H169)*K47)</f>
        <v>1483432.3366666667</v>
      </c>
      <c r="G47" s="104"/>
      <c r="H47" s="85">
        <f>F47*D47</f>
        <v>1483432.3366666667</v>
      </c>
      <c r="I47" s="105"/>
      <c r="K47" s="113">
        <v>0.1</v>
      </c>
    </row>
    <row r="48" spans="2:11">
      <c r="B48" s="12">
        <v>821</v>
      </c>
      <c r="C48" s="2" t="s">
        <v>193</v>
      </c>
      <c r="D48" s="424">
        <f>3.94*1.25</f>
        <v>4.9249999999999998</v>
      </c>
      <c r="E48" s="3" t="s">
        <v>205</v>
      </c>
      <c r="F48" s="85">
        <v>85000</v>
      </c>
      <c r="G48" s="104"/>
      <c r="H48" s="85">
        <f t="shared" ref="H48:H169" si="2">F48*D48</f>
        <v>418625</v>
      </c>
      <c r="I48" s="105"/>
    </row>
    <row r="49" spans="2:9">
      <c r="B49" s="12">
        <v>821</v>
      </c>
      <c r="C49" s="2" t="s">
        <v>194</v>
      </c>
      <c r="D49" s="424">
        <f>3.84*1.25</f>
        <v>4.8</v>
      </c>
      <c r="E49" s="3" t="s">
        <v>205</v>
      </c>
      <c r="F49" s="85">
        <v>75000</v>
      </c>
      <c r="G49" s="104"/>
      <c r="H49" s="85">
        <f t="shared" si="2"/>
        <v>360000</v>
      </c>
      <c r="I49" s="105"/>
    </row>
    <row r="50" spans="2:9">
      <c r="B50" s="12">
        <v>829</v>
      </c>
      <c r="C50" s="2" t="s">
        <v>759</v>
      </c>
      <c r="D50" s="127">
        <f>D46-D52-D53-D54-D55-D56-D57-D51</f>
        <v>10568</v>
      </c>
      <c r="E50" s="3" t="s">
        <v>121</v>
      </c>
      <c r="F50" s="85">
        <v>475</v>
      </c>
      <c r="G50" s="104"/>
      <c r="H50" s="85">
        <f t="shared" si="2"/>
        <v>5019800</v>
      </c>
      <c r="I50" s="105"/>
    </row>
    <row r="51" spans="2:9">
      <c r="B51" s="12">
        <v>829</v>
      </c>
      <c r="C51" s="2" t="s">
        <v>760</v>
      </c>
      <c r="D51" s="127">
        <v>80</v>
      </c>
      <c r="E51" s="3" t="s">
        <v>121</v>
      </c>
      <c r="F51" s="85">
        <v>250</v>
      </c>
      <c r="G51" s="104"/>
      <c r="H51" s="85">
        <f t="shared" ref="H51" si="3">F51*D51</f>
        <v>20000</v>
      </c>
      <c r="I51" s="105"/>
    </row>
    <row r="52" spans="2:9">
      <c r="B52" s="12">
        <v>829</v>
      </c>
      <c r="C52" s="2" t="s">
        <v>601</v>
      </c>
      <c r="D52" s="132">
        <v>0</v>
      </c>
      <c r="E52" s="3" t="s">
        <v>121</v>
      </c>
      <c r="F52" s="85">
        <v>0</v>
      </c>
      <c r="G52" s="104"/>
      <c r="H52" s="85">
        <f t="shared" si="2"/>
        <v>0</v>
      </c>
      <c r="I52" s="105"/>
    </row>
    <row r="53" spans="2:9">
      <c r="B53" s="12">
        <v>830</v>
      </c>
      <c r="C53" s="2" t="s">
        <v>124</v>
      </c>
      <c r="D53" s="132">
        <v>0</v>
      </c>
      <c r="E53" s="3" t="s">
        <v>121</v>
      </c>
      <c r="F53" s="85">
        <v>0</v>
      </c>
      <c r="G53" s="104"/>
      <c r="H53" s="85">
        <f t="shared" si="2"/>
        <v>0</v>
      </c>
      <c r="I53" s="105"/>
    </row>
    <row r="54" spans="2:9">
      <c r="B54" s="12">
        <v>825</v>
      </c>
      <c r="C54" s="2" t="s">
        <v>122</v>
      </c>
      <c r="D54" s="132">
        <v>0</v>
      </c>
      <c r="E54" s="3" t="s">
        <v>121</v>
      </c>
      <c r="F54" s="85">
        <v>0</v>
      </c>
      <c r="G54" s="104"/>
      <c r="H54" s="85">
        <f t="shared" si="2"/>
        <v>0</v>
      </c>
      <c r="I54" s="105"/>
    </row>
    <row r="55" spans="2:9">
      <c r="B55" s="12">
        <v>826</v>
      </c>
      <c r="C55" s="2" t="s">
        <v>788</v>
      </c>
      <c r="D55" s="132">
        <f>363+121</f>
        <v>484</v>
      </c>
      <c r="E55" s="3" t="s">
        <v>121</v>
      </c>
      <c r="F55" s="85">
        <v>4325</v>
      </c>
      <c r="G55" s="104"/>
      <c r="H55" s="85">
        <f t="shared" si="2"/>
        <v>2093300</v>
      </c>
      <c r="I55" s="105"/>
    </row>
    <row r="56" spans="2:9">
      <c r="B56" s="12">
        <v>827</v>
      </c>
      <c r="C56" s="2" t="s">
        <v>123</v>
      </c>
      <c r="D56" s="132">
        <v>0</v>
      </c>
      <c r="E56" s="3" t="s">
        <v>121</v>
      </c>
      <c r="F56" s="85">
        <v>0</v>
      </c>
      <c r="G56" s="104"/>
      <c r="H56" s="85">
        <f t="shared" si="2"/>
        <v>0</v>
      </c>
      <c r="I56" s="105"/>
    </row>
    <row r="57" spans="2:9">
      <c r="B57" s="12">
        <v>828</v>
      </c>
      <c r="C57" s="2" t="s">
        <v>789</v>
      </c>
      <c r="D57" s="132">
        <v>948</v>
      </c>
      <c r="E57" s="3" t="s">
        <v>121</v>
      </c>
      <c r="F57" s="85">
        <v>1590</v>
      </c>
      <c r="G57" s="104"/>
      <c r="H57" s="85">
        <f>F57*D57</f>
        <v>1507320</v>
      </c>
      <c r="I57" s="105"/>
    </row>
    <row r="58" spans="2:9">
      <c r="B58" s="12">
        <v>828</v>
      </c>
      <c r="C58" s="2" t="s">
        <v>689</v>
      </c>
      <c r="D58" s="127">
        <f>(((D56+D55+D54)/40)*3)+D57</f>
        <v>984.3</v>
      </c>
      <c r="E58" s="3" t="s">
        <v>121</v>
      </c>
      <c r="F58" s="85">
        <v>269</v>
      </c>
      <c r="G58" s="104"/>
      <c r="H58" s="85">
        <f>F58*D58</f>
        <v>264776.7</v>
      </c>
      <c r="I58" s="105"/>
    </row>
    <row r="59" spans="2:9">
      <c r="B59" s="12">
        <v>822</v>
      </c>
      <c r="C59" s="2" t="s">
        <v>195</v>
      </c>
      <c r="D59" s="132">
        <v>0</v>
      </c>
      <c r="E59" s="3" t="s">
        <v>153</v>
      </c>
      <c r="F59" s="85">
        <v>0</v>
      </c>
      <c r="G59" s="104"/>
      <c r="H59" s="85">
        <f>F59*D59</f>
        <v>0</v>
      </c>
      <c r="I59" s="105"/>
    </row>
    <row r="60" spans="2:9">
      <c r="B60" s="12">
        <v>822</v>
      </c>
      <c r="C60" s="2" t="s">
        <v>196</v>
      </c>
      <c r="D60" s="132">
        <f>7507*3*4*0.2/27</f>
        <v>667.28888888888889</v>
      </c>
      <c r="E60" s="3" t="s">
        <v>153</v>
      </c>
      <c r="F60" s="85">
        <v>300</v>
      </c>
      <c r="G60" s="104"/>
      <c r="H60" s="85">
        <f>F60*D60</f>
        <v>200186.66666666666</v>
      </c>
      <c r="I60" s="105"/>
    </row>
    <row r="61" spans="2:9">
      <c r="B61" s="12">
        <v>829</v>
      </c>
      <c r="C61" s="2" t="s">
        <v>646</v>
      </c>
      <c r="D61" s="132">
        <v>0</v>
      </c>
      <c r="E61" s="3" t="s">
        <v>131</v>
      </c>
      <c r="F61" s="85">
        <v>0</v>
      </c>
      <c r="G61" s="104"/>
      <c r="H61" s="85">
        <f t="shared" ref="H61:H62" si="4">F61*D61</f>
        <v>0</v>
      </c>
      <c r="I61" s="105"/>
    </row>
    <row r="62" spans="2:9">
      <c r="B62" s="12">
        <v>829</v>
      </c>
      <c r="C62" s="2" t="s">
        <v>648</v>
      </c>
      <c r="D62" s="132">
        <v>0</v>
      </c>
      <c r="E62" s="3" t="s">
        <v>121</v>
      </c>
      <c r="F62" s="85">
        <v>0</v>
      </c>
      <c r="G62" s="104"/>
      <c r="H62" s="85">
        <f t="shared" si="4"/>
        <v>0</v>
      </c>
      <c r="I62" s="105"/>
    </row>
    <row r="63" spans="2:9">
      <c r="B63" s="12">
        <v>829</v>
      </c>
      <c r="C63" s="2" t="s">
        <v>658</v>
      </c>
      <c r="D63" s="132">
        <v>0</v>
      </c>
      <c r="E63" s="3" t="s">
        <v>131</v>
      </c>
      <c r="F63" s="85">
        <v>18000</v>
      </c>
      <c r="G63" s="104"/>
      <c r="H63" s="85">
        <f t="shared" ref="H63" si="5">F63*D63</f>
        <v>0</v>
      </c>
      <c r="I63" s="105"/>
    </row>
    <row r="64" spans="2:9">
      <c r="B64" s="12">
        <v>829</v>
      </c>
      <c r="C64" s="2" t="s">
        <v>701</v>
      </c>
      <c r="D64" s="132">
        <v>3</v>
      </c>
      <c r="E64" s="3" t="s">
        <v>702</v>
      </c>
      <c r="F64" s="85">
        <v>25000</v>
      </c>
      <c r="G64" s="104"/>
      <c r="H64" s="85">
        <f t="shared" ref="H64" si="6">F64*D64</f>
        <v>75000</v>
      </c>
      <c r="I64" s="105"/>
    </row>
    <row r="65" spans="2:9">
      <c r="B65" s="12">
        <v>829</v>
      </c>
      <c r="C65" s="2" t="s">
        <v>197</v>
      </c>
      <c r="D65" s="132">
        <v>0</v>
      </c>
      <c r="E65" s="3" t="s">
        <v>558</v>
      </c>
      <c r="F65" s="85">
        <v>40</v>
      </c>
      <c r="G65" s="104"/>
      <c r="H65" s="85">
        <f t="shared" si="2"/>
        <v>0</v>
      </c>
      <c r="I65" s="105"/>
    </row>
    <row r="66" spans="2:9">
      <c r="B66" s="12">
        <v>829</v>
      </c>
      <c r="C66" s="2" t="s">
        <v>198</v>
      </c>
      <c r="D66" s="132">
        <v>0</v>
      </c>
      <c r="E66" s="3" t="s">
        <v>121</v>
      </c>
      <c r="F66" s="85">
        <v>0</v>
      </c>
      <c r="G66" s="104"/>
      <c r="H66" s="85">
        <f t="shared" si="2"/>
        <v>0</v>
      </c>
      <c r="I66" s="105"/>
    </row>
    <row r="67" spans="2:9">
      <c r="B67" s="12">
        <v>829</v>
      </c>
      <c r="C67" s="2" t="s">
        <v>199</v>
      </c>
      <c r="D67" s="132">
        <v>0</v>
      </c>
      <c r="E67" s="3" t="s">
        <v>121</v>
      </c>
      <c r="F67" s="85">
        <v>0</v>
      </c>
      <c r="G67" s="104"/>
      <c r="H67" s="85">
        <f t="shared" si="2"/>
        <v>0</v>
      </c>
      <c r="I67" s="105"/>
    </row>
    <row r="68" spans="2:9">
      <c r="B68" s="12">
        <v>829</v>
      </c>
      <c r="C68" s="2" t="s">
        <v>546</v>
      </c>
      <c r="D68" s="132">
        <v>0</v>
      </c>
      <c r="E68" s="3" t="s">
        <v>153</v>
      </c>
      <c r="F68" s="85">
        <v>0</v>
      </c>
      <c r="G68" s="104"/>
      <c r="H68" s="85">
        <f t="shared" si="2"/>
        <v>0</v>
      </c>
      <c r="I68" s="105"/>
    </row>
    <row r="69" spans="2:9">
      <c r="B69" s="12">
        <v>822</v>
      </c>
      <c r="C69" s="2" t="s">
        <v>200</v>
      </c>
      <c r="D69" s="132">
        <f>7507*0.2</f>
        <v>1501.4</v>
      </c>
      <c r="E69" s="3" t="s">
        <v>121</v>
      </c>
      <c r="F69" s="85">
        <v>40</v>
      </c>
      <c r="G69" s="104"/>
      <c r="H69" s="85">
        <f t="shared" si="2"/>
        <v>60056</v>
      </c>
      <c r="I69" s="105"/>
    </row>
    <row r="70" spans="2:9">
      <c r="B70" s="12">
        <v>831</v>
      </c>
      <c r="C70" s="2" t="s">
        <v>201</v>
      </c>
      <c r="D70" s="132">
        <v>0</v>
      </c>
      <c r="E70" s="3" t="s">
        <v>131</v>
      </c>
      <c r="F70" s="85">
        <v>0</v>
      </c>
      <c r="G70" s="104"/>
      <c r="H70" s="85">
        <f t="shared" si="2"/>
        <v>0</v>
      </c>
      <c r="I70" s="105"/>
    </row>
    <row r="71" spans="2:9">
      <c r="B71" s="12">
        <v>831</v>
      </c>
      <c r="C71" s="2" t="s">
        <v>202</v>
      </c>
      <c r="D71" s="132">
        <v>0</v>
      </c>
      <c r="E71" s="3" t="s">
        <v>131</v>
      </c>
      <c r="F71" s="85">
        <v>0</v>
      </c>
      <c r="G71" s="104"/>
      <c r="H71" s="85">
        <f t="shared" si="2"/>
        <v>0</v>
      </c>
      <c r="I71" s="105"/>
    </row>
    <row r="72" spans="2:9">
      <c r="B72" s="12">
        <v>831</v>
      </c>
      <c r="C72" s="2" t="s">
        <v>203</v>
      </c>
      <c r="D72" s="132">
        <v>0</v>
      </c>
      <c r="E72" s="3" t="s">
        <v>121</v>
      </c>
      <c r="F72" s="85">
        <v>0</v>
      </c>
      <c r="G72" s="104"/>
      <c r="H72" s="85">
        <f t="shared" si="2"/>
        <v>0</v>
      </c>
      <c r="I72" s="105"/>
    </row>
    <row r="73" spans="2:9">
      <c r="B73" s="12">
        <v>837</v>
      </c>
      <c r="C73" s="2" t="s">
        <v>487</v>
      </c>
      <c r="D73" s="132">
        <v>12080</v>
      </c>
      <c r="E73" s="3" t="s">
        <v>121</v>
      </c>
      <c r="F73" s="85">
        <v>50</v>
      </c>
      <c r="G73" s="104"/>
      <c r="H73" s="85">
        <f t="shared" si="2"/>
        <v>604000</v>
      </c>
      <c r="I73" s="105"/>
    </row>
    <row r="74" spans="2:9">
      <c r="B74" s="12">
        <v>837</v>
      </c>
      <c r="C74" s="2" t="s">
        <v>204</v>
      </c>
      <c r="D74" s="132">
        <v>2</v>
      </c>
      <c r="E74" s="3" t="s">
        <v>131</v>
      </c>
      <c r="F74" s="85">
        <v>20400</v>
      </c>
      <c r="G74" s="104"/>
      <c r="H74" s="85">
        <f t="shared" si="2"/>
        <v>40800</v>
      </c>
      <c r="I74" s="105"/>
    </row>
    <row r="75" spans="2:9">
      <c r="B75" s="12">
        <v>835</v>
      </c>
      <c r="C75" s="2" t="s">
        <v>547</v>
      </c>
      <c r="D75" s="132">
        <f>D50+D51</f>
        <v>10648</v>
      </c>
      <c r="E75" s="3" t="s">
        <v>121</v>
      </c>
      <c r="F75" s="85">
        <v>50</v>
      </c>
      <c r="G75" s="104"/>
      <c r="H75" s="85">
        <f t="shared" si="2"/>
        <v>532400</v>
      </c>
      <c r="I75" s="105"/>
    </row>
    <row r="76" spans="2:9">
      <c r="B76" s="12">
        <v>833</v>
      </c>
      <c r="C76" s="2" t="s">
        <v>152</v>
      </c>
      <c r="D76" s="132">
        <f>+D50+D51+D55+D57+D57</f>
        <v>13028</v>
      </c>
      <c r="E76" s="3" t="s">
        <v>116</v>
      </c>
      <c r="F76" s="85">
        <v>34</v>
      </c>
      <c r="G76" s="104"/>
      <c r="H76" s="85">
        <f t="shared" si="2"/>
        <v>442952</v>
      </c>
      <c r="I76" s="105"/>
    </row>
    <row r="77" spans="2:9">
      <c r="B77" s="12">
        <v>833</v>
      </c>
      <c r="C77" s="2" t="s">
        <v>602</v>
      </c>
      <c r="D77" s="132">
        <v>0</v>
      </c>
      <c r="E77" s="3" t="s">
        <v>116</v>
      </c>
      <c r="F77" s="85">
        <v>25000</v>
      </c>
      <c r="G77" s="104"/>
      <c r="H77" s="85">
        <f t="shared" si="2"/>
        <v>0</v>
      </c>
      <c r="I77" s="105"/>
    </row>
    <row r="78" spans="2:9">
      <c r="B78" s="12">
        <v>834</v>
      </c>
      <c r="C78" s="2" t="s">
        <v>126</v>
      </c>
      <c r="D78" s="132">
        <f>+D46</f>
        <v>12080</v>
      </c>
      <c r="E78" s="3" t="s">
        <v>116</v>
      </c>
      <c r="F78" s="85">
        <v>4</v>
      </c>
      <c r="G78" s="104"/>
      <c r="H78" s="85">
        <f t="shared" si="2"/>
        <v>48320</v>
      </c>
      <c r="I78" s="105"/>
    </row>
    <row r="79" spans="2:9">
      <c r="B79" s="12">
        <v>837</v>
      </c>
      <c r="C79" s="2" t="s">
        <v>548</v>
      </c>
      <c r="D79" s="132">
        <v>0</v>
      </c>
      <c r="E79" s="3" t="s">
        <v>121</v>
      </c>
      <c r="F79" s="85">
        <v>0</v>
      </c>
      <c r="G79" s="104"/>
      <c r="H79" s="85">
        <f t="shared" si="2"/>
        <v>0</v>
      </c>
      <c r="I79" s="105"/>
    </row>
    <row r="80" spans="2:9">
      <c r="B80" s="12">
        <v>837</v>
      </c>
      <c r="C80" s="2" t="s">
        <v>607</v>
      </c>
      <c r="D80" s="132">
        <v>0</v>
      </c>
      <c r="E80" s="3" t="s">
        <v>121</v>
      </c>
      <c r="F80" s="85">
        <v>0</v>
      </c>
      <c r="G80" s="104"/>
      <c r="H80" s="85">
        <f t="shared" si="2"/>
        <v>0</v>
      </c>
      <c r="I80" s="105"/>
    </row>
    <row r="81" spans="2:9">
      <c r="B81" s="12">
        <v>837</v>
      </c>
      <c r="C81" s="2" t="s">
        <v>549</v>
      </c>
      <c r="D81" s="132">
        <v>0</v>
      </c>
      <c r="E81" s="3" t="s">
        <v>121</v>
      </c>
      <c r="F81" s="85">
        <v>0</v>
      </c>
      <c r="G81" s="104"/>
      <c r="H81" s="85">
        <f t="shared" si="2"/>
        <v>0</v>
      </c>
      <c r="I81" s="105"/>
    </row>
    <row r="82" spans="2:9">
      <c r="B82" s="12">
        <v>829</v>
      </c>
      <c r="C82" s="2" t="s">
        <v>550</v>
      </c>
      <c r="D82" s="132">
        <v>8</v>
      </c>
      <c r="E82" s="3" t="s">
        <v>116</v>
      </c>
      <c r="F82" s="85">
        <v>1500</v>
      </c>
      <c r="G82" s="104"/>
      <c r="H82" s="85">
        <f t="shared" si="2"/>
        <v>12000</v>
      </c>
      <c r="I82" s="105"/>
    </row>
    <row r="83" spans="2:9">
      <c r="B83" s="12">
        <v>829</v>
      </c>
      <c r="C83" s="2" t="s">
        <v>551</v>
      </c>
      <c r="D83" s="132">
        <v>0</v>
      </c>
      <c r="E83" s="3" t="s">
        <v>556</v>
      </c>
      <c r="F83" s="85">
        <v>0</v>
      </c>
      <c r="G83" s="104"/>
      <c r="H83" s="85">
        <f t="shared" si="2"/>
        <v>0</v>
      </c>
      <c r="I83" s="105"/>
    </row>
    <row r="84" spans="2:9">
      <c r="B84" s="12">
        <v>829</v>
      </c>
      <c r="C84" s="2" t="s">
        <v>552</v>
      </c>
      <c r="D84" s="132">
        <v>0</v>
      </c>
      <c r="E84" s="3" t="s">
        <v>557</v>
      </c>
      <c r="F84" s="85">
        <v>0</v>
      </c>
      <c r="G84" s="104"/>
      <c r="H84" s="85">
        <f t="shared" si="2"/>
        <v>0</v>
      </c>
      <c r="I84" s="105"/>
    </row>
    <row r="85" spans="2:9">
      <c r="B85" s="12">
        <v>829</v>
      </c>
      <c r="C85" s="2" t="s">
        <v>553</v>
      </c>
      <c r="D85" s="132">
        <v>0</v>
      </c>
      <c r="E85" s="3" t="s">
        <v>131</v>
      </c>
      <c r="F85" s="85">
        <v>0</v>
      </c>
      <c r="G85" s="104"/>
      <c r="H85" s="85">
        <f t="shared" si="2"/>
        <v>0</v>
      </c>
      <c r="I85" s="105"/>
    </row>
    <row r="86" spans="2:9">
      <c r="B86" s="12">
        <v>837</v>
      </c>
      <c r="C86" s="2" t="s">
        <v>554</v>
      </c>
      <c r="D86" s="132">
        <v>10</v>
      </c>
      <c r="E86" s="3" t="s">
        <v>131</v>
      </c>
      <c r="F86" s="85">
        <v>1000</v>
      </c>
      <c r="G86" s="104"/>
      <c r="H86" s="85">
        <f t="shared" si="2"/>
        <v>10000</v>
      </c>
      <c r="I86" s="105"/>
    </row>
    <row r="87" spans="2:9">
      <c r="B87" s="12">
        <v>829</v>
      </c>
      <c r="C87" s="2" t="s">
        <v>555</v>
      </c>
      <c r="D87" s="132">
        <v>0</v>
      </c>
      <c r="E87" s="3" t="s">
        <v>121</v>
      </c>
      <c r="F87" s="85">
        <v>0</v>
      </c>
      <c r="G87" s="104"/>
      <c r="H87" s="85">
        <f t="shared" si="2"/>
        <v>0</v>
      </c>
      <c r="I87" s="105"/>
    </row>
    <row r="88" spans="2:9">
      <c r="B88" s="12">
        <v>630</v>
      </c>
      <c r="C88" s="2" t="s">
        <v>206</v>
      </c>
      <c r="D88" s="132">
        <f>1550+((3752+138+342+3585)*2)</f>
        <v>17184</v>
      </c>
      <c r="E88" s="3" t="s">
        <v>121</v>
      </c>
      <c r="F88" s="85">
        <v>25</v>
      </c>
      <c r="G88" s="104"/>
      <c r="H88" s="85">
        <f t="shared" si="2"/>
        <v>429600</v>
      </c>
      <c r="I88" s="105"/>
    </row>
    <row r="89" spans="2:9">
      <c r="B89" s="12">
        <v>630</v>
      </c>
      <c r="C89" s="2" t="s">
        <v>559</v>
      </c>
      <c r="D89" s="132">
        <v>0</v>
      </c>
      <c r="E89" s="3" t="s">
        <v>121</v>
      </c>
      <c r="F89" s="85">
        <v>0</v>
      </c>
      <c r="G89" s="104"/>
      <c r="H89" s="85">
        <f t="shared" si="2"/>
        <v>0</v>
      </c>
      <c r="I89" s="105"/>
    </row>
    <row r="90" spans="2:9">
      <c r="B90" s="12">
        <v>630</v>
      </c>
      <c r="C90" s="2" t="s">
        <v>560</v>
      </c>
      <c r="D90" s="132">
        <v>0</v>
      </c>
      <c r="E90" s="3" t="s">
        <v>121</v>
      </c>
      <c r="F90" s="85">
        <v>0</v>
      </c>
      <c r="G90" s="104"/>
      <c r="H90" s="85">
        <f t="shared" si="2"/>
        <v>0</v>
      </c>
      <c r="I90" s="105"/>
    </row>
    <row r="91" spans="2:9">
      <c r="B91" s="12">
        <v>630</v>
      </c>
      <c r="C91" s="2" t="s">
        <v>207</v>
      </c>
      <c r="D91" s="132">
        <v>0</v>
      </c>
      <c r="E91" s="3" t="s">
        <v>216</v>
      </c>
      <c r="F91" s="85">
        <v>0</v>
      </c>
      <c r="G91" s="104"/>
      <c r="H91" s="85">
        <f t="shared" si="2"/>
        <v>0</v>
      </c>
      <c r="I91" s="105"/>
    </row>
    <row r="92" spans="2:9">
      <c r="B92" s="12">
        <v>630</v>
      </c>
      <c r="C92" s="2" t="s">
        <v>561</v>
      </c>
      <c r="D92" s="132">
        <v>0</v>
      </c>
      <c r="E92" s="3" t="s">
        <v>216</v>
      </c>
      <c r="F92" s="85">
        <v>0</v>
      </c>
      <c r="G92" s="104"/>
      <c r="H92" s="85">
        <f t="shared" si="2"/>
        <v>0</v>
      </c>
      <c r="I92" s="105"/>
    </row>
    <row r="93" spans="2:9">
      <c r="B93" s="12">
        <v>630</v>
      </c>
      <c r="C93" s="2" t="s">
        <v>562</v>
      </c>
      <c r="D93" s="132">
        <v>0</v>
      </c>
      <c r="E93" s="3" t="s">
        <v>216</v>
      </c>
      <c r="F93" s="85">
        <v>0</v>
      </c>
      <c r="G93" s="104"/>
      <c r="H93" s="85">
        <f t="shared" si="2"/>
        <v>0</v>
      </c>
      <c r="I93" s="105"/>
    </row>
    <row r="94" spans="2:9">
      <c r="B94" s="12">
        <v>630</v>
      </c>
      <c r="C94" s="2" t="s">
        <v>563</v>
      </c>
      <c r="D94" s="132">
        <v>0</v>
      </c>
      <c r="E94" s="3" t="s">
        <v>216</v>
      </c>
      <c r="F94" s="85">
        <v>0</v>
      </c>
      <c r="G94" s="104"/>
      <c r="H94" s="85">
        <f t="shared" si="2"/>
        <v>0</v>
      </c>
      <c r="I94" s="105"/>
    </row>
    <row r="95" spans="2:9">
      <c r="B95" s="12">
        <v>630</v>
      </c>
      <c r="C95" s="2" t="s">
        <v>564</v>
      </c>
      <c r="D95" s="132">
        <v>0</v>
      </c>
      <c r="E95" s="3" t="s">
        <v>216</v>
      </c>
      <c r="F95" s="85">
        <v>0</v>
      </c>
      <c r="G95" s="104"/>
      <c r="H95" s="85">
        <f t="shared" si="2"/>
        <v>0</v>
      </c>
      <c r="I95" s="105"/>
    </row>
    <row r="96" spans="2:9">
      <c r="B96" s="12">
        <v>630</v>
      </c>
      <c r="C96" s="2" t="s">
        <v>565</v>
      </c>
      <c r="D96" s="132">
        <v>0</v>
      </c>
      <c r="E96" s="3" t="s">
        <v>216</v>
      </c>
      <c r="F96" s="138">
        <v>0</v>
      </c>
      <c r="G96" s="104"/>
      <c r="H96" s="85">
        <f t="shared" si="2"/>
        <v>0</v>
      </c>
      <c r="I96" s="105"/>
    </row>
    <row r="97" spans="2:11">
      <c r="B97" s="12">
        <v>630</v>
      </c>
      <c r="C97" s="2" t="s">
        <v>566</v>
      </c>
      <c r="D97" s="132">
        <v>0</v>
      </c>
      <c r="E97" s="3" t="s">
        <v>216</v>
      </c>
      <c r="F97" s="138">
        <v>0</v>
      </c>
      <c r="G97" s="104"/>
      <c r="H97" s="85">
        <f t="shared" si="2"/>
        <v>0</v>
      </c>
      <c r="I97" s="105"/>
    </row>
    <row r="98" spans="2:11">
      <c r="B98" s="12">
        <v>630</v>
      </c>
      <c r="C98" s="2" t="s">
        <v>208</v>
      </c>
      <c r="D98" s="132">
        <f>67+(67*0.75)</f>
        <v>117.25</v>
      </c>
      <c r="E98" s="3" t="s">
        <v>217</v>
      </c>
      <c r="F98" s="85">
        <v>120</v>
      </c>
      <c r="G98" s="104"/>
      <c r="H98" s="85">
        <f t="shared" si="2"/>
        <v>14070</v>
      </c>
      <c r="I98" s="105"/>
    </row>
    <row r="99" spans="2:11">
      <c r="B99" s="12">
        <v>630</v>
      </c>
      <c r="C99" s="2" t="s">
        <v>209</v>
      </c>
      <c r="D99" s="132">
        <v>110</v>
      </c>
      <c r="E99" s="3" t="s">
        <v>217</v>
      </c>
      <c r="F99" s="85">
        <v>70</v>
      </c>
      <c r="G99" s="104"/>
      <c r="H99" s="85">
        <f t="shared" si="2"/>
        <v>7700</v>
      </c>
      <c r="I99" s="105"/>
      <c r="K99" s="152"/>
    </row>
    <row r="100" spans="2:11">
      <c r="B100" s="12">
        <v>630</v>
      </c>
      <c r="C100" s="2" t="s">
        <v>210</v>
      </c>
      <c r="D100" s="132">
        <v>350</v>
      </c>
      <c r="E100" s="3" t="s">
        <v>216</v>
      </c>
      <c r="F100" s="85">
        <v>3</v>
      </c>
      <c r="G100" s="104"/>
      <c r="H100" s="85">
        <f t="shared" si="2"/>
        <v>1050</v>
      </c>
      <c r="I100" s="105"/>
    </row>
    <row r="101" spans="2:11">
      <c r="B101" s="12">
        <v>630</v>
      </c>
      <c r="C101" s="2" t="s">
        <v>118</v>
      </c>
      <c r="D101" s="132">
        <v>450</v>
      </c>
      <c r="E101" s="3" t="s">
        <v>218</v>
      </c>
      <c r="F101" s="85">
        <v>8</v>
      </c>
      <c r="G101" s="104"/>
      <c r="H101" s="85">
        <f t="shared" si="2"/>
        <v>3600</v>
      </c>
      <c r="I101" s="105"/>
    </row>
    <row r="102" spans="2:11">
      <c r="B102" s="12">
        <v>630</v>
      </c>
      <c r="C102" s="2" t="s">
        <v>567</v>
      </c>
      <c r="D102" s="132">
        <v>0</v>
      </c>
      <c r="E102" s="3" t="s">
        <v>591</v>
      </c>
      <c r="F102" s="85">
        <v>0</v>
      </c>
      <c r="G102" s="104"/>
      <c r="H102" s="85">
        <f t="shared" si="2"/>
        <v>0</v>
      </c>
      <c r="I102" s="105"/>
    </row>
    <row r="103" spans="2:11">
      <c r="B103" s="12">
        <v>630</v>
      </c>
      <c r="C103" s="2" t="s">
        <v>568</v>
      </c>
      <c r="D103" s="132">
        <v>0</v>
      </c>
      <c r="E103" s="3" t="s">
        <v>131</v>
      </c>
      <c r="F103" s="85">
        <v>0</v>
      </c>
      <c r="G103" s="104"/>
      <c r="H103" s="85">
        <f t="shared" si="2"/>
        <v>0</v>
      </c>
      <c r="I103" s="105"/>
    </row>
    <row r="104" spans="2:11">
      <c r="B104" s="12">
        <v>630</v>
      </c>
      <c r="C104" s="2" t="s">
        <v>569</v>
      </c>
      <c r="D104" s="132">
        <v>0</v>
      </c>
      <c r="E104" s="3" t="s">
        <v>131</v>
      </c>
      <c r="F104" s="85">
        <v>0</v>
      </c>
      <c r="G104" s="104"/>
      <c r="H104" s="85">
        <f t="shared" si="2"/>
        <v>0</v>
      </c>
      <c r="I104" s="105"/>
    </row>
    <row r="105" spans="2:11">
      <c r="B105" s="12">
        <v>630</v>
      </c>
      <c r="C105" s="2" t="s">
        <v>211</v>
      </c>
      <c r="D105" s="132">
        <v>0</v>
      </c>
      <c r="E105" s="3" t="s">
        <v>131</v>
      </c>
      <c r="F105" s="85">
        <v>0</v>
      </c>
      <c r="G105" s="104"/>
      <c r="H105" s="85">
        <f t="shared" si="2"/>
        <v>0</v>
      </c>
      <c r="I105" s="105"/>
    </row>
    <row r="106" spans="2:11">
      <c r="B106" s="12">
        <v>630</v>
      </c>
      <c r="C106" s="2" t="s">
        <v>570</v>
      </c>
      <c r="D106" s="132">
        <v>0</v>
      </c>
      <c r="E106" s="3" t="s">
        <v>131</v>
      </c>
      <c r="F106" s="85">
        <v>0</v>
      </c>
      <c r="G106" s="104"/>
      <c r="H106" s="85">
        <f t="shared" si="2"/>
        <v>0</v>
      </c>
      <c r="I106" s="105"/>
    </row>
    <row r="107" spans="2:11">
      <c r="B107" s="12">
        <v>630</v>
      </c>
      <c r="C107" s="2" t="s">
        <v>571</v>
      </c>
      <c r="D107" s="132">
        <v>100</v>
      </c>
      <c r="E107" s="3" t="s">
        <v>589</v>
      </c>
      <c r="F107" s="85">
        <v>125</v>
      </c>
      <c r="G107" s="104"/>
      <c r="H107" s="85">
        <f t="shared" si="2"/>
        <v>12500</v>
      </c>
      <c r="I107" s="105"/>
    </row>
    <row r="108" spans="2:11">
      <c r="B108" s="12">
        <v>630</v>
      </c>
      <c r="C108" s="2" t="s">
        <v>572</v>
      </c>
      <c r="D108" s="132">
        <v>0</v>
      </c>
      <c r="E108" s="3" t="s">
        <v>589</v>
      </c>
      <c r="F108" s="85">
        <v>0</v>
      </c>
      <c r="G108" s="104"/>
      <c r="H108" s="85">
        <f t="shared" si="2"/>
        <v>0</v>
      </c>
      <c r="I108" s="105"/>
    </row>
    <row r="109" spans="2:11">
      <c r="B109" s="12">
        <v>630</v>
      </c>
      <c r="C109" s="2" t="s">
        <v>212</v>
      </c>
      <c r="D109" s="132">
        <v>0</v>
      </c>
      <c r="E109" s="3" t="s">
        <v>131</v>
      </c>
      <c r="F109" s="85">
        <v>0</v>
      </c>
      <c r="G109" s="104"/>
      <c r="H109" s="85">
        <f t="shared" si="2"/>
        <v>0</v>
      </c>
      <c r="I109" s="105"/>
    </row>
    <row r="110" spans="2:11">
      <c r="B110" s="12">
        <v>630</v>
      </c>
      <c r="C110" s="2" t="s">
        <v>213</v>
      </c>
      <c r="D110" s="132">
        <f>(3752+138+342+3585)*100</f>
        <v>781700</v>
      </c>
      <c r="E110" s="3" t="s">
        <v>225</v>
      </c>
      <c r="F110" s="138">
        <v>0.15</v>
      </c>
      <c r="G110" s="104"/>
      <c r="H110" s="85">
        <f t="shared" si="2"/>
        <v>117255</v>
      </c>
      <c r="I110" s="105"/>
    </row>
    <row r="111" spans="2:11">
      <c r="B111" s="12">
        <v>630</v>
      </c>
      <c r="C111" s="2" t="s">
        <v>214</v>
      </c>
      <c r="D111" s="127">
        <f>D110*0.5</f>
        <v>390850</v>
      </c>
      <c r="E111" s="3" t="s">
        <v>225</v>
      </c>
      <c r="F111" s="138">
        <v>0.1</v>
      </c>
      <c r="G111" s="104"/>
      <c r="H111" s="85">
        <f t="shared" si="2"/>
        <v>39085</v>
      </c>
      <c r="I111" s="105"/>
    </row>
    <row r="112" spans="2:11">
      <c r="B112" s="12">
        <v>630</v>
      </c>
      <c r="C112" s="2" t="s">
        <v>215</v>
      </c>
      <c r="D112" s="132">
        <v>0</v>
      </c>
      <c r="E112" s="3" t="s">
        <v>131</v>
      </c>
      <c r="F112" s="85">
        <v>0</v>
      </c>
      <c r="G112" s="104"/>
      <c r="H112" s="85">
        <f t="shared" si="2"/>
        <v>0</v>
      </c>
      <c r="I112" s="105"/>
    </row>
    <row r="113" spans="2:9">
      <c r="B113" s="12">
        <v>630</v>
      </c>
      <c r="C113" s="2" t="s">
        <v>573</v>
      </c>
      <c r="D113" s="132">
        <v>0</v>
      </c>
      <c r="E113" s="3" t="s">
        <v>120</v>
      </c>
      <c r="F113" s="85">
        <v>0</v>
      </c>
      <c r="G113" s="104"/>
      <c r="H113" s="85">
        <f t="shared" si="2"/>
        <v>0</v>
      </c>
      <c r="I113" s="105"/>
    </row>
    <row r="114" spans="2:9">
      <c r="B114" s="12">
        <v>630</v>
      </c>
      <c r="C114" s="2" t="s">
        <v>574</v>
      </c>
      <c r="D114" s="132">
        <v>0</v>
      </c>
      <c r="E114" s="3" t="s">
        <v>131</v>
      </c>
      <c r="F114" s="85">
        <v>0</v>
      </c>
      <c r="G114" s="104"/>
      <c r="H114" s="85">
        <f t="shared" si="2"/>
        <v>0</v>
      </c>
      <c r="I114" s="105"/>
    </row>
    <row r="115" spans="2:9">
      <c r="B115" s="12">
        <v>630</v>
      </c>
      <c r="C115" s="2" t="s">
        <v>575</v>
      </c>
      <c r="D115" s="132">
        <v>0</v>
      </c>
      <c r="E115" s="3" t="s">
        <v>131</v>
      </c>
      <c r="F115" s="85">
        <v>0</v>
      </c>
      <c r="G115" s="104"/>
      <c r="H115" s="85">
        <f t="shared" si="2"/>
        <v>0</v>
      </c>
      <c r="I115" s="105"/>
    </row>
    <row r="116" spans="2:9">
      <c r="B116" s="12">
        <v>630</v>
      </c>
      <c r="C116" s="2" t="s">
        <v>576</v>
      </c>
      <c r="D116" s="132">
        <v>0</v>
      </c>
      <c r="E116" s="3" t="s">
        <v>131</v>
      </c>
      <c r="F116" s="85">
        <v>0</v>
      </c>
      <c r="G116" s="104"/>
      <c r="H116" s="85">
        <f t="shared" si="2"/>
        <v>0</v>
      </c>
      <c r="I116" s="105"/>
    </row>
    <row r="117" spans="2:9">
      <c r="B117" s="12">
        <v>630</v>
      </c>
      <c r="C117" s="2" t="s">
        <v>577</v>
      </c>
      <c r="D117" s="132">
        <v>0</v>
      </c>
      <c r="E117" s="3" t="s">
        <v>131</v>
      </c>
      <c r="F117" s="85">
        <v>0</v>
      </c>
      <c r="G117" s="104"/>
      <c r="H117" s="85">
        <f t="shared" si="2"/>
        <v>0</v>
      </c>
      <c r="I117" s="105"/>
    </row>
    <row r="118" spans="2:9">
      <c r="B118" s="12">
        <v>630</v>
      </c>
      <c r="C118" s="2" t="s">
        <v>578</v>
      </c>
      <c r="D118" s="132">
        <v>0</v>
      </c>
      <c r="E118" s="3" t="s">
        <v>131</v>
      </c>
      <c r="F118" s="85">
        <v>0</v>
      </c>
      <c r="G118" s="104"/>
      <c r="H118" s="85">
        <f t="shared" si="2"/>
        <v>0</v>
      </c>
      <c r="I118" s="105"/>
    </row>
    <row r="119" spans="2:9">
      <c r="B119" s="12">
        <v>630</v>
      </c>
      <c r="C119" s="2" t="s">
        <v>579</v>
      </c>
      <c r="D119" s="132">
        <v>0</v>
      </c>
      <c r="E119" s="3" t="s">
        <v>131</v>
      </c>
      <c r="F119" s="85">
        <v>0</v>
      </c>
      <c r="G119" s="104"/>
      <c r="H119" s="85">
        <f t="shared" si="2"/>
        <v>0</v>
      </c>
      <c r="I119" s="105"/>
    </row>
    <row r="120" spans="2:9">
      <c r="B120" s="12">
        <v>630</v>
      </c>
      <c r="C120" s="2" t="s">
        <v>580</v>
      </c>
      <c r="D120" s="132">
        <v>0</v>
      </c>
      <c r="E120" s="3" t="s">
        <v>131</v>
      </c>
      <c r="F120" s="85">
        <v>0</v>
      </c>
      <c r="G120" s="104"/>
      <c r="H120" s="85">
        <f t="shared" si="2"/>
        <v>0</v>
      </c>
      <c r="I120" s="105"/>
    </row>
    <row r="121" spans="2:9">
      <c r="B121" s="12">
        <v>630</v>
      </c>
      <c r="C121" s="2" t="s">
        <v>581</v>
      </c>
      <c r="D121" s="132">
        <v>0</v>
      </c>
      <c r="E121" s="3" t="s">
        <v>131</v>
      </c>
      <c r="F121" s="85">
        <v>0</v>
      </c>
      <c r="G121" s="104"/>
      <c r="H121" s="85">
        <f t="shared" si="2"/>
        <v>0</v>
      </c>
      <c r="I121" s="105"/>
    </row>
    <row r="122" spans="2:9">
      <c r="B122" s="12">
        <v>630</v>
      </c>
      <c r="C122" s="2" t="s">
        <v>582</v>
      </c>
      <c r="D122" s="132">
        <v>0</v>
      </c>
      <c r="E122" s="3" t="s">
        <v>131</v>
      </c>
      <c r="F122" s="85">
        <v>0</v>
      </c>
      <c r="G122" s="104"/>
      <c r="H122" s="85">
        <f t="shared" si="2"/>
        <v>0</v>
      </c>
      <c r="I122" s="105"/>
    </row>
    <row r="123" spans="2:9">
      <c r="B123" s="12">
        <v>630</v>
      </c>
      <c r="C123" s="2" t="s">
        <v>583</v>
      </c>
      <c r="D123" s="132">
        <v>0</v>
      </c>
      <c r="E123" s="3" t="s">
        <v>131</v>
      </c>
      <c r="F123" s="85">
        <v>0</v>
      </c>
      <c r="G123" s="104"/>
      <c r="H123" s="85">
        <f t="shared" si="2"/>
        <v>0</v>
      </c>
      <c r="I123" s="105"/>
    </row>
    <row r="124" spans="2:9">
      <c r="B124" s="12">
        <v>630</v>
      </c>
      <c r="C124" s="2" t="s">
        <v>584</v>
      </c>
      <c r="D124" s="132">
        <v>0</v>
      </c>
      <c r="E124" s="3" t="s">
        <v>131</v>
      </c>
      <c r="F124" s="85">
        <v>0</v>
      </c>
      <c r="G124" s="104"/>
      <c r="H124" s="85">
        <f t="shared" si="2"/>
        <v>0</v>
      </c>
      <c r="I124" s="105"/>
    </row>
    <row r="125" spans="2:9">
      <c r="B125" s="12">
        <v>630</v>
      </c>
      <c r="C125" s="2" t="s">
        <v>585</v>
      </c>
      <c r="D125" s="132">
        <v>0</v>
      </c>
      <c r="E125" s="3" t="s">
        <v>590</v>
      </c>
      <c r="F125" s="85">
        <v>0</v>
      </c>
      <c r="G125" s="104"/>
      <c r="H125" s="85">
        <f t="shared" si="2"/>
        <v>0</v>
      </c>
      <c r="I125" s="105"/>
    </row>
    <row r="126" spans="2:9">
      <c r="B126" s="12">
        <v>630</v>
      </c>
      <c r="C126" s="2" t="s">
        <v>586</v>
      </c>
      <c r="D126" s="132">
        <v>0</v>
      </c>
      <c r="E126" s="3" t="s">
        <v>557</v>
      </c>
      <c r="F126" s="85">
        <v>0</v>
      </c>
      <c r="G126" s="104"/>
      <c r="H126" s="85">
        <f t="shared" si="2"/>
        <v>0</v>
      </c>
      <c r="I126" s="105"/>
    </row>
    <row r="127" spans="2:9">
      <c r="B127" s="12">
        <v>630</v>
      </c>
      <c r="C127" s="2" t="s">
        <v>587</v>
      </c>
      <c r="D127" s="132">
        <v>0</v>
      </c>
      <c r="E127" s="3" t="s">
        <v>557</v>
      </c>
      <c r="F127" s="85">
        <v>0</v>
      </c>
      <c r="G127" s="104"/>
      <c r="H127" s="85">
        <f t="shared" si="2"/>
        <v>0</v>
      </c>
      <c r="I127" s="105"/>
    </row>
    <row r="128" spans="2:9" ht="34.15" customHeight="1">
      <c r="B128" s="12">
        <v>630</v>
      </c>
      <c r="C128" s="224" t="s">
        <v>588</v>
      </c>
      <c r="D128" s="132">
        <v>3</v>
      </c>
      <c r="E128" s="3" t="s">
        <v>131</v>
      </c>
      <c r="F128" s="85">
        <v>4500</v>
      </c>
      <c r="G128" s="104"/>
      <c r="H128" s="85">
        <f t="shared" si="2"/>
        <v>13500</v>
      </c>
      <c r="I128" s="105"/>
    </row>
    <row r="129" spans="2:11">
      <c r="B129" s="12">
        <v>831</v>
      </c>
      <c r="C129" s="2" t="s">
        <v>219</v>
      </c>
      <c r="D129" s="132">
        <v>0</v>
      </c>
      <c r="E129" s="3" t="s">
        <v>131</v>
      </c>
      <c r="F129" s="85">
        <v>0</v>
      </c>
      <c r="G129" s="104"/>
      <c r="H129" s="85">
        <f t="shared" si="2"/>
        <v>0</v>
      </c>
      <c r="I129" s="105"/>
    </row>
    <row r="130" spans="2:11">
      <c r="B130" s="12">
        <v>832</v>
      </c>
      <c r="C130" s="2" t="s">
        <v>220</v>
      </c>
      <c r="D130" s="132">
        <v>5</v>
      </c>
      <c r="E130" s="3" t="s">
        <v>131</v>
      </c>
      <c r="F130" s="85">
        <v>6750</v>
      </c>
      <c r="G130" s="104"/>
      <c r="H130" s="85">
        <f t="shared" si="2"/>
        <v>33750</v>
      </c>
      <c r="I130" s="105"/>
    </row>
    <row r="131" spans="2:11">
      <c r="B131" s="12">
        <v>832</v>
      </c>
      <c r="C131" s="2" t="s">
        <v>221</v>
      </c>
      <c r="D131" s="132">
        <v>200</v>
      </c>
      <c r="E131" s="3" t="s">
        <v>121</v>
      </c>
      <c r="F131" s="85">
        <v>140</v>
      </c>
      <c r="G131" s="104"/>
      <c r="H131" s="85">
        <f t="shared" si="2"/>
        <v>28000</v>
      </c>
      <c r="I131" s="105"/>
    </row>
    <row r="132" spans="2:11">
      <c r="B132" s="12">
        <v>832</v>
      </c>
      <c r="C132" s="2" t="s">
        <v>222</v>
      </c>
      <c r="D132" s="132">
        <v>0</v>
      </c>
      <c r="E132" s="3" t="s">
        <v>121</v>
      </c>
      <c r="F132" s="85">
        <v>0</v>
      </c>
      <c r="G132" s="104"/>
      <c r="H132" s="85">
        <f t="shared" si="2"/>
        <v>0</v>
      </c>
      <c r="I132" s="105"/>
    </row>
    <row r="133" spans="2:11">
      <c r="B133" s="12">
        <v>832</v>
      </c>
      <c r="C133" s="2" t="s">
        <v>223</v>
      </c>
      <c r="D133" s="132">
        <v>0</v>
      </c>
      <c r="E133" s="3" t="s">
        <v>121</v>
      </c>
      <c r="F133" s="85">
        <v>0</v>
      </c>
      <c r="G133" s="104"/>
      <c r="H133" s="85">
        <f t="shared" si="2"/>
        <v>0</v>
      </c>
      <c r="I133" s="105"/>
    </row>
    <row r="134" spans="2:11">
      <c r="B134" s="12">
        <v>832</v>
      </c>
      <c r="C134" s="2" t="s">
        <v>781</v>
      </c>
      <c r="D134" s="132">
        <v>140</v>
      </c>
      <c r="E134" s="3" t="s">
        <v>121</v>
      </c>
      <c r="F134" s="85">
        <v>350</v>
      </c>
      <c r="G134" s="104"/>
      <c r="H134" s="85">
        <f t="shared" si="2"/>
        <v>49000</v>
      </c>
      <c r="I134" s="105"/>
    </row>
    <row r="135" spans="2:11">
      <c r="B135" s="12">
        <v>832</v>
      </c>
      <c r="C135" s="2" t="s">
        <v>224</v>
      </c>
      <c r="D135" s="132">
        <v>1000</v>
      </c>
      <c r="E135" s="3" t="s">
        <v>121</v>
      </c>
      <c r="F135" s="85">
        <v>35</v>
      </c>
      <c r="G135" s="104"/>
      <c r="H135" s="85">
        <f t="shared" si="2"/>
        <v>35000</v>
      </c>
      <c r="I135" s="105"/>
    </row>
    <row r="136" spans="2:11">
      <c r="B136" s="12">
        <v>832</v>
      </c>
      <c r="C136" s="2" t="s">
        <v>768</v>
      </c>
      <c r="D136" s="132">
        <v>0</v>
      </c>
      <c r="E136" s="3" t="s">
        <v>217</v>
      </c>
      <c r="F136" s="85">
        <v>0</v>
      </c>
      <c r="G136" s="104"/>
      <c r="H136" s="85">
        <f t="shared" si="2"/>
        <v>0</v>
      </c>
      <c r="I136" s="105"/>
    </row>
    <row r="137" spans="2:11">
      <c r="B137" s="12">
        <v>832</v>
      </c>
      <c r="C137" s="2" t="s">
        <v>650</v>
      </c>
      <c r="D137" s="132">
        <v>9508</v>
      </c>
      <c r="E137" s="3" t="s">
        <v>225</v>
      </c>
      <c r="F137" s="85">
        <f>35/2</f>
        <v>17.5</v>
      </c>
      <c r="G137" s="104"/>
      <c r="H137" s="85">
        <f t="shared" ref="H137" si="7">F137*D137</f>
        <v>166390</v>
      </c>
      <c r="I137" s="105"/>
      <c r="K137" s="152"/>
    </row>
    <row r="138" spans="2:11">
      <c r="B138" s="12">
        <v>832</v>
      </c>
      <c r="C138" s="2" t="s">
        <v>651</v>
      </c>
      <c r="D138" s="132">
        <v>9508</v>
      </c>
      <c r="E138" s="3" t="s">
        <v>225</v>
      </c>
      <c r="F138" s="85">
        <f>35/2</f>
        <v>17.5</v>
      </c>
      <c r="G138" s="104"/>
      <c r="H138" s="85">
        <f t="shared" si="2"/>
        <v>166390</v>
      </c>
      <c r="I138" s="105"/>
      <c r="K138" s="152"/>
    </row>
    <row r="139" spans="2:11">
      <c r="B139" s="12">
        <v>832</v>
      </c>
      <c r="C139" s="2" t="s">
        <v>594</v>
      </c>
      <c r="D139" s="132">
        <v>0</v>
      </c>
      <c r="E139" s="3" t="s">
        <v>330</v>
      </c>
      <c r="F139" s="85">
        <v>0</v>
      </c>
      <c r="G139" s="104"/>
      <c r="H139" s="85">
        <f t="shared" si="2"/>
        <v>0</v>
      </c>
      <c r="I139" s="105"/>
    </row>
    <row r="140" spans="2:11">
      <c r="B140" s="12">
        <v>832</v>
      </c>
      <c r="C140" s="2" t="s">
        <v>595</v>
      </c>
      <c r="D140" s="132">
        <v>0</v>
      </c>
      <c r="E140" s="3" t="s">
        <v>330</v>
      </c>
      <c r="F140" s="85">
        <v>5000</v>
      </c>
      <c r="G140" s="104"/>
      <c r="H140" s="85">
        <f t="shared" si="2"/>
        <v>0</v>
      </c>
      <c r="I140" s="105"/>
    </row>
    <row r="141" spans="2:11">
      <c r="B141" s="12">
        <v>832</v>
      </c>
      <c r="C141" s="2" t="s">
        <v>334</v>
      </c>
      <c r="D141" s="132">
        <f>(1570+40)/10</f>
        <v>161</v>
      </c>
      <c r="E141" s="3" t="s">
        <v>131</v>
      </c>
      <c r="F141" s="85">
        <v>750</v>
      </c>
      <c r="G141" s="104"/>
      <c r="H141" s="85">
        <f t="shared" si="2"/>
        <v>120750</v>
      </c>
      <c r="I141" s="105"/>
    </row>
    <row r="142" spans="2:11">
      <c r="B142" s="12">
        <v>832</v>
      </c>
      <c r="C142" s="2" t="s">
        <v>333</v>
      </c>
      <c r="D142" s="132">
        <v>0</v>
      </c>
      <c r="E142" s="3" t="s">
        <v>330</v>
      </c>
      <c r="F142" s="85">
        <v>0</v>
      </c>
      <c r="G142" s="104"/>
      <c r="H142" s="85">
        <f t="shared" si="2"/>
        <v>0</v>
      </c>
      <c r="I142" s="105"/>
    </row>
    <row r="143" spans="2:11">
      <c r="B143" s="12">
        <v>832</v>
      </c>
      <c r="C143" s="2" t="s">
        <v>596</v>
      </c>
      <c r="D143" s="132">
        <v>80</v>
      </c>
      <c r="E143" s="3" t="s">
        <v>330</v>
      </c>
      <c r="F143" s="85">
        <v>5000</v>
      </c>
      <c r="G143" s="104"/>
      <c r="H143" s="85">
        <f t="shared" si="2"/>
        <v>400000</v>
      </c>
      <c r="I143" s="105"/>
    </row>
    <row r="144" spans="2:11">
      <c r="B144" s="12">
        <v>832</v>
      </c>
      <c r="C144" s="2" t="s">
        <v>597</v>
      </c>
      <c r="D144" s="132">
        <v>100</v>
      </c>
      <c r="E144" s="3" t="s">
        <v>330</v>
      </c>
      <c r="F144" s="85">
        <v>100</v>
      </c>
      <c r="G144" s="104"/>
      <c r="H144" s="85">
        <f t="shared" si="2"/>
        <v>10000</v>
      </c>
      <c r="I144" s="105"/>
      <c r="K144" s="152"/>
    </row>
    <row r="145" spans="2:22">
      <c r="B145" s="12">
        <v>832</v>
      </c>
      <c r="C145" s="2" t="s">
        <v>598</v>
      </c>
      <c r="D145" s="132">
        <v>100</v>
      </c>
      <c r="E145" s="3" t="s">
        <v>330</v>
      </c>
      <c r="F145" s="85">
        <v>100</v>
      </c>
      <c r="G145" s="104"/>
      <c r="H145" s="85">
        <f t="shared" si="2"/>
        <v>10000</v>
      </c>
      <c r="I145" s="105"/>
      <c r="V145" s="382"/>
    </row>
    <row r="146" spans="2:22">
      <c r="B146" s="12">
        <v>832</v>
      </c>
      <c r="C146" s="2" t="s">
        <v>599</v>
      </c>
      <c r="D146" s="132">
        <v>0</v>
      </c>
      <c r="E146" s="3" t="s">
        <v>153</v>
      </c>
      <c r="F146" s="85">
        <v>0</v>
      </c>
      <c r="G146" s="104"/>
      <c r="H146" s="85">
        <f t="shared" si="2"/>
        <v>0</v>
      </c>
      <c r="I146" s="105"/>
    </row>
    <row r="147" spans="2:22">
      <c r="B147" s="12">
        <v>832</v>
      </c>
      <c r="C147" s="2" t="s">
        <v>600</v>
      </c>
      <c r="D147" s="132">
        <v>0</v>
      </c>
      <c r="E147" s="3" t="s">
        <v>330</v>
      </c>
      <c r="F147" s="85">
        <v>0</v>
      </c>
      <c r="G147" s="104"/>
      <c r="H147" s="85">
        <f t="shared" si="2"/>
        <v>0</v>
      </c>
      <c r="I147" s="105"/>
    </row>
    <row r="148" spans="2:22">
      <c r="B148" s="12">
        <v>837</v>
      </c>
      <c r="C148" s="2" t="s">
        <v>488</v>
      </c>
      <c r="D148" s="132">
        <v>1</v>
      </c>
      <c r="E148" s="3" t="s">
        <v>782</v>
      </c>
      <c r="F148" s="85">
        <f>45000*2.5/10</f>
        <v>11250</v>
      </c>
      <c r="G148" s="104"/>
      <c r="H148" s="85">
        <f>F148*D148</f>
        <v>11250</v>
      </c>
      <c r="I148" s="105"/>
    </row>
    <row r="149" spans="2:22">
      <c r="B149" s="12">
        <v>837</v>
      </c>
      <c r="C149" s="2" t="s">
        <v>489</v>
      </c>
      <c r="D149" s="424">
        <v>2.5</v>
      </c>
      <c r="E149" s="3" t="s">
        <v>490</v>
      </c>
      <c r="F149" s="85">
        <v>9000</v>
      </c>
      <c r="G149" s="104"/>
      <c r="H149" s="85">
        <f>F149*D149</f>
        <v>22500</v>
      </c>
      <c r="I149" s="105"/>
    </row>
    <row r="150" spans="2:22">
      <c r="B150" s="12">
        <v>837</v>
      </c>
      <c r="C150" s="2" t="s">
        <v>491</v>
      </c>
      <c r="D150" s="424">
        <v>0</v>
      </c>
      <c r="E150" s="3" t="s">
        <v>490</v>
      </c>
      <c r="F150" s="85">
        <v>6000</v>
      </c>
      <c r="G150" s="104"/>
      <c r="H150" s="85">
        <f>F150*D150</f>
        <v>0</v>
      </c>
      <c r="I150" s="105"/>
    </row>
    <row r="151" spans="2:22">
      <c r="B151" s="12"/>
      <c r="C151" s="2" t="s">
        <v>177</v>
      </c>
      <c r="D151" s="132">
        <v>1</v>
      </c>
      <c r="E151" s="3" t="s">
        <v>131</v>
      </c>
      <c r="F151" s="85">
        <v>249710</v>
      </c>
      <c r="G151" s="104"/>
      <c r="H151" s="85">
        <f t="shared" ref="H151:H165" si="8">F151*D151</f>
        <v>249710</v>
      </c>
      <c r="I151" s="105"/>
    </row>
    <row r="152" spans="2:22">
      <c r="B152" s="12"/>
      <c r="C152" s="2" t="s">
        <v>652</v>
      </c>
      <c r="D152" s="132">
        <v>1</v>
      </c>
      <c r="E152" s="3" t="s">
        <v>131</v>
      </c>
      <c r="F152" s="85">
        <v>7500</v>
      </c>
      <c r="G152" s="104"/>
      <c r="H152" s="85">
        <f t="shared" ref="H152" si="9">F152*D152</f>
        <v>7500</v>
      </c>
      <c r="I152" s="105"/>
    </row>
    <row r="153" spans="2:22">
      <c r="B153" s="12"/>
      <c r="C153" s="2" t="s">
        <v>336</v>
      </c>
      <c r="D153" s="132">
        <v>0</v>
      </c>
      <c r="E153" s="3" t="s">
        <v>131</v>
      </c>
      <c r="F153" s="85">
        <v>50000</v>
      </c>
      <c r="G153" s="104"/>
      <c r="H153" s="85">
        <f t="shared" si="8"/>
        <v>0</v>
      </c>
      <c r="I153" s="105"/>
    </row>
    <row r="154" spans="2:22">
      <c r="B154" s="12"/>
      <c r="C154" s="2" t="s">
        <v>337</v>
      </c>
      <c r="D154" s="132">
        <v>1</v>
      </c>
      <c r="E154" s="3" t="s">
        <v>131</v>
      </c>
      <c r="F154" s="85">
        <v>25000</v>
      </c>
      <c r="G154" s="104"/>
      <c r="H154" s="85">
        <f t="shared" si="8"/>
        <v>25000</v>
      </c>
      <c r="I154" s="105"/>
    </row>
    <row r="155" spans="2:22">
      <c r="B155" s="12"/>
      <c r="C155" s="2" t="s">
        <v>344</v>
      </c>
      <c r="D155" s="132">
        <v>0</v>
      </c>
      <c r="E155" s="3" t="s">
        <v>131</v>
      </c>
      <c r="F155" s="85">
        <v>21000</v>
      </c>
      <c r="G155" s="104"/>
      <c r="H155" s="85">
        <f t="shared" si="8"/>
        <v>0</v>
      </c>
      <c r="I155" s="105"/>
    </row>
    <row r="156" spans="2:22">
      <c r="B156" s="12"/>
      <c r="C156" s="2" t="s">
        <v>769</v>
      </c>
      <c r="D156" s="132">
        <v>1</v>
      </c>
      <c r="E156" s="3" t="s">
        <v>131</v>
      </c>
      <c r="F156" s="85">
        <v>611752</v>
      </c>
      <c r="G156" s="104"/>
      <c r="H156" s="85">
        <f t="shared" si="8"/>
        <v>611752</v>
      </c>
      <c r="I156" s="105"/>
    </row>
    <row r="157" spans="2:22">
      <c r="B157" s="12"/>
      <c r="C157" s="2" t="s">
        <v>653</v>
      </c>
      <c r="D157" s="132">
        <v>1</v>
      </c>
      <c r="E157" s="3" t="s">
        <v>131</v>
      </c>
      <c r="F157" s="85">
        <v>30000</v>
      </c>
      <c r="G157" s="104"/>
      <c r="H157" s="85">
        <f t="shared" ref="H157" si="10">F157*D157</f>
        <v>30000</v>
      </c>
      <c r="I157" s="105"/>
    </row>
    <row r="158" spans="2:22">
      <c r="B158" s="12"/>
      <c r="C158" s="2" t="s">
        <v>493</v>
      </c>
      <c r="D158" s="132">
        <v>1</v>
      </c>
      <c r="E158" s="3" t="s">
        <v>116</v>
      </c>
      <c r="F158" s="85">
        <v>25000</v>
      </c>
      <c r="G158" s="104"/>
      <c r="H158" s="85">
        <f t="shared" si="8"/>
        <v>25000</v>
      </c>
      <c r="I158" s="105"/>
    </row>
    <row r="159" spans="2:22">
      <c r="B159" s="12"/>
      <c r="C159" s="2" t="s">
        <v>226</v>
      </c>
      <c r="D159" s="132">
        <v>4</v>
      </c>
      <c r="E159" s="3" t="s">
        <v>110</v>
      </c>
      <c r="F159" s="85">
        <v>65000</v>
      </c>
      <c r="G159" s="104"/>
      <c r="H159" s="85">
        <f t="shared" si="8"/>
        <v>260000</v>
      </c>
      <c r="I159" s="105"/>
    </row>
    <row r="160" spans="2:22">
      <c r="B160" s="12"/>
      <c r="C160" s="2" t="s">
        <v>335</v>
      </c>
      <c r="D160" s="132">
        <v>0</v>
      </c>
      <c r="E160" s="3" t="s">
        <v>131</v>
      </c>
      <c r="F160" s="85">
        <v>20000</v>
      </c>
      <c r="G160" s="104"/>
      <c r="H160" s="85">
        <f t="shared" si="8"/>
        <v>0</v>
      </c>
      <c r="I160" s="105"/>
    </row>
    <row r="161" spans="2:13">
      <c r="B161" s="12"/>
      <c r="C161" s="2" t="s">
        <v>125</v>
      </c>
      <c r="D161" s="132">
        <v>0</v>
      </c>
      <c r="E161" s="3" t="s">
        <v>116</v>
      </c>
      <c r="F161" s="85">
        <v>0</v>
      </c>
      <c r="G161" s="104"/>
      <c r="H161" s="85">
        <f t="shared" si="8"/>
        <v>0</v>
      </c>
      <c r="I161" s="105"/>
    </row>
    <row r="162" spans="2:13">
      <c r="B162" s="12"/>
      <c r="C162" s="2" t="s">
        <v>647</v>
      </c>
      <c r="D162" s="132">
        <v>3</v>
      </c>
      <c r="E162" s="3" t="s">
        <v>131</v>
      </c>
      <c r="F162" s="85">
        <v>25000</v>
      </c>
      <c r="G162" s="104"/>
      <c r="H162" s="85">
        <f t="shared" ref="H162" si="11">F162*D162</f>
        <v>75000</v>
      </c>
      <c r="I162" s="105"/>
    </row>
    <row r="163" spans="2:13">
      <c r="B163" s="12"/>
      <c r="C163" s="2" t="s">
        <v>783</v>
      </c>
      <c r="D163" s="132">
        <v>3</v>
      </c>
      <c r="E163" s="3" t="s">
        <v>131</v>
      </c>
      <c r="F163" s="85">
        <v>21273</v>
      </c>
      <c r="G163" s="104"/>
      <c r="H163" s="85">
        <f t="shared" si="8"/>
        <v>63819</v>
      </c>
      <c r="I163" s="105"/>
    </row>
    <row r="164" spans="2:13">
      <c r="B164" s="12"/>
      <c r="C164" s="2" t="s">
        <v>784</v>
      </c>
      <c r="D164" s="132">
        <v>3</v>
      </c>
      <c r="E164" s="3" t="s">
        <v>131</v>
      </c>
      <c r="F164" s="85">
        <v>16500</v>
      </c>
      <c r="G164" s="104"/>
      <c r="H164" s="85">
        <f t="shared" si="8"/>
        <v>49500</v>
      </c>
      <c r="I164" s="105"/>
    </row>
    <row r="165" spans="2:13">
      <c r="B165" s="12"/>
      <c r="C165" s="2" t="s">
        <v>331</v>
      </c>
      <c r="D165" s="132">
        <v>0</v>
      </c>
      <c r="E165" s="3" t="s">
        <v>131</v>
      </c>
      <c r="F165" s="85">
        <v>0</v>
      </c>
      <c r="G165" s="104"/>
      <c r="H165" s="85">
        <f t="shared" si="8"/>
        <v>0</v>
      </c>
      <c r="I165" s="105"/>
    </row>
    <row r="166" spans="2:13">
      <c r="B166" s="12"/>
      <c r="C166" s="2" t="s">
        <v>332</v>
      </c>
      <c r="D166" s="132">
        <v>0</v>
      </c>
      <c r="E166" s="3" t="s">
        <v>131</v>
      </c>
      <c r="F166" s="85">
        <v>0</v>
      </c>
      <c r="G166" s="104"/>
      <c r="H166" s="85">
        <f t="shared" si="2"/>
        <v>0</v>
      </c>
      <c r="I166" s="105"/>
    </row>
    <row r="167" spans="2:13">
      <c r="B167" s="12"/>
      <c r="C167" s="2" t="s">
        <v>649</v>
      </c>
      <c r="D167" s="132">
        <v>0</v>
      </c>
      <c r="E167" s="3" t="s">
        <v>131</v>
      </c>
      <c r="F167" s="85">
        <v>60000</v>
      </c>
      <c r="G167" s="104"/>
      <c r="H167" s="85">
        <f t="shared" si="2"/>
        <v>0</v>
      </c>
      <c r="I167" s="105"/>
    </row>
    <row r="168" spans="2:13">
      <c r="B168" s="12"/>
      <c r="C168" s="2" t="s">
        <v>127</v>
      </c>
      <c r="D168" s="132">
        <f>D56+D57</f>
        <v>948</v>
      </c>
      <c r="E168" s="3" t="s">
        <v>121</v>
      </c>
      <c r="F168" s="85">
        <v>17</v>
      </c>
      <c r="G168" s="104"/>
      <c r="H168" s="85">
        <f t="shared" si="2"/>
        <v>16116</v>
      </c>
      <c r="I168" s="105"/>
    </row>
    <row r="169" spans="2:13">
      <c r="B169" s="12"/>
      <c r="C169" s="2" t="s">
        <v>227</v>
      </c>
      <c r="D169" s="132">
        <f>IF(D168&gt;0, 1, 0)</f>
        <v>1</v>
      </c>
      <c r="E169" s="3" t="s">
        <v>116</v>
      </c>
      <c r="F169" s="85">
        <v>20000</v>
      </c>
      <c r="G169" s="104"/>
      <c r="H169" s="85">
        <f t="shared" si="2"/>
        <v>20000</v>
      </c>
      <c r="I169" s="105"/>
    </row>
    <row r="170" spans="2:13" ht="15.75">
      <c r="B170" s="94" t="s">
        <v>542</v>
      </c>
      <c r="C170" s="81"/>
      <c r="D170" s="130"/>
      <c r="E170" s="83"/>
      <c r="F170" s="84"/>
      <c r="G170" s="84"/>
      <c r="H170" s="110"/>
      <c r="I170" s="93">
        <f>CEILING(SUM(H47:H169),100)</f>
        <v>16317800</v>
      </c>
    </row>
    <row r="171" spans="2:13">
      <c r="B171" s="347"/>
      <c r="C171" s="107"/>
      <c r="D171" s="131"/>
      <c r="E171" s="106"/>
      <c r="F171" s="108"/>
      <c r="G171" s="108"/>
      <c r="H171" s="108"/>
      <c r="I171" s="109"/>
    </row>
    <row r="172" spans="2:13" ht="15.75">
      <c r="B172" s="94" t="s">
        <v>132</v>
      </c>
      <c r="C172" s="81"/>
      <c r="D172" s="130"/>
      <c r="E172" s="83"/>
      <c r="F172" s="84"/>
      <c r="G172" s="84"/>
      <c r="H172" s="84"/>
      <c r="I172" s="93"/>
    </row>
    <row r="173" spans="2:13">
      <c r="B173" s="12" t="s">
        <v>537</v>
      </c>
      <c r="C173" s="2" t="s">
        <v>133</v>
      </c>
      <c r="D173" s="127">
        <f>($I$170*K173)/$F$173</f>
        <v>2687.6376470588234</v>
      </c>
      <c r="E173" s="92" t="s">
        <v>703</v>
      </c>
      <c r="F173" s="85">
        <v>850</v>
      </c>
      <c r="G173" s="104"/>
      <c r="H173" s="85">
        <f>F173*D173</f>
        <v>2284492</v>
      </c>
      <c r="I173" s="105"/>
      <c r="K173" s="381">
        <v>0.14000000000000001</v>
      </c>
      <c r="L173" s="380" t="s">
        <v>608</v>
      </c>
      <c r="M173" s="305"/>
    </row>
    <row r="174" spans="2:13">
      <c r="B174" s="12" t="s">
        <v>538</v>
      </c>
      <c r="C174" s="2" t="s">
        <v>135</v>
      </c>
      <c r="D174" s="127">
        <f>($I$170*K174)/$F$174</f>
        <v>114.2246</v>
      </c>
      <c r="E174" s="92" t="s">
        <v>129</v>
      </c>
      <c r="F174" s="85">
        <v>2500</v>
      </c>
      <c r="G174" s="104"/>
      <c r="H174" s="85">
        <f>F174*D174</f>
        <v>285561.5</v>
      </c>
      <c r="I174" s="105"/>
      <c r="K174" s="407">
        <v>1.7500000000000002E-2</v>
      </c>
      <c r="L174" s="380" t="s">
        <v>609</v>
      </c>
      <c r="M174" s="305"/>
    </row>
    <row r="175" spans="2:13" ht="15.75">
      <c r="B175" s="94" t="s">
        <v>136</v>
      </c>
      <c r="C175" s="81"/>
      <c r="D175" s="130"/>
      <c r="E175" s="83"/>
      <c r="F175" s="84"/>
      <c r="G175" s="84"/>
      <c r="H175" s="110"/>
      <c r="I175" s="93">
        <f>CEILING(SUM(H173:H174),100)</f>
        <v>2570100</v>
      </c>
    </row>
    <row r="176" spans="2:13">
      <c r="B176" s="347"/>
      <c r="C176" s="107"/>
      <c r="D176" s="131"/>
      <c r="E176" s="106"/>
      <c r="F176" s="108"/>
      <c r="G176" s="108"/>
      <c r="H176" s="108"/>
      <c r="I176" s="109"/>
    </row>
    <row r="177" spans="2:9" ht="15.75">
      <c r="B177" s="94" t="s">
        <v>137</v>
      </c>
      <c r="C177" s="81"/>
      <c r="D177" s="130"/>
      <c r="E177" s="83"/>
      <c r="F177" s="84"/>
      <c r="G177" s="84"/>
      <c r="H177" s="84"/>
      <c r="I177" s="93"/>
    </row>
    <row r="178" spans="2:9">
      <c r="B178" s="344"/>
      <c r="C178" s="114" t="s">
        <v>138</v>
      </c>
      <c r="D178" s="135"/>
      <c r="E178" s="345"/>
      <c r="F178" s="115"/>
      <c r="G178" s="116"/>
      <c r="H178" s="115"/>
      <c r="I178" s="117"/>
    </row>
    <row r="179" spans="2:9">
      <c r="B179" s="12" t="s">
        <v>539</v>
      </c>
      <c r="C179" s="2" t="s">
        <v>749</v>
      </c>
      <c r="D179" s="132">
        <v>11480</v>
      </c>
      <c r="E179" s="3" t="s">
        <v>121</v>
      </c>
      <c r="F179" s="85">
        <v>200</v>
      </c>
      <c r="G179" s="104"/>
      <c r="H179" s="85">
        <f t="shared" ref="H179:H184" si="12">F179*D179</f>
        <v>2296000</v>
      </c>
      <c r="I179" s="105"/>
    </row>
    <row r="180" spans="2:9">
      <c r="B180" s="12" t="s">
        <v>539</v>
      </c>
      <c r="C180" s="2" t="s">
        <v>762</v>
      </c>
      <c r="D180" s="132">
        <v>240</v>
      </c>
      <c r="E180" s="3" t="s">
        <v>121</v>
      </c>
      <c r="F180" s="85">
        <v>200</v>
      </c>
      <c r="G180" s="104"/>
      <c r="H180" s="85">
        <f t="shared" si="12"/>
        <v>48000</v>
      </c>
      <c r="I180" s="105"/>
    </row>
    <row r="181" spans="2:9">
      <c r="B181" s="12" t="s">
        <v>539</v>
      </c>
      <c r="C181" s="2" t="s">
        <v>750</v>
      </c>
      <c r="D181" s="132">
        <v>520</v>
      </c>
      <c r="E181" s="3" t="s">
        <v>121</v>
      </c>
      <c r="F181" s="85">
        <v>175</v>
      </c>
      <c r="G181" s="104"/>
      <c r="H181" s="85">
        <f t="shared" si="12"/>
        <v>91000</v>
      </c>
      <c r="I181" s="105"/>
    </row>
    <row r="182" spans="2:9">
      <c r="B182" s="12" t="s">
        <v>539</v>
      </c>
      <c r="C182" s="2" t="s">
        <v>761</v>
      </c>
      <c r="D182" s="132">
        <v>40</v>
      </c>
      <c r="E182" s="3" t="s">
        <v>121</v>
      </c>
      <c r="F182" s="85">
        <v>173</v>
      </c>
      <c r="G182" s="104"/>
      <c r="H182" s="85">
        <f t="shared" si="12"/>
        <v>6920</v>
      </c>
      <c r="I182" s="105"/>
    </row>
    <row r="183" spans="2:9">
      <c r="B183" s="12" t="s">
        <v>539</v>
      </c>
      <c r="C183" s="224" t="s">
        <v>751</v>
      </c>
      <c r="D183" s="222">
        <v>80</v>
      </c>
      <c r="E183" s="3" t="s">
        <v>121</v>
      </c>
      <c r="F183" s="85">
        <v>15</v>
      </c>
      <c r="G183" s="104"/>
      <c r="H183" s="85">
        <f t="shared" si="12"/>
        <v>1200</v>
      </c>
      <c r="I183" s="105"/>
    </row>
    <row r="184" spans="2:9">
      <c r="B184" s="12" t="s">
        <v>539</v>
      </c>
      <c r="C184" s="224" t="s">
        <v>752</v>
      </c>
      <c r="D184" s="222">
        <v>20</v>
      </c>
      <c r="E184" s="3" t="s">
        <v>121</v>
      </c>
      <c r="F184" s="85">
        <v>9</v>
      </c>
      <c r="G184" s="104"/>
      <c r="H184" s="85">
        <f t="shared" si="12"/>
        <v>180</v>
      </c>
      <c r="I184" s="105"/>
    </row>
    <row r="185" spans="2:9">
      <c r="B185" s="344"/>
      <c r="C185" s="114" t="s">
        <v>139</v>
      </c>
      <c r="D185" s="135"/>
      <c r="E185" s="345"/>
      <c r="F185" s="115"/>
      <c r="G185" s="116"/>
      <c r="H185" s="115"/>
      <c r="I185" s="117"/>
    </row>
    <row r="186" spans="2:9">
      <c r="B186" s="12" t="s">
        <v>539</v>
      </c>
      <c r="C186" s="2" t="s">
        <v>753</v>
      </c>
      <c r="D186" s="132">
        <v>31</v>
      </c>
      <c r="E186" s="3" t="s">
        <v>131</v>
      </c>
      <c r="F186" s="85">
        <v>4342</v>
      </c>
      <c r="G186" s="104"/>
      <c r="H186" s="85">
        <f>F186*D186</f>
        <v>134602</v>
      </c>
      <c r="I186" s="105"/>
    </row>
    <row r="187" spans="2:9">
      <c r="B187" s="12" t="s">
        <v>539</v>
      </c>
      <c r="C187" s="2" t="s">
        <v>754</v>
      </c>
      <c r="D187" s="132">
        <v>20</v>
      </c>
      <c r="E187" s="3" t="s">
        <v>131</v>
      </c>
      <c r="F187" s="85">
        <v>6158</v>
      </c>
      <c r="G187" s="104"/>
      <c r="H187" s="85">
        <f t="shared" ref="H187:H188" si="13">F187*D187</f>
        <v>123160</v>
      </c>
      <c r="I187" s="105"/>
    </row>
    <row r="188" spans="2:9">
      <c r="B188" s="12" t="s">
        <v>539</v>
      </c>
      <c r="C188" s="2" t="s">
        <v>755</v>
      </c>
      <c r="D188" s="132">
        <v>1</v>
      </c>
      <c r="E188" s="3" t="s">
        <v>131</v>
      </c>
      <c r="F188" s="85">
        <v>192</v>
      </c>
      <c r="G188" s="104"/>
      <c r="H188" s="85">
        <f t="shared" si="13"/>
        <v>192</v>
      </c>
      <c r="I188" s="105"/>
    </row>
    <row r="189" spans="2:9">
      <c r="B189" s="12" t="s">
        <v>539</v>
      </c>
      <c r="C189" s="2" t="s">
        <v>756</v>
      </c>
      <c r="D189" s="132">
        <v>2</v>
      </c>
      <c r="E189" s="3" t="s">
        <v>131</v>
      </c>
      <c r="F189" s="85">
        <v>192</v>
      </c>
      <c r="G189" s="104"/>
      <c r="H189" s="85">
        <f>F189*D189</f>
        <v>384</v>
      </c>
      <c r="I189" s="105"/>
    </row>
    <row r="190" spans="2:9">
      <c r="B190" s="344"/>
      <c r="C190" s="114" t="s">
        <v>178</v>
      </c>
      <c r="D190" s="135"/>
      <c r="E190" s="345"/>
      <c r="F190" s="115"/>
      <c r="G190" s="116"/>
      <c r="H190" s="115"/>
      <c r="I190" s="117"/>
    </row>
    <row r="191" spans="2:9">
      <c r="B191" s="12" t="s">
        <v>540</v>
      </c>
      <c r="C191" s="2" t="s">
        <v>184</v>
      </c>
      <c r="D191" s="132">
        <v>0</v>
      </c>
      <c r="E191" s="3" t="s">
        <v>131</v>
      </c>
      <c r="F191" s="85">
        <v>0</v>
      </c>
      <c r="G191" s="104"/>
      <c r="H191" s="85">
        <f t="shared" ref="H191:H198" si="14">F191*D191</f>
        <v>0</v>
      </c>
      <c r="I191" s="105"/>
    </row>
    <row r="192" spans="2:9">
      <c r="B192" s="12" t="s">
        <v>540</v>
      </c>
      <c r="C192" s="2" t="s">
        <v>758</v>
      </c>
      <c r="D192" s="132">
        <v>3</v>
      </c>
      <c r="E192" s="3" t="s">
        <v>131</v>
      </c>
      <c r="F192" s="85">
        <v>58000</v>
      </c>
      <c r="G192" s="104"/>
      <c r="H192" s="85">
        <f t="shared" si="14"/>
        <v>174000</v>
      </c>
      <c r="I192" s="105"/>
    </row>
    <row r="193" spans="2:16">
      <c r="B193" s="417"/>
      <c r="C193" s="418" t="s">
        <v>747</v>
      </c>
      <c r="D193" s="419">
        <v>1</v>
      </c>
      <c r="E193" s="420" t="s">
        <v>131</v>
      </c>
      <c r="F193" s="421">
        <v>67198</v>
      </c>
      <c r="G193" s="422"/>
      <c r="H193" s="421">
        <f t="shared" si="14"/>
        <v>67198</v>
      </c>
      <c r="I193" s="423"/>
      <c r="J193" s="152"/>
      <c r="K193" s="152" t="s">
        <v>748</v>
      </c>
    </row>
    <row r="194" spans="2:16">
      <c r="B194" s="417"/>
      <c r="C194" s="2" t="s">
        <v>757</v>
      </c>
      <c r="D194" s="132">
        <v>2</v>
      </c>
      <c r="E194" s="3" t="s">
        <v>131</v>
      </c>
      <c r="F194" s="85">
        <v>1990</v>
      </c>
      <c r="G194" s="104"/>
      <c r="H194" s="85">
        <f t="shared" si="14"/>
        <v>3980</v>
      </c>
      <c r="I194" s="423"/>
      <c r="J194" s="152"/>
      <c r="K194" s="152"/>
    </row>
    <row r="195" spans="2:16">
      <c r="B195" s="417"/>
      <c r="C195" s="2" t="s">
        <v>765</v>
      </c>
      <c r="D195" s="132">
        <v>1</v>
      </c>
      <c r="E195" s="3" t="s">
        <v>131</v>
      </c>
      <c r="F195" s="85">
        <v>7290</v>
      </c>
      <c r="G195" s="104"/>
      <c r="H195" s="85">
        <f t="shared" si="14"/>
        <v>7290</v>
      </c>
      <c r="I195" s="423"/>
      <c r="J195" s="152"/>
      <c r="K195" s="152"/>
    </row>
    <row r="196" spans="2:16">
      <c r="B196" s="417"/>
      <c r="C196" s="2" t="s">
        <v>764</v>
      </c>
      <c r="D196" s="132">
        <v>1</v>
      </c>
      <c r="E196" s="3" t="s">
        <v>131</v>
      </c>
      <c r="F196" s="85">
        <v>1990</v>
      </c>
      <c r="G196" s="104"/>
      <c r="H196" s="85">
        <f t="shared" si="14"/>
        <v>1990</v>
      </c>
      <c r="I196" s="423"/>
      <c r="J196" s="152"/>
      <c r="K196" s="152"/>
    </row>
    <row r="197" spans="2:16">
      <c r="B197" s="12" t="s">
        <v>540</v>
      </c>
      <c r="C197" s="2" t="s">
        <v>785</v>
      </c>
      <c r="D197" s="132">
        <f>D156</f>
        <v>1</v>
      </c>
      <c r="E197" s="3" t="s">
        <v>131</v>
      </c>
      <c r="F197" s="85">
        <v>389284</v>
      </c>
      <c r="G197" s="104"/>
      <c r="H197" s="85">
        <f t="shared" si="14"/>
        <v>389284</v>
      </c>
      <c r="I197" s="105"/>
    </row>
    <row r="198" spans="2:16">
      <c r="B198" s="12" t="s">
        <v>540</v>
      </c>
      <c r="C198" s="2" t="s">
        <v>763</v>
      </c>
      <c r="D198" s="132">
        <v>2</v>
      </c>
      <c r="E198" s="3" t="s">
        <v>131</v>
      </c>
      <c r="F198" s="85">
        <v>45000</v>
      </c>
      <c r="G198" s="104"/>
      <c r="H198" s="85">
        <f t="shared" si="14"/>
        <v>90000</v>
      </c>
      <c r="I198" s="105"/>
    </row>
    <row r="199" spans="2:16">
      <c r="B199" s="344"/>
      <c r="C199" s="114" t="s">
        <v>148</v>
      </c>
      <c r="D199" s="135" t="s">
        <v>7</v>
      </c>
      <c r="E199" s="345" t="s">
        <v>7</v>
      </c>
      <c r="F199" s="115" t="s">
        <v>7</v>
      </c>
      <c r="G199" s="116"/>
      <c r="H199" s="115" t="s">
        <v>7</v>
      </c>
      <c r="I199" s="117"/>
    </row>
    <row r="200" spans="2:16">
      <c r="B200" s="12"/>
      <c r="C200" s="2" t="s">
        <v>691</v>
      </c>
      <c r="D200" s="240">
        <v>2</v>
      </c>
      <c r="E200" s="241" t="s">
        <v>131</v>
      </c>
      <c r="F200" s="239">
        <v>20000</v>
      </c>
      <c r="G200" s="104"/>
      <c r="H200" s="85">
        <f t="shared" ref="H200:H205" si="15">F200*D200</f>
        <v>40000</v>
      </c>
      <c r="I200" s="105"/>
    </row>
    <row r="201" spans="2:16">
      <c r="B201" s="12"/>
      <c r="C201" s="2" t="s">
        <v>492</v>
      </c>
      <c r="D201" s="240">
        <f>D148</f>
        <v>1</v>
      </c>
      <c r="E201" s="241" t="s">
        <v>131</v>
      </c>
      <c r="F201" s="239">
        <f>F148</f>
        <v>11250</v>
      </c>
      <c r="G201" s="104"/>
      <c r="H201" s="85">
        <f t="shared" si="15"/>
        <v>11250</v>
      </c>
      <c r="I201" s="105"/>
    </row>
    <row r="202" spans="2:16">
      <c r="B202" s="12"/>
      <c r="C202" s="2" t="s">
        <v>798</v>
      </c>
      <c r="D202" s="240">
        <v>0</v>
      </c>
      <c r="E202" s="241" t="s">
        <v>131</v>
      </c>
      <c r="F202" s="239">
        <v>75000</v>
      </c>
      <c r="G202" s="104"/>
      <c r="H202" s="85">
        <f t="shared" si="15"/>
        <v>0</v>
      </c>
      <c r="I202" s="105"/>
    </row>
    <row r="203" spans="2:16">
      <c r="B203" s="12" t="s">
        <v>540</v>
      </c>
      <c r="C203" s="2" t="s">
        <v>690</v>
      </c>
      <c r="D203" s="240">
        <f>D58</f>
        <v>984.3</v>
      </c>
      <c r="E203" s="241" t="s">
        <v>121</v>
      </c>
      <c r="F203" s="239">
        <v>269</v>
      </c>
      <c r="G203" s="104"/>
      <c r="H203" s="85">
        <f t="shared" si="15"/>
        <v>264776.7</v>
      </c>
      <c r="I203" s="105"/>
    </row>
    <row r="204" spans="2:16">
      <c r="B204" s="12" t="s">
        <v>539</v>
      </c>
      <c r="C204" s="2" t="s">
        <v>140</v>
      </c>
      <c r="D204" s="132">
        <v>1</v>
      </c>
      <c r="E204" s="92" t="s">
        <v>102</v>
      </c>
      <c r="F204" s="112">
        <f>SUM(H178:H203)*0.1</f>
        <v>375140.67000000004</v>
      </c>
      <c r="G204" s="104"/>
      <c r="H204" s="85">
        <f t="shared" si="15"/>
        <v>375140.67000000004</v>
      </c>
      <c r="I204" s="105"/>
    </row>
    <row r="205" spans="2:16">
      <c r="B205" s="12" t="s">
        <v>539</v>
      </c>
      <c r="C205" s="2" t="s">
        <v>654</v>
      </c>
      <c r="D205" s="132">
        <v>1</v>
      </c>
      <c r="E205" s="92" t="s">
        <v>102</v>
      </c>
      <c r="F205" s="112">
        <f>SUM(H178:H204)*0.11</f>
        <v>453920.2107</v>
      </c>
      <c r="G205" s="104"/>
      <c r="H205" s="85">
        <f t="shared" si="15"/>
        <v>453920.2107</v>
      </c>
      <c r="I205" s="105"/>
    </row>
    <row r="206" spans="2:16" ht="16.5" thickBot="1">
      <c r="B206" s="94" t="s">
        <v>141</v>
      </c>
      <c r="C206" s="82"/>
      <c r="D206" s="130"/>
      <c r="E206" s="83"/>
      <c r="F206" s="87"/>
      <c r="G206" s="87"/>
      <c r="H206" s="111"/>
      <c r="I206" s="101">
        <f>CEILING(SUM(H178:H205),100)</f>
        <v>4580500</v>
      </c>
    </row>
    <row r="207" spans="2:16" ht="16.5" thickBot="1">
      <c r="B207" s="535" t="s">
        <v>142</v>
      </c>
      <c r="C207" s="536"/>
      <c r="D207" s="536"/>
      <c r="E207" s="536"/>
      <c r="F207" s="536"/>
      <c r="G207" s="536"/>
      <c r="H207" s="537"/>
      <c r="I207" s="103">
        <f>SUM(I7,I27,I44,I170,I175,I206)</f>
        <v>30557700</v>
      </c>
    </row>
    <row r="208" spans="2:16" ht="15.75" thickBot="1">
      <c r="B208" s="533" t="s">
        <v>144</v>
      </c>
      <c r="C208" s="534"/>
      <c r="D208" s="163">
        <f>'Master Tab'!C29</f>
        <v>0</v>
      </c>
      <c r="E208" s="164" t="s">
        <v>149</v>
      </c>
      <c r="F208" s="165">
        <f>'Master Tab'!C30</f>
        <v>2.5000000000000001E-2</v>
      </c>
      <c r="G208" s="97"/>
      <c r="H208" s="102"/>
      <c r="I208" s="95">
        <f>CEILING(-(FV(F208,D208,0,SUM(I206,I44,I27,I7),1))-(SUM(I206,I44,I27,I7)),100)+CEILING(-(FV(F208,D208+1,0,SUM(I175,I170),1))-(SUM(I175,I170)),100)</f>
        <v>472200</v>
      </c>
      <c r="K208" s="507"/>
      <c r="L208" s="507"/>
      <c r="M208" s="507"/>
      <c r="N208" s="507"/>
      <c r="O208" s="507"/>
      <c r="P208" s="507"/>
    </row>
    <row r="209" spans="2:9" ht="15.75" thickBot="1">
      <c r="B209" s="531" t="s">
        <v>143</v>
      </c>
      <c r="C209" s="532"/>
      <c r="D209" s="136"/>
      <c r="E209" s="100"/>
      <c r="F209" s="166">
        <f>'Master Tab'!C31</f>
        <v>0.15</v>
      </c>
      <c r="G209" s="88"/>
      <c r="H209" s="102"/>
      <c r="I209" s="98">
        <f>CEILING((I207)*F209,100)</f>
        <v>4583700</v>
      </c>
    </row>
    <row r="210" spans="2:9" ht="19.5" thickBot="1">
      <c r="B210" s="528" t="s">
        <v>145</v>
      </c>
      <c r="C210" s="529"/>
      <c r="D210" s="529"/>
      <c r="E210" s="529"/>
      <c r="F210" s="529"/>
      <c r="G210" s="529"/>
      <c r="H210" s="530"/>
      <c r="I210" s="96">
        <f>SUM(I207:I209)</f>
        <v>35613600</v>
      </c>
    </row>
    <row r="211" spans="2:9">
      <c r="B211" s="1" t="s">
        <v>7</v>
      </c>
      <c r="C211" s="225" t="s">
        <v>7</v>
      </c>
    </row>
    <row r="212" spans="2:9">
      <c r="B212" s="1" t="s">
        <v>7</v>
      </c>
      <c r="C212" s="225" t="s">
        <v>7</v>
      </c>
      <c r="H212" s="86" t="s">
        <v>146</v>
      </c>
      <c r="I212" s="86">
        <f>I210/D46</f>
        <v>2948.1456953642382</v>
      </c>
    </row>
    <row r="213" spans="2:9">
      <c r="H213" s="86" t="s">
        <v>147</v>
      </c>
      <c r="I213" s="86">
        <f>I210/(D46/5280)</f>
        <v>15566209.271523178</v>
      </c>
    </row>
  </sheetData>
  <sheetProtection formatCells="0" formatColumns="0" formatRows="0" insertColumns="0" insertRows="0" deleteColumns="0" deleteRows="0"/>
  <protectedRanges>
    <protectedRange algorithmName="SHA-512" hashValue="IbmNoH/XH9GZlitwFdFY+V3LGy1xQ3NuyVDz7GZtIth0KYgNC0Qiwte8wkicOU0jJryaYhOoqvkAD5QQLEfb1g==" saltValue="AzvUTwuISd6SY3rDKW9o1w==" spinCount="100000" sqref="B209:XFD1048576 D208:XFD208 A1:XFD9 B170:XFD172 A168:A179 L168:XFD169 B203:XFD207 A203:A1048576 N10:XFD10 B175:XFD179 B173:J174 N173:XFD174 A202:XFD202 A201:J201 L201:XFD201 A10:J25 L11:XFD25 B26:XFD46 L47:XFD120 A26:A120 A180:XFD200" name="Range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TgN2v4D1fCFeftgjUK9pEnAKUNQeBvGTEn7HgMYP3TgK+Lnb8CEJvr9mDUM9krxFyvgX1rqREi6Bj66egkIy9w==" saltValue="VQoFCzDNmxNbXYp+WTQXog==" spinCount="100000" sqref="B208:C208" name="Range1_1" securityDescriptor="O:WDG:WDD:(A;;CC;;;S-1-5-21-577582919-1435025626-1914702595-3940917)(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L121:XFD167 A121:A167" name="Range1_2"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K65:K67 K70:K71 D73:K73 B78:J85 K78:K79 B86:C86 G86:J86 B148:B150 B73 B74:K77 K84:K85 B87:K137 K146:K147 B59:J60 K59 B58:K58 B65:J72 B138:J147 K138:K144 B151:K169 B61:K64 K56:K57 B52:J57 K52:K54 B47:K51" name="Range1_4_2"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C148:C150" name="Range1_4_1_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C73" name="Range1_5"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K201 D148:K150" name="Range1_6_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D86:F86" name="Range1_7"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K10:M10 K173:M174 K11:K25" name="Range1_1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s>
  <mergeCells count="10">
    <mergeCell ref="K4:Q4"/>
    <mergeCell ref="C2:G2"/>
    <mergeCell ref="C1:G1"/>
    <mergeCell ref="K3:Q3"/>
    <mergeCell ref="B210:H210"/>
    <mergeCell ref="B209:C209"/>
    <mergeCell ref="B208:C208"/>
    <mergeCell ref="B207:H207"/>
    <mergeCell ref="K208:P208"/>
    <mergeCell ref="K5:Q6"/>
  </mergeCells>
  <pageMargins left="0.7" right="0.7" top="0.75" bottom="0.75" header="0.3" footer="0.3"/>
  <pageSetup scale="57" fitToHeight="0" orientation="landscape" r:id="rId1"/>
  <headerFooter>
    <oddHeader>&amp;R&amp;"Times New Roman,Bold"&amp;10KyPSC Case No. 2025-00229
STAFF-DR-01-005(b) Attachment 4
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F9CB-0A00-4713-B15F-4035CFCDE9B5}">
  <sheetPr>
    <tabColor rgb="FFFF0000"/>
    <pageSetUpPr fitToPage="1"/>
  </sheetPr>
  <dimension ref="B1:Q60"/>
  <sheetViews>
    <sheetView view="pageLayout" zoomScaleNormal="100" workbookViewId="0">
      <selection activeCell="A4" sqref="A4:J4"/>
    </sheetView>
  </sheetViews>
  <sheetFormatPr defaultRowHeight="15"/>
  <cols>
    <col min="2" max="2" width="17.42578125" style="1" customWidth="1"/>
    <col min="3" max="3" width="37.5703125" bestFit="1" customWidth="1"/>
    <col min="4" max="4" width="11.5703125" style="137" customWidth="1"/>
    <col min="5" max="5" width="13.85546875" style="1" customWidth="1"/>
    <col min="6" max="6" width="13" style="86" customWidth="1"/>
    <col min="7" max="7" width="0.85546875" style="86" customWidth="1"/>
    <col min="8" max="8" width="16.28515625" style="86" customWidth="1"/>
    <col min="9" max="9" width="21.140625" style="86" customWidth="1"/>
    <col min="10" max="10" width="3.7109375" customWidth="1"/>
  </cols>
  <sheetData>
    <row r="1" spans="2:17" ht="23.25">
      <c r="B1" s="119"/>
      <c r="C1" s="527" t="str">
        <f>'Master Tab'!$C$8</f>
        <v>Line AM07 Pipeline Replacement-Phase 4</v>
      </c>
      <c r="D1" s="527"/>
      <c r="E1" s="527"/>
      <c r="F1" s="527"/>
      <c r="G1" s="527"/>
      <c r="H1" s="120"/>
      <c r="I1" s="121"/>
    </row>
    <row r="2" spans="2:17" ht="19.5" thickBot="1">
      <c r="B2" s="342">
        <f>'Master Tab'!$C$9</f>
        <v>45671</v>
      </c>
      <c r="C2" s="526" t="s">
        <v>59</v>
      </c>
      <c r="D2" s="526"/>
      <c r="E2" s="526"/>
      <c r="F2" s="526"/>
      <c r="G2" s="526"/>
      <c r="H2" s="122" t="s">
        <v>92</v>
      </c>
      <c r="I2" s="123" t="str">
        <f>'Master Tab'!$C$6</f>
        <v>E-Initiate</v>
      </c>
    </row>
    <row r="3" spans="2:17" ht="30.75" thickBot="1">
      <c r="B3" s="125" t="s">
        <v>93</v>
      </c>
      <c r="C3" s="124" t="s">
        <v>94</v>
      </c>
      <c r="D3" s="129" t="s">
        <v>95</v>
      </c>
      <c r="E3" s="125" t="s">
        <v>96</v>
      </c>
      <c r="F3" s="126" t="s">
        <v>97</v>
      </c>
      <c r="G3" s="126"/>
      <c r="H3" s="126" t="s">
        <v>159</v>
      </c>
      <c r="I3" s="126" t="s">
        <v>98</v>
      </c>
      <c r="K3" s="507"/>
      <c r="L3" s="507"/>
      <c r="M3" s="507"/>
      <c r="N3" s="507"/>
      <c r="O3" s="507"/>
      <c r="P3" s="507"/>
      <c r="Q3" s="507"/>
    </row>
    <row r="4" spans="2:17" ht="15.75">
      <c r="B4" s="94" t="s">
        <v>99</v>
      </c>
      <c r="C4" s="81"/>
      <c r="D4" s="130"/>
      <c r="E4" s="83"/>
      <c r="F4" s="84"/>
      <c r="G4" s="84"/>
      <c r="H4" s="84"/>
      <c r="I4" s="93"/>
      <c r="K4" s="525"/>
      <c r="L4" s="525"/>
      <c r="M4" s="525"/>
      <c r="N4" s="525"/>
      <c r="O4" s="525"/>
      <c r="P4" s="525"/>
      <c r="Q4" s="525"/>
    </row>
    <row r="5" spans="2:17">
      <c r="B5" s="12" t="s">
        <v>530</v>
      </c>
      <c r="C5" s="2" t="s">
        <v>697</v>
      </c>
      <c r="D5" s="127">
        <f>'Master Tab'!$C$17</f>
        <v>46</v>
      </c>
      <c r="E5" s="92" t="s">
        <v>292</v>
      </c>
      <c r="F5" s="85">
        <v>1500</v>
      </c>
      <c r="G5" s="104" t="s">
        <v>7</v>
      </c>
      <c r="H5" s="85">
        <f>CEILING(F5*D5,100)</f>
        <v>69000</v>
      </c>
      <c r="I5" s="105"/>
    </row>
    <row r="6" spans="2:17">
      <c r="B6" s="12" t="s">
        <v>531</v>
      </c>
      <c r="C6" s="2" t="s">
        <v>101</v>
      </c>
      <c r="D6" s="127">
        <f>'Master Tab'!$C$17</f>
        <v>46</v>
      </c>
      <c r="E6" s="92" t="s">
        <v>292</v>
      </c>
      <c r="F6" s="85">
        <v>100</v>
      </c>
      <c r="G6" s="104" t="s">
        <v>7</v>
      </c>
      <c r="H6" s="85">
        <f>CEILING(F6*D6,100)</f>
        <v>4600</v>
      </c>
      <c r="I6" s="105"/>
      <c r="L6" t="s">
        <v>7</v>
      </c>
      <c r="M6" t="s">
        <v>7</v>
      </c>
    </row>
    <row r="7" spans="2:17" ht="15.75">
      <c r="B7" s="94" t="s">
        <v>103</v>
      </c>
      <c r="C7" s="81"/>
      <c r="D7" s="130"/>
      <c r="E7" s="83"/>
      <c r="F7" s="84"/>
      <c r="G7" s="84"/>
      <c r="H7" s="84"/>
      <c r="I7" s="93">
        <f>SUM(H5:H6)</f>
        <v>73600</v>
      </c>
    </row>
    <row r="8" spans="2:17" ht="8.25" customHeight="1">
      <c r="B8" s="347"/>
      <c r="C8" s="107"/>
      <c r="D8" s="131"/>
      <c r="E8" s="106"/>
      <c r="F8" s="108"/>
      <c r="G8" s="108"/>
      <c r="H8" s="108"/>
      <c r="I8" s="109"/>
    </row>
    <row r="9" spans="2:17" ht="15.75">
      <c r="B9" s="94" t="s">
        <v>104</v>
      </c>
      <c r="C9" s="81"/>
      <c r="D9" s="130"/>
      <c r="E9" s="83"/>
      <c r="F9" s="84"/>
      <c r="G9" s="84"/>
      <c r="H9" s="84"/>
      <c r="I9" s="93"/>
    </row>
    <row r="10" spans="2:17">
      <c r="B10" s="12" t="s">
        <v>523</v>
      </c>
      <c r="C10" s="2" t="s">
        <v>105</v>
      </c>
      <c r="D10" s="127">
        <f>(($I$20+$I$41+$I$54)*0.08)/F10</f>
        <v>175.36</v>
      </c>
      <c r="E10" s="92" t="s">
        <v>100</v>
      </c>
      <c r="F10" s="85">
        <v>125</v>
      </c>
      <c r="G10" s="104"/>
      <c r="H10" s="85">
        <f>F10*D10</f>
        <v>21920</v>
      </c>
      <c r="I10" s="105"/>
    </row>
    <row r="11" spans="2:17">
      <c r="B11" s="12" t="s">
        <v>524</v>
      </c>
      <c r="C11" s="2" t="s">
        <v>106</v>
      </c>
      <c r="D11" s="127">
        <f>(($I$20+$I$41+$I$54)*0)/F11</f>
        <v>0</v>
      </c>
      <c r="E11" s="92" t="s">
        <v>100</v>
      </c>
      <c r="F11" s="85">
        <v>125</v>
      </c>
      <c r="G11" s="104"/>
      <c r="H11" s="85">
        <f>F11*D11</f>
        <v>0</v>
      </c>
      <c r="I11" s="105"/>
    </row>
    <row r="12" spans="2:17">
      <c r="B12" s="12" t="s">
        <v>529</v>
      </c>
      <c r="C12" s="2" t="s">
        <v>107</v>
      </c>
      <c r="D12" s="134">
        <v>0</v>
      </c>
      <c r="E12" s="162" t="s">
        <v>116</v>
      </c>
      <c r="F12" s="85">
        <v>0</v>
      </c>
      <c r="G12" s="104"/>
      <c r="H12" s="85">
        <f>F12*D12</f>
        <v>0</v>
      </c>
      <c r="I12" s="105"/>
    </row>
    <row r="13" spans="2:17" ht="15.75">
      <c r="B13" s="94" t="s">
        <v>108</v>
      </c>
      <c r="C13" s="81"/>
      <c r="D13" s="130"/>
      <c r="E13" s="83"/>
      <c r="F13" s="84"/>
      <c r="G13" s="84"/>
      <c r="H13" s="110"/>
      <c r="I13" s="93">
        <f>CEILING(SUM(H10:H12),100)</f>
        <v>22000</v>
      </c>
    </row>
    <row r="14" spans="2:17" ht="8.25" customHeight="1">
      <c r="B14" s="347"/>
      <c r="C14" s="107"/>
      <c r="D14" s="131"/>
      <c r="E14" s="106"/>
      <c r="F14" s="108"/>
      <c r="G14" s="108"/>
      <c r="H14" s="108"/>
      <c r="I14" s="109"/>
    </row>
    <row r="15" spans="2:17" ht="15.75">
      <c r="B15" s="94" t="s">
        <v>109</v>
      </c>
      <c r="C15" s="81"/>
      <c r="D15" s="130"/>
      <c r="E15" s="83"/>
      <c r="F15" s="84"/>
      <c r="G15" s="84"/>
      <c r="H15" s="84"/>
      <c r="I15" s="93"/>
    </row>
    <row r="16" spans="2:17">
      <c r="B16" s="12" t="s">
        <v>327</v>
      </c>
      <c r="C16" s="2" t="s">
        <v>318</v>
      </c>
      <c r="D16" s="132">
        <v>0</v>
      </c>
      <c r="E16" s="3" t="s">
        <v>110</v>
      </c>
      <c r="F16" s="239">
        <v>45000</v>
      </c>
      <c r="G16" s="104"/>
      <c r="H16" s="85">
        <f>CEILING(F16*D16,100)</f>
        <v>0</v>
      </c>
      <c r="I16" s="105"/>
      <c r="M16" t="s">
        <v>7</v>
      </c>
    </row>
    <row r="17" spans="2:12">
      <c r="B17" s="12" t="s">
        <v>327</v>
      </c>
      <c r="C17" s="2" t="s">
        <v>320</v>
      </c>
      <c r="D17" s="132">
        <v>0</v>
      </c>
      <c r="E17" s="3" t="s">
        <v>110</v>
      </c>
      <c r="F17" s="239">
        <v>5000</v>
      </c>
      <c r="G17" s="104"/>
      <c r="H17" s="85">
        <f>CEILING(F17*D17,100)</f>
        <v>0</v>
      </c>
      <c r="I17" s="105"/>
    </row>
    <row r="18" spans="2:12">
      <c r="B18" s="12" t="s">
        <v>328</v>
      </c>
      <c r="C18" s="2" t="s">
        <v>293</v>
      </c>
      <c r="D18" s="132">
        <v>0</v>
      </c>
      <c r="E18" s="3" t="s">
        <v>131</v>
      </c>
      <c r="F18" s="85">
        <v>10000</v>
      </c>
      <c r="G18" s="104"/>
      <c r="H18" s="85">
        <f>CEILING(F18*D18,100)</f>
        <v>0</v>
      </c>
      <c r="I18" s="105"/>
    </row>
    <row r="19" spans="2:12">
      <c r="B19" s="12" t="s">
        <v>329</v>
      </c>
      <c r="C19" s="2" t="s">
        <v>297</v>
      </c>
      <c r="D19" s="132">
        <v>0</v>
      </c>
      <c r="E19" s="3" t="s">
        <v>111</v>
      </c>
      <c r="F19" s="85">
        <v>10000</v>
      </c>
      <c r="G19" s="104"/>
      <c r="H19" s="85">
        <f>CEILING(F19*D19,100)</f>
        <v>0</v>
      </c>
      <c r="I19" s="105"/>
    </row>
    <row r="20" spans="2:12" ht="15.75">
      <c r="B20" s="94" t="s">
        <v>113</v>
      </c>
      <c r="C20" s="81"/>
      <c r="D20" s="130"/>
      <c r="E20" s="83"/>
      <c r="F20" s="84"/>
      <c r="G20" s="110"/>
      <c r="H20" s="84"/>
      <c r="I20" s="93">
        <f>SUM(H16:H19)</f>
        <v>0</v>
      </c>
    </row>
    <row r="21" spans="2:12" ht="8.25" customHeight="1">
      <c r="B21" s="347"/>
      <c r="C21" s="107"/>
      <c r="D21" s="131"/>
      <c r="E21" s="106"/>
      <c r="F21" s="108"/>
      <c r="G21" s="108"/>
      <c r="H21" s="108"/>
      <c r="I21" s="109"/>
    </row>
    <row r="22" spans="2:12" ht="15.75">
      <c r="B22" s="94" t="s">
        <v>114</v>
      </c>
      <c r="C22" s="81"/>
      <c r="D22" s="133">
        <v>13862</v>
      </c>
      <c r="E22" s="90" t="s">
        <v>154</v>
      </c>
      <c r="F22" s="91"/>
      <c r="G22" s="89"/>
      <c r="H22" s="89"/>
      <c r="I22" s="93"/>
    </row>
    <row r="23" spans="2:12">
      <c r="B23" s="12">
        <v>850</v>
      </c>
      <c r="C23" s="2" t="s">
        <v>117</v>
      </c>
      <c r="D23" s="134">
        <v>1</v>
      </c>
      <c r="E23" s="92" t="s">
        <v>116</v>
      </c>
      <c r="F23" s="112">
        <f>(SUM(H24:H40)*K23)</f>
        <v>24337.025000000001</v>
      </c>
      <c r="G23" s="104"/>
      <c r="H23" s="85">
        <f>F23*D23</f>
        <v>24337.025000000001</v>
      </c>
      <c r="I23" s="105"/>
      <c r="K23" s="113">
        <v>0.1</v>
      </c>
    </row>
    <row r="24" spans="2:12">
      <c r="B24" s="12"/>
      <c r="C24" s="2" t="s">
        <v>155</v>
      </c>
      <c r="D24" s="132">
        <v>4</v>
      </c>
      <c r="E24" s="3" t="s">
        <v>129</v>
      </c>
      <c r="F24" s="85">
        <v>7500</v>
      </c>
      <c r="G24" s="104"/>
      <c r="H24" s="85">
        <f t="shared" ref="H24:H40" si="0">F24*D24</f>
        <v>30000</v>
      </c>
      <c r="I24" s="105"/>
    </row>
    <row r="25" spans="2:12">
      <c r="B25" s="12">
        <v>823</v>
      </c>
      <c r="C25" s="2" t="s">
        <v>592</v>
      </c>
      <c r="D25" s="132">
        <v>0</v>
      </c>
      <c r="E25" s="3" t="s">
        <v>153</v>
      </c>
      <c r="F25" s="85">
        <v>0</v>
      </c>
      <c r="G25" s="104"/>
      <c r="H25" s="85">
        <f t="shared" si="0"/>
        <v>0</v>
      </c>
      <c r="I25" s="105"/>
    </row>
    <row r="26" spans="2:12">
      <c r="B26" s="12">
        <v>824</v>
      </c>
      <c r="C26" s="2" t="s">
        <v>593</v>
      </c>
      <c r="D26" s="132">
        <f>3*(D22/1000)</f>
        <v>41.585999999999999</v>
      </c>
      <c r="E26" s="3" t="s">
        <v>121</v>
      </c>
      <c r="F26" s="85">
        <v>2125</v>
      </c>
      <c r="G26" s="104"/>
      <c r="H26" s="85">
        <f t="shared" si="0"/>
        <v>88370.25</v>
      </c>
      <c r="I26" s="105"/>
    </row>
    <row r="27" spans="2:12">
      <c r="B27" s="12"/>
      <c r="C27" s="2" t="s">
        <v>156</v>
      </c>
      <c r="D27" s="132">
        <v>14</v>
      </c>
      <c r="E27" s="3" t="s">
        <v>656</v>
      </c>
      <c r="F27" s="85">
        <v>3750</v>
      </c>
      <c r="G27" s="104"/>
      <c r="H27" s="85">
        <f t="shared" si="0"/>
        <v>52500</v>
      </c>
      <c r="I27" s="105"/>
    </row>
    <row r="28" spans="2:12">
      <c r="B28" s="12"/>
      <c r="C28" s="2" t="s">
        <v>228</v>
      </c>
      <c r="D28" s="132">
        <v>0</v>
      </c>
      <c r="E28" s="3" t="s">
        <v>116</v>
      </c>
      <c r="F28" s="85">
        <v>50000</v>
      </c>
      <c r="G28" s="104"/>
      <c r="H28" s="85">
        <f t="shared" si="0"/>
        <v>0</v>
      </c>
      <c r="I28" s="105"/>
    </row>
    <row r="29" spans="2:12">
      <c r="B29" s="12"/>
      <c r="C29" s="2" t="s">
        <v>655</v>
      </c>
      <c r="D29" s="132">
        <v>1</v>
      </c>
      <c r="E29" s="3" t="s">
        <v>116</v>
      </c>
      <c r="F29" s="85">
        <v>25000</v>
      </c>
      <c r="G29" s="104"/>
      <c r="H29" s="85">
        <f t="shared" si="0"/>
        <v>25000</v>
      </c>
      <c r="I29" s="105"/>
    </row>
    <row r="30" spans="2:12">
      <c r="B30" s="12" t="s">
        <v>544</v>
      </c>
      <c r="C30" s="2" t="s">
        <v>187</v>
      </c>
      <c r="D30" s="132">
        <v>0</v>
      </c>
      <c r="E30" s="3" t="s">
        <v>131</v>
      </c>
      <c r="F30" s="85">
        <v>75000</v>
      </c>
      <c r="G30" s="104"/>
      <c r="H30" s="85">
        <f t="shared" si="0"/>
        <v>0</v>
      </c>
      <c r="I30" s="105"/>
      <c r="L30" t="s">
        <v>7</v>
      </c>
    </row>
    <row r="31" spans="2:12">
      <c r="B31" s="12" t="s">
        <v>544</v>
      </c>
      <c r="C31" s="2" t="s">
        <v>229</v>
      </c>
      <c r="D31" s="132">
        <v>0</v>
      </c>
      <c r="E31" s="3" t="s">
        <v>131</v>
      </c>
      <c r="F31" s="85">
        <v>35000</v>
      </c>
      <c r="G31" s="104"/>
      <c r="H31" s="85">
        <f t="shared" si="0"/>
        <v>0</v>
      </c>
      <c r="I31" s="105"/>
    </row>
    <row r="32" spans="2:12">
      <c r="B32" s="12" t="s">
        <v>544</v>
      </c>
      <c r="C32" s="2" t="s">
        <v>230</v>
      </c>
      <c r="D32" s="132">
        <v>0</v>
      </c>
      <c r="E32" s="3" t="s">
        <v>131</v>
      </c>
      <c r="F32" s="85">
        <v>50000</v>
      </c>
      <c r="G32" s="104"/>
      <c r="H32" s="85">
        <f t="shared" si="0"/>
        <v>0</v>
      </c>
      <c r="I32" s="105"/>
    </row>
    <row r="33" spans="2:9">
      <c r="B33" s="12" t="s">
        <v>544</v>
      </c>
      <c r="C33" s="2" t="s">
        <v>231</v>
      </c>
      <c r="D33" s="132">
        <v>0</v>
      </c>
      <c r="E33" s="3" t="s">
        <v>131</v>
      </c>
      <c r="F33" s="85">
        <v>85000</v>
      </c>
      <c r="G33" s="104"/>
      <c r="H33" s="85">
        <f t="shared" si="0"/>
        <v>0</v>
      </c>
      <c r="I33" s="105"/>
    </row>
    <row r="34" spans="2:9">
      <c r="B34" s="12"/>
      <c r="C34" s="2" t="s">
        <v>188</v>
      </c>
      <c r="D34" s="132">
        <v>1</v>
      </c>
      <c r="E34" s="3" t="s">
        <v>657</v>
      </c>
      <c r="F34" s="85">
        <v>10000</v>
      </c>
      <c r="G34" s="104"/>
      <c r="H34" s="85">
        <f t="shared" si="0"/>
        <v>10000</v>
      </c>
      <c r="I34" s="105"/>
    </row>
    <row r="35" spans="2:9">
      <c r="B35" s="12"/>
      <c r="C35" s="2" t="s">
        <v>191</v>
      </c>
      <c r="D35" s="132">
        <v>1</v>
      </c>
      <c r="E35" s="3" t="s">
        <v>116</v>
      </c>
      <c r="F35" s="85">
        <v>25000</v>
      </c>
      <c r="G35" s="104"/>
      <c r="H35" s="85">
        <f t="shared" si="0"/>
        <v>25000</v>
      </c>
      <c r="I35" s="105"/>
    </row>
    <row r="36" spans="2:9">
      <c r="B36" s="12"/>
      <c r="C36" s="2" t="s">
        <v>189</v>
      </c>
      <c r="D36" s="132">
        <v>1</v>
      </c>
      <c r="E36" s="3" t="s">
        <v>190</v>
      </c>
      <c r="F36" s="85">
        <v>12500</v>
      </c>
      <c r="G36" s="104"/>
      <c r="H36" s="85">
        <f t="shared" si="0"/>
        <v>12500</v>
      </c>
      <c r="I36" s="105"/>
    </row>
    <row r="37" spans="2:9">
      <c r="B37" s="12"/>
      <c r="C37" s="2" t="s">
        <v>128</v>
      </c>
      <c r="D37" s="132">
        <v>0</v>
      </c>
      <c r="E37" s="3" t="s">
        <v>129</v>
      </c>
      <c r="F37" s="85">
        <v>0</v>
      </c>
      <c r="G37" s="104"/>
      <c r="H37" s="85">
        <f t="shared" si="0"/>
        <v>0</v>
      </c>
      <c r="I37" s="105"/>
    </row>
    <row r="38" spans="2:9">
      <c r="B38" s="12"/>
      <c r="C38" s="2" t="s">
        <v>338</v>
      </c>
      <c r="D38" s="132">
        <v>0</v>
      </c>
      <c r="E38" s="3" t="s">
        <v>120</v>
      </c>
      <c r="F38" s="138">
        <v>0</v>
      </c>
      <c r="G38" s="104"/>
      <c r="H38" s="85">
        <f t="shared" si="0"/>
        <v>0</v>
      </c>
      <c r="I38" s="105"/>
    </row>
    <row r="39" spans="2:9">
      <c r="B39" s="12"/>
      <c r="C39" s="2" t="s">
        <v>339</v>
      </c>
      <c r="D39" s="132">
        <v>0</v>
      </c>
      <c r="E39" s="3" t="s">
        <v>119</v>
      </c>
      <c r="F39" s="85">
        <v>0</v>
      </c>
      <c r="G39" s="104"/>
      <c r="H39" s="85">
        <f t="shared" si="0"/>
        <v>0</v>
      </c>
      <c r="I39" s="105"/>
    </row>
    <row r="40" spans="2:9">
      <c r="B40" s="12"/>
      <c r="C40" s="2" t="s">
        <v>130</v>
      </c>
      <c r="D40" s="132">
        <v>0</v>
      </c>
      <c r="E40" s="3" t="s">
        <v>131</v>
      </c>
      <c r="F40" s="85">
        <v>0</v>
      </c>
      <c r="G40" s="104"/>
      <c r="H40" s="85">
        <f t="shared" si="0"/>
        <v>0</v>
      </c>
      <c r="I40" s="105"/>
    </row>
    <row r="41" spans="2:9" ht="15.75">
      <c r="B41" s="348" t="s">
        <v>7</v>
      </c>
      <c r="C41" s="81"/>
      <c r="D41" s="130"/>
      <c r="E41" s="83"/>
      <c r="F41" s="84"/>
      <c r="G41" s="84"/>
      <c r="H41" s="110"/>
      <c r="I41" s="93">
        <f>CEILING(SUM(H23:H40),100)</f>
        <v>267800</v>
      </c>
    </row>
    <row r="42" spans="2:9" ht="8.25" customHeight="1">
      <c r="B42" s="347"/>
      <c r="C42" s="107"/>
      <c r="D42" s="131"/>
      <c r="E42" s="106"/>
      <c r="F42" s="108"/>
      <c r="G42" s="108"/>
      <c r="H42" s="108"/>
      <c r="I42" s="109"/>
    </row>
    <row r="43" spans="2:9" ht="15.75">
      <c r="B43" s="94" t="s">
        <v>132</v>
      </c>
      <c r="C43" s="81"/>
      <c r="D43" s="130"/>
      <c r="E43" s="83"/>
      <c r="F43" s="84"/>
      <c r="G43" s="84"/>
      <c r="H43" s="84"/>
      <c r="I43" s="93"/>
    </row>
    <row r="44" spans="2:9">
      <c r="B44" s="12" t="s">
        <v>537</v>
      </c>
      <c r="C44" s="2" t="s">
        <v>133</v>
      </c>
      <c r="D44" s="127">
        <f>($I$41*0.12)/$F$44</f>
        <v>37.80705882352941</v>
      </c>
      <c r="E44" s="92" t="s">
        <v>134</v>
      </c>
      <c r="F44" s="85">
        <v>850</v>
      </c>
      <c r="G44" s="104"/>
      <c r="H44" s="85">
        <f>F44*D44</f>
        <v>32135.999999999996</v>
      </c>
      <c r="I44" s="105"/>
    </row>
    <row r="45" spans="2:9">
      <c r="B45" s="12" t="s">
        <v>538</v>
      </c>
      <c r="C45" s="2" t="s">
        <v>135</v>
      </c>
      <c r="D45" s="132">
        <v>0</v>
      </c>
      <c r="E45" s="3" t="s">
        <v>129</v>
      </c>
      <c r="F45" s="85">
        <v>2000</v>
      </c>
      <c r="G45" s="104"/>
      <c r="H45" s="85">
        <f>F45*D45</f>
        <v>0</v>
      </c>
      <c r="I45" s="105"/>
    </row>
    <row r="46" spans="2:9" ht="15.75">
      <c r="B46" s="94" t="s">
        <v>136</v>
      </c>
      <c r="C46" s="81"/>
      <c r="D46" s="130"/>
      <c r="E46" s="83"/>
      <c r="F46" s="84"/>
      <c r="G46" s="84"/>
      <c r="H46" s="110"/>
      <c r="I46" s="93">
        <f>CEILING(SUM(H44:H45),100)</f>
        <v>32200</v>
      </c>
    </row>
    <row r="47" spans="2:9" ht="8.25" customHeight="1">
      <c r="B47" s="347"/>
      <c r="C47" s="107"/>
      <c r="D47" s="131"/>
      <c r="E47" s="106"/>
      <c r="F47" s="108"/>
      <c r="G47" s="108"/>
      <c r="H47" s="108"/>
      <c r="I47" s="109"/>
    </row>
    <row r="48" spans="2:9" ht="15.75">
      <c r="B48" s="94" t="s">
        <v>137</v>
      </c>
      <c r="C48" s="81"/>
      <c r="D48" s="130"/>
      <c r="E48" s="83"/>
      <c r="F48" s="84"/>
      <c r="G48" s="84"/>
      <c r="H48" s="84"/>
      <c r="I48" s="93"/>
    </row>
    <row r="49" spans="2:16">
      <c r="B49" s="12" t="s">
        <v>539</v>
      </c>
      <c r="C49" s="2" t="s">
        <v>157</v>
      </c>
      <c r="D49" s="132">
        <v>1</v>
      </c>
      <c r="E49" s="3" t="s">
        <v>116</v>
      </c>
      <c r="F49" s="85">
        <v>5000</v>
      </c>
      <c r="G49" s="104"/>
      <c r="H49" s="85">
        <f>F49*D49</f>
        <v>5000</v>
      </c>
      <c r="I49" s="105"/>
    </row>
    <row r="50" spans="2:16">
      <c r="B50" s="12" t="s">
        <v>540</v>
      </c>
      <c r="C50" s="2" t="s">
        <v>158</v>
      </c>
      <c r="D50" s="132">
        <v>0</v>
      </c>
      <c r="E50" s="3" t="s">
        <v>131</v>
      </c>
      <c r="F50" s="85">
        <v>0</v>
      </c>
      <c r="G50" s="104"/>
      <c r="H50" s="85">
        <f>F50*D50</f>
        <v>0</v>
      </c>
      <c r="I50" s="105"/>
    </row>
    <row r="51" spans="2:16">
      <c r="B51" s="12" t="s">
        <v>540</v>
      </c>
      <c r="C51" s="2" t="s">
        <v>158</v>
      </c>
      <c r="D51" s="132">
        <v>0</v>
      </c>
      <c r="E51" s="3" t="s">
        <v>131</v>
      </c>
      <c r="F51" s="85">
        <v>0</v>
      </c>
      <c r="G51" s="104"/>
      <c r="H51" s="85">
        <f>F51*D51</f>
        <v>0</v>
      </c>
      <c r="I51" s="105"/>
    </row>
    <row r="52" spans="2:16">
      <c r="B52" s="12" t="s">
        <v>539</v>
      </c>
      <c r="C52" s="2" t="s">
        <v>140</v>
      </c>
      <c r="D52" s="132">
        <v>1</v>
      </c>
      <c r="E52" s="92" t="s">
        <v>102</v>
      </c>
      <c r="F52" s="112">
        <f>SUM(H49:H51)*0.1</f>
        <v>500</v>
      </c>
      <c r="G52" s="104"/>
      <c r="H52" s="85">
        <f>F52*D52</f>
        <v>500</v>
      </c>
      <c r="I52" s="105"/>
    </row>
    <row r="53" spans="2:16">
      <c r="B53" s="12" t="s">
        <v>539</v>
      </c>
      <c r="C53" s="2" t="s">
        <v>654</v>
      </c>
      <c r="D53" s="132">
        <v>1</v>
      </c>
      <c r="E53" s="92" t="s">
        <v>102</v>
      </c>
      <c r="F53" s="112">
        <f>SUM(H49:H52)*0.11</f>
        <v>605</v>
      </c>
      <c r="G53" s="104"/>
      <c r="H53" s="85">
        <f>F53*D53</f>
        <v>605</v>
      </c>
      <c r="I53" s="105"/>
    </row>
    <row r="54" spans="2:16" ht="16.5" thickBot="1">
      <c r="B54" s="94" t="s">
        <v>141</v>
      </c>
      <c r="C54" s="82"/>
      <c r="D54" s="130"/>
      <c r="E54" s="83"/>
      <c r="F54" s="87"/>
      <c r="G54" s="87"/>
      <c r="H54" s="111"/>
      <c r="I54" s="101">
        <f>CEILING(SUM(H49:H53),100)</f>
        <v>6200</v>
      </c>
    </row>
    <row r="55" spans="2:16" ht="16.5" thickBot="1">
      <c r="B55" s="535" t="s">
        <v>142</v>
      </c>
      <c r="C55" s="536"/>
      <c r="D55" s="536"/>
      <c r="E55" s="536"/>
      <c r="F55" s="536"/>
      <c r="G55" s="536"/>
      <c r="H55" s="536"/>
      <c r="I55" s="103">
        <f>SUM(I7,I13,I20,I41,I46,I54)</f>
        <v>401800</v>
      </c>
    </row>
    <row r="56" spans="2:16" ht="15.75" thickBot="1">
      <c r="B56" s="343" t="s">
        <v>144</v>
      </c>
      <c r="C56" s="99"/>
      <c r="D56" s="163">
        <f>'Master Tab'!C29</f>
        <v>0</v>
      </c>
      <c r="E56" s="164" t="s">
        <v>149</v>
      </c>
      <c r="F56" s="165">
        <f>'Master Tab'!C30</f>
        <v>2.5000000000000001E-2</v>
      </c>
      <c r="G56" s="97"/>
      <c r="H56" s="102"/>
      <c r="I56" s="95">
        <f>CEILING(-(FV(F56,D56,0,SUM(I54,I20,I13,I7),1))-(SUM(I54,I20,I13,I7)),100)+CEILING(-(FV(F56,D56+1,0,SUM(I46,I41),1))-(SUM(I41,I46)),100)</f>
        <v>7500</v>
      </c>
      <c r="K56" s="507"/>
      <c r="L56" s="507"/>
      <c r="M56" s="507"/>
      <c r="N56" s="507"/>
      <c r="O56" s="507"/>
      <c r="P56" s="507"/>
    </row>
    <row r="57" spans="2:16" ht="15.75" thickBot="1">
      <c r="B57" s="531" t="s">
        <v>143</v>
      </c>
      <c r="C57" s="532"/>
      <c r="D57" s="167"/>
      <c r="E57" s="168"/>
      <c r="F57" s="166">
        <f>'Master Tab'!C31</f>
        <v>0.15</v>
      </c>
      <c r="G57" s="88"/>
      <c r="H57" s="102"/>
      <c r="I57" s="98">
        <f>CEILING((I55)*F57,100)</f>
        <v>60300</v>
      </c>
    </row>
    <row r="58" spans="2:16" ht="19.5" thickBot="1">
      <c r="B58" s="528" t="s">
        <v>145</v>
      </c>
      <c r="C58" s="529"/>
      <c r="D58" s="529"/>
      <c r="E58" s="529"/>
      <c r="F58" s="529"/>
      <c r="G58" s="529"/>
      <c r="H58" s="530"/>
      <c r="I58" s="96">
        <f>SUM(I55:I57)</f>
        <v>469600</v>
      </c>
    </row>
    <row r="59" spans="2:16">
      <c r="B59" s="1" t="s">
        <v>7</v>
      </c>
      <c r="C59" t="s">
        <v>7</v>
      </c>
    </row>
    <row r="60" spans="2:16">
      <c r="B60" s="1" t="s">
        <v>7</v>
      </c>
      <c r="C60" t="s">
        <v>7</v>
      </c>
    </row>
  </sheetData>
  <protectedRanges>
    <protectedRange algorithmName="SHA-512" hashValue="Huz5qcl5bIgdADwkVxM0RQsPTv5L4dtFSRMwBIHDlljVABpjRu50Ht5Dovf0nNj2ftQhGXS8JvC+Od5TBQtJpA==" saltValue="yqQh1OEA8aRNnrkCUaZK3g==" spinCount="100000" sqref="K1:Q4 C20:Q23 B59:J62 K6:Q15 B1:J1 L16:Q19 B54:J54 K53:Q62 G53:J53 B41:Q43 G52:Q52 J56:J57 A40:A62 A1:A36 I58:J58 I55:J55 B3:J4 C2:J2 M24:Q36 B46:Q48 C44:Q45 C50:Q51 C49:E49 G49:Q49 C7:J9 M40:Q40 D5:E5 C6:E6 G5:J6 C11:J15 C10 G10:J10" name="Range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I57" name="Range1_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IbmNoH/XH9GZlitwFdFY+V3LGy1xQ3NuyVDz7GZtIth0KYgNC0Qiwte8wkicOU0jJryaYhOoqvkAD5QQLEfb1g==" saltValue="AzvUTwuISd6SY3rDKW9o1w==" spinCount="100000" sqref="G16:K18" name="Range1_4"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G19:K19" name="Range1_4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C16:F18" name="Range1_4_2"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C19:F19" name="Range1_4_1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b/W1Z7CpyamLclBLOEtRCtGodxrtaeliauQ3OUUHPm00YYsCNF8pTKSQiORYzJqUiQoLnhhRhce20619agOvZQ==" saltValue="xW25fNM3ubj+z+H1lkfzNA==" spinCount="100000" sqref="A37:A39 M37:Q39" name="Range1_3"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I56" name="Range1_7"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B55:H58" name="Range1_8"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B2" name="Range1_9"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F49" name="Range1_1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B20:B22 B13:B15 B7:B9" name="Range1_12"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IbmNoH/XH9GZlitwFdFY+V3LGy1xQ3NuyVDz7GZtIth0KYgNC0Qiwte8wkicOU0jJryaYhOoqvkAD5QQLEfb1g==" saltValue="AzvUTwuISd6SY3rDKW9o1w==" spinCount="100000" sqref="B10:B11" name="Range1_13"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98mvCEbsVTr0NrpZIc/15xCyc5XMAKIcQ32f6j26GlFJjqit7togokYXh1ezGpBBO38H70R7ZV7Kl2qfUZxfXQ==" saltValue="m/mfSvZWqLmC52Rm2aeRyw==" spinCount="100000" sqref="B12" name="Range1_1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98mvCEbsVTr0NrpZIc/15xCyc5XMAKIcQ32f6j26GlFJjqit7togokYXh1ezGpBBO38H70R7ZV7Kl2qfUZxfXQ==" saltValue="m/mfSvZWqLmC52Rm2aeRyw==" spinCount="100000" sqref="B5:B6" name="Range1_2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B16:B17" name="Range1_3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B18" name="Range1_3_1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B19" name="Range1_3_2"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98mvCEbsVTr0NrpZIc/15xCyc5XMAKIcQ32f6j26GlFJjqit7togokYXh1ezGpBBO38H70R7ZV7Kl2qfUZxfXQ==" saltValue="m/mfSvZWqLmC52Rm2aeRyw==" spinCount="100000" sqref="B44:B45" name="Range1_14"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98mvCEbsVTr0NrpZIc/15xCyc5XMAKIcQ32f6j26GlFJjqit7togokYXh1ezGpBBO38H70R7ZV7Kl2qfUZxfXQ==" saltValue="m/mfSvZWqLmC52Rm2aeRyw==" spinCount="100000" sqref="B52:B53" name="Range1_8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bmNoH/XH9GZlitwFdFY+V3LGy1xQ3NuyVDz7GZtIth0KYgNC0Qiwte8wkicOU0jJryaYhOoqvkAD5QQLEfb1g==" saltValue="AzvUTwuISd6SY3rDKW9o1w==" spinCount="100000" sqref="B50" name="Range1_9_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IbmNoH/XH9GZlitwFdFY+V3LGy1xQ3NuyVDz7GZtIth0KYgNC0Qiwte8wkicOU0jJryaYhOoqvkAD5QQLEfb1g==" saltValue="AzvUTwuISd6SY3rDKW9o1w==" spinCount="100000" sqref="B51" name="Range1_10_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98mvCEbsVTr0NrpZIc/15xCyc5XMAKIcQ32f6j26GlFJjqit7togokYXh1ezGpBBO38H70R7ZV7Kl2qfUZxfXQ==" saltValue="m/mfSvZWqLmC52Rm2aeRyw==" spinCount="100000" sqref="B49" name="Range1_11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98mvCEbsVTr0NrpZIc/15xCyc5XMAKIcQ32f6j26GlFJjqit7togokYXh1ezGpBBO38H70R7ZV7Kl2qfUZxfXQ==" saltValue="m/mfSvZWqLmC52Rm2aeRyw==" spinCount="100000" sqref="B23" name="Range1_16"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iKtQ2KrvyGVLFTjNS9pAt6BSlfOFIJMY5bpVPzkKFDJhhd0hQDVAFTmorXHTBpiilI/LCNI4biPDulfGP4xzcQ==" saltValue="M+cZ7LL5lsQA6SrS8KmdqA==" spinCount="100000" sqref="B34:B36 B39:B40 L39:L40 L24:L36" name="Range1_2"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B37:B38 L37:L38" name="Range1_3_3"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C24:J24 C27:K28 C36:K40 C35:E35 G35:K35 C30:K34 C29:E29 G29:K29" name="Range1_10_2"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B24 B27:B33" name="Range1_12_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98mvCEbsVTr0NrpZIc/15xCyc5XMAKIcQ32f6j26GlFJjqit7togokYXh1ezGpBBO38H70R7ZV7Kl2qfUZxfXQ==" saltValue="m/mfSvZWqLmC52Rm2aeRyw==" spinCount="100000" sqref="B25:K26" name="Range1_12_1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b/W1Z7CpyamLclBLOEtRCtGodxrtaeliauQ3OUUHPm00YYsCNF8pTKSQiORYzJqUiQoLnhhRhce20619agOvZQ==" saltValue="xW25fNM3ubj+z+H1lkfzNA==" spinCount="100000" sqref="K24" name="Range1_10_1_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F6" name="Range1_15"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IbmNoH/XH9GZlitwFdFY+V3LGy1xQ3NuyVDz7GZtIth0KYgNC0Qiwte8wkicOU0jJryaYhOoqvkAD5QQLEfb1g==" saltValue="AzvUTwuISd6SY3rDKW9o1w==" spinCount="100000" sqref="F5" name="Range1_14_1"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b/W1Z7CpyamLclBLOEtRCtGodxrtaeliauQ3OUUHPm00YYsCNF8pTKSQiORYzJqUiQoLnhhRhce20619agOvZQ==" saltValue="xW25fNM3ubj+z+H1lkfzNA==" spinCount="100000" sqref="F35" name="Range1_10_2_1"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b/W1Z7CpyamLclBLOEtRCtGodxrtaeliauQ3OUUHPm00YYsCNF8pTKSQiORYzJqUiQoLnhhRhce20619agOvZQ==" saltValue="xW25fNM3ubj+z+H1lkfzNA==" spinCount="100000" sqref="F29" name="Range1_10_2_2"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IbmNoH/XH9GZlitwFdFY+V3LGy1xQ3NuyVDz7GZtIth0KYgNC0Qiwte8wkicOU0jJryaYhOoqvkAD5QQLEfb1g==" saltValue="AzvUTwuISd6SY3rDKW9o1w==" spinCount="100000" sqref="C5" name="Range1_10" securityDescriptor="O:WDG:WDD:(A;;CC;;;S-1-5-21-577582919-1435025626-1914702595-3940917)(A;;CC;;;S-1-5-21-577582919-1435025626-1914702595-3758127)(A;;CC;;;S-1-5-21-577582919-1435025626-1914702595-3758875)(A;;CC;;;S-1-5-21-577582919-1435025626-1914702595-3758999)(A;;CC;;;S-1-5-21-577582919-1435025626-1914702595-4020469)(A;;CC;;;S-1-5-21-577582919-1435025626-1914702595-4023729)"/>
    <protectedRange algorithmName="SHA-512" hashValue="b/W1Z7CpyamLclBLOEtRCtGodxrtaeliauQ3OUUHPm00YYsCNF8pTKSQiORYzJqUiQoLnhhRhce20619agOvZQ==" saltValue="xW25fNM3ubj+z+H1lkfzNA==" spinCount="100000" sqref="C52:F52" name="Range1_17" securityDescriptor="O:WDG:WDD:(A;;CC;;;S-1-5-21-577582919-1435025626-1914702595-3758999)(A;;CC;;;S-1-5-21-577582919-1435025626-1914702595-4020469)(A;;CC;;;S-1-5-21-577582919-1435025626-1914702595-4023729)(A;;CC;;;S-1-5-21-577582919-1435025626-1914702595-3758875)(A;;CC;;;S-1-5-21-577582919-1435025626-1914702595-3758127)"/>
    <protectedRange algorithmName="SHA-512" hashValue="IbmNoH/XH9GZlitwFdFY+V3LGy1xQ3NuyVDz7GZtIth0KYgNC0Qiwte8wkicOU0jJryaYhOoqvkAD5QQLEfb1g==" saltValue="AzvUTwuISd6SY3rDKW9o1w==" spinCount="100000" sqref="C53:F53" name="Range1_5_1" securityDescriptor="O:WDG:WDD:(A;;CC;;;S-1-5-21-577582919-1435025626-1914702595-4020469)(A;;CC;;;S-1-5-21-577582919-1435025626-1914702595-3758999)(A;;CC;;;S-1-5-21-577582919-1435025626-1914702595-3758875)(A;;CC;;;S-1-5-21-577582919-1435025626-1914702595-4023729)(A;;CC;;;S-1-5-21-577582919-1435025626-1914702595-3758127)"/>
    <protectedRange algorithmName="SHA-512" hashValue="b/W1Z7CpyamLclBLOEtRCtGodxrtaeliauQ3OUUHPm00YYsCNF8pTKSQiORYzJqUiQoLnhhRhce20619agOvZQ==" saltValue="xW25fNM3ubj+z+H1lkfzNA==" spinCount="100000" sqref="D10:F10" name="Range1_5" securityDescriptor="O:WDG:WDD:(A;;CC;;;S-1-5-21-577582919-1435025626-1914702595-3758999)(A;;CC;;;S-1-5-21-577582919-1435025626-1914702595-4020469)(A;;CC;;;S-1-5-21-577582919-1435025626-1914702595-4023729)(A;;CC;;;S-1-5-21-577582919-1435025626-1914702595-3758875)(A;;CC;;;S-1-5-21-577582919-1435025626-1914702595-3758127)"/>
  </protectedRanges>
  <mergeCells count="8">
    <mergeCell ref="C1:G1"/>
    <mergeCell ref="C2:G2"/>
    <mergeCell ref="K3:Q3"/>
    <mergeCell ref="K4:Q4"/>
    <mergeCell ref="K56:P56"/>
    <mergeCell ref="B57:C57"/>
    <mergeCell ref="B58:H58"/>
    <mergeCell ref="B55:H55"/>
  </mergeCells>
  <pageMargins left="0.7" right="0.7" top="0.75" bottom="0.75" header="0.3" footer="0.3"/>
  <pageSetup scale="57" orientation="landscape" r:id="rId1"/>
  <headerFooter>
    <oddHeader>&amp;R&amp;"Times New Roman,Bold"&amp;10KyPSC Case No. 2025-00229
STAFF-DR-01-005(b) Attachment 4
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itness xmlns="2612a682-5ffb-4b9c-9555-017618935178">Seiter</Witnes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C8F9251C502B146B2B676A4E4DCE5BB" ma:contentTypeVersion="4" ma:contentTypeDescription="Create a new document." ma:contentTypeScope="" ma:versionID="4de23ef8f6c9bdacef4f4bddb876842f">
  <xsd:schema xmlns:xsd="http://www.w3.org/2001/XMLSchema" xmlns:xs="http://www.w3.org/2001/XMLSchema" xmlns:p="http://schemas.microsoft.com/office/2006/metadata/properties" xmlns:ns2="2612a682-5ffb-4b9c-9555-017618935178" xmlns:ns3="3c9d8c27-8a6d-4d9e-a15e-ef5d28c114af" targetNamespace="http://schemas.microsoft.com/office/2006/metadata/properties" ma:root="true" ma:fieldsID="147db5eb7ec7a17abbdcc7f7c35c2451" ns2:_="" ns3:_="">
    <xsd:import namespace="2612a682-5ffb-4b9c-9555-017618935178"/>
    <xsd:import namespace="3c9d8c27-8a6d-4d9e-a15e-ef5d28c114af"/>
    <xsd:element name="properties">
      <xsd:complexType>
        <xsd:sequence>
          <xsd:element name="documentManagement">
            <xsd:complexType>
              <xsd:all>
                <xsd:element ref="ns2:Witnes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2a682-5ffb-4b9c-9555-017618935178" elementFormDefault="qualified">
    <xsd:import namespace="http://schemas.microsoft.com/office/2006/documentManagement/types"/>
    <xsd:import namespace="http://schemas.microsoft.com/office/infopath/2007/PartnerControls"/>
    <xsd:element name="Witness" ma:index="9" nillable="true" ma:displayName="Witness" ma:internalName="Witnes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9d8c27-8a6d-4d9e-a15e-ef5d28c114a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011AF0-A71E-44BE-8D53-95908F311F74}">
  <ds:schemaRefs>
    <ds:schemaRef ds:uri="http://purl.org/dc/terms/"/>
    <ds:schemaRef ds:uri="2612a682-5ffb-4b9c-9555-017618935178"/>
    <ds:schemaRef ds:uri="http://schemas.microsoft.com/office/2006/documentManagement/types"/>
    <ds:schemaRef ds:uri="http://purl.org/dc/elements/1.1/"/>
    <ds:schemaRef ds:uri="3c9d8c27-8a6d-4d9e-a15e-ef5d28c114af"/>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034AF6F-B872-4140-94B7-04B7CEE524EE}">
  <ds:schemaRefs>
    <ds:schemaRef ds:uri="http://schemas.microsoft.com/sharepoint/v3/contenttype/forms"/>
  </ds:schemaRefs>
</ds:datastoreItem>
</file>

<file path=customXml/itemProps3.xml><?xml version="1.0" encoding="utf-8"?>
<ds:datastoreItem xmlns:ds="http://schemas.openxmlformats.org/officeDocument/2006/customXml" ds:itemID="{B5B05055-2D2C-4E4E-A738-137071D4EE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12a682-5ffb-4b9c-9555-017618935178"/>
    <ds:schemaRef ds:uri="3c9d8c27-8a6d-4d9e-a15e-ef5d28c114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First Sheet</vt:lpstr>
      <vt:lpstr>Master Tab</vt:lpstr>
      <vt:lpstr>Estimate Uncertainty Tool</vt:lpstr>
      <vt:lpstr>Finance Breakdown</vt:lpstr>
      <vt:lpstr>Assumptions</vt:lpstr>
      <vt:lpstr>Cost Change Log</vt:lpstr>
      <vt:lpstr>Cost Report</vt:lpstr>
      <vt:lpstr>Pipeline 1</vt:lpstr>
      <vt:lpstr>Demo 1</vt:lpstr>
      <vt:lpstr>Dropdown Values</vt:lpstr>
      <vt:lpstr>EJ Questionaire</vt:lpstr>
      <vt:lpstr>PE Level of Risk Template</vt:lpstr>
      <vt:lpstr>R&amp;D Credit Potential</vt:lpstr>
      <vt:lpstr>AFUDC</vt:lpstr>
      <vt:lpstr>Parcels</vt:lpstr>
      <vt:lpstr>'Cost Report'!Print_Area</vt:lpstr>
      <vt:lpstr>'Demo 1'!Print_Area</vt:lpstr>
      <vt:lpstr>'Dropdown Values'!Print_Area</vt:lpstr>
      <vt:lpstr>'Estimate Uncertainty Tool'!Print_Area</vt:lpstr>
      <vt:lpstr>'Master Tab'!Print_Area</vt:lpstr>
      <vt:lpstr>'Pipeline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Exhibit 5(d) - Phase 4 Current Estimate</dc:subject>
  <dc:creator>Long, Garrett W.</dc:creator>
  <cp:lastModifiedBy>Sunderman, Minna</cp:lastModifiedBy>
  <cp:lastPrinted>2025-09-30T18:04:05Z</cp:lastPrinted>
  <dcterms:created xsi:type="dcterms:W3CDTF">2020-09-21T11:54:44Z</dcterms:created>
  <dcterms:modified xsi:type="dcterms:W3CDTF">2025-09-30T18:04:10Z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0x0101005C8F9251C502B146B2B676A4E4DCE5BB</vt:lpwstr>
  </property>
  <property fmtid="{D5CDD505-2E9C-101B-9397-08002B2CF9AE}" pid="3" name="tax_rate" linkTarget="prop_tax_rate">
    <vt:lpwstr>#REF!</vt:lpwstr>
  </property>
</Properties>
</file>