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never" defaultThemeVersion="166925"/>
  <mc:AlternateContent xmlns:mc="http://schemas.openxmlformats.org/markup-compatibility/2006">
    <mc:Choice Requires="x15">
      <x15ac:absPath xmlns:x15ac="http://schemas.microsoft.com/office/spreadsheetml/2010/11/ac" url="https://team.duke-energy.com/sites/OHKYRegDiscovery/KY/202500xxx DEK Rider PMM Phase 4 Application/Discovery/STAFF's 1st Set of Data Requests/STAFF-DR-01-005(b) Attachments/"/>
    </mc:Choice>
  </mc:AlternateContent>
  <xr:revisionPtr revIDLastSave="0" documentId="13_ncr:1_{58EF61AB-3640-4002-A563-CC7341B10F3A}" xr6:coauthVersionLast="47" xr6:coauthVersionMax="47" xr10:uidLastSave="{00000000-0000-0000-0000-000000000000}"/>
  <bookViews>
    <workbookView xWindow="-120" yWindow="-120" windowWidth="29040" windowHeight="15720" xr2:uid="{05B0F650-E780-479E-86BD-F9625817C56A}"/>
  </bookViews>
  <sheets>
    <sheet name="First Sheet" sheetId="24" r:id="rId1"/>
    <sheet name="Master Tab" sheetId="2" r:id="rId2"/>
    <sheet name="Estimate Uncertainty Tool" sheetId="23" r:id="rId3"/>
    <sheet name="Finance Breakdown" sheetId="22" r:id="rId4"/>
    <sheet name="Assumptions" sheetId="3" r:id="rId5"/>
    <sheet name="Cost Change Log" sheetId="4" r:id="rId6"/>
    <sheet name="Cost Report" sheetId="5" r:id="rId7"/>
    <sheet name="24in AM07" sheetId="6" r:id="rId8"/>
    <sheet name="8in UL16" sheetId="37" r:id="rId9"/>
    <sheet name="20in UL06" sheetId="29" r:id="rId10"/>
    <sheet name="Station 1" sheetId="11" r:id="rId11"/>
    <sheet name="Demo 1" sheetId="16" r:id="rId12"/>
    <sheet name="Dropdown Values" sheetId="26" r:id="rId13"/>
    <sheet name="EJ Questionaire" sheetId="36" r:id="rId14"/>
    <sheet name="PE Level of Risk Template" sheetId="27" r:id="rId15"/>
    <sheet name="AFUDC" sheetId="35" r:id="rId16"/>
  </sheets>
  <externalReferences>
    <externalReference r:id="rId17"/>
    <externalReference r:id="rId18"/>
    <externalReference r:id="rId19"/>
    <externalReference r:id="rId20"/>
    <externalReference r:id="rId21"/>
    <externalReference r:id="rId22"/>
    <externalReference r:id="rId23"/>
    <externalReference r:id="rId24"/>
  </externalReferences>
  <definedNames>
    <definedName name="____W.O.R.K.B.O.O.K..C.O.N.T.E.N.T.S____" localSheetId="14">#REF!</definedName>
    <definedName name="____W.O.R.K.B.O.O.K..C.O.N.T.E.N.T.S____">#REF!</definedName>
    <definedName name="___INDEX_SHEET___ASAP_Utilities" localSheetId="14">#REF!</definedName>
    <definedName name="___INDEX_SHEET___ASAP_Utilities">#REF!</definedName>
    <definedName name="ActCurAFUDC2">#REF!</definedName>
    <definedName name="Approval" localSheetId="14">#REF!</definedName>
    <definedName name="Approval">#REF!</definedName>
    <definedName name="AssetLoc">'[1]Data for DropDowns'!$B$84:$B$92</definedName>
    <definedName name="Close" localSheetId="14">#REF!</definedName>
    <definedName name="Close">#REF!</definedName>
    <definedName name="Compliance_Impact" localSheetId="14">#REF!</definedName>
    <definedName name="Compliance_Impact">#REF!</definedName>
    <definedName name="Copy" localSheetId="14">#REF!</definedName>
    <definedName name="Copy">#REF!</definedName>
    <definedName name="Frequency">[2]DropDown_Elements!$A$2:$A$30</definedName>
    <definedName name="FundingType">'[3]Project Financials Input'!$K$15:$K$17</definedName>
    <definedName name="Initiation" localSheetId="14">#REF!</definedName>
    <definedName name="Initiation">#REF!</definedName>
    <definedName name="inservice_date">'[4]IRR Calc Input sht IG'!$H$10</definedName>
    <definedName name="Kd">'[4]IRR Calc Input sht IG'!$H$50</definedName>
    <definedName name="Ke">'[4]IRR Calc Input sht IG'!$H$48</definedName>
    <definedName name="LastActualsDate">'[5]Lookup Lists'!$B$2:$B$26</definedName>
    <definedName name="Legal_Entities" localSheetId="14">#REF!</definedName>
    <definedName name="Legal_Entities">#REF!</definedName>
    <definedName name="OperatingUnits">'[1]Data for DropDowns'!$B$159:$B$213</definedName>
    <definedName name="Pal_Workbook_GUID" hidden="1">"ZJ7P2TD1JKBJAXD5DEBV833R"</definedName>
    <definedName name="Parcels">'Dropdown Values'!$B$14:$B$17</definedName>
    <definedName name="Plotting" localSheetId="14">#REF!</definedName>
    <definedName name="Plotting">#REF!</definedName>
    <definedName name="_xlnm.Print_Area" localSheetId="9">'20in UL06'!$A$1:$I$204</definedName>
    <definedName name="_xlnm.Print_Area" localSheetId="7">'24in AM07'!$A$1:$I$199</definedName>
    <definedName name="_xlnm.Print_Area" localSheetId="8">'8in UL16'!$A$1:$I$204</definedName>
    <definedName name="_xlnm.Print_Area" localSheetId="4">Assumptions!$A$1:$H$35</definedName>
    <definedName name="_xlnm.Print_Area" localSheetId="6">'Cost Report'!$A$1:$L$38</definedName>
    <definedName name="_xlnm.Print_Area" localSheetId="11">'Demo 1'!$A$1:$I$58</definedName>
    <definedName name="_xlnm.Print_Area" localSheetId="12">'Dropdown Values'!$A$1:$D$32</definedName>
    <definedName name="_xlnm.Print_Area" localSheetId="2">'Estimate Uncertainty Tool'!$B$1:$G$47</definedName>
    <definedName name="_xlnm.Print_Area" localSheetId="1">'Master Tab'!$A$4:$D$35</definedName>
    <definedName name="_xlnm.Print_Area" localSheetId="10">'Station 1'!$A$1:$I$144</definedName>
    <definedName name="Priority" localSheetId="14">'[6]Action Item Log'!#REF!</definedName>
    <definedName name="Priority">'[6]Action Item Log'!#REF!</definedName>
    <definedName name="Probability" localSheetId="14">#REF!</definedName>
    <definedName name="Probability">#REF!</definedName>
    <definedName name="ProcessList">'[7]Process Drop Down'!$A$8:$A$98</definedName>
    <definedName name="ProjectClass">'[1]Data for DropDowns'!$B$104:$B$155</definedName>
    <definedName name="ProjectRank">#REF!</definedName>
    <definedName name="ProjRank">#REF!</definedName>
    <definedName name="prop_tax_rate">'[4]IRR Calc Input sht IG'!$H$60</definedName>
    <definedName name="Risk_Types" localSheetId="14">#REF!</definedName>
    <definedName name="Risk_Types">#REF!</definedName>
    <definedName name="Site">#REF!</definedName>
    <definedName name="Sites">'[5]Lookup Lists'!$D$3:$D$8</definedName>
    <definedName name="start_date">'[4]IRR Calc Input sht IG'!$H$9</definedName>
    <definedName name="Status" localSheetId="14">#REF!</definedName>
    <definedName name="Status">#REF!</definedName>
    <definedName name="tax_rate">'[4]IRR Calc Input sht IG'!$H$51</definedName>
    <definedName name="TC_Impact" localSheetId="14">#REF!</definedName>
    <definedName name="TC_Impact">#REF!</definedName>
    <definedName name="TDCategory">'[1]Data for DropDowns'!$B$29:$B$71</definedName>
    <definedName name="test" localSheetId="14">#REF!</definedName>
    <definedName name="test">#REF!</definedName>
    <definedName name="Treatment" localSheetId="14">#REF!</definedName>
    <definedName name="Treatment">#REF!</definedName>
    <definedName name="Val_Date" localSheetId="14">#REF!</definedName>
    <definedName name="Val_Date">#REF!</definedName>
    <definedName name="wacc">'[4]IRR Calc Input sht IG'!$H$52</definedName>
    <definedName name="We">'[4]IRR Calc Input sht IG'!$H$49</definedName>
    <definedName name="YESNO">'[1]Data for DropDowns'!$B$77:$B$79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0" i="11" l="1"/>
  <c r="H187" i="37" l="1"/>
  <c r="H181" i="37"/>
  <c r="H17" i="6" l="1"/>
  <c r="H13" i="4"/>
  <c r="H164" i="37"/>
  <c r="H162" i="37"/>
  <c r="H184" i="29"/>
  <c r="H162" i="29"/>
  <c r="H164" i="29"/>
  <c r="H166" i="29"/>
  <c r="F12" i="4" l="1"/>
  <c r="H12" i="4" l="1"/>
  <c r="F11" i="4" l="1"/>
  <c r="H10" i="4"/>
  <c r="F10" i="4"/>
  <c r="F9" i="4"/>
  <c r="H9" i="4" s="1"/>
  <c r="H8" i="4"/>
  <c r="F65" i="11"/>
  <c r="F57" i="11"/>
  <c r="D53" i="11"/>
  <c r="H87" i="37"/>
  <c r="F37" i="37"/>
  <c r="H37" i="37" s="1"/>
  <c r="F36" i="37"/>
  <c r="H36" i="37" s="1"/>
  <c r="F35" i="37"/>
  <c r="H35" i="37" s="1"/>
  <c r="F34" i="37"/>
  <c r="F33" i="37"/>
  <c r="F32" i="37"/>
  <c r="D76" i="6"/>
  <c r="D87" i="29"/>
  <c r="D48" i="29"/>
  <c r="D50" i="29"/>
  <c r="D74" i="29"/>
  <c r="D190" i="6"/>
  <c r="D39" i="6"/>
  <c r="D38" i="6"/>
  <c r="F36" i="6"/>
  <c r="F35" i="6"/>
  <c r="F34" i="6"/>
  <c r="F33" i="6"/>
  <c r="F32" i="6"/>
  <c r="F31" i="6"/>
  <c r="F203" i="37"/>
  <c r="F202" i="37"/>
  <c r="D202" i="37"/>
  <c r="H197" i="37"/>
  <c r="D196" i="37"/>
  <c r="H196" i="37" s="1"/>
  <c r="D195" i="37"/>
  <c r="H195" i="37" s="1"/>
  <c r="D194" i="37"/>
  <c r="H194" i="37" s="1"/>
  <c r="H192" i="37"/>
  <c r="H191" i="37"/>
  <c r="H190" i="37"/>
  <c r="H189" i="37"/>
  <c r="H186" i="37"/>
  <c r="H185" i="37"/>
  <c r="H183" i="37"/>
  <c r="H182" i="37"/>
  <c r="H180" i="37"/>
  <c r="H170" i="37"/>
  <c r="H169" i="37"/>
  <c r="H168" i="37"/>
  <c r="H167" i="37"/>
  <c r="H166" i="37"/>
  <c r="H165" i="37"/>
  <c r="H163" i="37"/>
  <c r="H161" i="37"/>
  <c r="H160" i="37"/>
  <c r="H159" i="37"/>
  <c r="H158" i="37"/>
  <c r="H157" i="37"/>
  <c r="H156" i="37"/>
  <c r="H155" i="37"/>
  <c r="H154" i="37"/>
  <c r="H153" i="37"/>
  <c r="H152" i="37"/>
  <c r="H151" i="37"/>
  <c r="H150" i="37"/>
  <c r="H149" i="37"/>
  <c r="H148" i="37"/>
  <c r="H147" i="37"/>
  <c r="H146" i="37"/>
  <c r="H145" i="37"/>
  <c r="H144" i="37"/>
  <c r="H143" i="37"/>
  <c r="H142" i="37"/>
  <c r="H141" i="37"/>
  <c r="H140" i="37"/>
  <c r="H139" i="37"/>
  <c r="H138" i="37"/>
  <c r="H137" i="37"/>
  <c r="H136" i="37"/>
  <c r="H135" i="37"/>
  <c r="H134" i="37"/>
  <c r="H133" i="37"/>
  <c r="H132" i="37"/>
  <c r="H131" i="37"/>
  <c r="H130" i="37"/>
  <c r="H129" i="37"/>
  <c r="H128" i="37"/>
  <c r="H127" i="37"/>
  <c r="H126" i="37"/>
  <c r="H125" i="37"/>
  <c r="H124" i="37"/>
  <c r="H123" i="37"/>
  <c r="H122" i="37"/>
  <c r="H121" i="37"/>
  <c r="H120" i="37"/>
  <c r="H119" i="37"/>
  <c r="H118" i="37"/>
  <c r="H117" i="37"/>
  <c r="H116" i="37"/>
  <c r="H115" i="37"/>
  <c r="H114" i="37"/>
  <c r="H113" i="37"/>
  <c r="H112" i="37"/>
  <c r="H111" i="37"/>
  <c r="H110" i="37"/>
  <c r="H109" i="37"/>
  <c r="H108" i="37"/>
  <c r="H107" i="37"/>
  <c r="H106" i="37"/>
  <c r="H105" i="37"/>
  <c r="H104" i="37"/>
  <c r="H103" i="37"/>
  <c r="H102" i="37"/>
  <c r="H101" i="37"/>
  <c r="H100" i="37"/>
  <c r="H99" i="37"/>
  <c r="H98" i="37"/>
  <c r="H97" i="37"/>
  <c r="H96" i="37"/>
  <c r="H95" i="37"/>
  <c r="H94" i="37"/>
  <c r="H93" i="37"/>
  <c r="H92" i="37"/>
  <c r="H91" i="37"/>
  <c r="H90" i="37"/>
  <c r="H89" i="37"/>
  <c r="H88" i="37"/>
  <c r="H86" i="37"/>
  <c r="H85" i="37"/>
  <c r="H84" i="37"/>
  <c r="H83" i="37"/>
  <c r="H82" i="37"/>
  <c r="H81" i="37"/>
  <c r="H80" i="37"/>
  <c r="H79" i="37"/>
  <c r="H78" i="37"/>
  <c r="H77" i="37"/>
  <c r="H76" i="37"/>
  <c r="H75" i="37"/>
  <c r="H74" i="37"/>
  <c r="H73" i="37"/>
  <c r="H72" i="37"/>
  <c r="H71" i="37"/>
  <c r="H70" i="37"/>
  <c r="H69" i="37"/>
  <c r="H68" i="37"/>
  <c r="H67" i="37"/>
  <c r="H66" i="37"/>
  <c r="H65" i="37"/>
  <c r="H64" i="37"/>
  <c r="H63" i="37"/>
  <c r="H62" i="37"/>
  <c r="H61" i="37"/>
  <c r="H60" i="37"/>
  <c r="H59" i="37"/>
  <c r="H58" i="37"/>
  <c r="H57" i="37"/>
  <c r="H56" i="37"/>
  <c r="H55" i="37"/>
  <c r="H54" i="37"/>
  <c r="H53" i="37"/>
  <c r="H52" i="37"/>
  <c r="H51" i="37"/>
  <c r="H50" i="37"/>
  <c r="H49" i="37"/>
  <c r="H48" i="37"/>
  <c r="H43" i="37"/>
  <c r="I15" i="5" s="1"/>
  <c r="H42" i="37"/>
  <c r="I14" i="5" s="1"/>
  <c r="H41" i="37"/>
  <c r="H40" i="37"/>
  <c r="H39" i="37"/>
  <c r="H38" i="37"/>
  <c r="H34" i="37"/>
  <c r="H33" i="37"/>
  <c r="H32" i="37"/>
  <c r="H31" i="37"/>
  <c r="H30" i="37"/>
  <c r="H26" i="37"/>
  <c r="D6" i="37"/>
  <c r="H6" i="37" s="1"/>
  <c r="I22" i="5" s="1"/>
  <c r="D5" i="37"/>
  <c r="H5" i="37" s="1"/>
  <c r="I21" i="5" s="1"/>
  <c r="I2" i="37"/>
  <c r="C2" i="37"/>
  <c r="B2" i="37"/>
  <c r="C1" i="37"/>
  <c r="I12" i="5" l="1"/>
  <c r="F47" i="37"/>
  <c r="H47" i="37" s="1"/>
  <c r="I171" i="37" s="1"/>
  <c r="I17" i="5" s="1"/>
  <c r="I13" i="5"/>
  <c r="I7" i="37"/>
  <c r="I44" i="37"/>
  <c r="F198" i="37"/>
  <c r="H198" i="37" s="1"/>
  <c r="D174" i="37" l="1"/>
  <c r="H174" i="37" s="1"/>
  <c r="D175" i="37"/>
  <c r="H175" i="37" s="1"/>
  <c r="I20" i="5" s="1"/>
  <c r="F199" i="37"/>
  <c r="H199" i="37" s="1"/>
  <c r="I200" i="37" s="1"/>
  <c r="I16" i="5" s="1"/>
  <c r="B5" i="5"/>
  <c r="I176" i="37" l="1"/>
  <c r="I19" i="5"/>
  <c r="D21" i="37"/>
  <c r="H21" i="37" s="1"/>
  <c r="D12" i="37"/>
  <c r="H12" i="37" s="1"/>
  <c r="D23" i="37"/>
  <c r="H23" i="37" s="1"/>
  <c r="D19" i="37"/>
  <c r="H19" i="37" s="1"/>
  <c r="D11" i="37"/>
  <c r="H11" i="37" s="1"/>
  <c r="D14" i="37"/>
  <c r="H14" i="37" s="1"/>
  <c r="D25" i="37"/>
  <c r="H25" i="37" s="1"/>
  <c r="D24" i="37"/>
  <c r="H24" i="37" s="1"/>
  <c r="D17" i="37"/>
  <c r="H17" i="37" s="1"/>
  <c r="D20" i="37"/>
  <c r="H20" i="37" s="1"/>
  <c r="D15" i="37"/>
  <c r="H15" i="37" s="1"/>
  <c r="D22" i="37"/>
  <c r="H22" i="37" s="1"/>
  <c r="D18" i="37"/>
  <c r="H18" i="37" s="1"/>
  <c r="H10" i="37"/>
  <c r="D16" i="37"/>
  <c r="H16" i="37" s="1"/>
  <c r="D13" i="37"/>
  <c r="H13" i="37" s="1"/>
  <c r="B5" i="36"/>
  <c r="B4" i="36"/>
  <c r="D9" i="36"/>
  <c r="I27" i="37" l="1"/>
  <c r="I201" i="37" s="1"/>
  <c r="I203" i="37" s="1"/>
  <c r="I24" i="5" s="1"/>
  <c r="H40" i="16"/>
  <c r="H39" i="16"/>
  <c r="H38" i="16"/>
  <c r="H37" i="16"/>
  <c r="H36" i="16"/>
  <c r="H35" i="16"/>
  <c r="H34" i="16"/>
  <c r="H33" i="16"/>
  <c r="H32" i="16"/>
  <c r="H31" i="16"/>
  <c r="H30" i="16"/>
  <c r="H29" i="16"/>
  <c r="H28" i="16"/>
  <c r="H27" i="16"/>
  <c r="H26" i="16"/>
  <c r="H25" i="16"/>
  <c r="H24" i="16"/>
  <c r="I202" i="37" l="1"/>
  <c r="I204" i="37" s="1"/>
  <c r="I207" i="37" s="1"/>
  <c r="I11" i="5"/>
  <c r="H62" i="29"/>
  <c r="H61" i="6"/>
  <c r="I25" i="5" l="1"/>
  <c r="I206" i="37"/>
  <c r="H133" i="11"/>
  <c r="H120" i="11"/>
  <c r="H129" i="11"/>
  <c r="H100" i="11"/>
  <c r="H86" i="11"/>
  <c r="H60" i="11"/>
  <c r="H49" i="11"/>
  <c r="D196" i="29" l="1"/>
  <c r="D195" i="29"/>
  <c r="D194" i="29"/>
  <c r="H194" i="29" s="1"/>
  <c r="H171" i="29"/>
  <c r="H170" i="29"/>
  <c r="H169" i="29"/>
  <c r="H168" i="29"/>
  <c r="H167" i="29"/>
  <c r="H165" i="29"/>
  <c r="H163" i="29"/>
  <c r="H161" i="29"/>
  <c r="H160" i="29"/>
  <c r="H159" i="29"/>
  <c r="H158" i="29"/>
  <c r="H157" i="29"/>
  <c r="H156" i="29"/>
  <c r="H155" i="29"/>
  <c r="H154" i="29"/>
  <c r="H153" i="29"/>
  <c r="H152" i="29"/>
  <c r="H151" i="29"/>
  <c r="H150" i="29"/>
  <c r="H149" i="29"/>
  <c r="H148" i="29"/>
  <c r="H147" i="29"/>
  <c r="H146" i="29"/>
  <c r="H145" i="29"/>
  <c r="H144" i="29"/>
  <c r="H143" i="29"/>
  <c r="H142" i="29"/>
  <c r="H141" i="29"/>
  <c r="H140" i="29"/>
  <c r="H139" i="29"/>
  <c r="H138" i="29"/>
  <c r="H137" i="29"/>
  <c r="H136" i="29"/>
  <c r="H135" i="29"/>
  <c r="H134" i="29"/>
  <c r="H133" i="29"/>
  <c r="H132" i="29"/>
  <c r="H131" i="29"/>
  <c r="H130" i="29"/>
  <c r="H129" i="29"/>
  <c r="H128" i="29"/>
  <c r="H127" i="29"/>
  <c r="H126" i="29"/>
  <c r="H125" i="29"/>
  <c r="H124" i="29"/>
  <c r="H123" i="29"/>
  <c r="H122" i="29"/>
  <c r="H121" i="29"/>
  <c r="H120" i="29"/>
  <c r="H119" i="29"/>
  <c r="H118" i="29"/>
  <c r="H117" i="29"/>
  <c r="H116" i="29"/>
  <c r="H115" i="29"/>
  <c r="H114" i="29"/>
  <c r="H113" i="29"/>
  <c r="H112" i="29"/>
  <c r="H111" i="29"/>
  <c r="H110" i="29"/>
  <c r="H109" i="29"/>
  <c r="H108" i="29"/>
  <c r="H107" i="29"/>
  <c r="H106" i="29"/>
  <c r="H105" i="29"/>
  <c r="H104" i="29"/>
  <c r="H103" i="29"/>
  <c r="H102" i="29"/>
  <c r="H101" i="29"/>
  <c r="H100" i="29"/>
  <c r="H99" i="29"/>
  <c r="H98" i="29"/>
  <c r="H97" i="29"/>
  <c r="H96" i="29"/>
  <c r="H95" i="29"/>
  <c r="H94" i="29"/>
  <c r="H93" i="29"/>
  <c r="H92" i="29"/>
  <c r="H91" i="29"/>
  <c r="H90" i="29"/>
  <c r="H89" i="29"/>
  <c r="H88" i="29"/>
  <c r="H87" i="29"/>
  <c r="H86" i="29"/>
  <c r="H85" i="29"/>
  <c r="H84" i="29"/>
  <c r="H83" i="29"/>
  <c r="H82" i="29"/>
  <c r="H81" i="29"/>
  <c r="H80" i="29"/>
  <c r="H79" i="29"/>
  <c r="H78" i="29"/>
  <c r="H77" i="29"/>
  <c r="H76" i="29"/>
  <c r="H75" i="29"/>
  <c r="H74" i="29"/>
  <c r="H73" i="29"/>
  <c r="H72" i="29"/>
  <c r="H71" i="29"/>
  <c r="H70" i="29"/>
  <c r="H69" i="29"/>
  <c r="H68" i="29"/>
  <c r="H67" i="29"/>
  <c r="H66" i="29"/>
  <c r="H65" i="29"/>
  <c r="H64" i="29"/>
  <c r="H63" i="29"/>
  <c r="H61" i="29"/>
  <c r="H60" i="29"/>
  <c r="H59" i="29"/>
  <c r="H58" i="29"/>
  <c r="H57" i="29"/>
  <c r="H56" i="29"/>
  <c r="H55" i="29"/>
  <c r="H54" i="29"/>
  <c r="H53" i="29"/>
  <c r="H52" i="29"/>
  <c r="H51" i="29"/>
  <c r="H50" i="29"/>
  <c r="H49" i="29"/>
  <c r="H48" i="29"/>
  <c r="H189" i="6"/>
  <c r="H155" i="6"/>
  <c r="H150" i="6"/>
  <c r="H135" i="6"/>
  <c r="H165" i="6"/>
  <c r="H60" i="6"/>
  <c r="H160" i="6"/>
  <c r="H59" i="6"/>
  <c r="H62" i="6"/>
  <c r="H135" i="11" l="1"/>
  <c r="H134" i="11"/>
  <c r="H56" i="6" l="1"/>
  <c r="A3" i="35" l="1"/>
  <c r="A4" i="35" s="1"/>
  <c r="A5" i="35" s="1"/>
  <c r="A6" i="35" s="1"/>
  <c r="A7" i="35" s="1"/>
  <c r="A8" i="35" s="1"/>
  <c r="A9" i="35" s="1"/>
  <c r="A10" i="35" s="1"/>
  <c r="A11" i="35" s="1"/>
  <c r="A12" i="35" s="1"/>
  <c r="A13" i="35" s="1"/>
  <c r="A14" i="35" s="1"/>
  <c r="A15" i="35" s="1"/>
  <c r="A16" i="35" s="1"/>
  <c r="A17" i="35" s="1"/>
  <c r="A18" i="35" s="1"/>
  <c r="A19" i="35" s="1"/>
  <c r="A20" i="35" s="1"/>
  <c r="A21" i="35" s="1"/>
  <c r="A22" i="35" s="1"/>
  <c r="A23" i="35" s="1"/>
  <c r="A24" i="35" s="1"/>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A46" i="35" s="1"/>
  <c r="A47" i="35" s="1"/>
  <c r="A48" i="35" s="1"/>
  <c r="H196" i="29" l="1"/>
  <c r="H191" i="6"/>
  <c r="H101" i="11"/>
  <c r="H99" i="11"/>
  <c r="H98" i="11"/>
  <c r="H97" i="11"/>
  <c r="H96" i="11"/>
  <c r="H95" i="11"/>
  <c r="H94" i="11"/>
  <c r="H93" i="11"/>
  <c r="H92" i="11"/>
  <c r="H91" i="11"/>
  <c r="H90" i="11"/>
  <c r="H89" i="11"/>
  <c r="H88" i="11"/>
  <c r="H87" i="11"/>
  <c r="H85" i="11"/>
  <c r="H84" i="11"/>
  <c r="H83" i="11"/>
  <c r="H82" i="11"/>
  <c r="H81" i="11"/>
  <c r="H80" i="11"/>
  <c r="H79" i="11"/>
  <c r="H78" i="11"/>
  <c r="H77" i="11"/>
  <c r="H76" i="11"/>
  <c r="H75" i="11"/>
  <c r="H74" i="11"/>
  <c r="H73" i="11"/>
  <c r="H72" i="11"/>
  <c r="H71" i="11"/>
  <c r="H70" i="11"/>
  <c r="H69" i="11"/>
  <c r="H68" i="11"/>
  <c r="H67" i="11"/>
  <c r="H66" i="11"/>
  <c r="H65" i="11"/>
  <c r="H64" i="11"/>
  <c r="H63" i="11"/>
  <c r="H62" i="11"/>
  <c r="H61" i="11"/>
  <c r="H59" i="11"/>
  <c r="H58" i="11"/>
  <c r="H57" i="11"/>
  <c r="H56" i="11"/>
  <c r="H55" i="11"/>
  <c r="H54" i="11"/>
  <c r="H53" i="11"/>
  <c r="H52" i="11"/>
  <c r="H51" i="11"/>
  <c r="H50" i="11"/>
  <c r="H48" i="11"/>
  <c r="H167" i="6"/>
  <c r="H166" i="6"/>
  <c r="H164" i="6"/>
  <c r="H163" i="6"/>
  <c r="H162" i="6"/>
  <c r="H161" i="6"/>
  <c r="H159" i="6"/>
  <c r="H158" i="6"/>
  <c r="H157" i="6"/>
  <c r="H156" i="6"/>
  <c r="H154" i="6"/>
  <c r="H153" i="6"/>
  <c r="H152" i="6"/>
  <c r="H151" i="6"/>
  <c r="H149" i="6"/>
  <c r="H148" i="6"/>
  <c r="H147" i="6"/>
  <c r="H146" i="6"/>
  <c r="H145" i="6"/>
  <c r="H144" i="6"/>
  <c r="H143" i="6"/>
  <c r="H142" i="6"/>
  <c r="H141" i="6"/>
  <c r="H140" i="6"/>
  <c r="H139" i="6"/>
  <c r="H138" i="6"/>
  <c r="H137" i="6"/>
  <c r="H136"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58" i="6"/>
  <c r="H57" i="6"/>
  <c r="H55" i="6"/>
  <c r="H54" i="6"/>
  <c r="H53" i="6"/>
  <c r="H52" i="6"/>
  <c r="H51" i="6"/>
  <c r="H50" i="6"/>
  <c r="H49" i="6"/>
  <c r="H48" i="6"/>
  <c r="H47" i="6"/>
  <c r="F47" i="11" l="1"/>
  <c r="H47" i="11" s="1"/>
  <c r="F46" i="6"/>
  <c r="H46" i="6" s="1"/>
  <c r="F47" i="29"/>
  <c r="H47" i="29" s="1"/>
  <c r="B2" i="16" l="1"/>
  <c r="C34" i="2"/>
  <c r="C33" i="2" s="1"/>
  <c r="B2" i="11" l="1"/>
  <c r="F203" i="29"/>
  <c r="F202" i="29"/>
  <c r="D202" i="29"/>
  <c r="H197" i="29"/>
  <c r="H195" i="29"/>
  <c r="H192" i="29"/>
  <c r="H191" i="29"/>
  <c r="H190" i="29"/>
  <c r="H189" i="29"/>
  <c r="H187" i="29"/>
  <c r="H186" i="29"/>
  <c r="H183" i="29"/>
  <c r="H182" i="29"/>
  <c r="H181" i="29"/>
  <c r="H43" i="29"/>
  <c r="H15" i="5" s="1"/>
  <c r="H42" i="29"/>
  <c r="H14" i="5" s="1"/>
  <c r="H41" i="29"/>
  <c r="H40" i="29"/>
  <c r="H39" i="29"/>
  <c r="H38" i="29"/>
  <c r="F37" i="29"/>
  <c r="H37" i="29" s="1"/>
  <c r="F36" i="29"/>
  <c r="H36" i="29" s="1"/>
  <c r="F35" i="29"/>
  <c r="H35" i="29" s="1"/>
  <c r="F34" i="29"/>
  <c r="H34" i="29" s="1"/>
  <c r="F33" i="29"/>
  <c r="H33" i="29" s="1"/>
  <c r="F32" i="29"/>
  <c r="H32" i="29" s="1"/>
  <c r="H31" i="29"/>
  <c r="H30" i="29"/>
  <c r="H26" i="29"/>
  <c r="D6" i="29"/>
  <c r="H6" i="29" s="1"/>
  <c r="H22" i="5" s="1"/>
  <c r="D5" i="29"/>
  <c r="I2" i="29"/>
  <c r="C2" i="29"/>
  <c r="B2" i="29"/>
  <c r="C1" i="29"/>
  <c r="H12" i="5" l="1"/>
  <c r="H13" i="5"/>
  <c r="H5" i="29"/>
  <c r="H21" i="5" s="1"/>
  <c r="I172" i="29"/>
  <c r="H17" i="5" s="1"/>
  <c r="F198" i="29"/>
  <c r="H198" i="29" s="1"/>
  <c r="I44" i="29"/>
  <c r="I7" i="29" l="1"/>
  <c r="F199" i="29"/>
  <c r="H199" i="29" s="1"/>
  <c r="I200" i="29" s="1"/>
  <c r="H16" i="5" s="1"/>
  <c r="D175" i="29"/>
  <c r="H175" i="29" s="1"/>
  <c r="H19" i="5" s="1"/>
  <c r="D176" i="29"/>
  <c r="H176" i="29" s="1"/>
  <c r="H20" i="5" s="1"/>
  <c r="D22" i="29" l="1"/>
  <c r="H22" i="29" s="1"/>
  <c r="D20" i="29"/>
  <c r="H20" i="29" s="1"/>
  <c r="D12" i="29"/>
  <c r="H12" i="29" s="1"/>
  <c r="H10" i="29"/>
  <c r="D11" i="29"/>
  <c r="H11" i="29" s="1"/>
  <c r="D19" i="29"/>
  <c r="H19" i="29" s="1"/>
  <c r="D16" i="29"/>
  <c r="H16" i="29" s="1"/>
  <c r="D21" i="29"/>
  <c r="H21" i="29" s="1"/>
  <c r="D18" i="29"/>
  <c r="H18" i="29" s="1"/>
  <c r="D24" i="29"/>
  <c r="H24" i="29" s="1"/>
  <c r="D23" i="29"/>
  <c r="H23" i="29" s="1"/>
  <c r="D25" i="29"/>
  <c r="H25" i="29" s="1"/>
  <c r="D13" i="29"/>
  <c r="H13" i="29" s="1"/>
  <c r="D14" i="29"/>
  <c r="H14" i="29" s="1"/>
  <c r="D15" i="29"/>
  <c r="H15" i="29" s="1"/>
  <c r="D17" i="29"/>
  <c r="H17" i="29" s="1"/>
  <c r="I177" i="29"/>
  <c r="I27" i="29" l="1"/>
  <c r="B2" i="6"/>
  <c r="I23" i="5" l="1"/>
  <c r="H11" i="5"/>
  <c r="I201" i="29"/>
  <c r="I203" i="29" s="1"/>
  <c r="H24" i="5" s="1"/>
  <c r="I202" i="29"/>
  <c r="H25" i="5" s="1"/>
  <c r="H26" i="5" l="1"/>
  <c r="H23" i="5"/>
  <c r="H30" i="5"/>
  <c r="I204" i="29"/>
  <c r="I207" i="29" s="1"/>
  <c r="I30" i="5"/>
  <c r="H28" i="5" l="1"/>
  <c r="I206" i="29"/>
  <c r="I26" i="5"/>
  <c r="I28" i="5" s="1"/>
  <c r="H190" i="6" l="1"/>
  <c r="I45" i="27" l="1"/>
  <c r="H45" i="27"/>
  <c r="I44" i="27"/>
  <c r="H44" i="27"/>
  <c r="I43" i="27"/>
  <c r="H43" i="27"/>
  <c r="O42" i="27"/>
  <c r="I42" i="27"/>
  <c r="H42" i="27"/>
  <c r="O41" i="27"/>
  <c r="I41" i="27"/>
  <c r="H41" i="27"/>
  <c r="O40" i="27"/>
  <c r="I40" i="27"/>
  <c r="H40" i="27"/>
  <c r="O39" i="27"/>
  <c r="I39" i="27"/>
  <c r="H39" i="27"/>
  <c r="O38" i="27"/>
  <c r="I38" i="27"/>
  <c r="H38" i="27"/>
  <c r="O37" i="27"/>
  <c r="I37" i="27"/>
  <c r="H37" i="27"/>
  <c r="O36" i="27"/>
  <c r="I36" i="27"/>
  <c r="H36" i="27"/>
  <c r="O35" i="27"/>
  <c r="I35" i="27"/>
  <c r="H35" i="27"/>
  <c r="O34" i="27"/>
  <c r="I34" i="27"/>
  <c r="H34" i="27"/>
  <c r="O33" i="27"/>
  <c r="I33" i="27"/>
  <c r="H33" i="27"/>
  <c r="O32" i="27"/>
  <c r="I32" i="27"/>
  <c r="H32" i="27"/>
  <c r="O31" i="27"/>
  <c r="I31" i="27"/>
  <c r="H31" i="27"/>
  <c r="I30" i="27"/>
  <c r="H30" i="27"/>
  <c r="I29" i="27"/>
  <c r="H29" i="27"/>
  <c r="I28" i="27"/>
  <c r="H28" i="27"/>
  <c r="A28" i="27"/>
  <c r="A29" i="27" s="1"/>
  <c r="A30" i="27" s="1"/>
  <c r="A31" i="27" s="1"/>
  <c r="A32" i="27" s="1"/>
  <c r="A33" i="27" s="1"/>
  <c r="A34" i="27" s="1"/>
  <c r="A35" i="27" s="1"/>
  <c r="A36" i="27" s="1"/>
  <c r="A37" i="27" s="1"/>
  <c r="A38" i="27" s="1"/>
  <c r="A39" i="27" s="1"/>
  <c r="A40" i="27" s="1"/>
  <c r="A41" i="27" s="1"/>
  <c r="A42" i="27" s="1"/>
  <c r="A43" i="27" s="1"/>
  <c r="A44" i="27" s="1"/>
  <c r="A45" i="27" s="1"/>
  <c r="I27" i="27"/>
  <c r="H27" i="27"/>
  <c r="I26" i="27"/>
  <c r="H26" i="27"/>
  <c r="I25" i="27"/>
  <c r="H25" i="27"/>
  <c r="I23" i="27"/>
  <c r="H23" i="27"/>
  <c r="I22" i="27"/>
  <c r="H22" i="27"/>
  <c r="I21" i="27"/>
  <c r="H21" i="27"/>
  <c r="I20" i="27"/>
  <c r="H20" i="27"/>
  <c r="I19" i="27"/>
  <c r="H19" i="27"/>
  <c r="I17" i="27"/>
  <c r="H17" i="27"/>
  <c r="I16" i="27"/>
  <c r="H16" i="27"/>
  <c r="I15" i="27"/>
  <c r="H15" i="27"/>
  <c r="I14" i="27"/>
  <c r="H14" i="27"/>
  <c r="I13" i="27"/>
  <c r="H13" i="27"/>
  <c r="I11" i="27"/>
  <c r="H11" i="27"/>
  <c r="I10" i="27"/>
  <c r="H10" i="27"/>
  <c r="I9" i="27"/>
  <c r="H9" i="27"/>
  <c r="I8" i="27"/>
  <c r="H8" i="27"/>
  <c r="I7" i="27"/>
  <c r="H7" i="27"/>
  <c r="I6" i="27"/>
  <c r="H6" i="27"/>
  <c r="I5" i="27"/>
  <c r="H5" i="27"/>
  <c r="H46" i="27" l="1"/>
  <c r="S12" i="27" s="1"/>
  <c r="I46" i="27"/>
  <c r="S13" i="27"/>
  <c r="R12" i="27"/>
  <c r="S14" i="27"/>
  <c r="R13" i="27"/>
  <c r="Q12" i="27"/>
  <c r="P12" i="27"/>
  <c r="Q14" i="27"/>
  <c r="P13" i="27"/>
  <c r="O12" i="27"/>
  <c r="S10" i="27"/>
  <c r="O13" i="27"/>
  <c r="S11" i="27"/>
  <c r="R10" i="27"/>
  <c r="O14" i="27"/>
  <c r="R11" i="27"/>
  <c r="Q10" i="27"/>
  <c r="Q11" i="27"/>
  <c r="P14" i="27"/>
  <c r="P10" i="27"/>
  <c r="Q13" i="27" l="1"/>
  <c r="O10" i="27"/>
  <c r="R14" i="27"/>
  <c r="P11" i="27"/>
  <c r="O11" i="27"/>
  <c r="Q63" i="27" s="1"/>
  <c r="R63" i="27" s="1"/>
  <c r="O27" i="27"/>
  <c r="O43" i="27" s="1"/>
  <c r="O30" i="27"/>
  <c r="O29" i="27"/>
  <c r="O45" i="27" s="1"/>
  <c r="O28" i="27"/>
  <c r="O44" i="27" s="1"/>
  <c r="D40" i="11" l="1"/>
  <c r="H40" i="11" s="1"/>
  <c r="H39" i="6"/>
  <c r="F37" i="11"/>
  <c r="F36" i="11"/>
  <c r="F35" i="11"/>
  <c r="F34" i="11"/>
  <c r="F33" i="11"/>
  <c r="F32" i="11"/>
  <c r="H192" i="6" l="1"/>
  <c r="F3" i="24" l="1"/>
  <c r="F4" i="24"/>
  <c r="F5" i="24"/>
  <c r="F6" i="24"/>
  <c r="F7" i="24"/>
  <c r="F8" i="24"/>
  <c r="F9" i="24"/>
  <c r="F10" i="24"/>
  <c r="F11" i="24"/>
  <c r="F12" i="24"/>
  <c r="F2" i="24"/>
  <c r="H136" i="11" l="1"/>
  <c r="H126" i="11"/>
  <c r="H119" i="11"/>
  <c r="H118" i="11"/>
  <c r="H114" i="11"/>
  <c r="H113" i="11"/>
  <c r="C7" i="5" l="1"/>
  <c r="B6" i="5"/>
  <c r="H19" i="16" l="1"/>
  <c r="L14" i="5" s="1"/>
  <c r="H18" i="16"/>
  <c r="H17" i="16"/>
  <c r="H16" i="16"/>
  <c r="H43" i="11"/>
  <c r="J15" i="5" s="1"/>
  <c r="H42" i="11"/>
  <c r="J14" i="5" s="1"/>
  <c r="H41" i="11"/>
  <c r="H39" i="11"/>
  <c r="H38" i="11"/>
  <c r="H37" i="11"/>
  <c r="H36" i="11"/>
  <c r="H35" i="11"/>
  <c r="H34" i="11"/>
  <c r="H33" i="11"/>
  <c r="H32" i="11"/>
  <c r="H31" i="11"/>
  <c r="H30" i="11"/>
  <c r="H40" i="6"/>
  <c r="H30" i="6"/>
  <c r="L13" i="5" l="1"/>
  <c r="J13" i="5"/>
  <c r="J12" i="5"/>
  <c r="H36" i="6" l="1"/>
  <c r="H34" i="6"/>
  <c r="H32" i="6"/>
  <c r="G7" i="23" l="1"/>
  <c r="D3" i="24" l="1"/>
  <c r="D4" i="24"/>
  <c r="D5" i="24"/>
  <c r="D6" i="24"/>
  <c r="D7" i="24"/>
  <c r="D8" i="24"/>
  <c r="D9" i="24"/>
  <c r="D10" i="24"/>
  <c r="D11" i="24"/>
  <c r="D12" i="24"/>
  <c r="D2" i="24"/>
  <c r="B3" i="24"/>
  <c r="B4" i="24"/>
  <c r="B5" i="24"/>
  <c r="B6" i="24"/>
  <c r="B7" i="24"/>
  <c r="B8" i="24"/>
  <c r="B9" i="24"/>
  <c r="B10" i="24"/>
  <c r="B11" i="24"/>
  <c r="B12" i="24"/>
  <c r="B2" i="24"/>
  <c r="H187" i="6" l="1"/>
  <c r="H186" i="6"/>
  <c r="H185" i="6"/>
  <c r="H184" i="6"/>
  <c r="H182" i="6"/>
  <c r="H181" i="6"/>
  <c r="H179" i="6"/>
  <c r="H178" i="6"/>
  <c r="H177" i="6"/>
  <c r="H42" i="6"/>
  <c r="G15" i="5" s="1"/>
  <c r="H41" i="6"/>
  <c r="G14" i="5" s="1"/>
  <c r="H38" i="6"/>
  <c r="H37" i="6"/>
  <c r="H35" i="6"/>
  <c r="H33" i="6"/>
  <c r="H31" i="6"/>
  <c r="H29" i="6"/>
  <c r="H25" i="6"/>
  <c r="D6" i="6"/>
  <c r="H6" i="6" s="1"/>
  <c r="D5" i="6"/>
  <c r="H5" i="6" s="1"/>
  <c r="F193" i="6" l="1"/>
  <c r="H193" i="6" s="1"/>
  <c r="F194" i="6" s="1"/>
  <c r="G13" i="5"/>
  <c r="G12" i="5"/>
  <c r="I168" i="6"/>
  <c r="I43" i="6"/>
  <c r="I7" i="6"/>
  <c r="H194" i="6" l="1"/>
  <c r="I195" i="6" s="1"/>
  <c r="D172" i="6"/>
  <c r="H172" i="6" s="1"/>
  <c r="G20" i="5" s="1"/>
  <c r="D171" i="6"/>
  <c r="H171" i="6" s="1"/>
  <c r="G19" i="5" s="1"/>
  <c r="G17" i="5"/>
  <c r="D6" i="16"/>
  <c r="D5" i="16"/>
  <c r="D6" i="11"/>
  <c r="D5" i="11"/>
  <c r="D12" i="6" l="1"/>
  <c r="H12" i="6" s="1"/>
  <c r="H11" i="6"/>
  <c r="D18" i="6"/>
  <c r="H18" i="6" s="1"/>
  <c r="D14" i="6"/>
  <c r="H14" i="6" s="1"/>
  <c r="D23" i="6"/>
  <c r="H23" i="6" s="1"/>
  <c r="D21" i="6"/>
  <c r="H21" i="6" s="1"/>
  <c r="D24" i="6"/>
  <c r="H24" i="6" s="1"/>
  <c r="D16" i="6"/>
  <c r="H16" i="6" s="1"/>
  <c r="D15" i="6"/>
  <c r="H15" i="6" s="1"/>
  <c r="H10" i="6"/>
  <c r="D13" i="6"/>
  <c r="H13" i="6" s="1"/>
  <c r="G16" i="5"/>
  <c r="D20" i="6"/>
  <c r="H20" i="6" s="1"/>
  <c r="D19" i="6"/>
  <c r="H19" i="6" s="1"/>
  <c r="D22" i="6"/>
  <c r="H22" i="6" s="1"/>
  <c r="I173" i="6"/>
  <c r="E3" i="24"/>
  <c r="E11" i="24"/>
  <c r="E9" i="24"/>
  <c r="E4" i="24"/>
  <c r="E12" i="24"/>
  <c r="E7" i="24"/>
  <c r="E10" i="24"/>
  <c r="E5" i="24"/>
  <c r="E2" i="24"/>
  <c r="E6" i="24"/>
  <c r="E8" i="24"/>
  <c r="G5" i="23"/>
  <c r="D5" i="23"/>
  <c r="C14" i="23"/>
  <c r="I26" i="6" l="1"/>
  <c r="I196" i="6" s="1"/>
  <c r="B18" i="23"/>
  <c r="B17" i="23"/>
  <c r="C18" i="23"/>
  <c r="C17" i="23"/>
  <c r="B15" i="23"/>
  <c r="C16" i="23"/>
  <c r="B20" i="23"/>
  <c r="B16" i="23"/>
  <c r="B13" i="23"/>
  <c r="B14" i="23"/>
  <c r="A14" i="23" s="1"/>
  <c r="C15" i="23"/>
  <c r="C21" i="23"/>
  <c r="B19" i="23"/>
  <c r="C20" i="23"/>
  <c r="C19" i="23"/>
  <c r="B21" i="23"/>
  <c r="C13" i="23"/>
  <c r="A13" i="23" l="1"/>
  <c r="A19" i="23"/>
  <c r="A18" i="23"/>
  <c r="A20" i="23"/>
  <c r="A17" i="23"/>
  <c r="A15" i="23"/>
  <c r="A16" i="23"/>
  <c r="A21" i="23"/>
  <c r="H51" i="16" l="1"/>
  <c r="H50" i="16"/>
  <c r="H49" i="16"/>
  <c r="H12" i="16"/>
  <c r="H137" i="11"/>
  <c r="H132" i="11"/>
  <c r="H128" i="11"/>
  <c r="H127" i="11"/>
  <c r="H125" i="11"/>
  <c r="H124" i="11"/>
  <c r="H123" i="11"/>
  <c r="H122" i="11"/>
  <c r="H121" i="11"/>
  <c r="H117" i="11"/>
  <c r="H116" i="11"/>
  <c r="H112" i="11"/>
  <c r="H111" i="11"/>
  <c r="H26" i="11"/>
  <c r="F138" i="11" l="1"/>
  <c r="H138" i="11" s="1"/>
  <c r="F139" i="11" s="1"/>
  <c r="F52" i="16"/>
  <c r="H52" i="16"/>
  <c r="F53" i="16" s="1"/>
  <c r="D13" i="5"/>
  <c r="D15" i="5"/>
  <c r="D14" i="5"/>
  <c r="I20" i="16"/>
  <c r="I44" i="11"/>
  <c r="H139" i="11" l="1"/>
  <c r="I140" i="11" s="1"/>
  <c r="D12" i="5"/>
  <c r="G7" i="24" s="1"/>
  <c r="F57" i="16" l="1"/>
  <c r="F143" i="11"/>
  <c r="F198" i="6"/>
  <c r="I198" i="6" s="1"/>
  <c r="F56" i="16"/>
  <c r="F142" i="11"/>
  <c r="F197" i="6"/>
  <c r="D56" i="16"/>
  <c r="D142" i="11"/>
  <c r="D197" i="6"/>
  <c r="I197" i="6" l="1"/>
  <c r="I199" i="6" s="1"/>
  <c r="C22" i="22"/>
  <c r="C23" i="22"/>
  <c r="C21" i="22"/>
  <c r="B4" i="22"/>
  <c r="B2" i="22"/>
  <c r="I2" i="16" l="1"/>
  <c r="C1" i="16"/>
  <c r="I2" i="11"/>
  <c r="C1" i="11"/>
  <c r="I2" i="6"/>
  <c r="C2" i="6"/>
  <c r="C1" i="6"/>
  <c r="F23" i="16" l="1"/>
  <c r="H23" i="16" s="1"/>
  <c r="I41" i="16" s="1"/>
  <c r="D44" i="16" s="1"/>
  <c r="H53" i="16"/>
  <c r="I54" i="16" s="1"/>
  <c r="I102" i="11"/>
  <c r="D106" i="11" l="1"/>
  <c r="H106" i="11" s="1"/>
  <c r="J20" i="5" s="1"/>
  <c r="D105" i="11"/>
  <c r="H105" i="11" s="1"/>
  <c r="J19" i="5" s="1"/>
  <c r="D25" i="11"/>
  <c r="H25" i="11" s="1"/>
  <c r="D24" i="11"/>
  <c r="D14" i="11"/>
  <c r="H14" i="11" s="1"/>
  <c r="D23" i="11"/>
  <c r="H23" i="11" s="1"/>
  <c r="D13" i="11"/>
  <c r="H13" i="11" s="1"/>
  <c r="D22" i="11"/>
  <c r="H22" i="11" s="1"/>
  <c r="D21" i="11"/>
  <c r="H21" i="11" s="1"/>
  <c r="D17" i="11"/>
  <c r="H17" i="11" s="1"/>
  <c r="D15" i="11"/>
  <c r="H15" i="11" s="1"/>
  <c r="D12" i="11"/>
  <c r="H12" i="11" s="1"/>
  <c r="D11" i="11"/>
  <c r="H11" i="11" s="1"/>
  <c r="D19" i="11"/>
  <c r="H19" i="11" s="1"/>
  <c r="D18" i="11"/>
  <c r="H18" i="11" s="1"/>
  <c r="H10" i="11"/>
  <c r="D16" i="11"/>
  <c r="H16" i="11" s="1"/>
  <c r="D20" i="11"/>
  <c r="H20" i="11" s="1"/>
  <c r="L17" i="5"/>
  <c r="H10" i="16"/>
  <c r="J16" i="5"/>
  <c r="L16" i="5"/>
  <c r="J18" i="5"/>
  <c r="H44" i="16"/>
  <c r="L19" i="5" s="1"/>
  <c r="H45" i="16"/>
  <c r="L20" i="5" s="1"/>
  <c r="D11" i="16"/>
  <c r="H11" i="16" s="1"/>
  <c r="F20" i="5" l="1"/>
  <c r="D20" i="5"/>
  <c r="D18" i="5"/>
  <c r="G2" i="24" s="1"/>
  <c r="D16" i="5"/>
  <c r="G9" i="24" s="1"/>
  <c r="F14" i="23"/>
  <c r="G14" i="23" s="1"/>
  <c r="I107" i="11"/>
  <c r="I13" i="16"/>
  <c r="L11" i="5" s="1"/>
  <c r="I46" i="16"/>
  <c r="H24" i="11"/>
  <c r="I27" i="11" s="1"/>
  <c r="D17" i="5" l="1"/>
  <c r="G3" i="24" s="1"/>
  <c r="F15" i="23"/>
  <c r="G15" i="23" s="1"/>
  <c r="E14" i="23"/>
  <c r="H6" i="16"/>
  <c r="L22" i="5" s="1"/>
  <c r="H5" i="16"/>
  <c r="G11" i="5"/>
  <c r="J11" i="5"/>
  <c r="H5" i="11"/>
  <c r="F16" i="23" l="1"/>
  <c r="G16" i="23" s="1"/>
  <c r="D19" i="5"/>
  <c r="E15" i="23"/>
  <c r="D11" i="5"/>
  <c r="G5" i="24" s="1"/>
  <c r="I7" i="16"/>
  <c r="L21" i="5"/>
  <c r="H6" i="11"/>
  <c r="J22" i="5" s="1"/>
  <c r="G22" i="5"/>
  <c r="J21" i="5"/>
  <c r="G21" i="5"/>
  <c r="G6" i="24" l="1"/>
  <c r="I55" i="16"/>
  <c r="I57" i="16" s="1"/>
  <c r="I56" i="16"/>
  <c r="L25" i="5" s="1"/>
  <c r="E16" i="23"/>
  <c r="D21" i="5"/>
  <c r="G12" i="24" s="1"/>
  <c r="L23" i="5"/>
  <c r="F13" i="23"/>
  <c r="G13" i="23" s="1"/>
  <c r="F17" i="23"/>
  <c r="G17" i="23" s="1"/>
  <c r="I7" i="11"/>
  <c r="I142" i="11" s="1"/>
  <c r="D22" i="5"/>
  <c r="G10" i="24" s="1"/>
  <c r="E13" i="23" l="1"/>
  <c r="E17" i="23"/>
  <c r="D23" i="5"/>
  <c r="F18" i="23"/>
  <c r="E18" i="23" s="1"/>
  <c r="I58" i="16"/>
  <c r="I141" i="11"/>
  <c r="J25" i="5"/>
  <c r="G25" i="5"/>
  <c r="D25" i="5" l="1"/>
  <c r="C6" i="22" s="1"/>
  <c r="I143" i="11"/>
  <c r="I144" i="11" s="1"/>
  <c r="G18" i="23"/>
  <c r="L24" i="5"/>
  <c r="L30" i="5" s="1"/>
  <c r="F19" i="23"/>
  <c r="G24" i="5"/>
  <c r="G30" i="5" s="1"/>
  <c r="J24" i="5" l="1"/>
  <c r="J30" i="5" s="1"/>
  <c r="E19" i="23"/>
  <c r="G19" i="23"/>
  <c r="I202" i="6"/>
  <c r="D24" i="5" l="1"/>
  <c r="G4" i="24" s="1"/>
  <c r="D30" i="5"/>
  <c r="G11" i="24" s="1"/>
  <c r="I201" i="6"/>
  <c r="B3" i="5"/>
  <c r="B2" i="5"/>
  <c r="L31" i="5"/>
  <c r="L26" i="5"/>
  <c r="J26" i="5"/>
  <c r="G26" i="5"/>
  <c r="J23" i="5"/>
  <c r="G23" i="5"/>
  <c r="F30" i="5"/>
  <c r="F25" i="5"/>
  <c r="F24" i="5"/>
  <c r="F22" i="5"/>
  <c r="F21" i="5"/>
  <c r="C8" i="22" s="1"/>
  <c r="F19" i="5"/>
  <c r="F18" i="5"/>
  <c r="F17" i="5"/>
  <c r="F16" i="5"/>
  <c r="C7" i="22" s="1"/>
  <c r="F15" i="5"/>
  <c r="F14" i="5"/>
  <c r="F13" i="5"/>
  <c r="F12" i="5"/>
  <c r="C9" i="22" s="1"/>
  <c r="F11" i="5"/>
  <c r="F21" i="23" l="1"/>
  <c r="G21" i="23" s="1"/>
  <c r="F23" i="5"/>
  <c r="C13" i="22"/>
  <c r="F26" i="5"/>
  <c r="C10" i="22"/>
  <c r="J28" i="5"/>
  <c r="L28" i="5"/>
  <c r="L32" i="5" s="1"/>
  <c r="D26" i="5"/>
  <c r="G28" i="5"/>
  <c r="B4" i="4"/>
  <c r="J6" i="4"/>
  <c r="G5" i="3"/>
  <c r="A4" i="3"/>
  <c r="A1" i="3"/>
  <c r="B4" i="35" l="1"/>
  <c r="B5" i="35"/>
  <c r="B13" i="35"/>
  <c r="B21" i="35"/>
  <c r="B29" i="35"/>
  <c r="B37" i="35"/>
  <c r="B45" i="35"/>
  <c r="B41" i="35"/>
  <c r="B26" i="35"/>
  <c r="B19" i="35"/>
  <c r="B28" i="35"/>
  <c r="B6" i="35"/>
  <c r="B14" i="35"/>
  <c r="B22" i="35"/>
  <c r="B30" i="35"/>
  <c r="B38" i="35"/>
  <c r="B46" i="35"/>
  <c r="B33" i="35"/>
  <c r="B18" i="35"/>
  <c r="B11" i="35"/>
  <c r="B36" i="35"/>
  <c r="B7" i="35"/>
  <c r="B15" i="35"/>
  <c r="B23" i="35"/>
  <c r="B31" i="35"/>
  <c r="B39" i="35"/>
  <c r="B47" i="35"/>
  <c r="B25" i="35"/>
  <c r="B34" i="35"/>
  <c r="B35" i="35"/>
  <c r="B12" i="35"/>
  <c r="B44" i="35"/>
  <c r="B8" i="35"/>
  <c r="B16" i="35"/>
  <c r="B24" i="35"/>
  <c r="B32" i="35"/>
  <c r="B40" i="35"/>
  <c r="B48" i="35"/>
  <c r="B17" i="35"/>
  <c r="B42" i="35"/>
  <c r="B27" i="35"/>
  <c r="B20" i="35"/>
  <c r="B9" i="35"/>
  <c r="B43" i="35"/>
  <c r="B10" i="35"/>
  <c r="E21" i="23"/>
  <c r="F28" i="5"/>
  <c r="C11" i="22"/>
  <c r="C14" i="22" s="1"/>
  <c r="C18" i="22" s="1"/>
  <c r="D28" i="5"/>
  <c r="D4" i="35" l="1"/>
  <c r="E4" i="35" s="1"/>
  <c r="F4" i="35" s="1"/>
  <c r="C4" i="35"/>
  <c r="C5" i="35" s="1"/>
  <c r="C6" i="35" s="1"/>
  <c r="C7" i="35" s="1"/>
  <c r="C8" i="35" s="1"/>
  <c r="C9" i="35" s="1"/>
  <c r="C10" i="35" s="1"/>
  <c r="C11" i="35" s="1"/>
  <c r="C12" i="35" s="1"/>
  <c r="C13" i="35" s="1"/>
  <c r="C14" i="35" s="1"/>
  <c r="C15" i="35" s="1"/>
  <c r="C16" i="35" s="1"/>
  <c r="C17" i="35" s="1"/>
  <c r="C18" i="35" s="1"/>
  <c r="C19" i="35" s="1"/>
  <c r="C20" i="35" s="1"/>
  <c r="C21" i="35" s="1"/>
  <c r="C22" i="35" s="1"/>
  <c r="C23" i="35" s="1"/>
  <c r="C24" i="35" s="1"/>
  <c r="C25" i="35" s="1"/>
  <c r="C26" i="35" s="1"/>
  <c r="C27" i="35" s="1"/>
  <c r="C28" i="35" s="1"/>
  <c r="C29" i="35" s="1"/>
  <c r="C30" i="35" s="1"/>
  <c r="C31" i="35" s="1"/>
  <c r="C32" i="35" s="1"/>
  <c r="C33" i="35" s="1"/>
  <c r="C34" i="35" s="1"/>
  <c r="C35" i="35" s="1"/>
  <c r="C36" i="35" s="1"/>
  <c r="C37" i="35" s="1"/>
  <c r="C38" i="35" s="1"/>
  <c r="C39" i="35" s="1"/>
  <c r="C40" i="35" s="1"/>
  <c r="C41" i="35" s="1"/>
  <c r="C42" i="35" s="1"/>
  <c r="C43" i="35" s="1"/>
  <c r="C44" i="35" s="1"/>
  <c r="C45" i="35" s="1"/>
  <c r="C46" i="35" s="1"/>
  <c r="C47" i="35" s="1"/>
  <c r="C48" i="35" s="1"/>
  <c r="D16" i="35" l="1"/>
  <c r="E16" i="35" s="1"/>
  <c r="D35" i="35"/>
  <c r="E35" i="35" s="1"/>
  <c r="D6" i="35"/>
  <c r="E6" i="35" s="1"/>
  <c r="D43" i="35"/>
  <c r="E43" i="35" s="1"/>
  <c r="D7" i="35"/>
  <c r="E7" i="35" s="1"/>
  <c r="D20" i="35"/>
  <c r="E20" i="35" s="1"/>
  <c r="D30" i="35"/>
  <c r="E30" i="35" s="1"/>
  <c r="D34" i="35"/>
  <c r="E34" i="35" s="1"/>
  <c r="D13" i="35"/>
  <c r="E13" i="35" s="1"/>
  <c r="D8" i="35"/>
  <c r="E8" i="35" s="1"/>
  <c r="D25" i="35"/>
  <c r="E25" i="35" s="1"/>
  <c r="D24" i="35"/>
  <c r="E24" i="35" s="1"/>
  <c r="D11" i="35"/>
  <c r="E11" i="35" s="1"/>
  <c r="D23" i="35"/>
  <c r="E23" i="35" s="1"/>
  <c r="D31" i="35"/>
  <c r="E31" i="35" s="1"/>
  <c r="D38" i="35"/>
  <c r="E38" i="35" s="1"/>
  <c r="D17" i="35"/>
  <c r="E17" i="35" s="1"/>
  <c r="D32" i="35"/>
  <c r="E32" i="35" s="1"/>
  <c r="D29" i="35"/>
  <c r="E29" i="35" s="1"/>
  <c r="D19" i="35"/>
  <c r="E19" i="35" s="1"/>
  <c r="D37" i="35"/>
  <c r="E37" i="35" s="1"/>
  <c r="D27" i="35"/>
  <c r="E27" i="35" s="1"/>
  <c r="D9" i="35"/>
  <c r="E9" i="35" s="1"/>
  <c r="D33" i="35"/>
  <c r="E33" i="35" s="1"/>
  <c r="D14" i="35"/>
  <c r="E14" i="35" s="1"/>
  <c r="D10" i="35"/>
  <c r="E10" i="35" s="1"/>
  <c r="D18" i="35"/>
  <c r="E18" i="35" s="1"/>
  <c r="D44" i="35"/>
  <c r="E44" i="35" s="1"/>
  <c r="D26" i="35"/>
  <c r="E26" i="35" s="1"/>
  <c r="D47" i="35"/>
  <c r="E47" i="35" s="1"/>
  <c r="D39" i="35"/>
  <c r="E39" i="35" s="1"/>
  <c r="D46" i="35"/>
  <c r="E46" i="35" s="1"/>
  <c r="D48" i="35"/>
  <c r="E48" i="35" s="1"/>
  <c r="D40" i="35"/>
  <c r="E40" i="35" s="1"/>
  <c r="D12" i="35"/>
  <c r="E12" i="35" s="1"/>
  <c r="D36" i="35"/>
  <c r="E36" i="35" s="1"/>
  <c r="D28" i="35"/>
  <c r="E28" i="35" s="1"/>
  <c r="D15" i="35"/>
  <c r="E15" i="35" s="1"/>
  <c r="D41" i="35"/>
  <c r="E41" i="35" s="1"/>
  <c r="D22" i="35"/>
  <c r="E22" i="35" s="1"/>
  <c r="D21" i="35"/>
  <c r="E21" i="35" s="1"/>
  <c r="D42" i="35"/>
  <c r="E42" i="35" s="1"/>
  <c r="D5" i="35"/>
  <c r="E5" i="35" s="1"/>
  <c r="F5" i="35" s="1"/>
  <c r="D45" i="35"/>
  <c r="E45" i="35" s="1"/>
  <c r="F6" i="35" l="1"/>
  <c r="F7" i="35" s="1"/>
  <c r="F8" i="35" s="1"/>
  <c r="F9" i="35" s="1"/>
  <c r="F10" i="35" s="1"/>
  <c r="F11" i="35" s="1"/>
  <c r="F12" i="35" s="1"/>
  <c r="F13" i="35" s="1"/>
  <c r="F14" i="35" s="1"/>
  <c r="F15" i="35" s="1"/>
  <c r="F16" i="35" s="1"/>
  <c r="F17" i="35" s="1"/>
  <c r="F18" i="35" s="1"/>
  <c r="F19" i="35" s="1"/>
  <c r="F20" i="35" s="1"/>
  <c r="F49" i="35" l="1"/>
  <c r="F21" i="35"/>
  <c r="F22" i="35" s="1"/>
  <c r="F23" i="35" s="1"/>
  <c r="F24" i="35" s="1"/>
  <c r="F25" i="35" s="1"/>
  <c r="F26" i="35" s="1"/>
  <c r="F27" i="35" s="1"/>
  <c r="F28" i="35" s="1"/>
  <c r="F29" i="35" s="1"/>
  <c r="F30" i="35" s="1"/>
  <c r="F31" i="35" s="1"/>
  <c r="F32" i="35" s="1"/>
  <c r="F33" i="35" s="1"/>
  <c r="F34" i="35" s="1"/>
  <c r="F50" i="35" l="1"/>
  <c r="F35" i="35"/>
  <c r="F36" i="35" s="1"/>
  <c r="F37" i="35" s="1"/>
  <c r="F38" i="35" s="1"/>
  <c r="F39" i="35" s="1"/>
  <c r="F40" i="35" s="1"/>
  <c r="F41" i="35" s="1"/>
  <c r="F42" i="35" s="1"/>
  <c r="F43" i="35" s="1"/>
  <c r="F44" i="35" s="1"/>
  <c r="F45" i="35" s="1"/>
  <c r="F46" i="35" s="1"/>
  <c r="F47" i="35" s="1"/>
  <c r="F48" i="35" s="1"/>
  <c r="F51" i="35" s="1"/>
  <c r="H29" i="5" s="1"/>
  <c r="H31" i="5" s="1"/>
  <c r="H32" i="5" s="1"/>
  <c r="I29" i="5" l="1"/>
  <c r="G29" i="5"/>
  <c r="G31" i="5" s="1"/>
  <c r="J29" i="5"/>
  <c r="J31" i="5" s="1"/>
  <c r="J32" i="5" s="1"/>
  <c r="F29" i="5" l="1"/>
  <c r="F31" i="5" s="1"/>
  <c r="F32" i="5" s="1"/>
  <c r="D29" i="5"/>
  <c r="G8" i="24" s="1"/>
  <c r="I31" i="5"/>
  <c r="I32" i="5" s="1"/>
  <c r="G32" i="5"/>
  <c r="D31" i="5" l="1"/>
  <c r="D32" i="5" s="1"/>
  <c r="H11" i="4" s="1"/>
  <c r="F20" i="23"/>
  <c r="E20" i="23" s="1"/>
  <c r="E22" i="23" s="1"/>
  <c r="F22" i="23" l="1"/>
  <c r="K23" i="23" s="1"/>
  <c r="G20" i="23"/>
  <c r="G22" i="23" s="1"/>
  <c r="K24" i="23" s="1"/>
  <c r="E27" i="23"/>
  <c r="K22" i="23"/>
  <c r="K28" i="23" l="1"/>
  <c r="F25" i="23"/>
  <c r="C24" i="23" s="1"/>
  <c r="K31" i="23"/>
  <c r="G27" i="23"/>
  <c r="K25" i="23"/>
  <c r="K26" i="23" s="1"/>
  <c r="K29" i="23" l="1"/>
  <c r="F26" i="23"/>
  <c r="F27" i="23" s="1"/>
  <c r="E29" i="23" s="1"/>
  <c r="G29"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Steven Holmes</author>
  </authors>
  <commentList>
    <comment ref="B12" authorId="0" shapeId="0" xr:uid="{00000000-0006-0000-0100-000001000000}">
      <text>
        <r>
          <rPr>
            <b/>
            <sz val="9"/>
            <color indexed="81"/>
            <rFont val="Tahoma"/>
            <family val="2"/>
          </rPr>
          <t>PMCoE:</t>
        </r>
        <r>
          <rPr>
            <sz val="9"/>
            <color indexed="81"/>
            <rFont val="Tahoma"/>
            <family val="2"/>
          </rPr>
          <t xml:space="preserve">
The </t>
        </r>
        <r>
          <rPr>
            <b/>
            <sz val="9"/>
            <color indexed="81"/>
            <rFont val="Tahoma"/>
            <family val="2"/>
          </rPr>
          <t>maximum</t>
        </r>
        <r>
          <rPr>
            <sz val="9"/>
            <color indexed="81"/>
            <rFont val="Tahoma"/>
            <family val="2"/>
          </rPr>
          <t xml:space="preserve"> allowable value in the -% Informed Range Column is 0%</t>
        </r>
      </text>
    </comment>
    <comment ref="C12" authorId="0" shapeId="0" xr:uid="{00000000-0006-0000-0100-000002000000}">
      <text>
        <r>
          <rPr>
            <b/>
            <sz val="9"/>
            <color indexed="81"/>
            <rFont val="Tahoma"/>
            <family val="2"/>
          </rPr>
          <t>PMCoE:</t>
        </r>
        <r>
          <rPr>
            <sz val="9"/>
            <color indexed="81"/>
            <rFont val="Tahoma"/>
            <family val="2"/>
          </rPr>
          <t xml:space="preserve">
The </t>
        </r>
        <r>
          <rPr>
            <b/>
            <sz val="9"/>
            <color indexed="81"/>
            <rFont val="Tahoma"/>
            <family val="2"/>
          </rPr>
          <t>minimum</t>
        </r>
        <r>
          <rPr>
            <sz val="9"/>
            <color indexed="81"/>
            <rFont val="Tahoma"/>
            <family val="2"/>
          </rPr>
          <t xml:space="preserve"> allowable value in the +% Informed Range Column is 0%</t>
        </r>
      </text>
    </comment>
    <comment ref="A13" authorId="0" shapeId="0" xr:uid="{00000000-0006-0000-0100-000003000000}">
      <text>
        <r>
          <rPr>
            <b/>
            <sz val="9"/>
            <color indexed="81"/>
            <rFont val="Tahoma"/>
            <family val="2"/>
          </rPr>
          <t>PMCoE:</t>
        </r>
        <r>
          <rPr>
            <sz val="9"/>
            <color indexed="81"/>
            <rFont val="Tahoma"/>
            <family val="2"/>
          </rPr>
          <t xml:space="preserve">
Note that any items highlighted red require correction.</t>
        </r>
      </text>
    </comment>
    <comment ref="A14" authorId="0" shapeId="0" xr:uid="{00000000-0006-0000-0100-000004000000}">
      <text>
        <r>
          <rPr>
            <b/>
            <sz val="9"/>
            <color indexed="81"/>
            <rFont val="Tahoma"/>
            <family val="2"/>
          </rPr>
          <t>PMCoE:</t>
        </r>
        <r>
          <rPr>
            <sz val="9"/>
            <color indexed="81"/>
            <rFont val="Tahoma"/>
            <family val="2"/>
          </rPr>
          <t xml:space="preserve">
Note that any items highlighted red require correction.</t>
        </r>
      </text>
    </comment>
    <comment ref="A15" authorId="0" shapeId="0" xr:uid="{10225B12-EC14-44A7-A2A1-6821CF2DE69C}">
      <text>
        <r>
          <rPr>
            <b/>
            <sz val="9"/>
            <color indexed="81"/>
            <rFont val="Tahoma"/>
            <family val="2"/>
          </rPr>
          <t>PMCoE:</t>
        </r>
        <r>
          <rPr>
            <sz val="9"/>
            <color indexed="81"/>
            <rFont val="Tahoma"/>
            <family val="2"/>
          </rPr>
          <t xml:space="preserve">
Note that any items highlighted red require correction.</t>
        </r>
      </text>
    </comment>
    <comment ref="A16" authorId="0" shapeId="0" xr:uid="{76B683A7-9C0A-4ECF-804B-49D3DF04CFBC}">
      <text>
        <r>
          <rPr>
            <b/>
            <sz val="9"/>
            <color indexed="81"/>
            <rFont val="Tahoma"/>
            <family val="2"/>
          </rPr>
          <t>PMCoE:</t>
        </r>
        <r>
          <rPr>
            <sz val="9"/>
            <color indexed="81"/>
            <rFont val="Tahoma"/>
            <family val="2"/>
          </rPr>
          <t xml:space="preserve">
Note that any items highlighted red require correction.</t>
        </r>
      </text>
    </comment>
    <comment ref="A17" authorId="0" shapeId="0" xr:uid="{D4AD576D-E96D-45D4-8C40-39F1B13CB1F7}">
      <text>
        <r>
          <rPr>
            <b/>
            <sz val="9"/>
            <color indexed="81"/>
            <rFont val="Tahoma"/>
            <family val="2"/>
          </rPr>
          <t>PMCoE:</t>
        </r>
        <r>
          <rPr>
            <sz val="9"/>
            <color indexed="81"/>
            <rFont val="Tahoma"/>
            <family val="2"/>
          </rPr>
          <t xml:space="preserve">
Note that any items highlighted red require correction.</t>
        </r>
      </text>
    </comment>
    <comment ref="A18" authorId="0" shapeId="0" xr:uid="{00000000-0006-0000-0100-000005000000}">
      <text>
        <r>
          <rPr>
            <b/>
            <sz val="9"/>
            <color indexed="81"/>
            <rFont val="Tahoma"/>
            <family val="2"/>
          </rPr>
          <t>PMCoE:</t>
        </r>
        <r>
          <rPr>
            <sz val="9"/>
            <color indexed="81"/>
            <rFont val="Tahoma"/>
            <family val="2"/>
          </rPr>
          <t xml:space="preserve">
Note that any items highlighted red require correction.</t>
        </r>
      </text>
    </comment>
    <comment ref="A19" authorId="0" shapeId="0" xr:uid="{00000000-0006-0000-0100-000006000000}">
      <text>
        <r>
          <rPr>
            <b/>
            <sz val="9"/>
            <color indexed="81"/>
            <rFont val="Tahoma"/>
            <family val="2"/>
          </rPr>
          <t>PMCoE:</t>
        </r>
        <r>
          <rPr>
            <sz val="9"/>
            <color indexed="81"/>
            <rFont val="Tahoma"/>
            <family val="2"/>
          </rPr>
          <t xml:space="preserve">
Note that any items highlighted red require correction.</t>
        </r>
      </text>
    </comment>
    <comment ref="A20" authorId="0" shapeId="0" xr:uid="{00000000-0006-0000-0100-000007000000}">
      <text>
        <r>
          <rPr>
            <b/>
            <sz val="9"/>
            <color indexed="81"/>
            <rFont val="Tahoma"/>
            <family val="2"/>
          </rPr>
          <t>PMCoE:</t>
        </r>
        <r>
          <rPr>
            <sz val="9"/>
            <color indexed="81"/>
            <rFont val="Tahoma"/>
            <family val="2"/>
          </rPr>
          <t xml:space="preserve">
Note that any items highlighted red require correction.</t>
        </r>
      </text>
    </comment>
    <comment ref="A21" authorId="0" shapeId="0" xr:uid="{00000000-0006-0000-0100-00000E000000}">
      <text>
        <r>
          <rPr>
            <b/>
            <sz val="9"/>
            <color indexed="81"/>
            <rFont val="Tahoma"/>
            <family val="2"/>
          </rPr>
          <t>PMCoE:</t>
        </r>
        <r>
          <rPr>
            <sz val="9"/>
            <color indexed="81"/>
            <rFont val="Tahoma"/>
            <family val="2"/>
          </rPr>
          <t xml:space="preserve">
Note that any items highlighted red require correction.</t>
        </r>
      </text>
    </comment>
    <comment ref="F25" authorId="0" shapeId="0" xr:uid="{00000000-0006-0000-0100-00000F000000}">
      <text>
        <r>
          <rPr>
            <b/>
            <sz val="9"/>
            <color indexed="81"/>
            <rFont val="Tahoma"/>
            <family val="2"/>
          </rPr>
          <t>PMCoE:</t>
        </r>
        <r>
          <rPr>
            <sz val="9"/>
            <color indexed="81"/>
            <rFont val="Tahoma"/>
            <family val="2"/>
          </rPr>
          <t xml:space="preserve">
ML is subtracted from the PERT formula to show only the Estimate Uncertainty value.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Johnson, Kevin S</author>
  </authors>
  <commentList>
    <comment ref="C30" authorId="0" shapeId="0" xr:uid="{E1DF8100-9A44-4CC5-8E49-8B2769691318}">
      <text>
        <r>
          <rPr>
            <b/>
            <sz val="9"/>
            <color indexed="81"/>
            <rFont val="Tahoma"/>
            <family val="2"/>
          </rPr>
          <t>Johnson, Kevin S:</t>
        </r>
        <r>
          <rPr>
            <sz val="9"/>
            <color indexed="81"/>
            <rFont val="Tahoma"/>
            <family val="2"/>
          </rPr>
          <t xml:space="preserve">
The intent is to recognize that a significant portion of the line is in a residential area
</t>
        </r>
      </text>
    </comment>
    <comment ref="C33" authorId="0" shapeId="0" xr:uid="{F65C3F62-46EC-49EE-B5BF-F662DE63F3B8}">
      <text>
        <r>
          <rPr>
            <b/>
            <sz val="9"/>
            <color indexed="81"/>
            <rFont val="Tahoma"/>
            <family val="2"/>
          </rPr>
          <t>Johnson, Kevin S:</t>
        </r>
        <r>
          <rPr>
            <sz val="9"/>
            <color indexed="81"/>
            <rFont val="Tahoma"/>
            <family val="2"/>
          </rPr>
          <t xml:space="preserve">
High = Full Clearing / Danger Tree Removal
Med = Side Trimming
Low = Bushhogging</t>
        </r>
      </text>
    </comment>
    <comment ref="C34" authorId="0" shapeId="0" xr:uid="{5A6C302B-740C-44B0-BB5A-50C330438817}">
      <text>
        <r>
          <rPr>
            <b/>
            <sz val="9"/>
            <color indexed="81"/>
            <rFont val="Tahoma"/>
            <family val="2"/>
          </rPr>
          <t xml:space="preserve">Johnson, Kevin S:
</t>
        </r>
        <r>
          <rPr>
            <sz val="9"/>
            <color indexed="81"/>
            <rFont val="Tahoma"/>
            <family val="2"/>
          </rPr>
          <t>Consider if the r/w will be returned to the property owner or retained by DE as a response to this question</t>
        </r>
      </text>
    </comment>
    <comment ref="C43" authorId="0" shapeId="0" xr:uid="{9FB37CA1-A7DF-4683-A392-3410E19095EE}">
      <text>
        <r>
          <rPr>
            <b/>
            <sz val="9"/>
            <color indexed="81"/>
            <rFont val="Tahoma"/>
            <family val="2"/>
          </rPr>
          <t>Johnson, Kevin S:</t>
        </r>
        <r>
          <rPr>
            <sz val="9"/>
            <color indexed="81"/>
            <rFont val="Tahoma"/>
            <family val="2"/>
          </rPr>
          <t xml:space="preserve">
Examples would include wetlands, swamps, endangered species, sensitive natural resources, etc.
</t>
        </r>
      </text>
    </comment>
    <comment ref="C44" authorId="0" shapeId="0" xr:uid="{44F54F8F-07BB-44DA-B403-DF1056A5610A}">
      <text>
        <r>
          <rPr>
            <b/>
            <sz val="9"/>
            <color indexed="81"/>
            <rFont val="Tahoma"/>
            <family val="2"/>
          </rPr>
          <t>Johnson, Kevin S:</t>
        </r>
        <r>
          <rPr>
            <sz val="9"/>
            <color indexed="81"/>
            <rFont val="Tahoma"/>
            <family val="2"/>
          </rPr>
          <t xml:space="preserve">
Examples of Sensitive Areas are National Forest, National / State / Local Park, Federal Land, Nature Preserve, etc.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SOA7348</author>
    <author>McGuire, Andrew E</author>
  </authors>
  <commentList>
    <comment ref="A6" authorId="0" shapeId="0" xr:uid="{E26D8DE5-B309-47BA-BD42-F662E7E7270D}">
      <text>
        <r>
          <rPr>
            <i/>
            <sz val="8"/>
            <color indexed="16"/>
            <rFont val="Tahoma"/>
            <family val="2"/>
          </rPr>
          <t>Note: If this project has retirement components, omit all retirement related costs. AFUDC is applied only to capital (not capital retirement) projects.</t>
        </r>
      </text>
    </comment>
    <comment ref="A22" authorId="1" shapeId="0" xr:uid="{17C32BF6-A7AA-4CDC-8C35-09D8F10899FE}">
      <text>
        <r>
          <rPr>
            <sz val="9"/>
            <color indexed="81"/>
            <rFont val="Tahoma"/>
            <family val="2"/>
          </rPr>
          <t>For example, if this template will be used for an Advance, enter the date of the projected Planning Funding.  If filling out template for a Fully Funded or last phase of phased project, leave blank.</t>
        </r>
      </text>
    </comment>
    <comment ref="A23" authorId="1" shapeId="0" xr:uid="{85E2C42E-153A-456E-B50D-7C6B874EA832}">
      <text>
        <r>
          <rPr>
            <sz val="9"/>
            <color indexed="81"/>
            <rFont val="Tahoma"/>
            <family val="2"/>
          </rPr>
          <t xml:space="preserve">A project number should be placed into closure when all of the assets (i.e. units of property) it covers are either “ready for service” or (more commonly) “placed in service”. The fact that a project number will accept charges for several additional months after it is placed into closure is irrelevant. </t>
        </r>
      </text>
    </comment>
    <comment ref="D46" authorId="0" shapeId="0" xr:uid="{4B3509E0-FC58-4745-90DB-93D64661C8F2}">
      <text>
        <r>
          <rPr>
            <sz val="8"/>
            <color indexed="81"/>
            <rFont val="Tahoma"/>
            <family val="2"/>
          </rPr>
          <t>AFUDC compounding changes this month.</t>
        </r>
      </text>
    </comment>
  </commentList>
</comments>
</file>

<file path=xl/sharedStrings.xml><?xml version="1.0" encoding="utf-8"?>
<sst xmlns="http://schemas.openxmlformats.org/spreadsheetml/2006/main" count="2862" uniqueCount="975">
  <si>
    <t>Project Name</t>
  </si>
  <si>
    <t>Class 5</t>
  </si>
  <si>
    <t>Revision:</t>
  </si>
  <si>
    <t>A</t>
  </si>
  <si>
    <t>Yes</t>
  </si>
  <si>
    <t>No</t>
  </si>
  <si>
    <t>Engineering</t>
  </si>
  <si>
    <t xml:space="preserve"> </t>
  </si>
  <si>
    <t>Other</t>
  </si>
  <si>
    <t>Input here will populate each tab with common information so that it does not need to be input on each tab.</t>
  </si>
  <si>
    <t>Master Input Data</t>
  </si>
  <si>
    <t>Description</t>
  </si>
  <si>
    <t>User Input</t>
  </si>
  <si>
    <t>Notes</t>
  </si>
  <si>
    <t>Estimate Revision Number</t>
  </si>
  <si>
    <t>Change number on each draft to be sent out</t>
  </si>
  <si>
    <t>Date:</t>
  </si>
  <si>
    <t>Update with each revision</t>
  </si>
  <si>
    <t>Customer</t>
  </si>
  <si>
    <t>Project manager</t>
  </si>
  <si>
    <t>PM</t>
  </si>
  <si>
    <t>Modeler</t>
  </si>
  <si>
    <t>System Planning</t>
  </si>
  <si>
    <t>Lead Estimator</t>
  </si>
  <si>
    <t>Person who does the estimate</t>
  </si>
  <si>
    <t>Estimate Requested By</t>
  </si>
  <si>
    <t>Rate Requested</t>
  </si>
  <si>
    <t>firm, interruptible, etc.</t>
  </si>
  <si>
    <t>change unit of measure as needed</t>
  </si>
  <si>
    <t>Resource Center</t>
  </si>
  <si>
    <t>Estimate Type</t>
  </si>
  <si>
    <t>Length of Pipeline</t>
  </si>
  <si>
    <t>Add Sales tax ( PNG Materials Only)</t>
  </si>
  <si>
    <t>Input Percentage - Will automatically apply to materials</t>
  </si>
  <si>
    <t>Pipe Size</t>
  </si>
  <si>
    <t>Estimate Steps</t>
  </si>
  <si>
    <t>Input information above - this transfers to headers on individual tabs</t>
  </si>
  <si>
    <t>Write Project description on the Review Format Tab (This can be updated as estimating progresses)</t>
  </si>
  <si>
    <t>Enter Pipe quantities on the Quantities Tab, enter quantities of HDD etc.</t>
  </si>
  <si>
    <t>Delivery Pressure (PSIG)</t>
  </si>
  <si>
    <t>Hourly Flow (MCFH)</t>
  </si>
  <si>
    <t>Notes and Assumptions</t>
  </si>
  <si>
    <t>Estimate Revision:</t>
  </si>
  <si>
    <t>This is to document the changes requested in the estimate from reviews.</t>
  </si>
  <si>
    <t>Revision</t>
  </si>
  <si>
    <t>Piedmont Natural Gas</t>
  </si>
  <si>
    <t>Estimate Change Log</t>
  </si>
  <si>
    <t>Item</t>
  </si>
  <si>
    <t>Date</t>
  </si>
  <si>
    <t>Price Before Change</t>
  </si>
  <si>
    <t>Price After Change</t>
  </si>
  <si>
    <t>Change Amount</t>
  </si>
  <si>
    <t>Estimate Changed By:</t>
  </si>
  <si>
    <t xml:space="preserve">Revision: </t>
  </si>
  <si>
    <t>Change Directed By:</t>
  </si>
  <si>
    <t>Project Cost Breakdown</t>
  </si>
  <si>
    <t xml:space="preserve"> Capital Improvement and Retirement</t>
  </si>
  <si>
    <t>Capital Improvement</t>
  </si>
  <si>
    <t>Retirement</t>
  </si>
  <si>
    <t>WBS 1</t>
  </si>
  <si>
    <t>Total</t>
  </si>
  <si>
    <t>NGENGNC</t>
  </si>
  <si>
    <t>NGLANDC</t>
  </si>
  <si>
    <t>Land - Support</t>
  </si>
  <si>
    <t>Land Legal</t>
  </si>
  <si>
    <t>NGMATEC</t>
  </si>
  <si>
    <t>Materials/Equipment</t>
  </si>
  <si>
    <t>NGCONPC</t>
  </si>
  <si>
    <t>Construction Serv - Pipeline</t>
  </si>
  <si>
    <t>NGCONFC</t>
  </si>
  <si>
    <t>Construction Serv - Facility</t>
  </si>
  <si>
    <t>Field Inspections</t>
  </si>
  <si>
    <t>NGMPGL</t>
  </si>
  <si>
    <t>PNG Labor</t>
  </si>
  <si>
    <t>NGMOTH</t>
  </si>
  <si>
    <t>Other Direct Costs</t>
  </si>
  <si>
    <t>Subtotal Direct Cost</t>
  </si>
  <si>
    <t>Project Contingency</t>
  </si>
  <si>
    <t>Project Escalation</t>
  </si>
  <si>
    <t>Total Contingency &amp; Escalation</t>
  </si>
  <si>
    <t>Total Direct Cost</t>
  </si>
  <si>
    <t>AFUDC Debt</t>
  </si>
  <si>
    <t>NGMOVH</t>
  </si>
  <si>
    <t>Overhead and Allocations</t>
  </si>
  <si>
    <t>Overheads</t>
  </si>
  <si>
    <t>Total PNG Overhead Cost</t>
  </si>
  <si>
    <t>Project Total</t>
  </si>
  <si>
    <t>Notes:</t>
  </si>
  <si>
    <t>1. Contingency is not included on escalation.</t>
  </si>
  <si>
    <t>AFUDC</t>
  </si>
  <si>
    <t>Pipelay 1</t>
  </si>
  <si>
    <t>Pipelay 2</t>
  </si>
  <si>
    <t>Pipelay 3</t>
  </si>
  <si>
    <t>Station 1</t>
  </si>
  <si>
    <t>Revision #</t>
  </si>
  <si>
    <t>Control Code</t>
  </si>
  <si>
    <t>Component Description</t>
  </si>
  <si>
    <t>Units</t>
  </si>
  <si>
    <t>Unit of Measure</t>
  </si>
  <si>
    <t>Unit Cost</t>
  </si>
  <si>
    <t>Totals</t>
  </si>
  <si>
    <t>Instructions</t>
  </si>
  <si>
    <t>Internal Engineering &amp; Construction Management</t>
  </si>
  <si>
    <t>Hour</t>
  </si>
  <si>
    <t>Other Direct Cost</t>
  </si>
  <si>
    <t>Calculated</t>
  </si>
  <si>
    <t>Sub-Total - Internal E&amp;CM</t>
  </si>
  <si>
    <t>External Engineering</t>
  </si>
  <si>
    <t>Design - Pipeline</t>
  </si>
  <si>
    <t>Design - Facility</t>
  </si>
  <si>
    <t>MAOP</t>
  </si>
  <si>
    <t>Sub-Total -  External Engineering</t>
  </si>
  <si>
    <t>Land Services</t>
  </si>
  <si>
    <t>Acre</t>
  </si>
  <si>
    <t>Per Parcel</t>
  </si>
  <si>
    <t>Contract Labor - Legal</t>
  </si>
  <si>
    <t>Sub-Total - Land Services</t>
  </si>
  <si>
    <t>Construction Services - Pipeline</t>
  </si>
  <si>
    <t>Overall LF of Pipe installed</t>
  </si>
  <si>
    <t>Lump Sum</t>
  </si>
  <si>
    <t>Mob/Demob</t>
  </si>
  <si>
    <t>Use 5% to 10% for the construction services cost listed below. The larger the project, the lower the %; Always leave quantity as 1</t>
  </si>
  <si>
    <t>Safety Fence</t>
  </si>
  <si>
    <t>LF</t>
  </si>
  <si>
    <t>SF</t>
  </si>
  <si>
    <t>Linear Foot</t>
  </si>
  <si>
    <t>Conventional Bore - Dirt</t>
  </si>
  <si>
    <t>Conventional Bore - Rock</t>
  </si>
  <si>
    <t>Directional Drill – Dirt</t>
  </si>
  <si>
    <t>Directional Drill – Rock</t>
  </si>
  <si>
    <t>Conventional Upland Lay</t>
  </si>
  <si>
    <t>Conventional Wetland Lay</t>
  </si>
  <si>
    <t>Civil or General Conditions</t>
  </si>
  <si>
    <t>Commissioning</t>
  </si>
  <si>
    <t>HDD Mudd Disposal</t>
  </si>
  <si>
    <t>Contractor Tap Support</t>
  </si>
  <si>
    <t>Days</t>
  </si>
  <si>
    <t>TDW Tap</t>
  </si>
  <si>
    <t>Each</t>
  </si>
  <si>
    <t>Field Inspection &amp; Testing</t>
  </si>
  <si>
    <t>Construction Inspection</t>
  </si>
  <si>
    <t>Man-Days</t>
  </si>
  <si>
    <t>Non-Destructive Testing</t>
  </si>
  <si>
    <t>Sub-Total - Field Inspection &amp; Testing</t>
  </si>
  <si>
    <t>Major Equipment &amp; Materials</t>
  </si>
  <si>
    <t>Pipe</t>
  </si>
  <si>
    <t>XX" Standard Wall, X52, Powercrete</t>
  </si>
  <si>
    <t>Fittings</t>
  </si>
  <si>
    <t>Cathodic Protection Supplies</t>
  </si>
  <si>
    <t>Misc. Materials (10% of Total Major)</t>
  </si>
  <si>
    <t xml:space="preserve">Sub-Total - Materials </t>
  </si>
  <si>
    <t xml:space="preserve">Sub-Total </t>
  </si>
  <si>
    <t>Contingency</t>
  </si>
  <si>
    <t>Escalation</t>
  </si>
  <si>
    <t>Pipeline Estimate Total</t>
  </si>
  <si>
    <t>Cost per foot</t>
  </si>
  <si>
    <t>Cost per mile</t>
  </si>
  <si>
    <t xml:space="preserve">  Yellow tab w/ red font is a calculated value. No input required.</t>
  </si>
  <si>
    <t>Miscellaneous</t>
  </si>
  <si>
    <t>Year at</t>
  </si>
  <si>
    <t>Size / Name</t>
  </si>
  <si>
    <t>Length / Qty</t>
  </si>
  <si>
    <t>STATION</t>
  </si>
  <si>
    <t>Building Erection</t>
  </si>
  <si>
    <t>Civil and General Conditions</t>
  </si>
  <si>
    <t>Hydro Test</t>
  </si>
  <si>
    <t>DATA line for SCADA</t>
  </si>
  <si>
    <t>Cubic Yard</t>
  </si>
  <si>
    <t>XX" Standard Wall, X52, Bare</t>
  </si>
  <si>
    <t>Major Equipment</t>
  </si>
  <si>
    <t>Meter</t>
  </si>
  <si>
    <t>RTU</t>
  </si>
  <si>
    <t>Overall LF of Pipe to be Abandoned</t>
  </si>
  <si>
    <t>Demo Equipment</t>
  </si>
  <si>
    <t>Tar Coated Steel Remediation &amp; Removal</t>
  </si>
  <si>
    <t>Purge Materials</t>
  </si>
  <si>
    <t>Stopple</t>
  </si>
  <si>
    <t>Sub-totals</t>
  </si>
  <si>
    <t>Funding Breakdown</t>
  </si>
  <si>
    <t>Budget</t>
  </si>
  <si>
    <t>Contract Labor</t>
  </si>
  <si>
    <t>Material Purchased by PNG</t>
  </si>
  <si>
    <t>Land (Permanent Only)</t>
  </si>
  <si>
    <t>Sub-Total</t>
  </si>
  <si>
    <t>Start Date</t>
  </si>
  <si>
    <t>In-Service Date</t>
  </si>
  <si>
    <t>Completion Date</t>
  </si>
  <si>
    <t>Major Equipment and Testing</t>
  </si>
  <si>
    <t>Internal Engineering and Construction Management</t>
  </si>
  <si>
    <t>Permanent Land purchases only</t>
  </si>
  <si>
    <t>Land Rights (temporary land, land services, etc), Other Direct Costs - travel, meals, hotel, misc expenses</t>
  </si>
  <si>
    <t>By Finance</t>
  </si>
  <si>
    <t>By Project Manager</t>
  </si>
  <si>
    <t>From Project Charter or Project Mgr.</t>
  </si>
  <si>
    <t>From Estimating</t>
  </si>
  <si>
    <t>MLV Installation</t>
  </si>
  <si>
    <t>Equipment</t>
  </si>
  <si>
    <t>XX" L/R Module</t>
  </si>
  <si>
    <t>XX" MLV Module</t>
  </si>
  <si>
    <t>Escalation (in Years)</t>
  </si>
  <si>
    <t>Escalation Rate (%)</t>
  </si>
  <si>
    <t>Contingency %</t>
  </si>
  <si>
    <t>Contingency (%)</t>
  </si>
  <si>
    <t>External Engineering, Construction Services, Field Inspection &amp; Testing, Escalation</t>
  </si>
  <si>
    <t>NGFITSC</t>
  </si>
  <si>
    <t>*ENSURE DISTRIBUTION COSTS HAVE BEEN REMOVED FROM ABOVE</t>
  </si>
  <si>
    <t>*Per costs that Robin provided.</t>
  </si>
  <si>
    <t>Launcher/Receiver Removal</t>
  </si>
  <si>
    <t>Haul Materials</t>
  </si>
  <si>
    <t>Line Locating</t>
  </si>
  <si>
    <t>Week</t>
  </si>
  <si>
    <t>Nitrogen Clearing</t>
  </si>
  <si>
    <t>Rate of Escalation (use '0' only for commit and build gates)</t>
  </si>
  <si>
    <t>Clearing and Grubbing</t>
  </si>
  <si>
    <t>Tree Cutting Only/No Grubbing</t>
  </si>
  <si>
    <t>Rock Excavation – Blasting</t>
  </si>
  <si>
    <t>Rock Excavation – Mechanical</t>
  </si>
  <si>
    <t>Extra Depth Ditch</t>
  </si>
  <si>
    <t>Padding – Job Site</t>
  </si>
  <si>
    <t>Padding - Haul</t>
  </si>
  <si>
    <t>Rock Shield</t>
  </si>
  <si>
    <t>Saddle Bag Weight</t>
  </si>
  <si>
    <t>River Weight</t>
  </si>
  <si>
    <t>Concrete Coating</t>
  </si>
  <si>
    <t>Anode Bed</t>
  </si>
  <si>
    <t>acre</t>
  </si>
  <si>
    <t>Silt Fence (metal post &amp; wire backing)</t>
  </si>
  <si>
    <t>Curlex Blanket with Staples (4 x 100)</t>
  </si>
  <si>
    <t>Rip Rap Placement</t>
  </si>
  <si>
    <t>Gravel Placement</t>
  </si>
  <si>
    <t>Geo Textile Fabric</t>
  </si>
  <si>
    <t>Trench Breaker (Plug)</t>
  </si>
  <si>
    <t>Bentonite Trench Seals in Wetlands</t>
  </si>
  <si>
    <t>Permanent Seeding (seed straw, and tack)</t>
  </si>
  <si>
    <t>Intermediate Seeding (seed straw, and tack)</t>
  </si>
  <si>
    <t>Dry Crossing (Flume or Dam/Pump Method)</t>
  </si>
  <si>
    <t>Square Yard</t>
  </si>
  <si>
    <t>Ton</t>
  </si>
  <si>
    <t>linear ft</t>
  </si>
  <si>
    <t>Well Points</t>
  </si>
  <si>
    <t>Air Bridges</t>
  </si>
  <si>
    <t>Chain Link Fence &amp; Gates – New</t>
  </si>
  <si>
    <t>Chain Link Fence &amp; Gates - Repair</t>
  </si>
  <si>
    <t>Temporary Pasture Fencing</t>
  </si>
  <si>
    <t>Permanent Access Roads</t>
  </si>
  <si>
    <t>Temporary Access Roads</t>
  </si>
  <si>
    <t>Asphalt Removal/Restoration</t>
  </si>
  <si>
    <t>Square Foot</t>
  </si>
  <si>
    <t>L/R Installation</t>
  </si>
  <si>
    <t>Staging &amp; Laydown Yard</t>
  </si>
  <si>
    <t>*10% of parcels are assumed to go to condemnation</t>
  </si>
  <si>
    <t>Fabrication</t>
  </si>
  <si>
    <t>Installation</t>
  </si>
  <si>
    <t>HDD Mudd Engineer</t>
  </si>
  <si>
    <t>Install &amp; Remove Flare + Mob/Demob</t>
  </si>
  <si>
    <t>Small Station Removal</t>
  </si>
  <si>
    <t>Medium Station Removal</t>
  </si>
  <si>
    <t>Large Station Removal</t>
  </si>
  <si>
    <t>*This is an adder to the conventional uplay cost and qty does not count toward overall pipe installed</t>
  </si>
  <si>
    <t>Construction Services - Facility</t>
  </si>
  <si>
    <t>Class 1</t>
  </si>
  <si>
    <t>Detailed Unit Cost with Detailed Take-Off.</t>
  </si>
  <si>
    <t>Class 2</t>
  </si>
  <si>
    <t>Class 3</t>
  </si>
  <si>
    <t>Semi-Detailed Unit Costs with Assembly Level Line Items.</t>
  </si>
  <si>
    <t>Class 4</t>
  </si>
  <si>
    <t>Equipment Factored. Parametric Models.</t>
  </si>
  <si>
    <t>Capacity Factored. Parametric Models. Judgement, or Analogy</t>
  </si>
  <si>
    <t>High Range</t>
  </si>
  <si>
    <t>Low Range</t>
  </si>
  <si>
    <t>Typical Methodology</t>
  </si>
  <si>
    <t>Class</t>
  </si>
  <si>
    <t>AACEI Estimate Class Reference:</t>
  </si>
  <si>
    <t>* P10 and P90 are representitive values, but not statistically proven by this methodology.  These values do not include any Risk EMV and are shown to allow the project to assess if their Project Informed Range is aligned with the AACEI Class of Estimate expectations.</t>
  </si>
  <si>
    <t>P90</t>
  </si>
  <si>
    <t>P50</t>
  </si>
  <si>
    <t>P10</t>
  </si>
  <si>
    <t>Certainty*</t>
  </si>
  <si>
    <t>EU</t>
  </si>
  <si>
    <t>Project Informed Range</t>
  </si>
  <si>
    <t>ML</t>
  </si>
  <si>
    <t>Worst Case</t>
  </si>
  <si>
    <t>Expected Case</t>
  </si>
  <si>
    <t>Best Case</t>
  </si>
  <si>
    <t>Divided by 6</t>
  </si>
  <si>
    <t>C. Contingency (A+B)</t>
  </si>
  <si>
    <t>B. Estimate Uncertainty PERT ((O+P+(ML*4))/6)-ML</t>
  </si>
  <si>
    <t>P</t>
  </si>
  <si>
    <t>A. Cummulative Risk EMV</t>
  </si>
  <si>
    <t>ML*4</t>
  </si>
  <si>
    <t>O</t>
  </si>
  <si>
    <t>Sub Total</t>
  </si>
  <si>
    <t>Cost Description</t>
  </si>
  <si>
    <t>+ %</t>
  </si>
  <si>
    <t>- %</t>
  </si>
  <si>
    <t>Worst Case (Pessimistic: P)</t>
  </si>
  <si>
    <t>Estimate Value (Most Likely: ML)</t>
  </si>
  <si>
    <t>Best Case (Optimistic: O)</t>
  </si>
  <si>
    <t>Informed Range</t>
  </si>
  <si>
    <t>PMCoE Estimate Uncertainty Tool</t>
  </si>
  <si>
    <t>Build</t>
  </si>
  <si>
    <t>Minimum Class:</t>
  </si>
  <si>
    <t>Initiate</t>
  </si>
  <si>
    <t>Next Stage Gate:</t>
  </si>
  <si>
    <t>Commit</t>
  </si>
  <si>
    <t>Project Name:</t>
  </si>
  <si>
    <t>Identify</t>
  </si>
  <si>
    <t>Cell requires user entry</t>
  </si>
  <si>
    <t xml:space="preserve">Estimate Uncertainty
</t>
  </si>
  <si>
    <r>
      <rPr>
        <sz val="12"/>
        <color theme="0"/>
        <rFont val="Calibri"/>
        <family val="2"/>
        <scheme val="minor"/>
      </rPr>
      <t>PM</t>
    </r>
    <r>
      <rPr>
        <b/>
        <i/>
        <sz val="12"/>
        <color theme="0"/>
        <rFont val="Calibri"/>
        <family val="2"/>
        <scheme val="minor"/>
      </rPr>
      <t xml:space="preserve">CoE </t>
    </r>
    <r>
      <rPr>
        <sz val="12"/>
        <color theme="0"/>
        <rFont val="Calibri"/>
        <family val="2"/>
        <scheme val="minor"/>
      </rPr>
      <t xml:space="preserve"> </t>
    </r>
  </si>
  <si>
    <t>Land</t>
  </si>
  <si>
    <t>Construction Services</t>
  </si>
  <si>
    <t>Field Inspections &amp; Testing</t>
  </si>
  <si>
    <t>Overhead &amp; Allocations</t>
  </si>
  <si>
    <t>Total Project Schedule</t>
  </si>
  <si>
    <t>Engineering Project Schedule</t>
  </si>
  <si>
    <t>Construction Project Schedule</t>
  </si>
  <si>
    <t>*For Charters, if the in-service date does not match this date then we need to let Renee's group know</t>
  </si>
  <si>
    <t>*This will auto-populate when total project schedule is completed</t>
  </si>
  <si>
    <t>*Either start date from Ecosys or leave as 1/1/2022 for 2022 charters</t>
  </si>
  <si>
    <t>Month</t>
  </si>
  <si>
    <t>Transmission - Access Roads</t>
  </si>
  <si>
    <t>Transmission - Laydown Yard</t>
  </si>
  <si>
    <t xml:space="preserve">Enter the overall pipe line footage. </t>
  </si>
  <si>
    <t>*For Charters, use a 5% routing factor if proposed route appears to be thought out &amp; follows property boundaries. Use 14% if straight line/does not follow property boundaries.</t>
  </si>
  <si>
    <t>*Only use for wooded/forested area where trees are over 10' high</t>
  </si>
  <si>
    <t>*Only use for wooded or brush areas where trees are under 10'. Not needed for fields or already cleared land.</t>
  </si>
  <si>
    <t>Object Path ID</t>
  </si>
  <si>
    <t>Resource Type Path ID</t>
  </si>
  <si>
    <t>End Date</t>
  </si>
  <si>
    <t>Curve ID</t>
  </si>
  <si>
    <t>Cost</t>
  </si>
  <si>
    <t>Currency</t>
  </si>
  <si>
    <t>Transaction Date</t>
  </si>
  <si>
    <t>External Key</t>
  </si>
  <si>
    <t>*From Ecosys for Charters **IF HIGHLIGHTED RED THEN NOT FEASIBLE, CONTACT CHARTER GROUP**</t>
  </si>
  <si>
    <t>*One MLV is required per 8 miles (in congested Urban areas this will be 1 MLV every 5 miles)</t>
  </si>
  <si>
    <t>Per HDD</t>
  </si>
  <si>
    <t>*Note that this cost is per HDD. Long Rock Drills could increase this cost.</t>
  </si>
  <si>
    <t>*$1,100 for 1st Pipeline, $500 for each additional</t>
  </si>
  <si>
    <t>*$850 for 1st Station, $400 for each additional</t>
  </si>
  <si>
    <t>Ecosys Oppurtunity Number</t>
  </si>
  <si>
    <t>OPP-000XXX</t>
  </si>
  <si>
    <t>Need to complete from Ecosys for Charter estimates.</t>
  </si>
  <si>
    <t>.CP1.</t>
  </si>
  <si>
    <t>NGCONT</t>
  </si>
  <si>
    <t>NGMAFD</t>
  </si>
  <si>
    <t>Ecosys In-Service Date</t>
  </si>
  <si>
    <t>*Zero out if no laydown yard is required</t>
  </si>
  <si>
    <t>Months</t>
  </si>
  <si>
    <t>Transmission - Fee Purchase - Rural</t>
  </si>
  <si>
    <t>Transmission - Fee Purchase - Urban</t>
  </si>
  <si>
    <t>Transmission - Permanent Easements - Rural</t>
  </si>
  <si>
    <t>Transmission - Stations Easements - Rural</t>
  </si>
  <si>
    <t>Transmission - Temp Work Space - Rural</t>
  </si>
  <si>
    <t>Transmission - Permanent Easements - Urban</t>
  </si>
  <si>
    <t>Transmission - Stations Easements - Urban</t>
  </si>
  <si>
    <t>Transmission - Temp Work Space - Urban</t>
  </si>
  <si>
    <t>Land - Permanent</t>
  </si>
  <si>
    <t>Land - Temporary</t>
  </si>
  <si>
    <t>Transmission - Damages</t>
  </si>
  <si>
    <t>*Crop or Timber Damages</t>
  </si>
  <si>
    <t>*Urban Land is considered within city limits</t>
  </si>
  <si>
    <t>Taxes &amp; Freight (9% of All Material)</t>
  </si>
  <si>
    <t>Transmission - Temporary Easements - Rural</t>
  </si>
  <si>
    <t>Transmission - Temporary Easements - Urban</t>
  </si>
  <si>
    <t>Contract Labor - Land Services</t>
  </si>
  <si>
    <t>G-661</t>
  </si>
  <si>
    <t>G-662</t>
  </si>
  <si>
    <t>G-663</t>
  </si>
  <si>
    <t>G-662 PA/G-663 TA</t>
  </si>
  <si>
    <t>G-656</t>
  </si>
  <si>
    <t>G-301</t>
  </si>
  <si>
    <t>*Use based on % of assumed Rock Excavation</t>
  </si>
  <si>
    <t>*Use based on % of assumed Rock Excavation and when running next to existing line (or crossing)</t>
  </si>
  <si>
    <t>*Per Station Site (MLV/Pig Trap)</t>
  </si>
  <si>
    <t>*Need along banks, hillsides, steep grades</t>
  </si>
  <si>
    <t>*1 per section of wetlands 1/2 mile or greater</t>
  </si>
  <si>
    <t>Day</t>
  </si>
  <si>
    <t>TDW - Hot Tap</t>
  </si>
  <si>
    <t>TDW - Tap &amp; Stop</t>
  </si>
  <si>
    <t>TDW - Bypass</t>
  </si>
  <si>
    <t>Trench Boxes</t>
  </si>
  <si>
    <t>Road Plates (10' Long)</t>
  </si>
  <si>
    <t>*Need near congested/roadside installs &amp; narrow ROWs (1 Day per every 40' of install)</t>
  </si>
  <si>
    <t>Railway Crossings</t>
  </si>
  <si>
    <t>SCADA for MLV Sites</t>
  </si>
  <si>
    <t>Electrical/Controls for MLV Sites</t>
  </si>
  <si>
    <t>*1 per Station is Coastal Area, Floodplain, or Wetlands</t>
  </si>
  <si>
    <t>*Only need if water source is not coming from a municipality</t>
  </si>
  <si>
    <t>*1 per 1/2 acre of site</t>
  </si>
  <si>
    <t>*Area of Stations</t>
  </si>
  <si>
    <t>Seeding</t>
  </si>
  <si>
    <t>Clean up</t>
  </si>
  <si>
    <t>XX" Control Valves</t>
  </si>
  <si>
    <t>RTU Building</t>
  </si>
  <si>
    <r>
      <t xml:space="preserve">Years until </t>
    </r>
    <r>
      <rPr>
        <b/>
        <u/>
        <sz val="11"/>
        <color rgb="FFFF0000"/>
        <rFont val="Calibri"/>
        <family val="2"/>
        <scheme val="minor"/>
      </rPr>
      <t>start</t>
    </r>
    <r>
      <rPr>
        <b/>
        <sz val="11"/>
        <color rgb="FFFF0000"/>
        <rFont val="Calibri"/>
        <family val="2"/>
        <scheme val="minor"/>
      </rPr>
      <t xml:space="preserve"> date (not in-service date) (Put '0' if project is kicking off within 6 months)</t>
    </r>
  </si>
  <si>
    <t>Length of Indicative Schedule in Years</t>
  </si>
  <si>
    <r>
      <t xml:space="preserve">This is required for Ecosys spend curves. Need to put </t>
    </r>
    <r>
      <rPr>
        <b/>
        <sz val="11"/>
        <color rgb="FFFF0000"/>
        <rFont val="Calibri"/>
        <family val="2"/>
        <scheme val="minor"/>
      </rPr>
      <t>1</t>
    </r>
    <r>
      <rPr>
        <sz val="11"/>
        <color rgb="FFFF0000"/>
        <rFont val="Calibri"/>
        <family val="2"/>
        <scheme val="minor"/>
      </rPr>
      <t xml:space="preserve">, </t>
    </r>
    <r>
      <rPr>
        <b/>
        <sz val="11"/>
        <color rgb="FFFF0000"/>
        <rFont val="Calibri"/>
        <family val="2"/>
        <scheme val="minor"/>
      </rPr>
      <t>2</t>
    </r>
    <r>
      <rPr>
        <sz val="11"/>
        <color rgb="FFFF0000"/>
        <rFont val="Calibri"/>
        <family val="2"/>
        <scheme val="minor"/>
      </rPr>
      <t xml:space="preserve">, or </t>
    </r>
    <r>
      <rPr>
        <b/>
        <sz val="11"/>
        <color rgb="FFFF0000"/>
        <rFont val="Calibri"/>
        <family val="2"/>
        <scheme val="minor"/>
      </rPr>
      <t>3</t>
    </r>
    <r>
      <rPr>
        <sz val="11"/>
        <color rgb="FFFF0000"/>
        <rFont val="Calibri"/>
        <family val="2"/>
        <scheme val="minor"/>
      </rPr>
      <t xml:space="preserve">. </t>
    </r>
  </si>
  <si>
    <t>Y-</t>
  </si>
  <si>
    <t>SCAR Guard</t>
  </si>
  <si>
    <t>Duke Labor</t>
  </si>
  <si>
    <t>Security for MLV Sites</t>
  </si>
  <si>
    <t>*FENCING IS NOW INCLUDED IN SECURITY</t>
  </si>
  <si>
    <t>Station Security</t>
  </si>
  <si>
    <t>*Required on all new pipelay greater than 1,000 LF</t>
  </si>
  <si>
    <t>Transmission - Additional Damages</t>
  </si>
  <si>
    <t>*Small Damages (fence, gates, landscaping, driveway, etc.)</t>
  </si>
  <si>
    <t>DropDown Values</t>
  </si>
  <si>
    <t>Pipeline Length</t>
  </si>
  <si>
    <t>Less than 2000 feet</t>
  </si>
  <si>
    <t>&lt; 1 mile</t>
  </si>
  <si>
    <t>1-5 miles</t>
  </si>
  <si>
    <t>&gt; 5 miles</t>
  </si>
  <si>
    <t>Retrofit Length</t>
  </si>
  <si>
    <t>&lt; 5 miles</t>
  </si>
  <si>
    <t>5-10 miles</t>
  </si>
  <si>
    <t>&gt; 10 miles</t>
  </si>
  <si>
    <t>Yes/No</t>
  </si>
  <si>
    <t>Urban</t>
  </si>
  <si>
    <t>Rural</t>
  </si>
  <si>
    <t>Suburban</t>
  </si>
  <si>
    <t>Parcels</t>
  </si>
  <si>
    <t>0 parcels</t>
  </si>
  <si>
    <t>&lt; 20 parcels</t>
  </si>
  <si>
    <t>20 - 50 parcels</t>
  </si>
  <si>
    <t>&gt; 50 parcels</t>
  </si>
  <si>
    <t>Vegetation Management</t>
  </si>
  <si>
    <t>0-5%</t>
  </si>
  <si>
    <t>6-33%</t>
  </si>
  <si>
    <t>34%-66%</t>
  </si>
  <si>
    <t>67%-100%</t>
  </si>
  <si>
    <t>Zoning Type</t>
  </si>
  <si>
    <t>Farmlands</t>
  </si>
  <si>
    <t>Existing Utility Right of Way</t>
  </si>
  <si>
    <t>Electric Right of Way</t>
  </si>
  <si>
    <t>Commercial/Industrial</t>
  </si>
  <si>
    <t>Parks &amp; Recreation</t>
  </si>
  <si>
    <t>Residential</t>
  </si>
  <si>
    <t>Nature Preserves</t>
  </si>
  <si>
    <t>Mixed Use</t>
  </si>
  <si>
    <t>4.2 Permit requirement</t>
  </si>
  <si>
    <t>Open House</t>
  </si>
  <si>
    <t>Public Notice</t>
  </si>
  <si>
    <t>None of the above</t>
  </si>
  <si>
    <t>Nat Gas Project Public Engagement Level-of-Risk Assessment</t>
  </si>
  <si>
    <t>Charter/Project Name:</t>
  </si>
  <si>
    <t xml:space="preserve">Date: </t>
  </si>
  <si>
    <t>0-10 level</t>
  </si>
  <si>
    <r>
      <rPr>
        <b/>
        <sz val="16"/>
        <color rgb="FFFF0000"/>
        <rFont val="Calibri"/>
        <family val="2"/>
        <scheme val="minor"/>
      </rPr>
      <t xml:space="preserve">Impact </t>
    </r>
    <r>
      <rPr>
        <b/>
        <sz val="16"/>
        <color theme="1"/>
        <rFont val="Calibri"/>
        <family val="2"/>
        <scheme val="minor"/>
      </rPr>
      <t>- Magnitude of stateholder opposition (Defined by cost, or reputation)</t>
    </r>
  </si>
  <si>
    <t>Risk</t>
  </si>
  <si>
    <t>Public Engagement Questionaire</t>
  </si>
  <si>
    <t>Response</t>
  </si>
  <si>
    <t>Priority</t>
  </si>
  <si>
    <t>Calculation Menu</t>
  </si>
  <si>
    <t>Probability</t>
  </si>
  <si>
    <t>Impact</t>
  </si>
  <si>
    <t xml:space="preserve">Probability </t>
  </si>
  <si>
    <r>
      <rPr>
        <b/>
        <sz val="16"/>
        <color rgb="FFFF0000"/>
        <rFont val="Calibri"/>
        <family val="2"/>
        <scheme val="minor"/>
      </rPr>
      <t>Probabilty</t>
    </r>
    <r>
      <rPr>
        <b/>
        <sz val="16"/>
        <color theme="1"/>
        <rFont val="Calibri"/>
        <family val="2"/>
        <scheme val="minor"/>
      </rPr>
      <t xml:space="preserve"> - External stakeholder opposition</t>
    </r>
  </si>
  <si>
    <t>1. Attributes</t>
  </si>
  <si>
    <t>New Natural Gas Pipeline Length (in new footprint) (miles) (system infrastructure growth)?</t>
  </si>
  <si>
    <t>0,1,3,5</t>
  </si>
  <si>
    <t>Replace or Retrofit Natural Gas Pipeline Length (miles)(Integrity project)? *</t>
  </si>
  <si>
    <t>0,1,2</t>
  </si>
  <si>
    <t>0,1,1</t>
  </si>
  <si>
    <t>New Regulator Station(s)/Launcher/Receiver?</t>
  </si>
  <si>
    <t>0,3</t>
  </si>
  <si>
    <t>0,2</t>
  </si>
  <si>
    <t>Expanding the footprint of existing Regulator Station?</t>
  </si>
  <si>
    <t>New Compressor Station(s)?</t>
  </si>
  <si>
    <t>0,8</t>
  </si>
  <si>
    <t>0,7</t>
  </si>
  <si>
    <t>Community Engagement Heat Map</t>
  </si>
  <si>
    <t>Expanding the footprint of existing Compressor Station?</t>
  </si>
  <si>
    <t>Requires flaring?</t>
  </si>
  <si>
    <t>0,5</t>
  </si>
  <si>
    <t>2. Land</t>
  </si>
  <si>
    <t>Urban, Rural or Suburban?</t>
  </si>
  <si>
    <t>urban = 7,suburban=6,rural=0</t>
  </si>
  <si>
    <t>urban = 7,suburban=5,rural=0</t>
  </si>
  <si>
    <t>New Easement acquisition required?</t>
  </si>
  <si>
    <t>New Land acquisition required (in fee)?</t>
  </si>
  <si>
    <t>0,4</t>
  </si>
  <si>
    <t>Anticiapted number of parcels to be purchased?</t>
  </si>
  <si>
    <t>0,2,4,6</t>
  </si>
  <si>
    <t xml:space="preserve">Amount of new  Right of Way tree clearing required </t>
  </si>
  <si>
    <t>Notify Community Relations</t>
  </si>
  <si>
    <t>3. Environment, Historic, Archeological</t>
  </si>
  <si>
    <t>Local Community Relations Engagenment at Project Initiation</t>
  </si>
  <si>
    <t>Crossing navigable waterways?</t>
  </si>
  <si>
    <t>Enable Strike Team 24 months prior to Project Kickoff</t>
  </si>
  <si>
    <t>Larger environmentally sensitive areas? *</t>
  </si>
  <si>
    <t>State/Local permits required?</t>
  </si>
  <si>
    <t>Sensitive, Protected, Historical Sites, Cultural Areas? (Not environmental)</t>
  </si>
  <si>
    <t>Zoning Type? *</t>
  </si>
  <si>
    <t>See dropdown value sheet</t>
  </si>
  <si>
    <t>4. Additional Factors</t>
  </si>
  <si>
    <t>Past opposition from affected land owners and communities?</t>
  </si>
  <si>
    <t>Permiting process requires :</t>
  </si>
  <si>
    <t xml:space="preserve"> Open House =7,Public Notice=4, NA=0 </t>
  </si>
  <si>
    <t xml:space="preserve"> Open House =10,Public Notice=6, NA=0</t>
  </si>
  <si>
    <t>Is Easement Acquisition Required for New Nat Gas Project Line?</t>
  </si>
  <si>
    <t>YES</t>
  </si>
  <si>
    <t>New Nat Gas Project R/W Length (miles)?</t>
  </si>
  <si>
    <t>&lt;1</t>
  </si>
  <si>
    <t>NO</t>
  </si>
  <si>
    <t>Nat Gas Project Line Rebuild Length (Miles)?</t>
  </si>
  <si>
    <t>N/A</t>
  </si>
  <si>
    <t>Is Nat Gas Project traverse Commercial, Residential, Rural, Multiple or All land types</t>
  </si>
  <si>
    <t>Residential Only</t>
  </si>
  <si>
    <t>0-10</t>
  </si>
  <si>
    <t>Does Nat. Gas Proejct involve rebuild/replacement with larger size, pressure, controls, or systems?</t>
  </si>
  <si>
    <t>11-20</t>
  </si>
  <si>
    <t>What is the expected number range of parcels involved with this project?</t>
  </si>
  <si>
    <t>21+</t>
  </si>
  <si>
    <t>What level of vegetation management is required?</t>
  </si>
  <si>
    <t>Is this a line abandonment/relocation project that requires community engagement?</t>
  </si>
  <si>
    <t>Is a regulatory or state filing required? (ie: LIST SPECIFIC REG BODIES)</t>
  </si>
  <si>
    <t>Does this project include addition of new regulator station, compressor station, flare tower, etc. seen by the public?</t>
  </si>
  <si>
    <t>1-5</t>
  </si>
  <si>
    <t>Does this project expand exisiting regulator station, compressor station, flare tower, etc. seen by the public?</t>
  </si>
  <si>
    <t>&gt;5</t>
  </si>
  <si>
    <t>Is land acquisition/easement required for expanding right of way, new ROW, laydown space or access?</t>
  </si>
  <si>
    <t xml:space="preserve">Are there Current/Historic Community Sensitivities? </t>
  </si>
  <si>
    <t>Is zoning/rezoning required?</t>
  </si>
  <si>
    <t>Federal Permitting Required?</t>
  </si>
  <si>
    <t>High</t>
  </si>
  <si>
    <t>Special Use or Conditional Use Permit Required?</t>
  </si>
  <si>
    <t>Med</t>
  </si>
  <si>
    <t>Does project involve Environmentally Sensitive Areas</t>
  </si>
  <si>
    <t>Low</t>
  </si>
  <si>
    <t>Project involve Sensitive, Protected, Historical Sites, Cultural Areas?</t>
  </si>
  <si>
    <t>Estimated number of Property Owners Impacted?</t>
  </si>
  <si>
    <t>Final Total</t>
  </si>
  <si>
    <t>Commercial Only</t>
  </si>
  <si>
    <t>Rural Only</t>
  </si>
  <si>
    <t>2 of the Above</t>
  </si>
  <si>
    <t>All</t>
  </si>
  <si>
    <t>"Notify Community Relations</t>
  </si>
  <si>
    <t>Near term stakeholder engagement striketeam</t>
  </si>
  <si>
    <t>Lead In community engagement prior to project kickoff</t>
  </si>
  <si>
    <t>*Do Not Remove Below</t>
  </si>
  <si>
    <t>X Marks the Spot</t>
  </si>
  <si>
    <t>Heat Level</t>
  </si>
  <si>
    <t>* Notes</t>
  </si>
  <si>
    <t>1.2 Response should be reflective of actual footage of construction not mileage researched</t>
  </si>
  <si>
    <t>3.2 May not know environment sensitivity initially</t>
  </si>
  <si>
    <t>3.2 Environmentally Sensitive - Named Environmental areas (shows up on a map with a name)</t>
  </si>
  <si>
    <t>3.5 If entire project is in Utility ROW and no known preexisiting opposition to construction in or near that ROW then the project can default to 'Yellow' or Green'</t>
  </si>
  <si>
    <t>Zinc Ribbon (AC Mitigation)</t>
  </si>
  <si>
    <t>Rectifier/Groundbed (CP)</t>
  </si>
  <si>
    <t>*Need one every 10 miles</t>
  </si>
  <si>
    <t>ACVG Testing (less than 10 miles)</t>
  </si>
  <si>
    <t>Mile</t>
  </si>
  <si>
    <t>ACVG Testing (greater than 10 miles)</t>
  </si>
  <si>
    <t>Rectifier/Groundbed Material (CP)</t>
  </si>
  <si>
    <t>Painting &amp; Waxing Flanges</t>
  </si>
  <si>
    <t>*$25k for each MLV and L/R</t>
  </si>
  <si>
    <t>Field Testing</t>
  </si>
  <si>
    <t>Projected</t>
  </si>
  <si>
    <t>Cumulative</t>
  </si>
  <si>
    <t>Cum. Charges</t>
  </si>
  <si>
    <t>Monthly</t>
  </si>
  <si>
    <t>Charges</t>
  </si>
  <si>
    <t>for AFUDC</t>
  </si>
  <si>
    <t>G801</t>
  </si>
  <si>
    <t>G802</t>
  </si>
  <si>
    <t>Route Development</t>
  </si>
  <si>
    <t>G803</t>
  </si>
  <si>
    <t>Project Managemenet</t>
  </si>
  <si>
    <t>G804</t>
  </si>
  <si>
    <t>Records Research</t>
  </si>
  <si>
    <t>G805</t>
  </si>
  <si>
    <t>Estimating &amp; Scoping</t>
  </si>
  <si>
    <t>G806</t>
  </si>
  <si>
    <t>Land Survey</t>
  </si>
  <si>
    <t>G807</t>
  </si>
  <si>
    <t>Land Acquistion Support (Engineering)</t>
  </si>
  <si>
    <t>G808</t>
  </si>
  <si>
    <t>G809</t>
  </si>
  <si>
    <t>Geotechnical Services</t>
  </si>
  <si>
    <t>Cathodic Protection</t>
  </si>
  <si>
    <t>Bid Package Development</t>
  </si>
  <si>
    <t>Construction Support</t>
  </si>
  <si>
    <t>As-Built Survey</t>
  </si>
  <si>
    <t>Project Close-out</t>
  </si>
  <si>
    <t>G810</t>
  </si>
  <si>
    <t>G811</t>
  </si>
  <si>
    <t>G812</t>
  </si>
  <si>
    <t>G813</t>
  </si>
  <si>
    <t>G814</t>
  </si>
  <si>
    <t>G815</t>
  </si>
  <si>
    <t>G663</t>
  </si>
  <si>
    <t>G101</t>
  </si>
  <si>
    <t>OTH001</t>
  </si>
  <si>
    <t>G661</t>
  </si>
  <si>
    <t>G662</t>
  </si>
  <si>
    <t>G662 PA</t>
  </si>
  <si>
    <t>G656</t>
  </si>
  <si>
    <t>G301</t>
  </si>
  <si>
    <t>G880</t>
  </si>
  <si>
    <t>G881</t>
  </si>
  <si>
    <t>G205</t>
  </si>
  <si>
    <t>G204</t>
  </si>
  <si>
    <t>Environmental Services &amp; Permitting</t>
  </si>
  <si>
    <t>Sub-Total - Construction Services - Pipeline</t>
  </si>
  <si>
    <t>Sub-Total - Construction Services - Station</t>
  </si>
  <si>
    <t>Close-Out Date</t>
  </si>
  <si>
    <t>G863</t>
  </si>
  <si>
    <t>Pipe Abandon 1</t>
  </si>
  <si>
    <t>Sand Padding over Existing Lines</t>
  </si>
  <si>
    <t xml:space="preserve">Temporary Clean-up / Temporary Stabilization </t>
  </si>
  <si>
    <t>Re-coating of Exposed Pipe (Hand Application)</t>
  </si>
  <si>
    <t xml:space="preserve">Armor Plate </t>
  </si>
  <si>
    <t>Daylight Existing Utilities (Pot Holing)</t>
  </si>
  <si>
    <t>AirVac/Hydro Vac Excavation</t>
  </si>
  <si>
    <t>Pipe Rack Construction (Dirt/Sand Berm)</t>
  </si>
  <si>
    <t>Transition Of Bevels</t>
  </si>
  <si>
    <t>Test Station Installation</t>
  </si>
  <si>
    <t xml:space="preserve">Temporary Stabilization </t>
  </si>
  <si>
    <t>Cubic Foot</t>
  </si>
  <si>
    <t xml:space="preserve">Lump Sum </t>
  </si>
  <si>
    <t>Per 1 ft depth / LF</t>
  </si>
  <si>
    <t>Conventional Silt Fence</t>
  </si>
  <si>
    <t>Super Silt Fence (metal post &amp; chainlink fence backing)</t>
  </si>
  <si>
    <t>Curlex Double Net Blanket with Staples  (4 x 100)</t>
  </si>
  <si>
    <t>Curlex Triple Net Blanket  with Staples (4 x 100)</t>
  </si>
  <si>
    <t>Curlex Premier Coconut Blanket with Staples (4 x 100)</t>
  </si>
  <si>
    <t>Curlex Premier Straw/Coconut Blanket with Staples      (4 x 100)</t>
  </si>
  <si>
    <t>Hydroseeding Temporary Stabilization</t>
  </si>
  <si>
    <t>Hydroseeding Permanent Stabilization</t>
  </si>
  <si>
    <t>Culvert Pipe (CMP)</t>
  </si>
  <si>
    <t>Sack Breakers</t>
  </si>
  <si>
    <t>Sediment Basin (excludes rock)</t>
  </si>
  <si>
    <t>Foam Breakers</t>
  </si>
  <si>
    <t>Construction (Timber) Mats</t>
  </si>
  <si>
    <t>Laminated (Truck) Mats</t>
  </si>
  <si>
    <t>Sod</t>
  </si>
  <si>
    <t xml:space="preserve">Straw Wattle  9'' x 10' </t>
  </si>
  <si>
    <t>Sediment Log 8''</t>
  </si>
  <si>
    <t>Sediment Log 10''</t>
  </si>
  <si>
    <t>Sediment Log 12''</t>
  </si>
  <si>
    <t>Sediment Log 20''</t>
  </si>
  <si>
    <t>Erosion Eel 10''</t>
  </si>
  <si>
    <t>Erosion Eel 12''</t>
  </si>
  <si>
    <t>Erosion Eel 14''</t>
  </si>
  <si>
    <t>Erosion Eel 20''</t>
  </si>
  <si>
    <t xml:space="preserve">Permanent Waterbar Installation </t>
  </si>
  <si>
    <t>Temporary Waterbar Installation</t>
  </si>
  <si>
    <t>Filtration Sediment Bags 10' x 15'</t>
  </si>
  <si>
    <t xml:space="preserve">Dewater Structure </t>
  </si>
  <si>
    <t xml:space="preserve">Clear Water Diversion Pit </t>
  </si>
  <si>
    <t>Stabilized Construction Entrance 20'W x 50'L x 6''D</t>
  </si>
  <si>
    <t>Linear Foot (Width)</t>
  </si>
  <si>
    <t xml:space="preserve">Each </t>
  </si>
  <si>
    <t>Inch Dia per LF</t>
  </si>
  <si>
    <t>Top Soil</t>
  </si>
  <si>
    <t>Grouting of Abandoned Pipe</t>
  </si>
  <si>
    <t>Removal of Existing Pipeline</t>
  </si>
  <si>
    <t xml:space="preserve">Sheet Piling </t>
  </si>
  <si>
    <t xml:space="preserve">Ditch Shoring </t>
  </si>
  <si>
    <t>Traffic Control (Flaggers)</t>
  </si>
  <si>
    <t>Traffic Control (Signage)</t>
  </si>
  <si>
    <t>Traffic Control (Barriers)</t>
  </si>
  <si>
    <t xml:space="preserve">Flowable Fill </t>
  </si>
  <si>
    <t>Noise Reduction Barriers</t>
  </si>
  <si>
    <t>Conventional Upland Lay (Residential)</t>
  </si>
  <si>
    <t>Hydro Water Testing</t>
  </si>
  <si>
    <t>*200 LF per L/R - DO NOT INCLUDE FENCING FOR MLV SITES</t>
  </si>
  <si>
    <t>*Per MLV</t>
  </si>
  <si>
    <t>Security, Fire Alarm, Instrumentation and Controls</t>
  </si>
  <si>
    <t>Tie-In</t>
  </si>
  <si>
    <t xml:space="preserve">AirVac/HydroVac Excation </t>
  </si>
  <si>
    <t>Painting Above Ground Pipe (Hand Applied)</t>
  </si>
  <si>
    <t>Spray Coat Application</t>
  </si>
  <si>
    <t>Sediment Log</t>
  </si>
  <si>
    <t>Erosion Eel</t>
  </si>
  <si>
    <t>Temporary Fence Panels</t>
  </si>
  <si>
    <t xml:space="preserve">Shoring </t>
  </si>
  <si>
    <t>Sheet Piling</t>
  </si>
  <si>
    <t xml:space="preserve">Composite matting </t>
  </si>
  <si>
    <t>TDW Tap &amp; Stop</t>
  </si>
  <si>
    <t>AC Mitigation Material</t>
  </si>
  <si>
    <t>*If AC Mitigation is required</t>
  </si>
  <si>
    <t>1 Year Proj AFUDC</t>
  </si>
  <si>
    <t>2 Year Proj AFUDC</t>
  </si>
  <si>
    <t>3 Year Proj AFUDC</t>
  </si>
  <si>
    <t>*Use based on % of assumed Rock Excavation and when running next to existing line (or crossing) (Nashville/KY Only if assuming 100% rock along entire route otherwise DNU)</t>
  </si>
  <si>
    <t>*DNU</t>
  </si>
  <si>
    <t>*Length of route in immediate vicinity of Transmission powerlines (parallel routing or crossing) (min. $10k)</t>
  </si>
  <si>
    <t>*DNU unless Charter specifies</t>
  </si>
  <si>
    <t>*Two per standing water type wetland (marsh, swamp, bog, etc.)</t>
  </si>
  <si>
    <t>*Area of permanent and temp easement</t>
  </si>
  <si>
    <t>*One per open cut creek or stream (less than 10'. Anything 10' or greater than bore)</t>
  </si>
  <si>
    <t>* 2 per stream/creek open cut  (less than 10'. Anything 10' or greater than bore)</t>
  </si>
  <si>
    <t>*1 per 80' of marsh/swamp wetland (standing water) (Any actual rivers would be drills)</t>
  </si>
  <si>
    <t>*1 per crossing of existing pipeline</t>
  </si>
  <si>
    <t>*LF of Farmland install w/ livestock</t>
  </si>
  <si>
    <t>*Per Rules of Thumb w/ each being ~500 LF in length unless accurate measurements are possible</t>
  </si>
  <si>
    <t>*When installing in asphalt</t>
  </si>
  <si>
    <t>*Need for pipelay in Urban and Coastal (sand) conditions</t>
  </si>
  <si>
    <t>*One per 10 LF of Open cut of parking lot/road (flow of traffic)</t>
  </si>
  <si>
    <t>*Area of permanent and temporary easement (Site Prep)</t>
  </si>
  <si>
    <r>
      <t xml:space="preserve">Concrete, Paving </t>
    </r>
    <r>
      <rPr>
        <strike/>
        <sz val="11"/>
        <color theme="1"/>
        <rFont val="Calibri"/>
        <family val="2"/>
        <scheme val="minor"/>
      </rPr>
      <t>and Gravel</t>
    </r>
  </si>
  <si>
    <t>*Concrete per Rule of Thumb + if pavement is required</t>
  </si>
  <si>
    <t>*Per Rule of Thumb</t>
  </si>
  <si>
    <t>*Covered by Contractor Tap Support</t>
  </si>
  <si>
    <t>Zinc Ribbon / AC Mitigation</t>
  </si>
  <si>
    <t>*If Station is located in immediate vicinity of Transmission Power Lines</t>
  </si>
  <si>
    <t>* Perimeter of station easement and temp workspace</t>
  </si>
  <si>
    <t>*If cutting into a bank or on a hill</t>
  </si>
  <si>
    <t>*150' per inlet &amp; outlet tie-in</t>
  </si>
  <si>
    <t>*Temp Workspace Area</t>
  </si>
  <si>
    <t>*(Min 100 LF)</t>
  </si>
  <si>
    <t>*If station is being located on asphalt/pavement</t>
  </si>
  <si>
    <t>*Quote length to match Station Size per Rule of Thumb</t>
  </si>
  <si>
    <t>**ADD +3 MONTHS IF RED STAKEHOLDER ENGAGEMENT</t>
  </si>
  <si>
    <t>Engineering Rate</t>
  </si>
  <si>
    <t>Re-coating of Exposed Pipe (Spray Application)</t>
  </si>
  <si>
    <t>Inspection Rate</t>
  </si>
  <si>
    <t>NDT Rate</t>
  </si>
  <si>
    <t>SCAR Guard Application</t>
  </si>
  <si>
    <t>Erlanger</t>
  </si>
  <si>
    <t>GDKO</t>
  </si>
  <si>
    <t>Kellogg</t>
  </si>
  <si>
    <t>Monfort Heights</t>
  </si>
  <si>
    <t>Todhunter</t>
  </si>
  <si>
    <t>GD10 - Ohio</t>
  </si>
  <si>
    <t>PGOC - Greensboro</t>
  </si>
  <si>
    <t>PNOV - Nashville</t>
  </si>
  <si>
    <t>PFOC - Fayetteville</t>
  </si>
  <si>
    <t>PGRO - Greenville</t>
  </si>
  <si>
    <t>GD70 - Kentucky</t>
  </si>
  <si>
    <t>PBLN - Bentonville LNG</t>
  </si>
  <si>
    <t>PROC - Reidsville</t>
  </si>
  <si>
    <t>PIOC - Indian Trail</t>
  </si>
  <si>
    <t>PWOC - Winston Salem</t>
  </si>
  <si>
    <t>PCOC - Charlotte</t>
  </si>
  <si>
    <t>PGDO - Goldsboro</t>
  </si>
  <si>
    <t>PEOC - Elizabeth City</t>
  </si>
  <si>
    <t>PTOC - Tarboro</t>
  </si>
  <si>
    <t>PAOC - Anderson</t>
  </si>
  <si>
    <t>PSOC - Salisbury</t>
  </si>
  <si>
    <t>PROO - Rockingham</t>
  </si>
  <si>
    <t>PSPO - Spartanburg</t>
  </si>
  <si>
    <t>PNOC - New Bern</t>
  </si>
  <si>
    <t>OVERHEAD RATE</t>
  </si>
  <si>
    <t>AFUDC RATE</t>
  </si>
  <si>
    <t>FBRG - Fort Bragg</t>
  </si>
  <si>
    <t>PHLN - Huntersville LNG</t>
  </si>
  <si>
    <t>PHOC - Hickory</t>
  </si>
  <si>
    <t>PHPC - High Point</t>
  </si>
  <si>
    <t>PMOC - Mayland</t>
  </si>
  <si>
    <t>PBOC - Burlington</t>
  </si>
  <si>
    <t>PCLN - PNG Carolina LNG</t>
  </si>
  <si>
    <t>PWIO - Wilmington</t>
  </si>
  <si>
    <t>PSOP - South Carolina</t>
  </si>
  <si>
    <t>ERX</t>
  </si>
  <si>
    <t>Instrumentation</t>
  </si>
  <si>
    <t>3. Estimate assumes basic environmental control design.</t>
  </si>
  <si>
    <t>*Add $125 to Upland Lay cost</t>
  </si>
  <si>
    <t>*Assume entire Rock Bore and/or Rock Drill length on FBE pipe</t>
  </si>
  <si>
    <t>Bore Pit</t>
  </si>
  <si>
    <t>*Use only if we are doing a conventional bore under a railroad to get extra depth</t>
  </si>
  <si>
    <t>*Use dig price for each Bore/HDD Pits</t>
  </si>
  <si>
    <t>Anomoly Dig</t>
  </si>
  <si>
    <t>Stopple Pit</t>
  </si>
  <si>
    <t>Retrofit Cost</t>
  </si>
  <si>
    <t>*Use LF cost but Minimum $50,000 (Length of total pipeline including HDDs + length of HDDs to account for pre-test) (OH/KY Min cost is TCAP Cost)</t>
  </si>
  <si>
    <t>*Use LF cost but Minimum $20,000</t>
  </si>
  <si>
    <t>*When installing in DOT ROW, crossing existing utility, retrofit, tie-in, etc.</t>
  </si>
  <si>
    <t>*2 per HDD/Bore + 1 per mile + MLV + L/R + Branch Connections + Foreign Line Crossing</t>
  </si>
  <si>
    <t>*Length of upland + wetland lay (Minimum $2,500 per site)</t>
  </si>
  <si>
    <t>*3X Length of Pipeline (Minimum $7,500 per site)</t>
  </si>
  <si>
    <t>*100 tons per L/R and MLV Site</t>
  </si>
  <si>
    <t>*350 SY per L/R and MLV Site</t>
  </si>
  <si>
    <t>*Quote 200' per bore/drill pit and tie-in</t>
  </si>
  <si>
    <t>HDD Geo-analytical Design</t>
  </si>
  <si>
    <t>*To be used on rock and wetland HDD's</t>
  </si>
  <si>
    <t>*100 minimum + 50 per HDD pit + Wetland Lay /1.5</t>
  </si>
  <si>
    <t>*Per Access Road (Temp or Permanent)</t>
  </si>
  <si>
    <t>*100 LF per L/R &amp; 500 LF per MLV</t>
  </si>
  <si>
    <t>Asphalt Removal</t>
  </si>
  <si>
    <t>Asphalt Restoration</t>
  </si>
  <si>
    <t>MLV Foundations</t>
  </si>
  <si>
    <t>L/R Foundations</t>
  </si>
  <si>
    <t>*5 acres minimum if one is required to 20 acres</t>
  </si>
  <si>
    <t>*For Dirt Bores &amp; Drills</t>
  </si>
  <si>
    <t>*Include Rock Bores &amp; Drill Length</t>
  </si>
  <si>
    <t>*For Bypasses</t>
  </si>
  <si>
    <t>Annode Bed Material</t>
  </si>
  <si>
    <t>*Per L/R &amp; MLV</t>
  </si>
  <si>
    <t>*Entire length of Rock Bore and Rock Drill</t>
  </si>
  <si>
    <t>Taxes &amp; Freight (11% of All Material)</t>
  </si>
  <si>
    <t>Site Prep</t>
  </si>
  <si>
    <t>* $25k for flat site, $125k for slight grade, $250k+ for severe grade</t>
  </si>
  <si>
    <t>*$15k if using ERX.  $100k if SCADA. Add'l $25k per each heater, meter, gas chromatograph, odorizor, Control Valve.</t>
  </si>
  <si>
    <t>Landscaping Cost</t>
  </si>
  <si>
    <t>*$100k for pre-fab building/canopy, $25k for Bus-stop style overhang, Faux-brick Building $750k, Brick Building $1.25M, $500k for heater brick Building, $250k for RTU brick building</t>
  </si>
  <si>
    <t>*$25k for basic, $100k for upgraded</t>
  </si>
  <si>
    <t>*$25k/$100k for Small RS, $50k/$125k for Medium RS, $100k/$175K for Large RS (OH/KY Min cost is TCAP Cost)</t>
  </si>
  <si>
    <t>*20,000 for station + $10,000 if SCADA + $8,000 per heater + $4,000 for meters + $3,000 for actuators + $7,500 for control valves</t>
  </si>
  <si>
    <t>Per Day</t>
  </si>
  <si>
    <t>*$30k for small, $50k for medium, $60k for large (includes waxing flanges)</t>
  </si>
  <si>
    <t>*12" depth of gravel for area of Stations</t>
  </si>
  <si>
    <t>Permanent Access Road Entrance</t>
  </si>
  <si>
    <t>*$21k for Small Station (bunk bed), $40k for Medium Station,  $181k for Large Regulator Stations (10" inlet or greater), $1.2million for Compressor Stations, Duke M&amp;Rs, OPP Stations at Supply Points</t>
  </si>
  <si>
    <t>TDW Bypass</t>
  </si>
  <si>
    <t>XX" Stopple</t>
  </si>
  <si>
    <t>XX" Actuators</t>
  </si>
  <si>
    <t>AC Mitigation Supplies</t>
  </si>
  <si>
    <t>Methane Recapture</t>
  </si>
  <si>
    <t>Per Dig/Site</t>
  </si>
  <si>
    <t>*Per ROT</t>
  </si>
  <si>
    <t>Per Site</t>
  </si>
  <si>
    <t>Material Verification</t>
  </si>
  <si>
    <t>*2 days for up to 1 mile, 4 days for up to 5 miles, 8 days for up to 10 miles, 12 days for up to 15 miles, 16 days for up to 20 miles</t>
  </si>
  <si>
    <t>*Min 5 LF per cut-out</t>
  </si>
  <si>
    <t>Environmental Justice Assessment Trigger Questionnaire</t>
  </si>
  <si>
    <t xml:space="preserve">Activity/Project Name: </t>
  </si>
  <si>
    <t>Business Unit:</t>
  </si>
  <si>
    <t xml:space="preserve">Project Staff: </t>
  </si>
  <si>
    <t xml:space="preserve">Activity/Project Scope or Description: </t>
  </si>
  <si>
    <t>NGBU</t>
  </si>
  <si>
    <t>Major Projects</t>
  </si>
  <si>
    <t>The intent of this questionnaire is to identify Duke Energy projects /activities that might have significant environmental or community impacts or required regulatory approvals and/or that are located in or near communities of environmental justice (EJ) concern to further assess for potential EJ risks and planning.</t>
  </si>
  <si>
    <t>Review activity/project and answer the following questions:</t>
  </si>
  <si>
    <t>Answer  (Yes, No, Unknown)</t>
  </si>
  <si>
    <r>
      <t xml:space="preserve">Does the activity/project anticipate a public regulatory approval that may trigger EJ Assessment requirements? </t>
    </r>
    <r>
      <rPr>
        <sz val="11"/>
        <color rgb="FFFF0000"/>
        <rFont val="Calibri"/>
        <family val="2"/>
        <scheme val="minor"/>
      </rPr>
      <t>(i.e. federal permitting, NRC licensing, state Public Utility Commission approval) Transmission only, Should only apply to Ohio (OPSB) &amp; Kentucky (CPCN).</t>
    </r>
  </si>
  <si>
    <r>
      <t xml:space="preserve">Does the activity/project anticipate creating significant new, modifying, or increasing discharge, emissions, or waste generation - either amount or type? </t>
    </r>
    <r>
      <rPr>
        <sz val="11"/>
        <color rgb="FFFF0000"/>
        <rFont val="Calibri"/>
        <family val="2"/>
        <scheme val="minor"/>
      </rPr>
      <t>Compressor Station, Permanent Flare, Heaters over 10 mmBTU/hr (not associated with Duke M&amp;R), Station located near Paper Mill, Pellet, Concrete, Brick Plant, chemical (large emission or smell producing plants)</t>
    </r>
  </si>
  <si>
    <r>
      <t>Does the activity/project anticipate significant land use modification, land acquisition, easement acquisition and/or modifications to community aesthetics?</t>
    </r>
    <r>
      <rPr>
        <sz val="11"/>
        <color rgb="FFFF0000"/>
        <rFont val="Calibri"/>
        <family val="2"/>
        <scheme val="minor"/>
      </rPr>
      <t xml:space="preserve"> Large Stations immediately outside or in the middle of developments, neighborhoods. 20+ miles of pipeline</t>
    </r>
  </si>
  <si>
    <r>
      <t xml:space="preserve">Does the activity/project trigger routing or site selection studies? </t>
    </r>
    <r>
      <rPr>
        <sz val="11"/>
        <color rgb="FFFF0000"/>
        <rFont val="Calibri"/>
        <family val="2"/>
        <scheme val="minor"/>
      </rPr>
      <t>OPSB, 20+ miles of pipeline, if charter states a routing/site selection study will be required</t>
    </r>
  </si>
  <si>
    <r>
      <t xml:space="preserve">Is the activity/project in a community with known, previous and/or on-going EJ concerns? </t>
    </r>
    <r>
      <rPr>
        <sz val="11"/>
        <color rgb="FFFF0000"/>
        <rFont val="Calibri"/>
        <family val="2"/>
        <scheme val="minor"/>
      </rPr>
      <t>ACP corridor, Tribal Lands, Known Opposition</t>
    </r>
  </si>
  <si>
    <t>If the answer is “Yes” or “Unknown” to any of the questions above, consult with Environmental and External Engagement Staff (Nicole Kiser) to determine if an initial EJ Assessment is needed.</t>
  </si>
  <si>
    <t>1 Year Project - 17 months | 2 Year Project - 35 months | 3 Year Project -  46 months</t>
  </si>
  <si>
    <t>1 Year Project - 5 months | 2 Year Project - 15 months | 3 Year Project -  16 months</t>
  </si>
  <si>
    <t>1 Year Project - 4 months | 2 Year Project - 9 months | 3 Year Project -  10 months</t>
  </si>
  <si>
    <t>Duke Energy/PNG</t>
  </si>
  <si>
    <t>Select from the Drop-down list</t>
  </si>
  <si>
    <t>City / County / Township</t>
  </si>
  <si>
    <t>State</t>
  </si>
  <si>
    <t>North Carolina</t>
  </si>
  <si>
    <t>South Carolina</t>
  </si>
  <si>
    <t>Tennessee</t>
  </si>
  <si>
    <t>Ohio</t>
  </si>
  <si>
    <t>Kentucky</t>
  </si>
  <si>
    <t>2-State (LNG)</t>
  </si>
  <si>
    <t>Select State</t>
  </si>
  <si>
    <t>Line AM07 Phase 3</t>
  </si>
  <si>
    <t>15,528 LF</t>
  </si>
  <si>
    <t>24''</t>
  </si>
  <si>
    <t>G. Long</t>
  </si>
  <si>
    <t>1. Charter SOW:
Phase 3 (of 5 Phases) includes the following:
*Perform detailed engineering to support replacement of approximately 18,870 feet (3.6 miles) of 24" pipe designed for a pressure of 1000 psig.
*Install new 24" steel pipeline that starts in the vicinity of coordinates [39° 1'33.74"N,  84°30'29.44"W] and ends at the North side of the I-275 crossing near Licking Pk. and ties into the piping to utilize existing I-275 crossing.
*Abandon Line AM07 along this section. 
*Address remaining farm taps.
*Preliminary proposed pipeline route that was field reviewed by Implementation is included in attachment. Right of Way (ROW) reclamation will be required.
The following stations / branches have been identified as being impacted by the new line. Add isolation valves at each tap (as discussed with System Planning in 30/60/90 meetings) to assist in future upgrades of the regulator stations.  Any major upgrades needed for these assets (with exceptions noted below) to operate at a 1000 psig MAOP will be handled by separate charters to be submitted at a future date:
1. Station 713 - Reconnect station inlet
2. Station 734 - Reconnect station inlet (UL06)
3. Station 859 - Reconnect station inlet
4. Station 804 - Reconnect station inlet
5. UL26 tap - Reconnect branch or extend distribution main and transfer services off of UL26</t>
  </si>
  <si>
    <t>2. Estimate assumes AC Mitigation is not required</t>
  </si>
  <si>
    <t xml:space="preserve">4. A Routing factor has not been assumed for the pipeline. </t>
  </si>
  <si>
    <t>5. Estimate assumes SCADA is not included</t>
  </si>
  <si>
    <t>6. Estimate assumes that a laydown yard is required.</t>
  </si>
  <si>
    <t>7. Estimate assumes that traffic control is required.</t>
  </si>
  <si>
    <t>8. Estimate assumes 20% Rock</t>
  </si>
  <si>
    <t>Rev. C - Charter Refresh</t>
  </si>
  <si>
    <t>1. Pipe length reduced to 10,491 LF</t>
  </si>
  <si>
    <t>Rev. D - Initiate Gate</t>
  </si>
  <si>
    <t>1. Line AM07 Pipe length increased to 15,528 LF</t>
  </si>
  <si>
    <t>2. 816.24 LF of pipe routing for UL16 has been added to scope</t>
  </si>
  <si>
    <t>3. 3,222.36 LF of pipe routing for UL06 has been added to scope</t>
  </si>
  <si>
    <t>4. I-275 Covington Regulator Station has been added to scope</t>
  </si>
  <si>
    <t>24''/Line AM07</t>
  </si>
  <si>
    <t>20" / UL06</t>
  </si>
  <si>
    <t>8" / UL16</t>
  </si>
  <si>
    <t>Existing Line AM07</t>
  </si>
  <si>
    <t>10,419'</t>
  </si>
  <si>
    <t>Covington I-275 Regulator Station</t>
  </si>
  <si>
    <t>24" Standard Wall, X52, Coated, DRL</t>
  </si>
  <si>
    <t>24" Standard Wall, X52, Powercrete</t>
  </si>
  <si>
    <t>24" Standard Wall, X52, Bare</t>
  </si>
  <si>
    <t>24" 3R - 45 deg ell -  Segmentable</t>
  </si>
  <si>
    <t>24" 3R - 90 deg ell -  Segmentable</t>
  </si>
  <si>
    <t>24" TDW Stopple</t>
  </si>
  <si>
    <t>24" TDW Spherical Tee</t>
  </si>
  <si>
    <t>24" L/R Module</t>
  </si>
  <si>
    <t>24" MLV Module</t>
  </si>
  <si>
    <t>Conventional Wetland Lay Adder</t>
  </si>
  <si>
    <t>20" Standard Wall, X52, Coated, DRL</t>
  </si>
  <si>
    <t>20" 3R - 45 deg ell -  Segmentable</t>
  </si>
  <si>
    <t>20" 3R - 90 deg ell -  Segmentable</t>
  </si>
  <si>
    <t>20" MLV Module</t>
  </si>
  <si>
    <t>8" Standard Wall, X52, Coated, DRL</t>
  </si>
  <si>
    <t>8" 3R - 45 deg ell -  Segmentable</t>
  </si>
  <si>
    <t>8" 3R - 90 deg ell -  Segmentable</t>
  </si>
  <si>
    <t>4" Standard Wall, X52, Bare</t>
  </si>
  <si>
    <t>4" Standard Wall, X52, FBE</t>
  </si>
  <si>
    <t>6" Standard Wall, X52, Bare</t>
  </si>
  <si>
    <t>6" Standard Wall, X52, FBE</t>
  </si>
  <si>
    <t>4" WXW Valves</t>
  </si>
  <si>
    <t>4" FXF Valves</t>
  </si>
  <si>
    <t>6" WXW Valves</t>
  </si>
  <si>
    <t>6" FXF Valves</t>
  </si>
  <si>
    <t>4" Filter</t>
  </si>
  <si>
    <t>3" Regulators</t>
  </si>
  <si>
    <t>4" Insulators</t>
  </si>
  <si>
    <t>6" Insulators</t>
  </si>
  <si>
    <t>0.1 MMBtu/Hr Heater</t>
  </si>
  <si>
    <t>Original Estimate Was for total Length of Line AM07 then it was split into only 3 phases</t>
  </si>
  <si>
    <t>Charter</t>
  </si>
  <si>
    <t>B</t>
  </si>
  <si>
    <t>Split into 5 phases: 18,870 LF</t>
  </si>
  <si>
    <t>K. Gillow</t>
  </si>
  <si>
    <t>C</t>
  </si>
  <si>
    <t>10,491 LF</t>
  </si>
  <si>
    <t>D</t>
  </si>
  <si>
    <t>Initiate Gate: Line AM07 Pipe length increased to 15,528 LF. UL06 and UL16 routes were added. Station was added.</t>
  </si>
  <si>
    <t>Benton Jones</t>
  </si>
  <si>
    <t>Rev E - Refresh</t>
  </si>
  <si>
    <t>GD70-Kentucky</t>
  </si>
  <si>
    <r>
      <t xml:space="preserve">2. Overheads and Allocations calculated using </t>
    </r>
    <r>
      <rPr>
        <sz val="11"/>
        <color rgb="FFFF0000"/>
        <rFont val="Calibri"/>
        <family val="2"/>
        <scheme val="minor"/>
      </rPr>
      <t>14</t>
    </r>
    <r>
      <rPr>
        <sz val="11"/>
        <color theme="1"/>
        <rFont val="Calibri"/>
        <family val="2"/>
        <scheme val="minor"/>
      </rPr>
      <t>% of Total Direct Cost less Land Purchase, Materials/Equipment and FERC cost.</t>
    </r>
  </si>
  <si>
    <r>
      <t xml:space="preserve">3. AFUDC calculated using </t>
    </r>
    <r>
      <rPr>
        <sz val="11"/>
        <color rgb="FFFF0000"/>
        <rFont val="Calibri"/>
        <family val="2"/>
        <scheme val="minor"/>
      </rPr>
      <t>5.75</t>
    </r>
    <r>
      <rPr>
        <sz val="11"/>
        <color theme="1"/>
        <rFont val="Calibri"/>
        <family val="2"/>
        <scheme val="minor"/>
      </rPr>
      <t>% of total Direct Cost. (No AFUDC on Retirement Cost.)</t>
    </r>
  </si>
  <si>
    <t>1. Construction to occur 2025. Escalation is added to the estimate per the push of the schedule. As of the date of this estimate, no Material Purchase Orders have been established.</t>
  </si>
  <si>
    <t>3. Revision assumes Land Services Costs of $438,384 per Percheron PO 11055449. Land acquisition costs for easements is estimated.</t>
  </si>
  <si>
    <t>Contract Labor - Land Services (Percheron PO)</t>
  </si>
  <si>
    <t>Directional Drill – Rock (Updated Rate per Phase 2 Cost)</t>
  </si>
  <si>
    <t>4. Revision updates rates per schedule push and indicative costs.</t>
  </si>
  <si>
    <t>B. Seiter</t>
  </si>
  <si>
    <t>E</t>
  </si>
  <si>
    <t>Initiate Gate Refresh: Rates adjusted per push in schedule. Escalation is added for 1 Year.</t>
  </si>
  <si>
    <t>4. Project Escalation is assumed for 1 Year at 2.5%.</t>
  </si>
  <si>
    <t>F-Initiate 60% Refresh</t>
  </si>
  <si>
    <t>Kelsey Pace/B.Seiter</t>
  </si>
  <si>
    <t>Rev F-Initiate Gate Refresh-Scope Adjustments:</t>
  </si>
  <si>
    <t>1. Estimate revision assumes a Burns &amp; McDonnell Engineering Change Order (PO 10973347-CO3) total cost of $2,285,273.</t>
  </si>
  <si>
    <t>2. Estimate Revision assumes a Geotechnology Inc. PO #10686168 to total $5,000 (Original $4,000).</t>
  </si>
  <si>
    <t>4" x 6" Relief Valve (Cornerstone PO 11561076)</t>
  </si>
  <si>
    <t>3. Estimate revision assumes a Material Cost of $11,581 per Cornerstone PO 11561076 (Relief Valve).</t>
  </si>
  <si>
    <t>20" TDW Stopple Kit (TDW PO 11581551)</t>
  </si>
  <si>
    <t>6" TDW Spherical Tee (TDW PO 11581551)</t>
  </si>
  <si>
    <t>24" Contractor Tap Support</t>
  </si>
  <si>
    <t>20" Contractor Tap Support</t>
  </si>
  <si>
    <t>24" Stopple Pit</t>
  </si>
  <si>
    <t>20" Stopple Pit</t>
  </si>
  <si>
    <t>20" Standard Wall, X52, Bare</t>
  </si>
  <si>
    <t>24" TDW - Hot Tap</t>
  </si>
  <si>
    <t>20" TDW - Hot Tap</t>
  </si>
  <si>
    <t>8" Stopple Pit</t>
  </si>
  <si>
    <t>6" Stopple Pit</t>
  </si>
  <si>
    <t>8" Contractor Tap Support</t>
  </si>
  <si>
    <t>6" Contractor Tap Support</t>
  </si>
  <si>
    <t>8" TDW - Hot Tap</t>
  </si>
  <si>
    <t>6" TDW - Hot Tap</t>
  </si>
  <si>
    <t>Scope of Work Adjustments: The email image on this page details the new Pipeline Footages and modes of Pipelay per Burns &amp; McDonnell 60% Route Study. Wholesale re-routes were required in the taylor &amp; Taylor Mill Developments (AM07). This estimate revision assumes the results of this Route Study as basis for the new costs in this estimate. Also, changes in scope have developed in Environmental &amp; Control Measures due to slopes in terrain in varied areas including the new Covington Station. This estimate revision assumes Covington Station will require additional costs for Site Prep &amp; Retaining Wall. Material quantities are adjusted per the 60% Design Alignment Set</t>
  </si>
  <si>
    <t>4. Estimate revision assumes a Rail Permitting Cost of $67,510 per Schneider Engineering PO 11600198.</t>
  </si>
  <si>
    <t>Civil or General Conditions (Rail Permitting)</t>
  </si>
  <si>
    <t>8" TDW Spherical Tee (Requisition)</t>
  </si>
  <si>
    <t>24" TDW Stopple (Requisition)</t>
  </si>
  <si>
    <t>F</t>
  </si>
  <si>
    <t>B. Seiter/K. Pace</t>
  </si>
  <si>
    <t>5. Estimate revision assumes Escalation only applied to Construction Services per existing Engineering at 60% and Material Procurement has started.</t>
  </si>
  <si>
    <t>17,770 LF</t>
  </si>
  <si>
    <t>1,430 LF</t>
  </si>
  <si>
    <t>548 LF</t>
  </si>
  <si>
    <t>HDR Engineering PO 10703525</t>
  </si>
  <si>
    <t>Geotechnology Inc. PO 10686168 (HDD Study)</t>
  </si>
  <si>
    <t>Burns &amp; McDonnell PO 10973347 CO3 (Partial)</t>
  </si>
  <si>
    <t>Design - Pipeline Burns &amp; McDonnell PO 10973347 CO3 (Partial)</t>
  </si>
  <si>
    <r>
      <t xml:space="preserve">2. Estimate revision assumes Engineering costs totaling $1,951,032 per Project PO's on Charge Project AW6387. Burns &amp; McDonnell PO 10973347 </t>
    </r>
    <r>
      <rPr>
        <strike/>
        <sz val="11"/>
        <rFont val="Calibri"/>
        <family val="2"/>
        <scheme val="minor"/>
      </rPr>
      <t>($1,911,498)</t>
    </r>
    <r>
      <rPr>
        <sz val="11"/>
        <rFont val="Calibri"/>
        <family val="2"/>
        <scheme val="minor"/>
      </rPr>
      <t xml:space="preserve">, Geotechnology Inc. PO 10686168 </t>
    </r>
    <r>
      <rPr>
        <strike/>
        <sz val="11"/>
        <rFont val="Calibri"/>
        <family val="2"/>
        <scheme val="minor"/>
      </rPr>
      <t>($4,000)</t>
    </r>
    <r>
      <rPr>
        <sz val="11"/>
        <rFont val="Calibri"/>
        <family val="2"/>
        <scheme val="minor"/>
      </rPr>
      <t xml:space="preserve">, HDR Engineering PO 10703525-CO1 ($34,535). </t>
    </r>
    <r>
      <rPr>
        <strike/>
        <sz val="11"/>
        <rFont val="Calibri"/>
        <family val="2"/>
        <scheme val="minor"/>
      </rPr>
      <t>Estimate assumes a third party contractor for MAOP Verification which is estimated.</t>
    </r>
  </si>
  <si>
    <t>6. Estimate revision assumes MAOP Verification is included in the Burns &amp; McDonnell Costs per PO 10973347.</t>
  </si>
  <si>
    <t>8" Conventional Upland Lay</t>
  </si>
  <si>
    <t xml:space="preserve">6" Conventional Upland Lay </t>
  </si>
  <si>
    <t>6" Standard Wall, X52, Coated, DRL</t>
  </si>
  <si>
    <t>6" 3R - 90 deg ell -  Segmentable</t>
  </si>
  <si>
    <t>7. Estimate revision assumes 20" UL06 Hydrotest &amp; Commissioning cost to be a part of the 24" AM07 Hydrotest.</t>
  </si>
  <si>
    <t>Hydro Test (Lowered per part of AMO7 Cost)</t>
  </si>
  <si>
    <t>Commissioning (Lowered per part of AMO7 Cost)</t>
  </si>
  <si>
    <t>Construction (Timber) Mats (Lowered per part of AMO7 Cost)</t>
  </si>
  <si>
    <t>Contract Labor - Land Services (Per Percheron PO)</t>
  </si>
  <si>
    <t>24" Spherical (Removed-UL06 8" Spherical for Isolation)</t>
  </si>
  <si>
    <t>Initiate Gate Scope Change-Amended route with additional station construction requirements-quantities per 60% Design Alignment Set. Adjustments per assumptions that some Construction Services with Laydown, Hydro and Commisioning are covered with other Phases of AM07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</si>
</sst>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0.0%"/>
    <numFmt numFmtId="167" formatCode="_(* #,##0_);_(* \(#,##0\);_(* &quot;-&quot;??_);_(@_)"/>
    <numFmt numFmtId="168" formatCode="mmm\ yyyy"/>
    <numFmt numFmtId="169" formatCode="0.0000"/>
    <numFmt numFmtId="170" formatCode="0.0"/>
  </numFmts>
  <fonts count="59">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4"/>
      <color theme="1"/>
      <name val="Calibri"/>
      <family val="2"/>
      <scheme val="minor"/>
    </font>
    <font>
      <b/>
      <sz val="11"/>
      <color theme="8" tint="-0.249977111117893"/>
      <name val="Calibri"/>
      <family val="2"/>
      <scheme val="minor"/>
    </font>
    <font>
      <sz val="10"/>
      <name val="Arial"/>
      <family val="2"/>
    </font>
    <font>
      <b/>
      <sz val="22"/>
      <color theme="0"/>
      <name val="Calibri"/>
      <family val="2"/>
      <scheme val="minor"/>
    </font>
    <font>
      <b/>
      <sz val="16"/>
      <color theme="0"/>
      <name val="Calibri"/>
      <family val="2"/>
      <scheme val="minor"/>
    </font>
    <font>
      <b/>
      <sz val="14"/>
      <color theme="0"/>
      <name val="Calibri"/>
      <family val="2"/>
      <scheme val="minor"/>
    </font>
    <font>
      <b/>
      <sz val="20"/>
      <color theme="0"/>
      <name val="Calibri"/>
      <family val="2"/>
      <scheme val="minor"/>
    </font>
    <font>
      <b/>
      <sz val="24"/>
      <color theme="0"/>
      <name val="Calibri"/>
      <family val="2"/>
      <scheme val="minor"/>
    </font>
    <font>
      <b/>
      <sz val="14"/>
      <name val="Calibri"/>
      <family val="2"/>
      <scheme val="minor"/>
    </font>
    <font>
      <b/>
      <sz val="12"/>
      <color theme="1"/>
      <name val="Calibri"/>
      <family val="2"/>
      <scheme val="minor"/>
    </font>
    <font>
      <b/>
      <sz val="12"/>
      <color theme="0"/>
      <name val="Calibri"/>
      <family val="2"/>
      <scheme val="minor"/>
    </font>
    <font>
      <b/>
      <sz val="12"/>
      <name val="Calibri"/>
      <family val="2"/>
      <scheme val="minor"/>
    </font>
    <font>
      <sz val="12"/>
      <color theme="0"/>
      <name val="Calibri"/>
      <family val="2"/>
      <scheme val="minor"/>
    </font>
    <font>
      <sz val="11"/>
      <name val="Calibri"/>
      <family val="2"/>
      <scheme val="minor"/>
    </font>
    <font>
      <b/>
      <sz val="18"/>
      <color theme="0"/>
      <name val="Calibri"/>
      <family val="2"/>
      <scheme val="minor"/>
    </font>
    <font>
      <b/>
      <sz val="11"/>
      <color theme="8" tint="0.59999389629810485"/>
      <name val="Calibri"/>
      <family val="2"/>
      <scheme val="minor"/>
    </font>
    <font>
      <sz val="11"/>
      <color theme="1"/>
      <name val="Calibri"/>
      <family val="2"/>
      <scheme val="minor"/>
    </font>
    <font>
      <sz val="10"/>
      <color theme="1"/>
      <name val="Calibri"/>
      <family val="2"/>
      <scheme val="minor"/>
    </font>
    <font>
      <i/>
      <sz val="8"/>
      <color theme="1"/>
      <name val="Calibri"/>
      <family val="2"/>
      <scheme val="minor"/>
    </font>
    <font>
      <b/>
      <sz val="10"/>
      <color theme="1"/>
      <name val="Calibri"/>
      <family val="2"/>
      <scheme val="minor"/>
    </font>
    <font>
      <b/>
      <sz val="11"/>
      <color theme="3" tint="0.39997558519241921"/>
      <name val="Calibri"/>
      <family val="2"/>
      <scheme val="minor"/>
    </font>
    <font>
      <u val="singleAccounting"/>
      <sz val="11"/>
      <color theme="1"/>
      <name val="Calibri"/>
      <family val="2"/>
      <scheme val="minor"/>
    </font>
    <font>
      <b/>
      <sz val="8"/>
      <color theme="1"/>
      <name val="Calibri"/>
      <family val="2"/>
      <scheme val="minor"/>
    </font>
    <font>
      <b/>
      <i/>
      <sz val="14"/>
      <color theme="1"/>
      <name val="Calibri"/>
      <family val="2"/>
      <scheme val="minor"/>
    </font>
    <font>
      <sz val="12"/>
      <color theme="1"/>
      <name val="Calibri"/>
      <family val="2"/>
      <scheme val="minor"/>
    </font>
    <font>
      <i/>
      <sz val="10"/>
      <color theme="1"/>
      <name val="Calibri"/>
      <family val="2"/>
      <scheme val="minor"/>
    </font>
    <font>
      <b/>
      <sz val="16"/>
      <color rgb="FFFFFFFF"/>
      <name val="Calibri"/>
      <family val="2"/>
      <scheme val="minor"/>
    </font>
    <font>
      <b/>
      <i/>
      <sz val="12"/>
      <color theme="0"/>
      <name val="Calibri"/>
      <family val="2"/>
      <scheme val="minor"/>
    </font>
    <font>
      <b/>
      <sz val="9"/>
      <color indexed="81"/>
      <name val="Tahoma"/>
      <family val="2"/>
    </font>
    <font>
      <sz val="9"/>
      <color indexed="81"/>
      <name val="Tahoma"/>
      <family val="2"/>
    </font>
    <font>
      <sz val="11"/>
      <color theme="5" tint="-0.249977111117893"/>
      <name val="Calibri"/>
      <family val="2"/>
      <scheme val="minor"/>
    </font>
    <font>
      <sz val="9"/>
      <color rgb="FF000000"/>
      <name val="Arial"/>
      <family val="2"/>
    </font>
    <font>
      <b/>
      <u/>
      <sz val="11"/>
      <color rgb="FFFF0000"/>
      <name val="Calibri"/>
      <family val="2"/>
      <scheme val="minor"/>
    </font>
    <font>
      <b/>
      <u/>
      <sz val="11"/>
      <color theme="1"/>
      <name val="Calibri"/>
      <family val="2"/>
      <scheme val="minor"/>
    </font>
    <font>
      <b/>
      <sz val="16"/>
      <color theme="1"/>
      <name val="Calibri"/>
      <family val="2"/>
      <scheme val="minor"/>
    </font>
    <font>
      <b/>
      <sz val="16"/>
      <color rgb="FFFF0000"/>
      <name val="Calibri"/>
      <family val="2"/>
      <scheme val="minor"/>
    </font>
    <font>
      <b/>
      <sz val="11"/>
      <name val="Calibri"/>
      <family val="2"/>
      <scheme val="minor"/>
    </font>
    <font>
      <b/>
      <sz val="11"/>
      <name val="Arial"/>
      <family val="2"/>
    </font>
    <font>
      <b/>
      <sz val="28"/>
      <name val="Vineta BT"/>
      <family val="5"/>
    </font>
    <font>
      <sz val="11"/>
      <name val="Arial"/>
      <family val="2"/>
    </font>
    <font>
      <b/>
      <strike/>
      <sz val="11"/>
      <color theme="1"/>
      <name val="Calibri"/>
      <family val="2"/>
      <scheme val="minor"/>
    </font>
    <font>
      <strike/>
      <sz val="11"/>
      <color theme="1"/>
      <name val="Calibri"/>
      <family val="2"/>
      <scheme val="minor"/>
    </font>
    <font>
      <strike/>
      <sz val="11"/>
      <color rgb="FFFF0000"/>
      <name val="Calibri"/>
      <family val="2"/>
      <scheme val="minor"/>
    </font>
    <font>
      <sz val="24"/>
      <color theme="1"/>
      <name val="Calibri"/>
      <family val="2"/>
      <scheme val="minor"/>
    </font>
    <font>
      <sz val="9"/>
      <color indexed="8"/>
      <name val="Arial"/>
      <family val="2"/>
    </font>
    <font>
      <sz val="9"/>
      <color indexed="12"/>
      <name val="Arial"/>
      <family val="2"/>
    </font>
    <font>
      <b/>
      <sz val="10"/>
      <name val="Arial"/>
      <family val="2"/>
    </font>
    <font>
      <sz val="8"/>
      <color indexed="81"/>
      <name val="Tahoma"/>
      <family val="2"/>
    </font>
    <font>
      <i/>
      <sz val="8"/>
      <color indexed="16"/>
      <name val="Tahoma"/>
      <family val="2"/>
    </font>
    <font>
      <sz val="11"/>
      <color rgb="FF000000"/>
      <name val="Calibri"/>
      <family val="2"/>
      <scheme val="minor"/>
    </font>
    <font>
      <b/>
      <sz val="11"/>
      <color rgb="FF000000"/>
      <name val="Calibri"/>
      <family val="2"/>
      <scheme val="minor"/>
    </font>
    <font>
      <b/>
      <u/>
      <sz val="14"/>
      <color theme="1"/>
      <name val="Calibri"/>
      <family val="2"/>
      <scheme val="minor"/>
    </font>
    <font>
      <strike/>
      <sz val="11"/>
      <name val="Calibri"/>
      <family val="2"/>
      <scheme val="minor"/>
    </font>
  </fonts>
  <fills count="39">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8" tint="-0.249977111117893"/>
        <bgColor indexed="64"/>
      </patternFill>
    </fill>
    <fill>
      <patternFill patternType="solid">
        <fgColor theme="7" tint="0.7999816888943144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5" tint="0.59999389629810485"/>
        <bgColor indexed="64"/>
      </patternFill>
    </fill>
    <fill>
      <patternFill patternType="darkGray">
        <bgColor theme="9" tint="0.59999389629810485"/>
      </patternFill>
    </fill>
    <fill>
      <patternFill patternType="solid">
        <fgColor theme="0" tint="-0.249977111117893"/>
        <bgColor indexed="64"/>
      </patternFill>
    </fill>
    <fill>
      <patternFill patternType="solid">
        <fgColor theme="8" tint="0.59999389629810485"/>
        <bgColor indexed="64"/>
      </patternFill>
    </fill>
    <fill>
      <patternFill patternType="solid">
        <fgColor theme="9" tint="-0.24994659260841701"/>
        <bgColor indexed="64"/>
      </patternFill>
    </fill>
    <fill>
      <patternFill patternType="solid">
        <fgColor rgb="FFFFFF00"/>
        <bgColor indexed="64"/>
      </patternFill>
    </fill>
    <fill>
      <patternFill patternType="mediumGray"/>
    </fill>
    <fill>
      <patternFill patternType="solid">
        <fgColor theme="0" tint="-0.14999847407452621"/>
        <bgColor indexed="64"/>
      </patternFill>
    </fill>
    <fill>
      <patternFill patternType="solid">
        <fgColor theme="9" tint="0.39997558519241921"/>
        <bgColor indexed="64"/>
      </patternFill>
    </fill>
    <fill>
      <patternFill patternType="mediumGray">
        <bgColor theme="0" tint="-0.14999847407452621"/>
      </patternFill>
    </fill>
    <fill>
      <patternFill patternType="solid">
        <fgColor theme="9" tint="-0.249977111117893"/>
        <bgColor indexed="64"/>
      </patternFill>
    </fill>
    <fill>
      <patternFill patternType="darkGray">
        <bgColor theme="5" tint="0.59999389629810485"/>
      </patternFill>
    </fill>
    <fill>
      <patternFill patternType="solid">
        <fgColor theme="0" tint="-0.14996795556505021"/>
        <bgColor indexed="64"/>
      </patternFill>
    </fill>
    <fill>
      <patternFill patternType="solid">
        <fgColor theme="3" tint="-0.249977111117893"/>
        <bgColor indexed="64"/>
      </patternFill>
    </fill>
    <fill>
      <patternFill patternType="solid">
        <fgColor rgb="FFEFEBDE"/>
        <bgColor rgb="FF000000"/>
      </patternFill>
    </fill>
    <fill>
      <patternFill patternType="solid">
        <fgColor rgb="FFFFFFFF"/>
        <bgColor rgb="FF000000"/>
      </patternFill>
    </fill>
    <fill>
      <patternFill patternType="solid">
        <fgColor theme="1" tint="0.34998626667073579"/>
        <bgColor indexed="64"/>
      </patternFill>
    </fill>
    <fill>
      <patternFill patternType="solid">
        <fgColor theme="3" tint="0.79998168889431442"/>
        <bgColor indexed="64"/>
      </patternFill>
    </fill>
    <fill>
      <patternFill patternType="solid">
        <fgColor rgb="FFFFFF00"/>
        <bgColor rgb="FF000000"/>
      </patternFill>
    </fill>
    <fill>
      <patternFill patternType="solid">
        <fgColor rgb="FFFF0000"/>
        <bgColor rgb="FF000000"/>
      </patternFill>
    </fill>
    <fill>
      <patternFill patternType="solid">
        <fgColor theme="4" tint="0.39997558519241921"/>
        <bgColor indexed="64"/>
      </patternFill>
    </fill>
    <fill>
      <patternFill patternType="solid">
        <fgColor rgb="FF00FF00"/>
        <bgColor rgb="FF000000"/>
      </patternFill>
    </fill>
    <fill>
      <patternFill patternType="solid">
        <fgColor rgb="FF00B050"/>
        <bgColor indexed="64"/>
      </patternFill>
    </fill>
    <fill>
      <patternFill patternType="solid">
        <fgColor theme="7"/>
        <bgColor indexed="64"/>
      </patternFill>
    </fill>
    <fill>
      <patternFill patternType="solid">
        <fgColor rgb="FFFFC000"/>
        <bgColor indexed="64"/>
      </patternFill>
    </fill>
    <fill>
      <patternFill patternType="solid">
        <fgColor rgb="FFFF0000"/>
        <bgColor indexed="64"/>
      </patternFill>
    </fill>
    <fill>
      <patternFill patternType="solid">
        <fgColor theme="4" tint="0.79998168889431442"/>
        <bgColor indexed="64"/>
      </patternFill>
    </fill>
    <fill>
      <patternFill patternType="solid">
        <fgColor rgb="FFFFFF99"/>
        <bgColor indexed="64"/>
      </patternFill>
    </fill>
    <fill>
      <patternFill patternType="gray0625">
        <fgColor indexed="8"/>
      </patternFill>
    </fill>
    <fill>
      <patternFill patternType="solid">
        <fgColor rgb="FFFFFFFF"/>
        <bgColor indexed="64"/>
      </patternFill>
    </fill>
    <fill>
      <patternFill patternType="solid">
        <fgColor theme="4" tint="0.59999389629810485"/>
        <bgColor indexed="64"/>
      </patternFill>
    </fill>
  </fills>
  <borders count="69">
    <border>
      <left/>
      <right/>
      <top/>
      <bottom/>
      <diagonal/>
    </border>
    <border>
      <left style="medium">
        <color auto="1"/>
      </left>
      <right/>
      <top style="medium">
        <color auto="1"/>
      </top>
      <bottom/>
      <diagonal/>
    </border>
    <border>
      <left/>
      <right/>
      <top style="medium">
        <color indexed="64"/>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medium">
        <color auto="1"/>
      </left>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auto="1"/>
      </left>
      <right style="medium">
        <color indexed="64"/>
      </right>
      <top style="thin">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auto="1"/>
      </right>
      <top/>
      <bottom style="medium">
        <color auto="1"/>
      </bottom>
      <diagonal/>
    </border>
    <border>
      <left style="thin">
        <color indexed="64"/>
      </left>
      <right style="medium">
        <color indexed="64"/>
      </right>
      <top/>
      <bottom style="medium">
        <color indexed="64"/>
      </bottom>
      <diagonal/>
    </border>
    <border>
      <left style="medium">
        <color auto="1"/>
      </left>
      <right/>
      <top/>
      <bottom style="thin">
        <color auto="1"/>
      </bottom>
      <diagonal/>
    </border>
    <border>
      <left style="medium">
        <color indexed="64"/>
      </left>
      <right/>
      <top style="thin">
        <color indexed="64"/>
      </top>
      <bottom/>
      <diagonal/>
    </border>
    <border>
      <left/>
      <right style="medium">
        <color auto="1"/>
      </right>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A4BED4"/>
      </left>
      <right style="thin">
        <color rgb="FFA4BED4"/>
      </right>
      <top style="thin">
        <color rgb="FFA4BED4"/>
      </top>
      <bottom style="thin">
        <color rgb="FFA4BED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auto="1"/>
      </top>
      <bottom style="thin">
        <color auto="1"/>
      </bottom>
      <diagonal/>
    </border>
    <border>
      <left/>
      <right style="medium">
        <color indexed="64"/>
      </right>
      <top style="medium">
        <color indexed="64"/>
      </top>
      <bottom style="thin">
        <color indexed="64"/>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top style="medium">
        <color indexed="64"/>
      </top>
      <bottom style="thin">
        <color auto="1"/>
      </bottom>
      <diagonal/>
    </border>
    <border>
      <left/>
      <right style="thin">
        <color auto="1"/>
      </right>
      <top style="medium">
        <color auto="1"/>
      </top>
      <bottom style="thin">
        <color auto="1"/>
      </bottom>
      <diagonal/>
    </border>
    <border>
      <left style="thin">
        <color auto="1"/>
      </left>
      <right/>
      <top style="medium">
        <color indexed="64"/>
      </top>
      <bottom style="medium">
        <color indexed="64"/>
      </bottom>
      <diagonal/>
    </border>
    <border>
      <left/>
      <right style="medium">
        <color indexed="64"/>
      </right>
      <top style="thin">
        <color indexed="64"/>
      </top>
      <bottom/>
      <diagonal/>
    </border>
  </borders>
  <cellStyleXfs count="5">
    <xf numFmtId="0" fontId="0" fillId="0" borderId="0"/>
    <xf numFmtId="0" fontId="8" fillId="0" borderId="0"/>
    <xf numFmtId="44" fontId="22" fillId="0" borderId="0" applyFont="0" applyFill="0" applyBorder="0" applyAlignment="0" applyProtection="0"/>
    <xf numFmtId="9" fontId="22" fillId="0" borderId="0" applyFont="0" applyFill="0" applyBorder="0" applyAlignment="0" applyProtection="0"/>
    <xf numFmtId="43" fontId="8" fillId="0" borderId="0" applyFont="0" applyFill="0" applyBorder="0" applyAlignment="0" applyProtection="0"/>
  </cellStyleXfs>
  <cellXfs count="603">
    <xf numFmtId="0" fontId="0" fillId="0" borderId="0" xfId="0"/>
    <xf numFmtId="0" fontId="0" fillId="0" borderId="0" xfId="0" applyAlignment="1">
      <alignment horizontal="center"/>
    </xf>
    <xf numFmtId="0" fontId="0" fillId="0" borderId="21" xfId="0" applyBorder="1"/>
    <xf numFmtId="0" fontId="0" fillId="0" borderId="21" xfId="0" applyBorder="1" applyAlignment="1">
      <alignment horizontal="center"/>
    </xf>
    <xf numFmtId="0" fontId="0" fillId="0" borderId="25" xfId="0" applyBorder="1"/>
    <xf numFmtId="0" fontId="0" fillId="0" borderId="27" xfId="0" applyBorder="1"/>
    <xf numFmtId="0" fontId="0" fillId="0" borderId="14" xfId="0" applyBorder="1"/>
    <xf numFmtId="0" fontId="0" fillId="0" borderId="25" xfId="0" applyBorder="1" applyAlignment="1">
      <alignment horizontal="center"/>
    </xf>
    <xf numFmtId="0" fontId="0" fillId="0" borderId="27" xfId="0" applyBorder="1" applyAlignment="1">
      <alignment horizontal="center"/>
    </xf>
    <xf numFmtId="0" fontId="0" fillId="0" borderId="29"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3" fillId="0" borderId="6" xfId="0" applyFont="1" applyBorder="1" applyAlignment="1">
      <alignment horizontal="center"/>
    </xf>
    <xf numFmtId="0" fontId="3" fillId="0" borderId="9" xfId="0" applyFont="1" applyBorder="1" applyAlignment="1">
      <alignment horizontal="center"/>
    </xf>
    <xf numFmtId="0" fontId="5" fillId="0" borderId="0" xfId="0" applyFont="1"/>
    <xf numFmtId="0" fontId="0" fillId="0" borderId="2" xfId="0" applyBorder="1"/>
    <xf numFmtId="0" fontId="7" fillId="0" borderId="28" xfId="0" applyFont="1" applyBorder="1" applyAlignment="1">
      <alignment horizontal="center"/>
    </xf>
    <xf numFmtId="0" fontId="7" fillId="0" borderId="21" xfId="0" applyFont="1" applyBorder="1" applyAlignment="1">
      <alignment horizontal="center"/>
    </xf>
    <xf numFmtId="10" fontId="7" fillId="0" borderId="21" xfId="0" applyNumberFormat="1" applyFont="1" applyBorder="1" applyAlignment="1">
      <alignment horizontal="center"/>
    </xf>
    <xf numFmtId="0" fontId="1" fillId="4" borderId="22" xfId="0" applyFont="1" applyFill="1" applyBorder="1"/>
    <xf numFmtId="0" fontId="1" fillId="4" borderId="23" xfId="0" applyFont="1" applyFill="1" applyBorder="1"/>
    <xf numFmtId="0" fontId="1" fillId="4" borderId="24" xfId="0" applyFont="1" applyFill="1" applyBorder="1"/>
    <xf numFmtId="0" fontId="11" fillId="4" borderId="18" xfId="0" applyFont="1" applyFill="1" applyBorder="1" applyAlignment="1">
      <alignment horizontal="center"/>
    </xf>
    <xf numFmtId="0" fontId="11" fillId="4" borderId="25" xfId="0" applyFont="1" applyFill="1" applyBorder="1" applyAlignment="1">
      <alignment horizontal="center"/>
    </xf>
    <xf numFmtId="0" fontId="11" fillId="4" borderId="26" xfId="0" applyFont="1" applyFill="1" applyBorder="1" applyAlignment="1">
      <alignment horizontal="center"/>
    </xf>
    <xf numFmtId="0" fontId="0" fillId="0" borderId="5" xfId="0" applyBorder="1"/>
    <xf numFmtId="0" fontId="0" fillId="0" borderId="28" xfId="0" applyBorder="1" applyAlignment="1">
      <alignment horizontal="center"/>
    </xf>
    <xf numFmtId="0" fontId="0" fillId="0" borderId="30" xfId="0" applyBorder="1" applyAlignment="1">
      <alignment horizontal="center"/>
    </xf>
    <xf numFmtId="0" fontId="1" fillId="4" borderId="26" xfId="0" applyFont="1" applyFill="1" applyBorder="1" applyAlignment="1">
      <alignment horizontal="left"/>
    </xf>
    <xf numFmtId="164" fontId="0" fillId="0" borderId="28" xfId="0" applyNumberFormat="1" applyBorder="1" applyAlignment="1">
      <alignment horizontal="center"/>
    </xf>
    <xf numFmtId="164" fontId="0" fillId="0" borderId="21" xfId="0" applyNumberFormat="1" applyBorder="1" applyAlignment="1">
      <alignment horizontal="center"/>
    </xf>
    <xf numFmtId="164" fontId="0" fillId="0" borderId="30" xfId="0" applyNumberFormat="1" applyBorder="1" applyAlignment="1">
      <alignment horizontal="center"/>
    </xf>
    <xf numFmtId="0" fontId="3" fillId="0" borderId="10" xfId="0" applyFont="1" applyBorder="1" applyAlignment="1">
      <alignment horizontal="center" vertical="center"/>
    </xf>
    <xf numFmtId="0" fontId="2" fillId="0" borderId="0" xfId="0" applyFont="1" applyAlignment="1">
      <alignment horizontal="left"/>
    </xf>
    <xf numFmtId="0" fontId="0" fillId="0" borderId="4" xfId="0" applyBorder="1"/>
    <xf numFmtId="0" fontId="0" fillId="0" borderId="41" xfId="0" applyBorder="1" applyAlignment="1">
      <alignment horizontal="center" vertical="center"/>
    </xf>
    <xf numFmtId="0" fontId="0" fillId="0" borderId="24" xfId="0" applyBorder="1" applyAlignment="1">
      <alignment horizontal="center" vertical="center"/>
    </xf>
    <xf numFmtId="0" fontId="0" fillId="0" borderId="38" xfId="0" applyBorder="1" applyAlignment="1">
      <alignment horizontal="center" vertical="center"/>
    </xf>
    <xf numFmtId="0" fontId="0" fillId="0" borderId="29" xfId="0" applyBorder="1" applyAlignment="1">
      <alignment horizontal="left" vertical="center"/>
    </xf>
    <xf numFmtId="0" fontId="0" fillId="0" borderId="15" xfId="0" applyBorder="1" applyAlignment="1">
      <alignment horizontal="left" vertical="center"/>
    </xf>
    <xf numFmtId="0" fontId="0" fillId="0" borderId="17" xfId="0" applyBorder="1" applyAlignment="1">
      <alignment horizontal="left" vertical="center"/>
    </xf>
    <xf numFmtId="0" fontId="0" fillId="0" borderId="12" xfId="0" applyBorder="1" applyAlignment="1">
      <alignment horizontal="left" vertical="center"/>
    </xf>
    <xf numFmtId="0" fontId="1" fillId="4" borderId="0" xfId="0" applyFont="1" applyFill="1"/>
    <xf numFmtId="0" fontId="1" fillId="4" borderId="5" xfId="0" applyFont="1" applyFill="1" applyBorder="1"/>
    <xf numFmtId="0" fontId="10" fillId="4" borderId="6" xfId="0" applyFont="1" applyFill="1" applyBorder="1" applyAlignment="1">
      <alignment horizontal="center" vertical="center"/>
    </xf>
    <xf numFmtId="0" fontId="10" fillId="4" borderId="3" xfId="0" applyFont="1" applyFill="1" applyBorder="1" applyAlignment="1">
      <alignment horizontal="center" vertical="center"/>
    </xf>
    <xf numFmtId="0" fontId="3" fillId="0" borderId="0" xfId="0" applyFont="1"/>
    <xf numFmtId="0" fontId="3" fillId="7" borderId="10" xfId="0" applyFont="1" applyFill="1" applyBorder="1" applyAlignment="1">
      <alignment horizontal="center"/>
    </xf>
    <xf numFmtId="0" fontId="3" fillId="7" borderId="46" xfId="0" applyFont="1" applyFill="1" applyBorder="1" applyAlignment="1">
      <alignment horizontal="center"/>
    </xf>
    <xf numFmtId="0" fontId="3" fillId="7" borderId="10" xfId="0" applyFont="1" applyFill="1" applyBorder="1" applyAlignment="1">
      <alignment horizontal="center" wrapText="1"/>
    </xf>
    <xf numFmtId="0" fontId="3" fillId="8" borderId="10" xfId="0" applyFont="1" applyFill="1" applyBorder="1" applyAlignment="1">
      <alignment horizontal="center"/>
    </xf>
    <xf numFmtId="0" fontId="3" fillId="8" borderId="10" xfId="0" applyFont="1" applyFill="1" applyBorder="1" applyAlignment="1">
      <alignment horizontal="center" wrapText="1"/>
    </xf>
    <xf numFmtId="0" fontId="0" fillId="2" borderId="44" xfId="0" applyFill="1" applyBorder="1"/>
    <xf numFmtId="0" fontId="0" fillId="2" borderId="45" xfId="0" applyFill="1" applyBorder="1"/>
    <xf numFmtId="0" fontId="3" fillId="2" borderId="1" xfId="0" applyFont="1" applyFill="1" applyBorder="1"/>
    <xf numFmtId="0" fontId="3" fillId="2" borderId="0" xfId="0" applyFont="1" applyFill="1"/>
    <xf numFmtId="0" fontId="0" fillId="2" borderId="6" xfId="0" applyFill="1" applyBorder="1" applyAlignment="1">
      <alignment horizontal="center" vertical="center"/>
    </xf>
    <xf numFmtId="42" fontId="0" fillId="5" borderId="48" xfId="0" applyNumberFormat="1" applyFill="1" applyBorder="1" applyAlignment="1">
      <alignment vertical="center"/>
    </xf>
    <xf numFmtId="42" fontId="0" fillId="2" borderId="45" xfId="0" applyNumberFormat="1" applyFill="1" applyBorder="1" applyAlignment="1">
      <alignment vertical="center"/>
    </xf>
    <xf numFmtId="42" fontId="0" fillId="7" borderId="11" xfId="0" applyNumberFormat="1" applyFill="1" applyBorder="1" applyAlignment="1">
      <alignment horizontal="center" vertical="center"/>
    </xf>
    <xf numFmtId="42" fontId="0" fillId="2" borderId="0" xfId="0" applyNumberFormat="1" applyFill="1" applyAlignment="1">
      <alignment vertical="center"/>
    </xf>
    <xf numFmtId="42" fontId="0" fillId="8" borderId="11" xfId="0" applyNumberFormat="1" applyFill="1" applyBorder="1" applyAlignment="1">
      <alignment horizontal="center" vertical="center"/>
    </xf>
    <xf numFmtId="42" fontId="0" fillId="5" borderId="13" xfId="0" applyNumberFormat="1" applyFill="1" applyBorder="1" applyAlignment="1">
      <alignment vertical="center"/>
    </xf>
    <xf numFmtId="42" fontId="0" fillId="7" borderId="13" xfId="0" applyNumberFormat="1" applyFill="1" applyBorder="1" applyAlignment="1">
      <alignment horizontal="center" vertical="center"/>
    </xf>
    <xf numFmtId="42" fontId="0" fillId="8" borderId="13" xfId="0" applyNumberFormat="1" applyFill="1" applyBorder="1" applyAlignment="1">
      <alignment horizontal="center" vertical="center"/>
    </xf>
    <xf numFmtId="42" fontId="0" fillId="5" borderId="16" xfId="0" applyNumberFormat="1" applyFill="1" applyBorder="1" applyAlignment="1">
      <alignment vertical="center"/>
    </xf>
    <xf numFmtId="42" fontId="0" fillId="7" borderId="16" xfId="0" applyNumberFormat="1" applyFill="1" applyBorder="1" applyAlignment="1">
      <alignment horizontal="center" vertical="center"/>
    </xf>
    <xf numFmtId="42" fontId="0" fillId="8" borderId="16" xfId="0" applyNumberFormat="1" applyFill="1" applyBorder="1" applyAlignment="1">
      <alignment horizontal="center" vertical="center"/>
    </xf>
    <xf numFmtId="42" fontId="0" fillId="5" borderId="11" xfId="0" applyNumberFormat="1" applyFill="1" applyBorder="1" applyAlignment="1">
      <alignment vertical="center"/>
    </xf>
    <xf numFmtId="42" fontId="0" fillId="9" borderId="13" xfId="0" applyNumberFormat="1" applyFill="1" applyBorder="1" applyAlignment="1">
      <alignment horizontal="center" vertical="center"/>
    </xf>
    <xf numFmtId="0" fontId="3" fillId="0" borderId="5" xfId="0" applyFont="1" applyBorder="1"/>
    <xf numFmtId="42" fontId="3" fillId="6" borderId="10" xfId="0" applyNumberFormat="1" applyFont="1" applyFill="1" applyBorder="1" applyAlignment="1">
      <alignment vertical="center"/>
    </xf>
    <xf numFmtId="42" fontId="3" fillId="2" borderId="45" xfId="0" applyNumberFormat="1" applyFont="1" applyFill="1" applyBorder="1" applyAlignment="1">
      <alignment vertical="center"/>
    </xf>
    <xf numFmtId="42" fontId="3" fillId="6" borderId="10" xfId="0" applyNumberFormat="1" applyFont="1" applyFill="1" applyBorder="1" applyAlignment="1">
      <alignment horizontal="center" vertical="center"/>
    </xf>
    <xf numFmtId="42" fontId="3" fillId="2" borderId="0" xfId="0" applyNumberFormat="1" applyFont="1" applyFill="1" applyAlignment="1">
      <alignment vertical="center"/>
    </xf>
    <xf numFmtId="42" fontId="3" fillId="5" borderId="46" xfId="0" applyNumberFormat="1" applyFont="1" applyFill="1" applyBorder="1" applyAlignment="1">
      <alignment vertical="center"/>
    </xf>
    <xf numFmtId="42" fontId="3" fillId="7" borderId="10" xfId="0" applyNumberFormat="1" applyFont="1" applyFill="1" applyBorder="1" applyAlignment="1">
      <alignment horizontal="center" vertical="center"/>
    </xf>
    <xf numFmtId="42" fontId="3" fillId="2" borderId="46" xfId="0" applyNumberFormat="1" applyFont="1" applyFill="1" applyBorder="1" applyAlignment="1">
      <alignment vertical="center"/>
    </xf>
    <xf numFmtId="42" fontId="3" fillId="8" borderId="10" xfId="0" applyNumberFormat="1" applyFont="1" applyFill="1" applyBorder="1" applyAlignment="1">
      <alignment horizontal="center" vertical="center"/>
    </xf>
    <xf numFmtId="0" fontId="16" fillId="12" borderId="0" xfId="0" applyFont="1" applyFill="1"/>
    <xf numFmtId="0" fontId="16" fillId="12" borderId="0" xfId="0" applyFont="1" applyFill="1" applyAlignment="1">
      <alignment horizontal="left"/>
    </xf>
    <xf numFmtId="0" fontId="16" fillId="12" borderId="0" xfId="0" applyFont="1" applyFill="1" applyAlignment="1">
      <alignment horizontal="center"/>
    </xf>
    <xf numFmtId="42" fontId="16" fillId="12" borderId="0" xfId="0" applyNumberFormat="1" applyFont="1" applyFill="1"/>
    <xf numFmtId="42" fontId="0" fillId="0" borderId="21" xfId="0" applyNumberFormat="1" applyBorder="1"/>
    <xf numFmtId="42" fontId="0" fillId="0" borderId="0" xfId="0" applyNumberFormat="1"/>
    <xf numFmtId="42" fontId="16" fillId="12" borderId="0" xfId="0" applyNumberFormat="1" applyFont="1" applyFill="1" applyAlignment="1">
      <alignment horizontal="left"/>
    </xf>
    <xf numFmtId="42" fontId="3" fillId="11" borderId="0" xfId="0" applyNumberFormat="1" applyFont="1" applyFill="1" applyAlignment="1">
      <alignment horizontal="left"/>
    </xf>
    <xf numFmtId="42" fontId="16" fillId="13" borderId="0" xfId="0" applyNumberFormat="1" applyFont="1" applyFill="1"/>
    <xf numFmtId="0" fontId="17" fillId="13" borderId="0" xfId="0" applyFont="1" applyFill="1" applyAlignment="1">
      <alignment horizontal="left"/>
    </xf>
    <xf numFmtId="42" fontId="17" fillId="13" borderId="0" xfId="0" applyNumberFormat="1" applyFont="1" applyFill="1"/>
    <xf numFmtId="0" fontId="0" fillId="13" borderId="21" xfId="0" applyFill="1" applyBorder="1" applyAlignment="1">
      <alignment horizontal="center"/>
    </xf>
    <xf numFmtId="42" fontId="16" fillId="12" borderId="5" xfId="0" applyNumberFormat="1" applyFont="1" applyFill="1" applyBorder="1"/>
    <xf numFmtId="0" fontId="16" fillId="12" borderId="4" xfId="0" applyFont="1" applyFill="1" applyBorder="1" applyAlignment="1">
      <alignment horizontal="left"/>
    </xf>
    <xf numFmtId="42" fontId="3" fillId="11" borderId="5" xfId="0" applyNumberFormat="1" applyFont="1" applyFill="1" applyBorder="1"/>
    <xf numFmtId="42" fontId="11" fillId="4" borderId="10" xfId="0" applyNumberFormat="1" applyFont="1" applyFill="1" applyBorder="1"/>
    <xf numFmtId="42" fontId="3" fillId="11" borderId="47" xfId="0" applyNumberFormat="1" applyFont="1" applyFill="1" applyBorder="1" applyAlignment="1">
      <alignment horizontal="left"/>
    </xf>
    <xf numFmtId="42" fontId="3" fillId="11" borderId="9" xfId="0" applyNumberFormat="1" applyFont="1" applyFill="1" applyBorder="1"/>
    <xf numFmtId="0" fontId="3" fillId="11" borderId="47" xfId="0" applyFont="1" applyFill="1" applyBorder="1" applyAlignment="1">
      <alignment horizontal="right"/>
    </xf>
    <xf numFmtId="0" fontId="3" fillId="11" borderId="25" xfId="0" applyFont="1" applyFill="1" applyBorder="1" applyAlignment="1">
      <alignment horizontal="center"/>
    </xf>
    <xf numFmtId="42" fontId="16" fillId="12" borderId="49" xfId="0" applyNumberFormat="1" applyFont="1" applyFill="1" applyBorder="1"/>
    <xf numFmtId="42" fontId="3" fillId="11" borderId="9" xfId="0" applyNumberFormat="1" applyFont="1" applyFill="1" applyBorder="1" applyAlignment="1">
      <alignment horizontal="left"/>
    </xf>
    <xf numFmtId="42" fontId="15" fillId="10" borderId="10" xfId="0" applyNumberFormat="1" applyFont="1" applyFill="1" applyBorder="1"/>
    <xf numFmtId="42" fontId="0" fillId="14" borderId="21" xfId="0" applyNumberFormat="1" applyFill="1" applyBorder="1"/>
    <xf numFmtId="42" fontId="0" fillId="14" borderId="15" xfId="0" applyNumberFormat="1" applyFill="1" applyBorder="1"/>
    <xf numFmtId="0" fontId="0" fillId="15" borderId="0" xfId="0" applyFill="1" applyAlignment="1">
      <alignment horizontal="center"/>
    </xf>
    <xf numFmtId="0" fontId="0" fillId="15" borderId="0" xfId="0" applyFill="1"/>
    <xf numFmtId="42" fontId="0" fillId="15" borderId="0" xfId="0" applyNumberFormat="1" applyFill="1"/>
    <xf numFmtId="42" fontId="0" fillId="15" borderId="5" xfId="0" applyNumberFormat="1" applyFill="1" applyBorder="1"/>
    <xf numFmtId="42" fontId="18" fillId="12" borderId="0" xfId="0" applyNumberFormat="1" applyFont="1" applyFill="1"/>
    <xf numFmtId="42" fontId="16" fillId="12" borderId="50" xfId="0" applyNumberFormat="1" applyFont="1" applyFill="1" applyBorder="1" applyAlignment="1">
      <alignment horizontal="left"/>
    </xf>
    <xf numFmtId="42" fontId="2" fillId="13" borderId="21" xfId="0" applyNumberFormat="1" applyFont="1" applyFill="1" applyBorder="1"/>
    <xf numFmtId="9" fontId="0" fillId="16" borderId="0" xfId="0" applyNumberFormat="1" applyFill="1" applyAlignment="1">
      <alignment horizontal="center"/>
    </xf>
    <xf numFmtId="0" fontId="0" fillId="15" borderId="21" xfId="0" applyFill="1" applyBorder="1"/>
    <xf numFmtId="42" fontId="0" fillId="15" borderId="21" xfId="0" applyNumberFormat="1" applyFill="1" applyBorder="1"/>
    <xf numFmtId="42" fontId="0" fillId="17" borderId="21" xfId="0" applyNumberFormat="1" applyFill="1" applyBorder="1"/>
    <xf numFmtId="42" fontId="0" fillId="17" borderId="15" xfId="0" applyNumberFormat="1" applyFill="1" applyBorder="1"/>
    <xf numFmtId="0" fontId="3" fillId="7" borderId="10" xfId="0" applyFont="1" applyFill="1" applyBorder="1" applyAlignment="1">
      <alignment horizontal="right"/>
    </xf>
    <xf numFmtId="0" fontId="1" fillId="4" borderId="1" xfId="0" applyFont="1" applyFill="1" applyBorder="1"/>
    <xf numFmtId="0" fontId="1" fillId="4" borderId="2" xfId="0" applyFont="1" applyFill="1" applyBorder="1"/>
    <xf numFmtId="0" fontId="1" fillId="4" borderId="3" xfId="0" applyFont="1" applyFill="1" applyBorder="1"/>
    <xf numFmtId="42" fontId="1" fillId="4" borderId="0" xfId="0" applyNumberFormat="1" applyFont="1" applyFill="1" applyAlignment="1">
      <alignment horizontal="right"/>
    </xf>
    <xf numFmtId="42" fontId="1" fillId="4" borderId="5" xfId="0" applyNumberFormat="1" applyFont="1" applyFill="1" applyBorder="1"/>
    <xf numFmtId="0" fontId="1" fillId="4" borderId="10" xfId="0" applyFont="1" applyFill="1" applyBorder="1" applyAlignment="1">
      <alignment vertical="center" wrapText="1"/>
    </xf>
    <xf numFmtId="0" fontId="1" fillId="4" borderId="10" xfId="0" applyFont="1" applyFill="1" applyBorder="1" applyAlignment="1">
      <alignment horizontal="center" vertical="center" wrapText="1"/>
    </xf>
    <xf numFmtId="42" fontId="1" fillId="4" borderId="10" xfId="0" applyNumberFormat="1" applyFont="1" applyFill="1" applyBorder="1" applyAlignment="1">
      <alignment horizontal="center" vertical="center" wrapText="1"/>
    </xf>
    <xf numFmtId="0" fontId="17" fillId="18" borderId="0" xfId="0" applyFont="1" applyFill="1" applyAlignment="1">
      <alignment horizontal="left"/>
    </xf>
    <xf numFmtId="42" fontId="17" fillId="18" borderId="0" xfId="0" applyNumberFormat="1" applyFont="1" applyFill="1"/>
    <xf numFmtId="1" fontId="2" fillId="13" borderId="21" xfId="0" applyNumberFormat="1" applyFont="1" applyFill="1" applyBorder="1" applyAlignment="1">
      <alignment horizontal="center"/>
    </xf>
    <xf numFmtId="42" fontId="0" fillId="19" borderId="13" xfId="0" applyNumberFormat="1" applyFill="1" applyBorder="1" applyAlignment="1">
      <alignment horizontal="center" vertical="center"/>
    </xf>
    <xf numFmtId="1" fontId="1" fillId="4" borderId="10" xfId="0" applyNumberFormat="1" applyFont="1" applyFill="1" applyBorder="1" applyAlignment="1">
      <alignment horizontal="center" vertical="center" wrapText="1"/>
    </xf>
    <xf numFmtId="1" fontId="16" fillId="12" borderId="0" xfId="0" applyNumberFormat="1" applyFont="1" applyFill="1" applyAlignment="1">
      <alignment horizontal="center"/>
    </xf>
    <xf numFmtId="1" fontId="0" fillId="15" borderId="0" xfId="0" applyNumberFormat="1" applyFill="1" applyAlignment="1">
      <alignment horizontal="center"/>
    </xf>
    <xf numFmtId="1" fontId="0" fillId="0" borderId="21" xfId="0" applyNumberFormat="1" applyBorder="1" applyAlignment="1">
      <alignment horizontal="center"/>
    </xf>
    <xf numFmtId="1" fontId="17" fillId="13" borderId="0" xfId="0" applyNumberFormat="1" applyFont="1" applyFill="1" applyAlignment="1">
      <alignment horizontal="center"/>
    </xf>
    <xf numFmtId="1" fontId="19" fillId="2" borderId="21" xfId="0" applyNumberFormat="1" applyFont="1" applyFill="1" applyBorder="1" applyAlignment="1">
      <alignment horizontal="center"/>
    </xf>
    <xf numFmtId="1" fontId="0" fillId="15" borderId="21" xfId="0" applyNumberFormat="1" applyFill="1" applyBorder="1" applyAlignment="1">
      <alignment horizontal="center"/>
    </xf>
    <xf numFmtId="1" fontId="3" fillId="11" borderId="25" xfId="0" applyNumberFormat="1" applyFont="1" applyFill="1" applyBorder="1" applyAlignment="1">
      <alignment horizontal="left"/>
    </xf>
    <xf numFmtId="1" fontId="0" fillId="0" borderId="0" xfId="0" applyNumberFormat="1" applyAlignment="1">
      <alignment horizontal="center"/>
    </xf>
    <xf numFmtId="1" fontId="17" fillId="18" borderId="0" xfId="0" applyNumberFormat="1" applyFont="1" applyFill="1" applyAlignment="1">
      <alignment horizontal="center"/>
    </xf>
    <xf numFmtId="44" fontId="0" fillId="0" borderId="21" xfId="0" applyNumberFormat="1" applyBorder="1"/>
    <xf numFmtId="14" fontId="7" fillId="0" borderId="21" xfId="0" applyNumberFormat="1" applyFont="1" applyBorder="1" applyAlignment="1">
      <alignment horizontal="center"/>
    </xf>
    <xf numFmtId="14" fontId="0" fillId="0" borderId="5" xfId="0" applyNumberFormat="1" applyBorder="1" applyAlignment="1">
      <alignment horizontal="center"/>
    </xf>
    <xf numFmtId="0" fontId="0" fillId="0" borderId="18" xfId="0" applyBorder="1"/>
    <xf numFmtId="0" fontId="0" fillId="0" borderId="26" xfId="0" applyBorder="1"/>
    <xf numFmtId="0" fontId="0" fillId="0" borderId="45" xfId="0" applyBorder="1"/>
    <xf numFmtId="0" fontId="0" fillId="0" borderId="4" xfId="0" applyBorder="1" applyAlignment="1">
      <alignment horizontal="right" indent="1"/>
    </xf>
    <xf numFmtId="42" fontId="0" fillId="0" borderId="44" xfId="0" applyNumberFormat="1" applyBorder="1"/>
    <xf numFmtId="42" fontId="0" fillId="0" borderId="45" xfId="0" applyNumberFormat="1" applyBorder="1"/>
    <xf numFmtId="42" fontId="0" fillId="0" borderId="46" xfId="0" applyNumberFormat="1" applyBorder="1"/>
    <xf numFmtId="42" fontId="0" fillId="0" borderId="5" xfId="0" applyNumberFormat="1" applyBorder="1"/>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3" fillId="0" borderId="4" xfId="0" applyFont="1" applyBorder="1" applyAlignment="1">
      <alignment horizontal="right"/>
    </xf>
    <xf numFmtId="0" fontId="2" fillId="0" borderId="0" xfId="0" applyFont="1"/>
    <xf numFmtId="10" fontId="0" fillId="0" borderId="0" xfId="0" applyNumberFormat="1"/>
    <xf numFmtId="9" fontId="7" fillId="0" borderId="21" xfId="0" applyNumberFormat="1" applyFont="1" applyBorder="1" applyAlignment="1">
      <alignment horizontal="center"/>
    </xf>
    <xf numFmtId="42" fontId="3" fillId="6" borderId="44" xfId="0" applyNumberFormat="1" applyFont="1" applyFill="1" applyBorder="1" applyAlignment="1">
      <alignment vertical="center"/>
    </xf>
    <xf numFmtId="42" fontId="3" fillId="6" borderId="46" xfId="0" applyNumberFormat="1" applyFont="1" applyFill="1" applyBorder="1" applyAlignment="1">
      <alignment horizontal="center" vertical="center"/>
    </xf>
    <xf numFmtId="42" fontId="3" fillId="6" borderId="44" xfId="0" applyNumberFormat="1" applyFont="1" applyFill="1" applyBorder="1" applyAlignment="1">
      <alignment horizontal="center" vertical="center"/>
    </xf>
    <xf numFmtId="42" fontId="3" fillId="6" borderId="46" xfId="0" applyNumberFormat="1" applyFont="1" applyFill="1" applyBorder="1" applyAlignment="1">
      <alignment vertical="center"/>
    </xf>
    <xf numFmtId="0" fontId="0" fillId="2" borderId="47" xfId="0" applyFill="1" applyBorder="1" applyAlignment="1">
      <alignment horizontal="center" vertical="center"/>
    </xf>
    <xf numFmtId="42" fontId="0" fillId="2" borderId="10" xfId="0" applyNumberFormat="1" applyFill="1" applyBorder="1" applyAlignment="1">
      <alignment vertical="center"/>
    </xf>
    <xf numFmtId="42" fontId="0" fillId="2" borderId="10" xfId="0" applyNumberFormat="1" applyFill="1" applyBorder="1" applyAlignment="1">
      <alignment horizontal="center" vertical="center"/>
    </xf>
    <xf numFmtId="0" fontId="0" fillId="2" borderId="21" xfId="0" applyFill="1" applyBorder="1" applyAlignment="1">
      <alignment horizontal="center"/>
    </xf>
    <xf numFmtId="1" fontId="21" fillId="11" borderId="47" xfId="0" applyNumberFormat="1" applyFont="1" applyFill="1" applyBorder="1" applyAlignment="1">
      <alignment horizontal="right"/>
    </xf>
    <xf numFmtId="0" fontId="21" fillId="11" borderId="47" xfId="0" applyFont="1" applyFill="1" applyBorder="1" applyAlignment="1">
      <alignment horizontal="center"/>
    </xf>
    <xf numFmtId="9" fontId="21" fillId="11" borderId="47" xfId="0" applyNumberFormat="1" applyFont="1" applyFill="1" applyBorder="1" applyAlignment="1">
      <alignment horizontal="left"/>
    </xf>
    <xf numFmtId="9" fontId="21" fillId="11" borderId="25" xfId="0" applyNumberFormat="1" applyFont="1" applyFill="1" applyBorder="1" applyAlignment="1">
      <alignment horizontal="left"/>
    </xf>
    <xf numFmtId="1" fontId="21" fillId="11" borderId="25" xfId="0" applyNumberFormat="1" applyFont="1" applyFill="1" applyBorder="1" applyAlignment="1">
      <alignment horizontal="left"/>
    </xf>
    <xf numFmtId="0" fontId="21" fillId="11" borderId="25" xfId="0" applyFont="1" applyFill="1" applyBorder="1" applyAlignment="1">
      <alignment horizontal="center"/>
    </xf>
    <xf numFmtId="0" fontId="5" fillId="13" borderId="0" xfId="0" applyFont="1" applyFill="1"/>
    <xf numFmtId="9" fontId="0" fillId="0" borderId="21" xfId="0" applyNumberFormat="1" applyBorder="1" applyAlignment="1">
      <alignment horizontal="center"/>
    </xf>
    <xf numFmtId="0" fontId="4" fillId="0" borderId="0" xfId="0" applyFont="1"/>
    <xf numFmtId="9" fontId="23" fillId="0" borderId="0" xfId="0" applyNumberFormat="1" applyFont="1" applyAlignment="1">
      <alignment horizontal="left"/>
    </xf>
    <xf numFmtId="9" fontId="0" fillId="0" borderId="0" xfId="0" applyNumberFormat="1" applyAlignment="1">
      <alignment horizontal="center"/>
    </xf>
    <xf numFmtId="165" fontId="0" fillId="0" borderId="0" xfId="0" applyNumberFormat="1"/>
    <xf numFmtId="165" fontId="24" fillId="0" borderId="23" xfId="2" applyNumberFormat="1" applyFont="1" applyFill="1" applyBorder="1" applyAlignment="1">
      <alignment horizontal="center"/>
    </xf>
    <xf numFmtId="9" fontId="23" fillId="0" borderId="23" xfId="0" applyNumberFormat="1" applyFont="1" applyBorder="1" applyAlignment="1">
      <alignment horizontal="left"/>
    </xf>
    <xf numFmtId="9" fontId="0" fillId="0" borderId="52" xfId="3" applyFont="1" applyBorder="1" applyAlignment="1">
      <alignment horizontal="center"/>
    </xf>
    <xf numFmtId="165" fontId="0" fillId="0" borderId="24" xfId="2" applyNumberFormat="1" applyFont="1" applyFill="1" applyBorder="1" applyAlignment="1">
      <alignment horizontal="center"/>
    </xf>
    <xf numFmtId="9" fontId="25" fillId="0" borderId="53" xfId="0" applyNumberFormat="1" applyFont="1" applyBorder="1" applyAlignment="1">
      <alignment horizontal="center"/>
    </xf>
    <xf numFmtId="165" fontId="0" fillId="0" borderId="22" xfId="2" applyNumberFormat="1" applyFont="1" applyFill="1" applyBorder="1" applyAlignment="1">
      <alignment horizontal="center"/>
    </xf>
    <xf numFmtId="9" fontId="0" fillId="0" borderId="0" xfId="0" applyNumberFormat="1" applyAlignment="1">
      <alignment horizontal="left"/>
    </xf>
    <xf numFmtId="165" fontId="0" fillId="0" borderId="43" xfId="2" applyNumberFormat="1" applyFont="1" applyFill="1" applyBorder="1" applyAlignment="1">
      <alignment horizontal="center"/>
    </xf>
    <xf numFmtId="165" fontId="3" fillId="0" borderId="44" xfId="2" applyNumberFormat="1" applyFont="1" applyFill="1" applyBorder="1" applyAlignment="1">
      <alignment horizontal="center"/>
    </xf>
    <xf numFmtId="165" fontId="0" fillId="0" borderId="42" xfId="2" applyNumberFormat="1" applyFont="1" applyFill="1" applyBorder="1" applyAlignment="1">
      <alignment horizontal="center"/>
    </xf>
    <xf numFmtId="165" fontId="0" fillId="0" borderId="25" xfId="2" applyNumberFormat="1" applyFont="1" applyFill="1" applyBorder="1" applyAlignment="1">
      <alignment horizontal="center"/>
    </xf>
    <xf numFmtId="165" fontId="0" fillId="0" borderId="50" xfId="2" applyNumberFormat="1" applyFont="1" applyFill="1" applyBorder="1" applyAlignment="1">
      <alignment horizontal="center"/>
    </xf>
    <xf numFmtId="9" fontId="23" fillId="0" borderId="50" xfId="0" quotePrefix="1" applyNumberFormat="1" applyFont="1" applyBorder="1" applyAlignment="1">
      <alignment horizontal="left"/>
    </xf>
    <xf numFmtId="165" fontId="0" fillId="0" borderId="23" xfId="0" applyNumberFormat="1" applyBorder="1"/>
    <xf numFmtId="165" fontId="0" fillId="0" borderId="0" xfId="2" applyNumberFormat="1" applyFont="1" applyFill="1" applyAlignment="1">
      <alignment horizontal="center"/>
    </xf>
    <xf numFmtId="165" fontId="0" fillId="0" borderId="23" xfId="2" applyNumberFormat="1" applyFont="1" applyFill="1" applyBorder="1" applyAlignment="1">
      <alignment horizontal="center"/>
    </xf>
    <xf numFmtId="9" fontId="23" fillId="0" borderId="23" xfId="0" quotePrefix="1" applyNumberFormat="1" applyFont="1" applyBorder="1" applyAlignment="1">
      <alignment horizontal="left"/>
    </xf>
    <xf numFmtId="165" fontId="0" fillId="0" borderId="40" xfId="0" applyNumberFormat="1" applyBorder="1"/>
    <xf numFmtId="165" fontId="0" fillId="15" borderId="23" xfId="2" applyNumberFormat="1" applyFont="1" applyFill="1" applyBorder="1" applyAlignment="1">
      <alignment horizontal="center"/>
    </xf>
    <xf numFmtId="9" fontId="23" fillId="0" borderId="40" xfId="0" applyNumberFormat="1" applyFont="1" applyBorder="1" applyAlignment="1">
      <alignment horizontal="center" vertical="top" wrapText="1"/>
    </xf>
    <xf numFmtId="165" fontId="0" fillId="0" borderId="41" xfId="2" applyNumberFormat="1" applyFont="1" applyFill="1" applyBorder="1" applyAlignment="1">
      <alignment horizontal="center"/>
    </xf>
    <xf numFmtId="165" fontId="0" fillId="0" borderId="40" xfId="2" applyNumberFormat="1" applyFont="1" applyFill="1" applyBorder="1" applyAlignment="1">
      <alignment horizontal="center"/>
    </xf>
    <xf numFmtId="9" fontId="23" fillId="0" borderId="36" xfId="0" applyNumberFormat="1" applyFont="1" applyBorder="1" applyAlignment="1">
      <alignment vertical="top" wrapText="1"/>
    </xf>
    <xf numFmtId="9" fontId="26" fillId="0" borderId="36" xfId="0" applyNumberFormat="1" applyFont="1" applyBorder="1" applyAlignment="1">
      <alignment horizontal="center"/>
    </xf>
    <xf numFmtId="165" fontId="27" fillId="0" borderId="43" xfId="2" applyNumberFormat="1" applyFont="1" applyFill="1" applyBorder="1" applyAlignment="1">
      <alignment horizontal="center"/>
    </xf>
    <xf numFmtId="165" fontId="27" fillId="0" borderId="0" xfId="2" applyNumberFormat="1" applyFont="1" applyFill="1" applyAlignment="1">
      <alignment horizontal="center"/>
    </xf>
    <xf numFmtId="0" fontId="0" fillId="0" borderId="0" xfId="0" applyAlignment="1">
      <alignment horizontal="right" indent="1"/>
    </xf>
    <xf numFmtId="9" fontId="23" fillId="0" borderId="40" xfId="0" applyNumberFormat="1" applyFont="1" applyBorder="1" applyAlignment="1">
      <alignment horizontal="left"/>
    </xf>
    <xf numFmtId="0" fontId="0" fillId="0" borderId="43" xfId="0" quotePrefix="1" applyBorder="1" applyAlignment="1">
      <alignment horizontal="center"/>
    </xf>
    <xf numFmtId="0" fontId="0" fillId="0" borderId="42" xfId="0" quotePrefix="1" applyBorder="1" applyAlignment="1">
      <alignment horizontal="center"/>
    </xf>
    <xf numFmtId="0" fontId="0" fillId="3" borderId="41" xfId="0" applyFill="1" applyBorder="1"/>
    <xf numFmtId="0" fontId="0" fillId="3" borderId="39" xfId="0" applyFill="1" applyBorder="1"/>
    <xf numFmtId="0" fontId="30" fillId="11" borderId="21" xfId="0" applyFont="1" applyFill="1" applyBorder="1" applyAlignment="1">
      <alignment horizontal="left" indent="2"/>
    </xf>
    <xf numFmtId="0" fontId="30" fillId="20" borderId="21" xfId="0" applyFont="1" applyFill="1" applyBorder="1" applyAlignment="1">
      <alignment horizontal="left" indent="2"/>
    </xf>
    <xf numFmtId="0" fontId="0" fillId="3" borderId="43" xfId="0" applyFill="1" applyBorder="1"/>
    <xf numFmtId="0" fontId="0" fillId="3" borderId="42" xfId="0" applyFill="1" applyBorder="1"/>
    <xf numFmtId="0" fontId="0" fillId="0" borderId="0" xfId="0" applyAlignment="1">
      <alignment horizontal="left" indent="2"/>
    </xf>
    <xf numFmtId="0" fontId="0" fillId="3" borderId="38" xfId="0" applyFill="1" applyBorder="1"/>
    <xf numFmtId="0" fontId="0" fillId="3" borderId="37" xfId="0" applyFill="1" applyBorder="1"/>
    <xf numFmtId="0" fontId="31" fillId="0" borderId="0" xfId="0" applyFont="1"/>
    <xf numFmtId="0" fontId="0" fillId="21" borderId="40" xfId="0" applyFill="1" applyBorder="1"/>
    <xf numFmtId="14" fontId="30" fillId="11" borderId="21" xfId="0" applyNumberFormat="1" applyFont="1" applyFill="1" applyBorder="1" applyAlignment="1">
      <alignment horizontal="center"/>
    </xf>
    <xf numFmtId="165" fontId="0" fillId="11" borderId="0" xfId="2" applyNumberFormat="1" applyFont="1" applyFill="1" applyAlignment="1">
      <alignment horizontal="center"/>
    </xf>
    <xf numFmtId="165" fontId="27" fillId="11" borderId="0" xfId="2" applyNumberFormat="1" applyFont="1" applyFill="1" applyAlignment="1">
      <alignment horizontal="center"/>
    </xf>
    <xf numFmtId="9" fontId="19" fillId="11" borderId="39" xfId="0" applyNumberFormat="1" applyFont="1" applyFill="1" applyBorder="1" applyAlignment="1">
      <alignment horizontal="center"/>
    </xf>
    <xf numFmtId="0" fontId="36" fillId="0" borderId="0" xfId="0" applyFont="1"/>
    <xf numFmtId="0" fontId="36" fillId="0" borderId="0" xfId="0" applyFont="1" applyAlignment="1">
      <alignment vertical="center" wrapText="1"/>
    </xf>
    <xf numFmtId="3" fontId="0" fillId="0" borderId="21" xfId="0" applyNumberFormat="1" applyBorder="1" applyAlignment="1">
      <alignment horizontal="center"/>
    </xf>
    <xf numFmtId="0" fontId="16" fillId="12" borderId="0" xfId="0" applyFont="1" applyFill="1" applyAlignment="1">
      <alignment wrapText="1"/>
    </xf>
    <xf numFmtId="0" fontId="0" fillId="0" borderId="21" xfId="0" applyBorder="1" applyAlignment="1">
      <alignment wrapText="1"/>
    </xf>
    <xf numFmtId="0" fontId="0" fillId="0" borderId="0" xfId="0" applyAlignment="1">
      <alignment wrapText="1"/>
    </xf>
    <xf numFmtId="166" fontId="7" fillId="0" borderId="21" xfId="0" applyNumberFormat="1" applyFont="1" applyBorder="1" applyAlignment="1">
      <alignment horizontal="center"/>
    </xf>
    <xf numFmtId="0" fontId="2" fillId="0" borderId="29" xfId="0" applyFont="1" applyBorder="1"/>
    <xf numFmtId="0" fontId="2" fillId="0" borderId="15" xfId="0" applyFont="1" applyBorder="1"/>
    <xf numFmtId="0" fontId="37" fillId="22" borderId="58" xfId="0" applyFont="1" applyFill="1" applyBorder="1" applyAlignment="1">
      <alignment horizontal="center" vertical="center" wrapText="1"/>
    </xf>
    <xf numFmtId="0" fontId="8" fillId="0" borderId="0" xfId="0" applyFont="1"/>
    <xf numFmtId="0" fontId="37" fillId="23" borderId="58" xfId="0" applyFont="1" applyFill="1" applyBorder="1" applyAlignment="1">
      <alignment horizontal="left" vertical="center"/>
    </xf>
    <xf numFmtId="14" fontId="37" fillId="23" borderId="58" xfId="0" applyNumberFormat="1" applyFont="1" applyFill="1" applyBorder="1" applyAlignment="1">
      <alignment horizontal="left" vertical="center"/>
    </xf>
    <xf numFmtId="14" fontId="7" fillId="13" borderId="21" xfId="0" applyNumberFormat="1" applyFont="1" applyFill="1" applyBorder="1" applyAlignment="1">
      <alignment horizontal="center"/>
    </xf>
    <xf numFmtId="0" fontId="0" fillId="0" borderId="31" xfId="0" applyBorder="1"/>
    <xf numFmtId="14" fontId="7" fillId="0" borderId="59" xfId="0" applyNumberFormat="1" applyFont="1" applyBorder="1" applyAlignment="1">
      <alignment horizontal="center"/>
    </xf>
    <xf numFmtId="0" fontId="2" fillId="0" borderId="32" xfId="0" applyFont="1" applyBorder="1"/>
    <xf numFmtId="42" fontId="37" fillId="23" borderId="58" xfId="0" applyNumberFormat="1" applyFont="1" applyFill="1" applyBorder="1" applyAlignment="1">
      <alignment horizontal="right" vertical="center"/>
    </xf>
    <xf numFmtId="0" fontId="36" fillId="0" borderId="4" xfId="0" applyFont="1" applyBorder="1" applyAlignment="1">
      <alignment vertical="center" wrapText="1"/>
    </xf>
    <xf numFmtId="42" fontId="19" fillId="0" borderId="21" xfId="0" applyNumberFormat="1" applyFont="1" applyBorder="1"/>
    <xf numFmtId="1" fontId="19" fillId="0" borderId="21" xfId="0" applyNumberFormat="1" applyFont="1" applyBorder="1" applyAlignment="1">
      <alignment horizontal="center"/>
    </xf>
    <xf numFmtId="0" fontId="19" fillId="0" borderId="21" xfId="0" applyFont="1" applyBorder="1" applyAlignment="1">
      <alignment horizontal="center"/>
    </xf>
    <xf numFmtId="0" fontId="1" fillId="4" borderId="5" xfId="0" applyFont="1" applyFill="1" applyBorder="1" applyAlignment="1">
      <alignment vertical="center"/>
    </xf>
    <xf numFmtId="14" fontId="1" fillId="4" borderId="4" xfId="0" applyNumberFormat="1" applyFont="1" applyFill="1" applyBorder="1" applyAlignment="1">
      <alignment horizontal="right" vertical="center"/>
    </xf>
    <xf numFmtId="0" fontId="5" fillId="0" borderId="15" xfId="0" applyFont="1" applyBorder="1"/>
    <xf numFmtId="0" fontId="39" fillId="0" borderId="0" xfId="0" applyFont="1"/>
    <xf numFmtId="0" fontId="3" fillId="0" borderId="1" xfId="0" applyFont="1" applyBorder="1"/>
    <xf numFmtId="0" fontId="0" fillId="0" borderId="3" xfId="0" applyBorder="1"/>
    <xf numFmtId="0" fontId="3" fillId="0" borderId="4" xfId="0" applyFont="1" applyBorder="1"/>
    <xf numFmtId="16" fontId="0" fillId="0" borderId="5" xfId="0" quotePrefix="1" applyNumberFormat="1" applyBorder="1"/>
    <xf numFmtId="0" fontId="3" fillId="0" borderId="18" xfId="0" applyFont="1" applyBorder="1"/>
    <xf numFmtId="0" fontId="15" fillId="15" borderId="37" xfId="0" applyFont="1" applyFill="1" applyBorder="1" applyAlignment="1">
      <alignment horizontal="left" vertical="center"/>
    </xf>
    <xf numFmtId="0" fontId="0" fillId="15" borderId="36" xfId="0" applyFill="1" applyBorder="1"/>
    <xf numFmtId="0" fontId="40" fillId="0" borderId="0" xfId="0" applyFont="1"/>
    <xf numFmtId="0" fontId="3" fillId="15" borderId="7" xfId="0" applyFont="1" applyFill="1" applyBorder="1" applyAlignment="1">
      <alignment horizontal="center" vertical="center"/>
    </xf>
    <xf numFmtId="0" fontId="15" fillId="15" borderId="57" xfId="0" applyFont="1" applyFill="1" applyBorder="1" applyAlignment="1">
      <alignment horizontal="left" vertical="center"/>
    </xf>
    <xf numFmtId="0" fontId="15" fillId="15" borderId="57" xfId="0" applyFont="1" applyFill="1" applyBorder="1" applyAlignment="1">
      <alignment horizontal="center" vertical="center"/>
    </xf>
    <xf numFmtId="0" fontId="3" fillId="15" borderId="57" xfId="0" applyFont="1" applyFill="1" applyBorder="1" applyAlignment="1">
      <alignment horizontal="center" vertical="center"/>
    </xf>
    <xf numFmtId="0" fontId="3" fillId="15" borderId="8" xfId="0" applyFont="1" applyFill="1" applyBorder="1" applyAlignment="1">
      <alignment horizontal="center" vertical="center"/>
    </xf>
    <xf numFmtId="0" fontId="3" fillId="15" borderId="42" xfId="0" applyFont="1" applyFill="1" applyBorder="1" applyAlignment="1">
      <alignment horizontal="center" vertical="center"/>
    </xf>
    <xf numFmtId="0" fontId="2" fillId="6" borderId="28" xfId="0" applyFont="1" applyFill="1" applyBorder="1" applyAlignment="1" applyProtection="1">
      <alignment horizontal="center" vertical="center"/>
      <protection locked="0"/>
    </xf>
    <xf numFmtId="0" fontId="0" fillId="6" borderId="63" xfId="0" applyFill="1" applyBorder="1" applyAlignment="1">
      <alignment horizontal="center" vertical="center"/>
    </xf>
    <xf numFmtId="0" fontId="0" fillId="6" borderId="64" xfId="0" applyFill="1" applyBorder="1" applyAlignment="1">
      <alignment horizontal="center" vertical="center"/>
    </xf>
    <xf numFmtId="0" fontId="42" fillId="6" borderId="27" xfId="0" applyFont="1" applyFill="1" applyBorder="1" applyAlignment="1">
      <alignment horizontal="center" vertical="center"/>
    </xf>
    <xf numFmtId="0" fontId="19" fillId="25" borderId="28" xfId="0" applyFont="1" applyFill="1" applyBorder="1" applyAlignment="1">
      <alignment horizontal="left" vertical="center"/>
    </xf>
    <xf numFmtId="0" fontId="2" fillId="0" borderId="65" xfId="0" applyFont="1" applyBorder="1" applyAlignment="1" applyProtection="1">
      <alignment horizontal="center" vertical="center"/>
      <protection locked="0"/>
    </xf>
    <xf numFmtId="0" fontId="0" fillId="0" borderId="10" xfId="0" applyBorder="1" applyAlignment="1">
      <alignment horizontal="center" vertical="center"/>
    </xf>
    <xf numFmtId="0" fontId="0" fillId="0" borderId="66" xfId="0" applyBorder="1" applyAlignment="1">
      <alignment horizontal="center" vertical="center"/>
    </xf>
    <xf numFmtId="0" fontId="0" fillId="0" borderId="28" xfId="0" applyBorder="1" applyAlignment="1">
      <alignment horizontal="center" vertical="center"/>
    </xf>
    <xf numFmtId="0" fontId="0" fillId="0" borderId="65" xfId="0" applyBorder="1" applyAlignment="1">
      <alignment horizontal="center" vertical="center"/>
    </xf>
    <xf numFmtId="0" fontId="0" fillId="0" borderId="3"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31" xfId="0" applyBorder="1" applyAlignment="1">
      <alignment horizontal="center" vertical="center"/>
    </xf>
    <xf numFmtId="0" fontId="0" fillId="0" borderId="30" xfId="0" applyBorder="1" applyAlignment="1">
      <alignment horizontal="center" vertical="center"/>
    </xf>
    <xf numFmtId="0" fontId="0" fillId="0" borderId="59" xfId="0" applyBorder="1" applyAlignment="1">
      <alignment horizontal="center" vertical="center"/>
    </xf>
    <xf numFmtId="0" fontId="0" fillId="0" borderId="32" xfId="0" applyBorder="1" applyAlignment="1">
      <alignment horizontal="center" vertical="center"/>
    </xf>
    <xf numFmtId="0" fontId="2" fillId="0" borderId="28" xfId="0" applyFont="1" applyBorder="1" applyAlignment="1" applyProtection="1">
      <alignment horizontal="center" vertical="center"/>
      <protection locked="0"/>
    </xf>
    <xf numFmtId="0" fontId="0" fillId="0" borderId="51" xfId="0" applyBorder="1" applyAlignment="1">
      <alignment horizontal="center" vertical="center"/>
    </xf>
    <xf numFmtId="0" fontId="42" fillId="6" borderId="1" xfId="0" applyFont="1" applyFill="1" applyBorder="1" applyAlignment="1">
      <alignment horizontal="center" vertical="center"/>
    </xf>
    <xf numFmtId="0" fontId="19" fillId="25" borderId="54" xfId="0" applyFont="1" applyFill="1" applyBorder="1" applyAlignment="1">
      <alignment horizontal="left" vertical="center"/>
    </xf>
    <xf numFmtId="0" fontId="44" fillId="26" borderId="27" xfId="0" applyFont="1" applyFill="1" applyBorder="1" applyAlignment="1">
      <alignment horizontal="center" vertical="center" wrapText="1"/>
    </xf>
    <xf numFmtId="0" fontId="44" fillId="27" borderId="28" xfId="0" applyFont="1" applyFill="1" applyBorder="1" applyAlignment="1">
      <alignment horizontal="center" vertical="center" wrapText="1"/>
    </xf>
    <xf numFmtId="0" fontId="44" fillId="27" borderId="29" xfId="0" applyFont="1" applyFill="1" applyBorder="1" applyAlignment="1">
      <alignment horizontal="center" vertical="center" wrapText="1"/>
    </xf>
    <xf numFmtId="0" fontId="44" fillId="26" borderId="14" xfId="0" applyFont="1" applyFill="1" applyBorder="1" applyAlignment="1">
      <alignment horizontal="center" vertical="center" wrapText="1"/>
    </xf>
    <xf numFmtId="0" fontId="44" fillId="26" borderId="21" xfId="0" applyFont="1" applyFill="1" applyBorder="1" applyAlignment="1">
      <alignment horizontal="center" vertical="center" wrapText="1"/>
    </xf>
    <xf numFmtId="0" fontId="44" fillId="27" borderId="21" xfId="0" applyFont="1" applyFill="1" applyBorder="1" applyAlignment="1">
      <alignment horizontal="center" vertical="center" wrapText="1"/>
    </xf>
    <xf numFmtId="0" fontId="44" fillId="27" borderId="15" xfId="0" applyFont="1" applyFill="1" applyBorder="1" applyAlignment="1">
      <alignment horizontal="center" vertical="center" wrapText="1"/>
    </xf>
    <xf numFmtId="0" fontId="2" fillId="28" borderId="28" xfId="0" applyFont="1" applyFill="1" applyBorder="1" applyAlignment="1" applyProtection="1">
      <alignment horizontal="center" vertical="center"/>
      <protection locked="0"/>
    </xf>
    <xf numFmtId="0" fontId="0" fillId="28" borderId="28" xfId="0" applyFill="1" applyBorder="1" applyAlignment="1">
      <alignment horizontal="center" vertical="center"/>
    </xf>
    <xf numFmtId="0" fontId="0" fillId="28" borderId="29" xfId="0" applyFill="1" applyBorder="1" applyAlignment="1">
      <alignment horizontal="center" vertical="center"/>
    </xf>
    <xf numFmtId="0" fontId="44" fillId="29" borderId="14" xfId="0" applyFont="1" applyFill="1" applyBorder="1" applyAlignment="1">
      <alignment horizontal="center" vertical="center" wrapText="1"/>
    </xf>
    <xf numFmtId="0" fontId="42" fillId="28" borderId="27" xfId="0" applyFont="1" applyFill="1" applyBorder="1" applyAlignment="1">
      <alignment horizontal="center" vertical="center"/>
    </xf>
    <xf numFmtId="0" fontId="44" fillId="29" borderId="21" xfId="0" applyFont="1" applyFill="1" applyBorder="1" applyAlignment="1">
      <alignment horizontal="center" vertical="center" wrapText="1"/>
    </xf>
    <xf numFmtId="0" fontId="44" fillId="13" borderId="21" xfId="0" applyFont="1" applyFill="1" applyBorder="1" applyAlignment="1">
      <alignment horizontal="center" vertical="center" wrapText="1"/>
    </xf>
    <xf numFmtId="0" fontId="44" fillId="29" borderId="19" xfId="0" applyFont="1" applyFill="1" applyBorder="1" applyAlignment="1">
      <alignment horizontal="center" vertical="center" wrapText="1"/>
    </xf>
    <xf numFmtId="0" fontId="44" fillId="29" borderId="30" xfId="0" applyFont="1" applyFill="1" applyBorder="1" applyAlignment="1">
      <alignment horizontal="center" vertical="center" wrapText="1"/>
    </xf>
    <xf numFmtId="0" fontId="44" fillId="13" borderId="30" xfId="0" applyFont="1" applyFill="1" applyBorder="1" applyAlignment="1">
      <alignment horizontal="center" vertical="center" wrapText="1"/>
    </xf>
    <xf numFmtId="0" fontId="44" fillId="26" borderId="20" xfId="0" applyFont="1" applyFill="1" applyBorder="1" applyAlignment="1">
      <alignment horizontal="center" vertical="center" wrapText="1"/>
    </xf>
    <xf numFmtId="0" fontId="0" fillId="0" borderId="29" xfId="0" applyBorder="1" applyAlignment="1">
      <alignment horizontal="center" vertical="center"/>
    </xf>
    <xf numFmtId="0" fontId="45" fillId="0" borderId="18" xfId="0" applyFont="1" applyBorder="1"/>
    <xf numFmtId="0" fontId="0" fillId="30" borderId="0" xfId="0" applyFill="1"/>
    <xf numFmtId="0" fontId="2" fillId="32" borderId="28" xfId="0" applyFont="1" applyFill="1" applyBorder="1" applyAlignment="1" applyProtection="1">
      <alignment horizontal="center" vertical="center"/>
      <protection locked="0"/>
    </xf>
    <xf numFmtId="0" fontId="0" fillId="32" borderId="28" xfId="0" applyFill="1" applyBorder="1" applyAlignment="1">
      <alignment horizontal="center" vertical="center"/>
    </xf>
    <xf numFmtId="0" fontId="0" fillId="32" borderId="29" xfId="0" applyFill="1" applyBorder="1" applyAlignment="1">
      <alignment horizontal="center" vertical="center"/>
    </xf>
    <xf numFmtId="0" fontId="0" fillId="13" borderId="0" xfId="0" applyFill="1"/>
    <xf numFmtId="0" fontId="3" fillId="31" borderId="27" xfId="0" applyFont="1" applyFill="1" applyBorder="1" applyAlignment="1">
      <alignment horizontal="center" vertical="center"/>
    </xf>
    <xf numFmtId="0" fontId="0" fillId="25" borderId="28" xfId="0" applyFill="1" applyBorder="1" applyAlignment="1">
      <alignment horizontal="left" vertical="center"/>
    </xf>
    <xf numFmtId="0" fontId="0" fillId="33" borderId="0" xfId="0" applyFill="1"/>
    <xf numFmtId="0" fontId="46" fillId="31" borderId="27" xfId="0" applyFont="1" applyFill="1" applyBorder="1" applyAlignment="1">
      <alignment horizontal="center" vertical="center"/>
    </xf>
    <xf numFmtId="0" fontId="47" fillId="25" borderId="28" xfId="0" applyFont="1" applyFill="1" applyBorder="1" applyAlignment="1">
      <alignment horizontal="left" vertical="center"/>
    </xf>
    <xf numFmtId="0" fontId="48" fillId="0" borderId="28" xfId="0" applyFont="1" applyBorder="1" applyAlignment="1" applyProtection="1">
      <alignment horizontal="center" vertical="center"/>
      <protection locked="0"/>
    </xf>
    <xf numFmtId="0" fontId="47" fillId="0" borderId="28" xfId="0" applyFont="1" applyBorder="1" applyAlignment="1">
      <alignment horizontal="center" vertical="center"/>
    </xf>
    <xf numFmtId="0" fontId="47" fillId="0" borderId="0" xfId="0" applyFont="1"/>
    <xf numFmtId="0" fontId="3" fillId="34" borderId="27" xfId="0" applyFont="1" applyFill="1" applyBorder="1" applyAlignment="1">
      <alignment horizontal="center" vertical="center"/>
    </xf>
    <xf numFmtId="0" fontId="47" fillId="13" borderId="28" xfId="0" applyFont="1" applyFill="1" applyBorder="1" applyAlignment="1">
      <alignment horizontal="left" vertical="center"/>
    </xf>
    <xf numFmtId="0" fontId="47" fillId="0" borderId="29" xfId="0" applyFont="1" applyBorder="1" applyAlignment="1">
      <alignment horizontal="center" vertical="center"/>
    </xf>
    <xf numFmtId="0" fontId="3" fillId="34" borderId="14" xfId="0" applyFont="1" applyFill="1" applyBorder="1" applyAlignment="1">
      <alignment horizontal="center" vertical="center"/>
    </xf>
    <xf numFmtId="0" fontId="47" fillId="13" borderId="21" xfId="0" applyFont="1" applyFill="1" applyBorder="1" applyAlignment="1">
      <alignment horizontal="left" vertical="center"/>
    </xf>
    <xf numFmtId="0" fontId="48" fillId="0" borderId="21" xfId="0" applyFont="1" applyBorder="1" applyAlignment="1" applyProtection="1">
      <alignment horizontal="center" vertical="center"/>
      <protection locked="0"/>
    </xf>
    <xf numFmtId="0" fontId="47" fillId="0" borderId="21" xfId="0" applyFont="1" applyBorder="1" applyAlignment="1">
      <alignment horizontal="center" vertical="center"/>
    </xf>
    <xf numFmtId="0" fontId="47" fillId="0" borderId="15" xfId="0" applyFont="1" applyBorder="1" applyAlignment="1">
      <alignment horizontal="center" vertical="center"/>
    </xf>
    <xf numFmtId="16" fontId="47" fillId="0" borderId="21" xfId="0" quotePrefix="1" applyNumberFormat="1" applyFont="1" applyBorder="1" applyAlignment="1">
      <alignment horizontal="center" vertical="center"/>
    </xf>
    <xf numFmtId="0" fontId="48" fillId="0" borderId="21" xfId="0" applyFont="1" applyBorder="1" applyAlignment="1" applyProtection="1">
      <alignment horizontal="center" vertical="center" wrapText="1"/>
      <protection locked="0"/>
    </xf>
    <xf numFmtId="0" fontId="47" fillId="0" borderId="21" xfId="0" quotePrefix="1" applyFont="1" applyBorder="1" applyAlignment="1">
      <alignment horizontal="center" vertical="center"/>
    </xf>
    <xf numFmtId="0" fontId="3" fillId="34" borderId="19" xfId="0" applyFont="1" applyFill="1" applyBorder="1" applyAlignment="1">
      <alignment horizontal="center" vertical="center"/>
    </xf>
    <xf numFmtId="0" fontId="47" fillId="13" borderId="30" xfId="0" applyFont="1" applyFill="1" applyBorder="1" applyAlignment="1">
      <alignment horizontal="left" vertical="center"/>
    </xf>
    <xf numFmtId="0" fontId="48" fillId="0" borderId="30" xfId="0" applyFont="1" applyBorder="1" applyAlignment="1" applyProtection="1">
      <alignment horizontal="center" vertical="center" wrapText="1"/>
      <protection locked="0"/>
    </xf>
    <xf numFmtId="0" fontId="47" fillId="0" borderId="30" xfId="0" applyFont="1" applyBorder="1" applyAlignment="1">
      <alignment horizontal="center" vertical="center"/>
    </xf>
    <xf numFmtId="0" fontId="47" fillId="0" borderId="20" xfId="0" applyFont="1" applyBorder="1" applyAlignment="1">
      <alignment horizontal="center" vertical="center"/>
    </xf>
    <xf numFmtId="0" fontId="0" fillId="13" borderId="7" xfId="0" applyFill="1" applyBorder="1" applyAlignment="1">
      <alignment horizontal="center" vertical="center"/>
    </xf>
    <xf numFmtId="0" fontId="0" fillId="13" borderId="57" xfId="0" applyFill="1" applyBorder="1" applyAlignment="1">
      <alignment horizontal="center" vertical="center"/>
    </xf>
    <xf numFmtId="0" fontId="0" fillId="13" borderId="67" xfId="0" applyFill="1" applyBorder="1" applyAlignment="1">
      <alignment horizontal="center" vertical="center"/>
    </xf>
    <xf numFmtId="0" fontId="0" fillId="13" borderId="10" xfId="0" applyFill="1" applyBorder="1" applyAlignment="1">
      <alignment horizontal="center" vertical="center"/>
    </xf>
    <xf numFmtId="0" fontId="3" fillId="0" borderId="47" xfId="0" applyFont="1" applyBorder="1" applyAlignment="1">
      <alignment horizontal="center"/>
    </xf>
    <xf numFmtId="0" fontId="49" fillId="0" borderId="0" xfId="0" applyFont="1"/>
    <xf numFmtId="0" fontId="0" fillId="0" borderId="21" xfId="0" applyBorder="1" applyAlignment="1">
      <alignment horizontal="left" vertical="center"/>
    </xf>
    <xf numFmtId="0" fontId="3" fillId="0" borderId="3" xfId="0" applyFont="1" applyBorder="1"/>
    <xf numFmtId="0" fontId="3" fillId="0" borderId="26" xfId="0" applyFont="1" applyBorder="1"/>
    <xf numFmtId="0" fontId="3" fillId="0" borderId="44" xfId="0" applyFont="1" applyBorder="1" applyAlignment="1">
      <alignment wrapText="1"/>
    </xf>
    <xf numFmtId="0" fontId="0" fillId="0" borderId="45" xfId="0" applyBorder="1" applyAlignment="1">
      <alignment wrapText="1"/>
    </xf>
    <xf numFmtId="0" fontId="0" fillId="0" borderId="46" xfId="0" applyBorder="1" applyAlignment="1">
      <alignment wrapText="1"/>
    </xf>
    <xf numFmtId="14" fontId="1" fillId="4" borderId="4" xfId="0" applyNumberFormat="1" applyFont="1" applyFill="1" applyBorder="1" applyAlignment="1">
      <alignment horizontal="left"/>
    </xf>
    <xf numFmtId="0" fontId="3" fillId="11" borderId="6" xfId="0" applyFont="1" applyFill="1" applyBorder="1" applyAlignment="1">
      <alignment horizontal="left"/>
    </xf>
    <xf numFmtId="0" fontId="0" fillId="15" borderId="14" xfId="0" applyFill="1" applyBorder="1" applyAlignment="1">
      <alignment horizontal="center"/>
    </xf>
    <xf numFmtId="0" fontId="0" fillId="15" borderId="21" xfId="0" applyFill="1" applyBorder="1" applyAlignment="1">
      <alignment horizontal="center"/>
    </xf>
    <xf numFmtId="0" fontId="8" fillId="0" borderId="0" xfId="1"/>
    <xf numFmtId="0" fontId="0" fillId="15" borderId="4" xfId="0" applyFill="1" applyBorder="1" applyAlignment="1">
      <alignment horizontal="center"/>
    </xf>
    <xf numFmtId="0" fontId="16" fillId="12" borderId="4" xfId="0" applyFont="1" applyFill="1" applyBorder="1" applyAlignment="1">
      <alignment horizontal="center"/>
    </xf>
    <xf numFmtId="42" fontId="50" fillId="0" borderId="21" xfId="4" applyNumberFormat="1" applyFont="1" applyBorder="1"/>
    <xf numFmtId="42" fontId="50" fillId="0" borderId="15" xfId="4" applyNumberFormat="1" applyFont="1" applyBorder="1"/>
    <xf numFmtId="42" fontId="50" fillId="0" borderId="30" xfId="4" applyNumberFormat="1" applyFont="1" applyBorder="1"/>
    <xf numFmtId="42" fontId="50" fillId="0" borderId="20" xfId="4" applyNumberFormat="1" applyFont="1" applyBorder="1"/>
    <xf numFmtId="42" fontId="50" fillId="0" borderId="51" xfId="4" applyNumberFormat="1" applyFont="1" applyBorder="1"/>
    <xf numFmtId="42" fontId="50" fillId="0" borderId="12" xfId="4" applyNumberFormat="1" applyFont="1" applyBorder="1"/>
    <xf numFmtId="42" fontId="8" fillId="0" borderId="24" xfId="1" applyNumberFormat="1" applyBorder="1" applyAlignment="1">
      <alignment horizontal="center"/>
    </xf>
    <xf numFmtId="168" fontId="50" fillId="0" borderId="13" xfId="4" applyNumberFormat="1" applyFont="1" applyBorder="1" applyAlignment="1">
      <alignment horizontal="center"/>
    </xf>
    <xf numFmtId="168" fontId="50" fillId="0" borderId="53" xfId="4" applyNumberFormat="1" applyFont="1" applyBorder="1" applyAlignment="1">
      <alignment horizontal="center"/>
    </xf>
    <xf numFmtId="42" fontId="52" fillId="0" borderId="10" xfId="1" applyNumberFormat="1" applyFont="1" applyBorder="1"/>
    <xf numFmtId="168" fontId="50" fillId="0" borderId="11" xfId="4" applyNumberFormat="1" applyFont="1" applyBorder="1" applyAlignment="1">
      <alignment horizontal="center"/>
    </xf>
    <xf numFmtId="0" fontId="8" fillId="0" borderId="2" xfId="1" applyBorder="1"/>
    <xf numFmtId="10" fontId="8" fillId="0" borderId="3" xfId="1" applyNumberFormat="1" applyBorder="1"/>
    <xf numFmtId="167" fontId="8" fillId="0" borderId="0" xfId="4" applyNumberFormat="1" applyBorder="1"/>
    <xf numFmtId="10" fontId="8" fillId="0" borderId="5" xfId="4" applyNumberFormat="1" applyBorder="1"/>
    <xf numFmtId="10" fontId="8" fillId="0" borderId="5" xfId="1" applyNumberFormat="1" applyBorder="1"/>
    <xf numFmtId="0" fontId="8" fillId="0" borderId="25" xfId="1" applyBorder="1"/>
    <xf numFmtId="10" fontId="8" fillId="0" borderId="26" xfId="1" applyNumberFormat="1" applyBorder="1"/>
    <xf numFmtId="10" fontId="8" fillId="0" borderId="0" xfId="1" applyNumberFormat="1"/>
    <xf numFmtId="167" fontId="8" fillId="0" borderId="0" xfId="1" applyNumberFormat="1"/>
    <xf numFmtId="10" fontId="8" fillId="0" borderId="25" xfId="1" applyNumberFormat="1" applyBorder="1"/>
    <xf numFmtId="42" fontId="52" fillId="0" borderId="46" xfId="1" applyNumberFormat="1" applyFont="1" applyBorder="1"/>
    <xf numFmtId="168" fontId="50" fillId="35" borderId="11" xfId="4" applyNumberFormat="1" applyFont="1" applyFill="1" applyBorder="1" applyAlignment="1">
      <alignment horizontal="center"/>
    </xf>
    <xf numFmtId="42" fontId="51" fillId="36" borderId="41" xfId="4" applyNumberFormat="1" applyFont="1" applyFill="1" applyBorder="1"/>
    <xf numFmtId="0" fontId="3" fillId="0" borderId="27" xfId="0" applyFont="1" applyBorder="1"/>
    <xf numFmtId="0" fontId="3" fillId="0" borderId="28" xfId="0" applyFont="1" applyBorder="1"/>
    <xf numFmtId="0" fontId="3" fillId="0" borderId="29" xfId="0" applyFont="1" applyBorder="1"/>
    <xf numFmtId="0" fontId="3" fillId="0" borderId="19" xfId="0" applyFont="1" applyBorder="1"/>
    <xf numFmtId="0" fontId="3" fillId="0" borderId="30" xfId="0" applyFont="1" applyBorder="1"/>
    <xf numFmtId="0" fontId="3" fillId="0" borderId="20" xfId="0" applyFont="1" applyBorder="1"/>
    <xf numFmtId="0" fontId="5" fillId="0" borderId="4" xfId="0" applyFont="1" applyBorder="1" applyAlignment="1">
      <alignment vertical="center"/>
    </xf>
    <xf numFmtId="0" fontId="2" fillId="13" borderId="0" xfId="0" applyFont="1" applyFill="1"/>
    <xf numFmtId="9" fontId="2" fillId="13" borderId="21" xfId="0" applyNumberFormat="1" applyFont="1" applyFill="1" applyBorder="1" applyAlignment="1">
      <alignment horizontal="center"/>
    </xf>
    <xf numFmtId="0" fontId="0" fillId="0" borderId="0" xfId="0" quotePrefix="1"/>
    <xf numFmtId="9" fontId="0" fillId="0" borderId="22" xfId="0" applyNumberFormat="1" applyBorder="1"/>
    <xf numFmtId="0" fontId="0" fillId="0" borderId="22" xfId="0" applyBorder="1"/>
    <xf numFmtId="0" fontId="19" fillId="0" borderId="22" xfId="0" applyFont="1" applyBorder="1"/>
    <xf numFmtId="0" fontId="55" fillId="37" borderId="21" xfId="0" applyFont="1" applyFill="1" applyBorder="1" applyAlignment="1">
      <alignment horizontal="center" vertical="center" wrapText="1"/>
    </xf>
    <xf numFmtId="0" fontId="55" fillId="0" borderId="21" xfId="0" applyFont="1" applyBorder="1" applyAlignment="1">
      <alignment horizontal="center" vertical="center"/>
    </xf>
    <xf numFmtId="0" fontId="19" fillId="37" borderId="21" xfId="0" applyFont="1" applyFill="1" applyBorder="1" applyAlignment="1">
      <alignment horizontal="center" vertical="center" wrapText="1"/>
    </xf>
    <xf numFmtId="169" fontId="55" fillId="37" borderId="21" xfId="0" applyNumberFormat="1" applyFont="1" applyFill="1" applyBorder="1" applyAlignment="1">
      <alignment horizontal="center" vertical="center" wrapText="1"/>
    </xf>
    <xf numFmtId="10" fontId="3" fillId="0" borderId="21" xfId="0" applyNumberFormat="1" applyFont="1" applyBorder="1"/>
    <xf numFmtId="0" fontId="3" fillId="0" borderId="21" xfId="0" applyFont="1" applyBorder="1" applyAlignment="1">
      <alignment horizontal="center"/>
    </xf>
    <xf numFmtId="0" fontId="56" fillId="37" borderId="21" xfId="0" applyFont="1" applyFill="1" applyBorder="1" applyAlignment="1">
      <alignment vertical="center"/>
    </xf>
    <xf numFmtId="0" fontId="42" fillId="37" borderId="21" xfId="0" applyFont="1" applyFill="1" applyBorder="1" applyAlignment="1">
      <alignment vertical="center"/>
    </xf>
    <xf numFmtId="0" fontId="0" fillId="2" borderId="4" xfId="0" applyFill="1" applyBorder="1"/>
    <xf numFmtId="0" fontId="0" fillId="2" borderId="0" xfId="0" applyFill="1"/>
    <xf numFmtId="0" fontId="0" fillId="2" borderId="5" xfId="0" applyFill="1" applyBorder="1"/>
    <xf numFmtId="0" fontId="3" fillId="2" borderId="4" xfId="0" applyFont="1" applyFill="1" applyBorder="1" applyAlignment="1">
      <alignment vertical="center"/>
    </xf>
    <xf numFmtId="14" fontId="0" fillId="2" borderId="0" xfId="0" applyNumberFormat="1" applyFill="1" applyAlignment="1">
      <alignment horizontal="left"/>
    </xf>
    <xf numFmtId="0" fontId="3" fillId="2" borderId="4" xfId="0" applyFont="1" applyFill="1" applyBorder="1"/>
    <xf numFmtId="0" fontId="0" fillId="2" borderId="0" xfId="0" applyFill="1" applyAlignment="1">
      <alignment horizontal="left"/>
    </xf>
    <xf numFmtId="0" fontId="0" fillId="2" borderId="4" xfId="0" applyFill="1" applyBorder="1" applyAlignment="1">
      <alignment wrapText="1"/>
    </xf>
    <xf numFmtId="0" fontId="0" fillId="2" borderId="0" xfId="0" applyFill="1" applyAlignment="1">
      <alignment wrapText="1"/>
    </xf>
    <xf numFmtId="0" fontId="0" fillId="2" borderId="5" xfId="0" applyFill="1" applyBorder="1" applyAlignment="1">
      <alignment wrapText="1"/>
    </xf>
    <xf numFmtId="0" fontId="19" fillId="0" borderId="0" xfId="0" applyFont="1"/>
    <xf numFmtId="0" fontId="6" fillId="8" borderId="6" xfId="0" applyFont="1" applyFill="1" applyBorder="1" applyAlignment="1">
      <alignment horizontal="center" vertical="center"/>
    </xf>
    <xf numFmtId="42" fontId="19" fillId="0" borderId="0" xfId="0" applyNumberFormat="1" applyFont="1"/>
    <xf numFmtId="49" fontId="0" fillId="0" borderId="42" xfId="0" applyNumberFormat="1" applyBorder="1" applyAlignment="1">
      <alignment vertical="top" wrapText="1"/>
    </xf>
    <xf numFmtId="49" fontId="0" fillId="0" borderId="43" xfId="0" applyNumberFormat="1" applyBorder="1" applyAlignment="1">
      <alignment vertical="top" wrapText="1"/>
    </xf>
    <xf numFmtId="49" fontId="0" fillId="0" borderId="39" xfId="0" applyNumberFormat="1" applyBorder="1" applyAlignment="1">
      <alignment vertical="top" wrapText="1"/>
    </xf>
    <xf numFmtId="49" fontId="0" fillId="0" borderId="41" xfId="0" applyNumberFormat="1" applyBorder="1" applyAlignment="1">
      <alignment vertical="top" wrapText="1"/>
    </xf>
    <xf numFmtId="170" fontId="0" fillId="0" borderId="21" xfId="0" applyNumberFormat="1" applyBorder="1" applyAlignment="1">
      <alignment horizontal="center"/>
    </xf>
    <xf numFmtId="14" fontId="0" fillId="0" borderId="28" xfId="0" applyNumberFormat="1" applyBorder="1" applyAlignment="1">
      <alignment horizontal="center"/>
    </xf>
    <xf numFmtId="0" fontId="0" fillId="0" borderId="28" xfId="0" applyBorder="1" applyAlignment="1">
      <alignment horizontal="center" wrapText="1"/>
    </xf>
    <xf numFmtId="14" fontId="0" fillId="0" borderId="21" xfId="0" applyNumberFormat="1" applyBorder="1" applyAlignment="1">
      <alignment horizontal="center"/>
    </xf>
    <xf numFmtId="0" fontId="0" fillId="0" borderId="21" xfId="0" applyBorder="1" applyAlignment="1">
      <alignment horizontal="center" wrapText="1"/>
    </xf>
    <xf numFmtId="0" fontId="2" fillId="0" borderId="21" xfId="0" applyFont="1" applyBorder="1"/>
    <xf numFmtId="0" fontId="2" fillId="13" borderId="21" xfId="0" applyFont="1" applyFill="1" applyBorder="1" applyAlignment="1">
      <alignment horizontal="center"/>
    </xf>
    <xf numFmtId="42" fontId="2" fillId="0" borderId="21" xfId="0" applyNumberFormat="1" applyFont="1" applyBorder="1"/>
    <xf numFmtId="42" fontId="2" fillId="14" borderId="21" xfId="0" applyNumberFormat="1" applyFont="1" applyFill="1" applyBorder="1"/>
    <xf numFmtId="1" fontId="2" fillId="0" borderId="21" xfId="0" applyNumberFormat="1" applyFont="1" applyBorder="1" applyAlignment="1">
      <alignment horizontal="center"/>
    </xf>
    <xf numFmtId="0" fontId="2" fillId="0" borderId="21" xfId="0" applyFont="1" applyBorder="1" applyAlignment="1">
      <alignment horizontal="center"/>
    </xf>
    <xf numFmtId="0" fontId="19" fillId="0" borderId="21" xfId="0" applyFont="1" applyBorder="1" applyAlignment="1">
      <alignment wrapText="1"/>
    </xf>
    <xf numFmtId="42" fontId="19" fillId="14" borderId="21" xfId="0" applyNumberFormat="1" applyFont="1" applyFill="1" applyBorder="1"/>
    <xf numFmtId="0" fontId="2" fillId="0" borderId="21" xfId="0" applyFont="1" applyBorder="1" applyAlignment="1">
      <alignment wrapText="1"/>
    </xf>
    <xf numFmtId="0" fontId="2" fillId="0" borderId="14" xfId="0" applyFont="1" applyBorder="1" applyAlignment="1">
      <alignment horizontal="center"/>
    </xf>
    <xf numFmtId="166" fontId="2" fillId="13" borderId="21" xfId="0" applyNumberFormat="1" applyFont="1" applyFill="1" applyBorder="1" applyAlignment="1">
      <alignment horizontal="center"/>
    </xf>
    <xf numFmtId="0" fontId="10" fillId="4" borderId="1" xfId="0" applyFont="1" applyFill="1" applyBorder="1" applyAlignment="1">
      <alignment horizontal="center"/>
    </xf>
    <xf numFmtId="0" fontId="10" fillId="4" borderId="2" xfId="0" applyFont="1" applyFill="1" applyBorder="1" applyAlignment="1">
      <alignment horizontal="center"/>
    </xf>
    <xf numFmtId="0" fontId="10" fillId="4" borderId="3" xfId="0" applyFont="1" applyFill="1" applyBorder="1" applyAlignment="1">
      <alignment horizontal="center"/>
    </xf>
    <xf numFmtId="0" fontId="0" fillId="0" borderId="52"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wrapText="1"/>
    </xf>
    <xf numFmtId="0" fontId="0" fillId="0" borderId="51" xfId="0" applyBorder="1" applyAlignment="1">
      <alignment wrapText="1"/>
    </xf>
    <xf numFmtId="9" fontId="4" fillId="0" borderId="0" xfId="3" applyFont="1" applyFill="1" applyAlignment="1">
      <alignment horizontal="right" vertical="center"/>
    </xf>
    <xf numFmtId="9" fontId="23" fillId="0" borderId="0" xfId="0" applyNumberFormat="1" applyFont="1" applyAlignment="1">
      <alignment horizontal="left" wrapText="1"/>
    </xf>
    <xf numFmtId="0" fontId="18" fillId="21" borderId="40" xfId="0" applyFont="1" applyFill="1" applyBorder="1" applyAlignment="1">
      <alignment vertical="center"/>
    </xf>
    <xf numFmtId="0" fontId="0" fillId="21" borderId="40" xfId="0" applyFill="1" applyBorder="1" applyAlignment="1">
      <alignment vertical="center"/>
    </xf>
    <xf numFmtId="0" fontId="32" fillId="21" borderId="40" xfId="0" applyFont="1" applyFill="1" applyBorder="1" applyAlignment="1">
      <alignment horizontal="center" wrapText="1"/>
    </xf>
    <xf numFmtId="0" fontId="32" fillId="21" borderId="40" xfId="0" applyFont="1" applyFill="1" applyBorder="1" applyAlignment="1">
      <alignment horizontal="center"/>
    </xf>
    <xf numFmtId="0" fontId="30" fillId="11" borderId="22" xfId="0" applyFont="1" applyFill="1" applyBorder="1" applyAlignment="1">
      <alignment horizontal="left" indent="2"/>
    </xf>
    <xf numFmtId="0" fontId="30" fillId="11" borderId="24" xfId="0" applyFont="1" applyFill="1" applyBorder="1" applyAlignment="1">
      <alignment horizontal="left" indent="2"/>
    </xf>
    <xf numFmtId="0" fontId="29" fillId="0" borderId="6" xfId="0" applyFont="1" applyBorder="1" applyAlignment="1">
      <alignment horizontal="center"/>
    </xf>
    <xf numFmtId="0" fontId="29" fillId="0" borderId="47" xfId="0" applyFont="1" applyBorder="1" applyAlignment="1">
      <alignment horizontal="center"/>
    </xf>
    <xf numFmtId="0" fontId="29" fillId="0" borderId="9" xfId="0" applyFont="1" applyBorder="1" applyAlignment="1">
      <alignment horizontal="center"/>
    </xf>
    <xf numFmtId="0" fontId="28" fillId="0" borderId="55" xfId="0" applyFont="1" applyBorder="1" applyAlignment="1">
      <alignment horizontal="center" wrapText="1"/>
    </xf>
    <xf numFmtId="0" fontId="28" fillId="0" borderId="54" xfId="0" applyFont="1" applyBorder="1" applyAlignment="1">
      <alignment horizontal="center" wrapText="1"/>
    </xf>
    <xf numFmtId="0" fontId="3" fillId="0" borderId="2" xfId="0" applyFont="1" applyBorder="1" applyAlignment="1">
      <alignment horizontal="center" wrapText="1"/>
    </xf>
    <xf numFmtId="0" fontId="3" fillId="0" borderId="0" xfId="0" applyFont="1" applyAlignment="1">
      <alignment horizontal="center" wrapText="1"/>
    </xf>
    <xf numFmtId="0" fontId="3" fillId="0" borderId="2" xfId="0" quotePrefix="1" applyFont="1" applyBorder="1" applyAlignment="1">
      <alignment horizontal="center" wrapText="1"/>
    </xf>
    <xf numFmtId="0" fontId="3" fillId="0" borderId="0" xfId="0" quotePrefix="1" applyFont="1" applyAlignment="1">
      <alignment horizontal="center" wrapText="1"/>
    </xf>
    <xf numFmtId="0" fontId="3" fillId="0" borderId="54" xfId="0" applyFont="1" applyBorder="1" applyAlignment="1">
      <alignment horizontal="center" wrapText="1"/>
    </xf>
    <xf numFmtId="0" fontId="3" fillId="0" borderId="43" xfId="0" applyFont="1" applyBorder="1" applyAlignment="1">
      <alignment horizontal="center" wrapText="1"/>
    </xf>
    <xf numFmtId="0" fontId="20" fillId="4" borderId="1" xfId="0" applyFont="1" applyFill="1" applyBorder="1" applyAlignment="1">
      <alignment horizontal="center"/>
    </xf>
    <xf numFmtId="0" fontId="20" fillId="4" borderId="3" xfId="0" applyFont="1" applyFill="1" applyBorder="1" applyAlignment="1">
      <alignment horizontal="center"/>
    </xf>
    <xf numFmtId="0" fontId="10" fillId="4" borderId="4" xfId="0" applyFont="1" applyFill="1" applyBorder="1" applyAlignment="1">
      <alignment horizontal="center"/>
    </xf>
    <xf numFmtId="0" fontId="10" fillId="4" borderId="5" xfId="0" applyFont="1" applyFill="1" applyBorder="1" applyAlignment="1">
      <alignment horizontal="center"/>
    </xf>
    <xf numFmtId="14" fontId="16" fillId="4" borderId="18" xfId="0" applyNumberFormat="1" applyFont="1" applyFill="1" applyBorder="1" applyAlignment="1">
      <alignment horizontal="center"/>
    </xf>
    <xf numFmtId="14" fontId="16" fillId="4" borderId="26" xfId="0" applyNumberFormat="1" applyFont="1" applyFill="1" applyBorder="1" applyAlignment="1">
      <alignment horizontal="center"/>
    </xf>
    <xf numFmtId="0" fontId="5" fillId="13" borderId="2" xfId="0" applyFont="1" applyFill="1" applyBorder="1" applyAlignment="1">
      <alignment horizontal="left" vertical="top" wrapText="1"/>
    </xf>
    <xf numFmtId="0" fontId="5" fillId="13" borderId="0" xfId="0" applyFont="1" applyFill="1" applyAlignment="1">
      <alignment horizontal="left" vertical="top" wrapText="1"/>
    </xf>
    <xf numFmtId="0" fontId="0" fillId="0" borderId="0" xfId="0" applyAlignment="1">
      <alignment wrapText="1"/>
    </xf>
    <xf numFmtId="0" fontId="2" fillId="0" borderId="0" xfId="0" applyFont="1" applyAlignment="1">
      <alignment wrapText="1"/>
    </xf>
    <xf numFmtId="0" fontId="5" fillId="0" borderId="36" xfId="0" applyFont="1" applyBorder="1" applyAlignment="1">
      <alignment wrapText="1"/>
    </xf>
    <xf numFmtId="49" fontId="19" fillId="0" borderId="39" xfId="0" applyNumberFormat="1" applyFont="1" applyBorder="1" applyAlignment="1">
      <alignment horizontal="left"/>
    </xf>
    <xf numFmtId="49" fontId="19" fillId="0" borderId="40" xfId="0" applyNumberFormat="1" applyFont="1" applyBorder="1" applyAlignment="1">
      <alignment horizontal="left"/>
    </xf>
    <xf numFmtId="49" fontId="19" fillId="0" borderId="41" xfId="0" applyNumberFormat="1" applyFont="1" applyBorder="1" applyAlignment="1">
      <alignment horizontal="left"/>
    </xf>
    <xf numFmtId="49" fontId="19" fillId="0" borderId="42" xfId="0" applyNumberFormat="1" applyFont="1" applyBorder="1" applyAlignment="1">
      <alignment horizontal="left"/>
    </xf>
    <xf numFmtId="49" fontId="19" fillId="0" borderId="0" xfId="0" applyNumberFormat="1" applyFont="1" applyAlignment="1">
      <alignment horizontal="left"/>
    </xf>
    <xf numFmtId="49" fontId="19" fillId="0" borderId="43" xfId="0" applyNumberFormat="1" applyFont="1" applyBorder="1" applyAlignment="1">
      <alignment horizontal="left"/>
    </xf>
    <xf numFmtId="0" fontId="9" fillId="4" borderId="37" xfId="0" applyFont="1" applyFill="1" applyBorder="1" applyAlignment="1">
      <alignment horizontal="center" vertical="center"/>
    </xf>
    <xf numFmtId="0" fontId="9" fillId="4" borderId="36" xfId="0" applyFont="1" applyFill="1" applyBorder="1" applyAlignment="1">
      <alignment horizontal="center" vertical="center"/>
    </xf>
    <xf numFmtId="0" fontId="9" fillId="4" borderId="38" xfId="0" applyFont="1" applyFill="1" applyBorder="1" applyAlignment="1">
      <alignment horizontal="center" vertical="center"/>
    </xf>
    <xf numFmtId="0" fontId="9" fillId="4" borderId="39" xfId="0" applyFont="1" applyFill="1" applyBorder="1" applyAlignment="1">
      <alignment horizontal="center" vertical="center"/>
    </xf>
    <xf numFmtId="0" fontId="9" fillId="4" borderId="40" xfId="0" applyFont="1" applyFill="1" applyBorder="1" applyAlignment="1">
      <alignment horizontal="center" vertical="center"/>
    </xf>
    <xf numFmtId="0" fontId="9" fillId="4" borderId="41"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24" xfId="0" applyFont="1" applyFill="1" applyBorder="1" applyAlignment="1">
      <alignment horizontal="center" vertical="center"/>
    </xf>
    <xf numFmtId="14" fontId="10" fillId="4" borderId="22" xfId="0" applyNumberFormat="1" applyFont="1" applyFill="1" applyBorder="1" applyAlignment="1">
      <alignment horizontal="center" vertical="center"/>
    </xf>
    <xf numFmtId="49" fontId="3" fillId="0" borderId="42" xfId="0" applyNumberFormat="1" applyFont="1" applyBorder="1" applyAlignment="1">
      <alignment horizontal="left"/>
    </xf>
    <xf numFmtId="49" fontId="3" fillId="0" borderId="0" xfId="0" applyNumberFormat="1" applyFont="1" applyAlignment="1">
      <alignment horizontal="left"/>
    </xf>
    <xf numFmtId="49" fontId="3" fillId="0" borderId="43" xfId="0" applyNumberFormat="1" applyFont="1" applyBorder="1" applyAlignment="1">
      <alignment horizontal="left"/>
    </xf>
    <xf numFmtId="49" fontId="0" fillId="0" borderId="42" xfId="0" applyNumberFormat="1" applyBorder="1" applyAlignment="1">
      <alignment horizontal="left"/>
    </xf>
    <xf numFmtId="49" fontId="0" fillId="0" borderId="0" xfId="0" applyNumberFormat="1" applyAlignment="1">
      <alignment horizontal="left"/>
    </xf>
    <xf numFmtId="49" fontId="0" fillId="0" borderId="37" xfId="0" applyNumberFormat="1" applyBorder="1" applyAlignment="1">
      <alignment horizontal="left" vertical="top" wrapText="1"/>
    </xf>
    <xf numFmtId="49" fontId="0" fillId="0" borderId="36" xfId="0" applyNumberFormat="1" applyBorder="1" applyAlignment="1">
      <alignment horizontal="left" vertical="top" wrapText="1"/>
    </xf>
    <xf numFmtId="49" fontId="0" fillId="0" borderId="38" xfId="0" applyNumberFormat="1" applyBorder="1" applyAlignment="1">
      <alignment horizontal="left" vertical="top" wrapText="1"/>
    </xf>
    <xf numFmtId="49" fontId="0" fillId="0" borderId="43" xfId="0" applyNumberFormat="1" applyBorder="1" applyAlignment="1">
      <alignment horizontal="left"/>
    </xf>
    <xf numFmtId="49" fontId="42" fillId="0" borderId="42" xfId="0" applyNumberFormat="1" applyFont="1" applyBorder="1" applyAlignment="1">
      <alignment horizontal="left"/>
    </xf>
    <xf numFmtId="49" fontId="42" fillId="0" borderId="0" xfId="0" applyNumberFormat="1" applyFont="1" applyAlignment="1">
      <alignment horizontal="left"/>
    </xf>
    <xf numFmtId="49" fontId="42" fillId="0" borderId="43" xfId="0" applyNumberFormat="1" applyFont="1" applyBorder="1" applyAlignment="1">
      <alignment horizontal="left"/>
    </xf>
    <xf numFmtId="49" fontId="19" fillId="0" borderId="42" xfId="0" applyNumberFormat="1" applyFont="1" applyBorder="1" applyAlignment="1">
      <alignment horizontal="left" wrapText="1"/>
    </xf>
    <xf numFmtId="49" fontId="19" fillId="0" borderId="0" xfId="0" applyNumberFormat="1" applyFont="1" applyAlignment="1">
      <alignment horizontal="left" wrapText="1"/>
    </xf>
    <xf numFmtId="49" fontId="19" fillId="0" borderId="43" xfId="0" applyNumberFormat="1" applyFont="1" applyBorder="1" applyAlignment="1">
      <alignment horizontal="left" wrapText="1"/>
    </xf>
    <xf numFmtId="0" fontId="12" fillId="4" borderId="1" xfId="0" applyFont="1" applyFill="1" applyBorder="1" applyAlignment="1">
      <alignment horizontal="center"/>
    </xf>
    <xf numFmtId="0" fontId="12" fillId="4" borderId="2" xfId="0" applyFont="1" applyFill="1" applyBorder="1" applyAlignment="1">
      <alignment horizontal="center"/>
    </xf>
    <xf numFmtId="0" fontId="12" fillId="4" borderId="3" xfId="0" applyFont="1" applyFill="1" applyBorder="1" applyAlignment="1">
      <alignment horizontal="center"/>
    </xf>
    <xf numFmtId="0" fontId="10" fillId="4" borderId="0" xfId="0" applyFont="1" applyFill="1" applyAlignment="1">
      <alignment horizontal="center"/>
    </xf>
    <xf numFmtId="0" fontId="1" fillId="4" borderId="25" xfId="0" applyFont="1" applyFill="1" applyBorder="1" applyAlignment="1">
      <alignment horizontal="right"/>
    </xf>
    <xf numFmtId="0" fontId="1" fillId="4" borderId="18" xfId="0" applyFont="1" applyFill="1" applyBorder="1" applyAlignment="1">
      <alignment horizontal="left"/>
    </xf>
    <xf numFmtId="0" fontId="1" fillId="4" borderId="25" xfId="0" applyFont="1" applyFill="1" applyBorder="1" applyAlignment="1">
      <alignment horizontal="left"/>
    </xf>
    <xf numFmtId="0" fontId="0" fillId="0" borderId="0" xfId="0" applyAlignment="1">
      <alignment horizontal="right" vertical="top"/>
    </xf>
    <xf numFmtId="0" fontId="0" fillId="0" borderId="0" xfId="0" applyAlignment="1">
      <alignment horizontal="left"/>
    </xf>
    <xf numFmtId="0" fontId="13" fillId="4" borderId="0" xfId="0" applyFont="1" applyFill="1" applyAlignment="1">
      <alignment horizontal="center" vertical="center"/>
    </xf>
    <xf numFmtId="0" fontId="10" fillId="4" borderId="33" xfId="0" applyFont="1" applyFill="1" applyBorder="1" applyAlignment="1">
      <alignment horizontal="center" vertical="center"/>
    </xf>
    <xf numFmtId="0" fontId="10" fillId="4" borderId="40" xfId="0" applyFont="1" applyFill="1" applyBorder="1" applyAlignment="1">
      <alignment horizontal="center" vertical="center"/>
    </xf>
    <xf numFmtId="0" fontId="11" fillId="4" borderId="0" xfId="0" applyFont="1" applyFill="1" applyAlignment="1">
      <alignment horizontal="center" vertical="center"/>
    </xf>
    <xf numFmtId="0" fontId="6" fillId="7" borderId="47" xfId="0" applyFont="1" applyFill="1" applyBorder="1" applyAlignment="1">
      <alignment horizontal="center" vertical="center"/>
    </xf>
    <xf numFmtId="0" fontId="6" fillId="5" borderId="44" xfId="0" applyFont="1" applyFill="1" applyBorder="1" applyAlignment="1">
      <alignment horizontal="center" vertical="center" wrapText="1"/>
    </xf>
    <xf numFmtId="0" fontId="6" fillId="5" borderId="45" xfId="0" applyFont="1" applyFill="1" applyBorder="1" applyAlignment="1">
      <alignment horizontal="center" vertical="center" wrapText="1"/>
    </xf>
    <xf numFmtId="14" fontId="1" fillId="4" borderId="4" xfId="0" applyNumberFormat="1" applyFont="1" applyFill="1" applyBorder="1" applyAlignment="1">
      <alignment horizontal="center"/>
    </xf>
    <xf numFmtId="14" fontId="1" fillId="4" borderId="0" xfId="0" applyNumberFormat="1" applyFont="1" applyFill="1" applyAlignment="1">
      <alignment horizontal="center"/>
    </xf>
    <xf numFmtId="0" fontId="3" fillId="7" borderId="44" xfId="0" applyFont="1" applyFill="1" applyBorder="1" applyAlignment="1">
      <alignment horizontal="center" wrapText="1"/>
    </xf>
    <xf numFmtId="0" fontId="3" fillId="7" borderId="46" xfId="0" applyFont="1" applyFill="1" applyBorder="1" applyAlignment="1">
      <alignment horizontal="center" wrapText="1"/>
    </xf>
    <xf numFmtId="0" fontId="14" fillId="4" borderId="6" xfId="0" applyFont="1" applyFill="1" applyBorder="1" applyAlignment="1">
      <alignment horizontal="right" vertical="center"/>
    </xf>
    <xf numFmtId="0" fontId="14" fillId="4" borderId="9" xfId="0" applyFont="1" applyFill="1" applyBorder="1" applyAlignment="1">
      <alignment horizontal="right" vertical="center"/>
    </xf>
    <xf numFmtId="0" fontId="3" fillId="6" borderId="6"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3" xfId="0" applyFont="1" applyFill="1" applyBorder="1" applyAlignment="1">
      <alignment horizontal="center" vertical="center"/>
    </xf>
    <xf numFmtId="0" fontId="2" fillId="13" borderId="0" xfId="0" applyFont="1" applyFill="1" applyAlignment="1">
      <alignment horizontal="left"/>
    </xf>
    <xf numFmtId="0" fontId="11" fillId="4" borderId="25" xfId="0" applyFont="1" applyFill="1" applyBorder="1" applyAlignment="1">
      <alignment horizontal="center"/>
    </xf>
    <xf numFmtId="0" fontId="20" fillId="4" borderId="2" xfId="0" applyFont="1" applyFill="1" applyBorder="1" applyAlignment="1">
      <alignment horizontal="center"/>
    </xf>
    <xf numFmtId="0" fontId="11" fillId="4" borderId="6" xfId="0" applyFont="1" applyFill="1" applyBorder="1" applyAlignment="1">
      <alignment horizontal="left"/>
    </xf>
    <xf numFmtId="0" fontId="11" fillId="4" borderId="47" xfId="0" applyFont="1" applyFill="1" applyBorder="1" applyAlignment="1">
      <alignment horizontal="left"/>
    </xf>
    <xf numFmtId="0" fontId="11" fillId="4" borderId="9" xfId="0" applyFont="1" applyFill="1" applyBorder="1" applyAlignment="1">
      <alignment horizontal="left"/>
    </xf>
    <xf numFmtId="0" fontId="3" fillId="11" borderId="4" xfId="0" applyFont="1" applyFill="1" applyBorder="1" applyAlignment="1">
      <alignment horizontal="left"/>
    </xf>
    <xf numFmtId="0" fontId="3" fillId="11" borderId="0" xfId="0" applyFont="1" applyFill="1" applyAlignment="1">
      <alignment horizontal="left"/>
    </xf>
    <xf numFmtId="0" fontId="3" fillId="11" borderId="6" xfId="0" applyFont="1" applyFill="1" applyBorder="1" applyAlignment="1">
      <alignment horizontal="left"/>
    </xf>
    <xf numFmtId="0" fontId="3" fillId="11" borderId="47" xfId="0" applyFont="1" applyFill="1" applyBorder="1" applyAlignment="1">
      <alignment horizontal="left"/>
    </xf>
    <xf numFmtId="0" fontId="15" fillId="10" borderId="6" xfId="0" applyFont="1" applyFill="1" applyBorder="1" applyAlignment="1">
      <alignment horizontal="left"/>
    </xf>
    <xf numFmtId="0" fontId="15" fillId="10" borderId="47" xfId="0" applyFont="1" applyFill="1" applyBorder="1" applyAlignment="1">
      <alignment horizontal="left"/>
    </xf>
    <xf numFmtId="0" fontId="15" fillId="10" borderId="9" xfId="0" applyFont="1" applyFill="1" applyBorder="1" applyAlignment="1">
      <alignment horizontal="left"/>
    </xf>
    <xf numFmtId="0" fontId="3" fillId="2" borderId="34" xfId="0" applyFont="1" applyFill="1" applyBorder="1" applyAlignment="1">
      <alignment horizontal="left" vertical="top"/>
    </xf>
    <xf numFmtId="0" fontId="3" fillId="2" borderId="36" xfId="0" applyFont="1" applyFill="1" applyBorder="1" applyAlignment="1">
      <alignment horizontal="left" vertical="top"/>
    </xf>
    <xf numFmtId="0" fontId="3" fillId="2" borderId="4" xfId="0" applyFont="1" applyFill="1" applyBorder="1" applyAlignment="1">
      <alignment horizontal="left" vertical="top"/>
    </xf>
    <xf numFmtId="0" fontId="3" fillId="2" borderId="0" xfId="0" applyFont="1" applyFill="1" applyAlignment="1">
      <alignment horizontal="left" vertical="top"/>
    </xf>
    <xf numFmtId="0" fontId="3" fillId="2" borderId="33" xfId="0" applyFont="1" applyFill="1" applyBorder="1" applyAlignment="1">
      <alignment horizontal="left" vertical="top"/>
    </xf>
    <xf numFmtId="0" fontId="3" fillId="2" borderId="40" xfId="0" applyFont="1" applyFill="1" applyBorder="1" applyAlignment="1">
      <alignment horizontal="left" vertical="top"/>
    </xf>
    <xf numFmtId="0" fontId="0" fillId="2" borderId="4" xfId="0" applyFill="1" applyBorder="1" applyAlignment="1">
      <alignment horizontal="left" wrapText="1"/>
    </xf>
    <xf numFmtId="0" fontId="0" fillId="2" borderId="0" xfId="0" applyFill="1" applyAlignment="1">
      <alignment horizontal="left" wrapText="1"/>
    </xf>
    <xf numFmtId="0" fontId="0" fillId="2" borderId="5" xfId="0" applyFill="1" applyBorder="1" applyAlignment="1">
      <alignment horizontal="left" wrapText="1"/>
    </xf>
    <xf numFmtId="0" fontId="0" fillId="0" borderId="14" xfId="0" applyBorder="1" applyAlignment="1">
      <alignment horizontal="left" wrapText="1"/>
    </xf>
    <xf numFmtId="0" fontId="0" fillId="0" borderId="21" xfId="0" applyBorder="1" applyAlignment="1">
      <alignment horizontal="left" wrapText="1"/>
    </xf>
    <xf numFmtId="0" fontId="0" fillId="0" borderId="21" xfId="0" applyBorder="1" applyAlignment="1">
      <alignment horizontal="center" vertical="center"/>
    </xf>
    <xf numFmtId="0" fontId="0" fillId="0" borderId="15" xfId="0" applyBorder="1" applyAlignment="1">
      <alignment horizontal="center" vertical="center"/>
    </xf>
    <xf numFmtId="0" fontId="57" fillId="38" borderId="1" xfId="0" applyFont="1" applyFill="1" applyBorder="1" applyAlignment="1">
      <alignment horizontal="center" vertical="center"/>
    </xf>
    <xf numFmtId="0" fontId="57" fillId="38" borderId="2" xfId="0" applyFont="1" applyFill="1" applyBorder="1" applyAlignment="1">
      <alignment horizontal="center" vertical="center"/>
    </xf>
    <xf numFmtId="0" fontId="57" fillId="38" borderId="3" xfId="0" applyFont="1" applyFill="1" applyBorder="1" applyAlignment="1">
      <alignment horizontal="center" vertical="center"/>
    </xf>
    <xf numFmtId="0" fontId="3" fillId="38" borderId="14" xfId="0" applyFont="1" applyFill="1" applyBorder="1" applyAlignment="1">
      <alignment horizontal="left"/>
    </xf>
    <xf numFmtId="0" fontId="3" fillId="38" borderId="21" xfId="0" applyFont="1" applyFill="1" applyBorder="1" applyAlignment="1">
      <alignment horizontal="left"/>
    </xf>
    <xf numFmtId="0" fontId="3" fillId="38" borderId="21" xfId="0" applyFont="1" applyFill="1" applyBorder="1" applyAlignment="1">
      <alignment horizontal="center" wrapText="1"/>
    </xf>
    <xf numFmtId="0" fontId="3" fillId="38" borderId="21" xfId="0" applyFont="1" applyFill="1" applyBorder="1" applyAlignment="1">
      <alignment horizontal="center"/>
    </xf>
    <xf numFmtId="0" fontId="3" fillId="38" borderId="15" xfId="0" applyFont="1" applyFill="1" applyBorder="1" applyAlignment="1">
      <alignment horizontal="center"/>
    </xf>
    <xf numFmtId="49" fontId="0" fillId="2" borderId="36" xfId="0" applyNumberFormat="1" applyFill="1" applyBorder="1" applyAlignment="1">
      <alignment horizontal="left" vertical="top"/>
    </xf>
    <xf numFmtId="0" fontId="0" fillId="2" borderId="36" xfId="0" applyFill="1" applyBorder="1" applyAlignment="1">
      <alignment horizontal="left" vertical="top"/>
    </xf>
    <xf numFmtId="0" fontId="0" fillId="2" borderId="68" xfId="0" applyFill="1" applyBorder="1" applyAlignment="1">
      <alignment horizontal="left" vertical="top"/>
    </xf>
    <xf numFmtId="0" fontId="0" fillId="2" borderId="0" xfId="0" applyFill="1" applyAlignment="1">
      <alignment horizontal="left" vertical="top"/>
    </xf>
    <xf numFmtId="0" fontId="0" fillId="2" borderId="5" xfId="0" applyFill="1" applyBorder="1" applyAlignment="1">
      <alignment horizontal="left" vertical="top"/>
    </xf>
    <xf numFmtId="0" fontId="0" fillId="2" borderId="40" xfId="0" applyFill="1" applyBorder="1" applyAlignment="1">
      <alignment horizontal="left" vertical="top"/>
    </xf>
    <xf numFmtId="0" fontId="0" fillId="2" borderId="35" xfId="0" applyFill="1" applyBorder="1" applyAlignment="1">
      <alignment horizontal="left" vertical="top"/>
    </xf>
    <xf numFmtId="0" fontId="5" fillId="13" borderId="1"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13" borderId="18" xfId="0" applyFont="1" applyFill="1" applyBorder="1" applyAlignment="1">
      <alignment horizontal="center" vertical="center" wrapText="1"/>
    </xf>
    <xf numFmtId="0" fontId="5" fillId="13" borderId="25" xfId="0" applyFont="1" applyFill="1" applyBorder="1" applyAlignment="1">
      <alignment horizontal="center" vertical="center" wrapText="1"/>
    </xf>
    <xf numFmtId="0" fontId="5" fillId="13" borderId="26" xfId="0" applyFont="1" applyFill="1" applyBorder="1" applyAlignment="1">
      <alignment horizontal="center" vertical="center" wrapText="1"/>
    </xf>
    <xf numFmtId="0" fontId="0" fillId="0" borderId="21" xfId="0" applyBorder="1" applyAlignment="1">
      <alignment horizontal="center"/>
    </xf>
    <xf numFmtId="0" fontId="0" fillId="0" borderId="15" xfId="0" applyBorder="1" applyAlignment="1">
      <alignment horizontal="center"/>
    </xf>
    <xf numFmtId="0" fontId="43" fillId="0" borderId="47" xfId="0" applyFont="1" applyBorder="1" applyAlignment="1">
      <alignment horizontal="center" vertical="center"/>
    </xf>
    <xf numFmtId="0" fontId="43" fillId="0" borderId="9" xfId="0" applyFont="1" applyBorder="1" applyAlignment="1">
      <alignment horizontal="center" vertical="center"/>
    </xf>
    <xf numFmtId="0" fontId="20" fillId="24" borderId="60" xfId="0" applyFont="1" applyFill="1" applyBorder="1" applyAlignment="1">
      <alignment horizontal="center" vertical="center"/>
    </xf>
    <xf numFmtId="0" fontId="20" fillId="24" borderId="61" xfId="0" applyFont="1" applyFill="1" applyBorder="1" applyAlignment="1">
      <alignment horizontal="center" vertical="center"/>
    </xf>
    <xf numFmtId="0" fontId="20" fillId="24" borderId="62" xfId="0" applyFont="1" applyFill="1" applyBorder="1" applyAlignment="1">
      <alignment horizontal="center" vertical="center"/>
    </xf>
    <xf numFmtId="0" fontId="6" fillId="15" borderId="34" xfId="0" applyFont="1" applyFill="1" applyBorder="1" applyAlignment="1">
      <alignment horizontal="left" vertical="center"/>
    </xf>
    <xf numFmtId="0" fontId="6" fillId="15" borderId="38" xfId="0" applyFont="1" applyFill="1" applyBorder="1" applyAlignment="1">
      <alignment horizontal="left" vertical="center"/>
    </xf>
    <xf numFmtId="14" fontId="15" fillId="15" borderId="50" xfId="0" applyNumberFormat="1" applyFont="1" applyFill="1" applyBorder="1" applyAlignment="1">
      <alignment horizontal="left" vertical="center"/>
    </xf>
    <xf numFmtId="0" fontId="15" fillId="15" borderId="49" xfId="0" applyFont="1" applyFill="1" applyBorder="1" applyAlignment="1">
      <alignment horizontal="left" vertical="center"/>
    </xf>
    <xf numFmtId="0" fontId="42" fillId="6" borderId="6" xfId="0" applyFont="1" applyFill="1" applyBorder="1" applyAlignment="1">
      <alignment horizontal="left" vertical="center"/>
    </xf>
    <xf numFmtId="0" fontId="42" fillId="6" borderId="56" xfId="0" applyFont="1" applyFill="1" applyBorder="1" applyAlignment="1">
      <alignment horizontal="left" vertical="center"/>
    </xf>
    <xf numFmtId="0" fontId="3" fillId="0" borderId="6" xfId="0" applyFont="1" applyBorder="1" applyAlignment="1">
      <alignment horizontal="center"/>
    </xf>
    <xf numFmtId="0" fontId="3" fillId="0" borderId="47" xfId="0" applyFont="1" applyBorder="1" applyAlignment="1">
      <alignment horizontal="center"/>
    </xf>
    <xf numFmtId="0" fontId="3" fillId="0" borderId="9" xfId="0" applyFont="1" applyBorder="1" applyAlignment="1">
      <alignment horizontal="center"/>
    </xf>
    <xf numFmtId="0" fontId="43" fillId="0" borderId="44" xfId="0" applyFont="1" applyBorder="1" applyAlignment="1">
      <alignment horizontal="center" vertical="center" textRotation="90"/>
    </xf>
    <xf numFmtId="0" fontId="43" fillId="0" borderId="45" xfId="0" applyFont="1" applyBorder="1" applyAlignment="1">
      <alignment horizontal="center" vertical="center" textRotation="90"/>
    </xf>
    <xf numFmtId="0" fontId="42" fillId="28" borderId="6" xfId="0" applyFont="1" applyFill="1" applyBorder="1" applyAlignment="1">
      <alignment horizontal="left" vertical="center"/>
    </xf>
    <xf numFmtId="0" fontId="42" fillId="28" borderId="56" xfId="0" applyFont="1" applyFill="1" applyBorder="1" applyAlignment="1">
      <alignment horizontal="left" vertical="center"/>
    </xf>
    <xf numFmtId="0" fontId="42" fillId="31" borderId="6" xfId="0" applyFont="1" applyFill="1" applyBorder="1" applyAlignment="1">
      <alignment horizontal="left" vertical="center"/>
    </xf>
    <xf numFmtId="0" fontId="42" fillId="31" borderId="56" xfId="0" applyFont="1" applyFill="1" applyBorder="1" applyAlignment="1">
      <alignment horizontal="left" vertical="center"/>
    </xf>
    <xf numFmtId="0" fontId="0" fillId="0" borderId="65" xfId="0" applyBorder="1" applyAlignment="1">
      <alignment horizontal="center" vertical="center"/>
    </xf>
    <xf numFmtId="0" fontId="0" fillId="0" borderId="61" xfId="0" applyBorder="1" applyAlignment="1">
      <alignment horizontal="center" vertical="center"/>
    </xf>
    <xf numFmtId="0" fontId="52" fillId="0" borderId="4" xfId="1" applyFont="1" applyBorder="1" applyAlignment="1">
      <alignment horizontal="center"/>
    </xf>
    <xf numFmtId="0" fontId="52" fillId="0" borderId="0" xfId="1" applyFont="1" applyAlignment="1">
      <alignment horizontal="center"/>
    </xf>
    <xf numFmtId="0" fontId="52" fillId="0" borderId="1" xfId="1" applyFont="1" applyBorder="1" applyAlignment="1">
      <alignment horizontal="center"/>
    </xf>
    <xf numFmtId="0" fontId="52" fillId="0" borderId="2" xfId="1" applyFont="1" applyBorder="1" applyAlignment="1">
      <alignment horizontal="center"/>
    </xf>
    <xf numFmtId="0" fontId="52" fillId="0" borderId="6" xfId="1" applyFont="1" applyBorder="1" applyAlignment="1">
      <alignment horizontal="center"/>
    </xf>
    <xf numFmtId="0" fontId="52" fillId="0" borderId="47" xfId="1" applyFont="1" applyBorder="1" applyAlignment="1">
      <alignment horizontal="center"/>
    </xf>
  </cellXfs>
  <cellStyles count="5">
    <cellStyle name="Comma 2" xfId="4" xr:uid="{77A1F8D2-0EDC-43CB-B302-784568707B67}"/>
    <cellStyle name="Currency" xfId="2" builtinId="4"/>
    <cellStyle name="Normal" xfId="0" builtinId="0"/>
    <cellStyle name="Normal 2 2 2" xfId="1" xr:uid="{90F7FAE6-B00F-4835-9ABA-E9A62F97F6B9}"/>
    <cellStyle name="Percent" xfId="3" builtinId="5"/>
  </cellStyles>
  <dxfs count="7">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font>
      <fill>
        <patternFill>
          <bgColor theme="8" tint="0.5999633777886288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5</xdr:col>
      <xdr:colOff>1000125</xdr:colOff>
      <xdr:row>0</xdr:row>
      <xdr:rowOff>85725</xdr:rowOff>
    </xdr:from>
    <xdr:ext cx="1096735" cy="432679"/>
    <xdr:pic>
      <xdr:nvPicPr>
        <xdr:cNvPr id="2" name="Picture 1">
          <a:extLst>
            <a:ext uri="{FF2B5EF4-FFF2-40B4-BE49-F238E27FC236}">
              <a16:creationId xmlns:a16="http://schemas.microsoft.com/office/drawing/2014/main" id="{7058B79E-A307-4CDA-8579-2CC683DE04C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7600" y="85725"/>
          <a:ext cx="1096735" cy="432679"/>
        </a:xfrm>
        <a:prstGeom prst="rect">
          <a:avLst/>
        </a:prstGeom>
        <a:noFill/>
        <a:ln>
          <a:noFill/>
        </a:ln>
        <a:extLst>
          <a:ext uri="{FAA26D3D-D897-4be2-8F04-BA451C77F1D7}">
            <ma14:placeholderFlag xmlns:lc="http://schemas.openxmlformats.org/drawingml/2006/lockedCanvas"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r="http://schemas.openxmlformats.org/officeDocument/2006/relationships" xmlns:o="urn:schemas-microsoft-com:office:office" xmlns:mv="urn:schemas-microsoft-com:mac:vml" xmlns:mc="http://schemas.openxmlformats.org/markup-compatibility/2006" xmlns:mo="http://schemas.microsoft.com/office/mac/office/2008/main" xmlns:wpc="http://schemas.microsoft.com/office/word/2010/wordprocessingCanvas" xmlns=""/>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8</xdr:col>
      <xdr:colOff>317500</xdr:colOff>
      <xdr:row>1</xdr:row>
      <xdr:rowOff>95250</xdr:rowOff>
    </xdr:from>
    <xdr:to>
      <xdr:col>15</xdr:col>
      <xdr:colOff>372548</xdr:colOff>
      <xdr:row>33</xdr:row>
      <xdr:rowOff>99897</xdr:rowOff>
    </xdr:to>
    <xdr:pic>
      <xdr:nvPicPr>
        <xdr:cNvPr id="2" name="Picture 1">
          <a:extLst>
            <a:ext uri="{FF2B5EF4-FFF2-40B4-BE49-F238E27FC236}">
              <a16:creationId xmlns:a16="http://schemas.microsoft.com/office/drawing/2014/main" id="{560109FD-D36C-B7FB-E4E4-9EFB4B46AEA8}"/>
            </a:ext>
          </a:extLst>
        </xdr:cNvPr>
        <xdr:cNvPicPr>
          <a:picLocks noChangeAspect="1"/>
        </xdr:cNvPicPr>
      </xdr:nvPicPr>
      <xdr:blipFill>
        <a:blip xmlns:r="http://schemas.openxmlformats.org/officeDocument/2006/relationships" r:embed="rId1"/>
        <a:stretch>
          <a:fillRect/>
        </a:stretch>
      </xdr:blipFill>
      <xdr:spPr>
        <a:xfrm>
          <a:off x="11699875" y="381000"/>
          <a:ext cx="7687748" cy="105456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90714</xdr:colOff>
      <xdr:row>21</xdr:row>
      <xdr:rowOff>72934</xdr:rowOff>
    </xdr:from>
    <xdr:to>
      <xdr:col>21</xdr:col>
      <xdr:colOff>412218</xdr:colOff>
      <xdr:row>66</xdr:row>
      <xdr:rowOff>106589</xdr:rowOff>
    </xdr:to>
    <xdr:pic>
      <xdr:nvPicPr>
        <xdr:cNvPr id="3" name="Picture 2">
          <a:extLst>
            <a:ext uri="{FF2B5EF4-FFF2-40B4-BE49-F238E27FC236}">
              <a16:creationId xmlns:a16="http://schemas.microsoft.com/office/drawing/2014/main" id="{635D9338-153B-40D7-B3DE-F943048D94E3}"/>
            </a:ext>
          </a:extLst>
        </xdr:cNvPr>
        <xdr:cNvPicPr>
          <a:picLocks noChangeAspect="1"/>
        </xdr:cNvPicPr>
      </xdr:nvPicPr>
      <xdr:blipFill>
        <a:blip xmlns:r="http://schemas.openxmlformats.org/officeDocument/2006/relationships" r:embed="rId1"/>
        <a:stretch>
          <a:fillRect/>
        </a:stretch>
      </xdr:blipFill>
      <xdr:spPr>
        <a:xfrm>
          <a:off x="12636500" y="5311684"/>
          <a:ext cx="6907361" cy="30408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farmprod1new:8080/Documents%20and%20Settings/TLS/Local%20Settings/Temporary%20Internet%20Files/OLK9C/Detail%20Project%20and%20Funding%20Project%20Setup%20Request%20Form%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ukeenergy-my.sharepoint.com/Users/t96815/AppData/Local/Microsoft/Windows/Temporary%20Internet%20Files/Content.Outlook/73Z11NII/Communication_Matrix_LAF%20Subaru.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EVELOPMENT%20PROJECTS\1_PROJECTS\1_ALL%20REGION%20DT%20PROJECTS\1%20NEW%20FOLDER%20-%20COPY%20ONLY\10%20Communications\Enterprise%20PAP_0313%20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ukeenergy-my.sharepoint.com/Users/KSJohns/AppData/Local/Microsoft/Windows/Temporary%20Internet%20Files/Content.Outlook/OQSSAAU0/PAP%20Doc%20Green%20I-II%20(New%20IR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36721\OneDrive%20-%20Duke%20Energy\Desktop\Nuclear%20Files%20for%20AFUDC\Copy%20of%20AFUDC%20Calculation%20Template%20-%20Fleet%202019-04-0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ukeenergy-my.sharepoint.com/Users/KSJohns/AppData/Local/Microsoft/Windows/Temporary%20Internet%20Files/Content.Outlook/TIWQWTRL/Zimmer/Zimmer_Inst%20Mtrmc%20-%20Abrk%20Swi%20TOH1488%20-%20PPW.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ukeenergy-my.sharepoint.com/DATA/NAM/bt1/Documents/Project%20Management/Workbook%20with%20Minutes/DOA%20EXAMPLE%20Huntington%20State%20St%2033%206MVA-LTC%20AMIN0936.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Estimate_LineAM07%20Ph3_RevD-Initi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Funding Project Request"/>
      <sheetName val="CAPITAL Detail Project Request"/>
      <sheetName val="NON-CAPITAL Detail Project Req."/>
      <sheetName val="Data for DropDowns"/>
      <sheetName val="Loading Rates"/>
      <sheetName val="Proj Mgmt"/>
      <sheetName val="DCER"/>
      <sheetName val="Drop Downs"/>
      <sheetName val="DropDown_Elements"/>
      <sheetName val="Sheet2"/>
    </sheetNames>
    <sheetDataSet>
      <sheetData sheetId="0"/>
      <sheetData sheetId="1"/>
      <sheetData sheetId="2"/>
      <sheetData sheetId="3">
        <row r="29">
          <cell r="B29" t="str">
            <v>Pick one from the drop-down list</v>
          </cell>
        </row>
        <row r="30">
          <cell r="B30" t="str">
            <v>----------Field Ops----------</v>
          </cell>
        </row>
        <row r="31">
          <cell r="B31" t="str">
            <v>CKTSECTN - Circuit Sectionalization</v>
          </cell>
        </row>
        <row r="32">
          <cell r="B32" t="str">
            <v>CUSTADDS - Customer Adds</v>
          </cell>
        </row>
        <row r="33">
          <cell r="B33" t="str">
            <v>LIGHTING - Lighting</v>
          </cell>
        </row>
        <row r="34">
          <cell r="B34" t="str">
            <v>MAJOUTFU - Major Outage Follow-up</v>
          </cell>
        </row>
        <row r="35">
          <cell r="B35" t="str">
            <v>OUTRES-D - Outage Restoration Cap - D</v>
          </cell>
        </row>
        <row r="36">
          <cell r="B36" t="str">
            <v>OUTRES-SUB - Outage Restoration Cap - Sub</v>
          </cell>
        </row>
        <row r="37">
          <cell r="B37" t="str">
            <v>OUTRES-T - Outage Restoration Cap - T</v>
          </cell>
        </row>
        <row r="38">
          <cell r="B38" t="str">
            <v>POLERE-D - Pole Replacement - D</v>
          </cell>
        </row>
        <row r="39">
          <cell r="B39" t="str">
            <v>POLERE-T - Pole Replacement - T</v>
          </cell>
        </row>
        <row r="40">
          <cell r="B40" t="str">
            <v>RELO-D - Relocations - D</v>
          </cell>
        </row>
        <row r="41">
          <cell r="B41" t="str">
            <v>RELO-T - Relocations - T</v>
          </cell>
        </row>
        <row r="42">
          <cell r="B42" t="str">
            <v>RIO-D - R&amp;I Capital Other - D</v>
          </cell>
        </row>
        <row r="43">
          <cell r="B43" t="str">
            <v>RIO-SUB - R&amp;I Capital Other - Sub</v>
          </cell>
        </row>
        <row r="44">
          <cell r="B44" t="str">
            <v>RMAJ-D - Reliability Major Capital - D</v>
          </cell>
        </row>
        <row r="45">
          <cell r="B45" t="str">
            <v>RMAJ-SUB - Reliability Major Capital - Sub</v>
          </cell>
        </row>
        <row r="46">
          <cell r="B46" t="str">
            <v>RMAJ-T - Reliability Major Capital - T</v>
          </cell>
        </row>
        <row r="47">
          <cell r="B47" t="str">
            <v>SCAP-FO - System Capacity - FO</v>
          </cell>
        </row>
        <row r="48">
          <cell r="B48" t="str">
            <v>TRNRETRO -  Transformer Retrofit</v>
          </cell>
        </row>
        <row r="49">
          <cell r="B49" t="str">
            <v>URREPLAC - UG Cable Replace</v>
          </cell>
        </row>
        <row r="50">
          <cell r="B50" t="str">
            <v>-----Asset Management-----</v>
          </cell>
        </row>
        <row r="51">
          <cell r="B51" t="str">
            <v>CUSTDELV - Customer Deliveries</v>
          </cell>
        </row>
        <row r="52">
          <cell r="B52" t="str">
            <v>FACSales - Facility Sales - Asset management</v>
          </cell>
        </row>
        <row r="53">
          <cell r="B53" t="str">
            <v>GENINTCO - Gen-Interconnect</v>
          </cell>
        </row>
        <row r="54">
          <cell r="B54" t="str">
            <v>GENPLANT - General Plant</v>
          </cell>
        </row>
        <row r="55">
          <cell r="B55" t="str">
            <v>INTEGRIT - Integrity Projects</v>
          </cell>
        </row>
        <row r="56">
          <cell r="B56" t="str">
            <v>LN&amp;STACOM - Line and Station Compliance</v>
          </cell>
        </row>
        <row r="57">
          <cell r="B57" t="str">
            <v>ODBREAKR - OD Breakers</v>
          </cell>
        </row>
        <row r="58">
          <cell r="B58" t="str">
            <v>RETAILCA - Retail Capacity</v>
          </cell>
        </row>
        <row r="59">
          <cell r="B59" t="str">
            <v>RIO-T - R&amp;I Capital Other - T</v>
          </cell>
        </row>
        <row r="60">
          <cell r="B60" t="str">
            <v>RIPROG-T - R&amp;I Programs -T</v>
          </cell>
        </row>
        <row r="61">
          <cell r="B61" t="str">
            <v>SCAP-D - System Capacity - D</v>
          </cell>
        </row>
        <row r="62">
          <cell r="B62" t="str">
            <v>SCAP-GEN - System Capacity - Gen</v>
          </cell>
        </row>
        <row r="63">
          <cell r="B63" t="str">
            <v>SCAP-SUB - System Capacity - Sub</v>
          </cell>
        </row>
        <row r="64">
          <cell r="B64" t="str">
            <v>SCAP-T - System Capacity - T</v>
          </cell>
        </row>
        <row r="65">
          <cell r="B65" t="str">
            <v>SPCC - SPCC</v>
          </cell>
        </row>
        <row r="66">
          <cell r="B66" t="str">
            <v>SUBAUTO-D - Substation Automation - D</v>
          </cell>
        </row>
        <row r="67">
          <cell r="B67" t="str">
            <v>WHOLE-D - Wholesale Deliveries D</v>
          </cell>
        </row>
        <row r="68">
          <cell r="B68" t="str">
            <v>WHOLE-T - Wholesale Deliveries T</v>
          </cell>
        </row>
        <row r="69">
          <cell r="B69" t="str">
            <v>--------GAS Section-----------</v>
          </cell>
        </row>
        <row r="70">
          <cell r="B70" t="str">
            <v>MEAJT - Main Extension Joint Trench</v>
          </cell>
        </row>
        <row r="71">
          <cell r="B71" t="str">
            <v>MEAGO - Main Extension Gas Only</v>
          </cell>
        </row>
        <row r="77">
          <cell r="B77" t="str">
            <v>Pick one…</v>
          </cell>
        </row>
        <row r="78">
          <cell r="B78" t="str">
            <v>YES</v>
          </cell>
        </row>
        <row r="79">
          <cell r="B79" t="str">
            <v>NO</v>
          </cell>
        </row>
        <row r="84">
          <cell r="B84" t="str">
            <v>Pick one…</v>
          </cell>
        </row>
        <row r="85">
          <cell r="B85" t="str">
            <v>--------Electric Section-----------</v>
          </cell>
        </row>
        <row r="86">
          <cell r="B86" t="str">
            <v>Distribution - OH - 664085</v>
          </cell>
        </row>
        <row r="87">
          <cell r="B87" t="str">
            <v>Distribution - KY - CGE Owned - 664089</v>
          </cell>
        </row>
        <row r="88">
          <cell r="B88" t="str">
            <v>Distribution - KY - ULHP Owned - 709301</v>
          </cell>
        </row>
        <row r="89">
          <cell r="B89" t="str">
            <v>Distribution - IN - 661168</v>
          </cell>
        </row>
        <row r="90">
          <cell r="B90" t="str">
            <v>--------GAS Section-----------</v>
          </cell>
        </row>
        <row r="91">
          <cell r="B91" t="str">
            <v>Gas - KY - 709296</v>
          </cell>
        </row>
        <row r="92">
          <cell r="B92" t="str">
            <v>Gas - OH - 709292</v>
          </cell>
        </row>
        <row r="104">
          <cell r="B104" t="str">
            <v>Pick one…</v>
          </cell>
        </row>
        <row r="105">
          <cell r="B105" t="str">
            <v>--------GAS Section-----------</v>
          </cell>
        </row>
        <row r="106">
          <cell r="B106" t="str">
            <v>703 - Gas Mains</v>
          </cell>
        </row>
        <row r="107">
          <cell r="B107" t="str">
            <v>--------Electric Section-----------</v>
          </cell>
        </row>
        <row r="108">
          <cell r="B108" t="str">
            <v>802 - Transmission Substation</v>
          </cell>
        </row>
        <row r="109">
          <cell r="B109" t="str">
            <v>803 - Distribution Substation</v>
          </cell>
        </row>
        <row r="110">
          <cell r="B110" t="str">
            <v>804 - Transmission Line</v>
          </cell>
        </row>
        <row r="111">
          <cell r="B111" t="str">
            <v>806 - Distribution Transformers</v>
          </cell>
        </row>
        <row r="112">
          <cell r="B112" t="str">
            <v>810 - Distribution Lines, Service, New Business</v>
          </cell>
        </row>
        <row r="113">
          <cell r="B113" t="str">
            <v>812 - Street Lights</v>
          </cell>
        </row>
        <row r="114">
          <cell r="B114" t="str">
            <v>814 - Distribution Improvements</v>
          </cell>
        </row>
        <row r="115">
          <cell r="B115" t="str">
            <v>816 - Building &amp; Grounds, Tools</v>
          </cell>
        </row>
        <row r="116">
          <cell r="B116" t="str">
            <v>820 - Telecommunications</v>
          </cell>
        </row>
        <row r="117">
          <cell r="B117" t="str">
            <v>824 - Electric Meters and Instrument Transformers</v>
          </cell>
        </row>
        <row r="118">
          <cell r="B118" t="str">
            <v>---------------------</v>
          </cell>
        </row>
        <row r="119">
          <cell r="B119" t="str">
            <v>802 - Sub - Trans (68%) IMPA - PSI</v>
          </cell>
        </row>
        <row r="120">
          <cell r="B120" t="str">
            <v>802 - Sub - Trans (68%) WVPA - PSI</v>
          </cell>
        </row>
        <row r="121">
          <cell r="B121" t="str">
            <v>802 - Sub - Trans - IMPA - PSI</v>
          </cell>
        </row>
        <row r="122">
          <cell r="B122" t="str">
            <v>802 - Sub - Trans - WVPA - PSI</v>
          </cell>
        </row>
        <row r="123">
          <cell r="B123" t="str">
            <v>803 - Sub - Dist (68%) IMPA - PSI</v>
          </cell>
        </row>
        <row r="124">
          <cell r="B124" t="str">
            <v>803 - Sub - Dist (68%) WVPA - PSI</v>
          </cell>
        </row>
        <row r="125">
          <cell r="B125" t="str">
            <v>803 - Subs - Dist - IMPA - PSI</v>
          </cell>
        </row>
        <row r="126">
          <cell r="B126" t="str">
            <v>803 - Subs - Dist - WVPA - PSI</v>
          </cell>
        </row>
        <row r="127">
          <cell r="B127" t="str">
            <v>804 - Trans Lines IMPA - PSI</v>
          </cell>
        </row>
        <row r="128">
          <cell r="B128" t="str">
            <v>804 - Trans Lines WVPA - PSI</v>
          </cell>
        </row>
        <row r="129">
          <cell r="B129" t="str">
            <v>824 - Metering Points IMPA - PSI</v>
          </cell>
        </row>
        <row r="130">
          <cell r="B130" t="str">
            <v>824 - Metering Points WVPA - PSI</v>
          </cell>
        </row>
        <row r="131">
          <cell r="B131" t="str">
            <v>---------------------</v>
          </cell>
        </row>
        <row r="132">
          <cell r="B132" t="str">
            <v>802 - Subs - Trans CD/CCD(28%) - CGE</v>
          </cell>
        </row>
        <row r="133">
          <cell r="B133" t="str">
            <v>802 - Subs - Trans CD/CCD(30%) - CGE</v>
          </cell>
        </row>
        <row r="134">
          <cell r="B134" t="str">
            <v>802 - Subs - Trans CD/CCD(33.3%)-CGE</v>
          </cell>
        </row>
        <row r="135">
          <cell r="B135" t="str">
            <v>802 - Subs - Trans CD/CCD(50%) - CGE</v>
          </cell>
        </row>
        <row r="136">
          <cell r="B136" t="str">
            <v>802 - Subs - Trans CD/CCD(55%) - CGE</v>
          </cell>
        </row>
        <row r="137">
          <cell r="B137" t="str">
            <v>802 - Subs - Trans DPL/CSP constr-CGE</v>
          </cell>
        </row>
        <row r="138">
          <cell r="B138" t="str">
            <v>804 - Trans Lines CD/CCD (28%) - CGE</v>
          </cell>
        </row>
        <row r="139">
          <cell r="B139" t="str">
            <v>804 - Trans Lines CD/CCD (30%) - CGE</v>
          </cell>
        </row>
        <row r="140">
          <cell r="B140" t="str">
            <v>804 - Trans Lines CD/CCD (55%) - CGE</v>
          </cell>
        </row>
        <row r="141">
          <cell r="B141" t="str">
            <v>804 - Trans Lines CD/CCD (64%) - CGE</v>
          </cell>
        </row>
        <row r="142">
          <cell r="B142" t="str">
            <v>804 - Trans Lines DPL/CSP constru-CGE</v>
          </cell>
        </row>
        <row r="143">
          <cell r="B143" t="str">
            <v>---------------------</v>
          </cell>
        </row>
        <row r="144">
          <cell r="B144" t="str">
            <v>Other T&amp;D IMPA - PSI</v>
          </cell>
        </row>
        <row r="145">
          <cell r="B145" t="str">
            <v>Other T&amp;D WVPA - PSI</v>
          </cell>
        </row>
        <row r="146">
          <cell r="B146" t="str">
            <v>Other T&amp;D (50%) - IMPA - PSI</v>
          </cell>
        </row>
        <row r="147">
          <cell r="B147" t="str">
            <v>Other T&amp;D (50%) - WVPA - PSI</v>
          </cell>
        </row>
        <row r="148">
          <cell r="B148" t="str">
            <v>---------------------</v>
          </cell>
        </row>
        <row r="149">
          <cell r="B149" t="str">
            <v>IMPA Constructed - No Reimbursement</v>
          </cell>
        </row>
        <row r="150">
          <cell r="B150" t="str">
            <v>WVPA Constructed - No Reimbursement</v>
          </cell>
        </row>
        <row r="151">
          <cell r="B151" t="str">
            <v>---------------------</v>
          </cell>
        </row>
        <row r="152">
          <cell r="B152" t="str">
            <v>UOF CGE Common</v>
          </cell>
        </row>
        <row r="153">
          <cell r="B153" t="str">
            <v>UOF CGE Electric</v>
          </cell>
        </row>
        <row r="154">
          <cell r="B154" t="str">
            <v>UOF CGE Gas</v>
          </cell>
        </row>
        <row r="155">
          <cell r="B155" t="str">
            <v>UOF PSI Electric</v>
          </cell>
        </row>
        <row r="159">
          <cell r="B159" t="str">
            <v>Pick one…</v>
          </cell>
        </row>
        <row r="160">
          <cell r="B160" t="str">
            <v>----------INDIANA-----------</v>
          </cell>
        </row>
        <row r="161">
          <cell r="B161" t="str">
            <v>V49A - ATTICA</v>
          </cell>
        </row>
        <row r="162">
          <cell r="B162" t="str">
            <v>V482 - LAFAYETTE</v>
          </cell>
        </row>
        <row r="163">
          <cell r="B163" t="str">
            <v>V452 - ROCHESTER</v>
          </cell>
        </row>
        <row r="164">
          <cell r="B164" t="str">
            <v>V442 - HUNTINGTON</v>
          </cell>
        </row>
        <row r="165">
          <cell r="B165" t="str">
            <v>V422 - KOKOMO</v>
          </cell>
        </row>
        <row r="166">
          <cell r="B166" t="str">
            <v>V542 - NOBLESVILLE</v>
          </cell>
        </row>
        <row r="167">
          <cell r="B167" t="str">
            <v>V562 - CARMEL</v>
          </cell>
        </row>
        <row r="168">
          <cell r="B168" t="str">
            <v>V552 - NEW CASTLE</v>
          </cell>
        </row>
        <row r="169">
          <cell r="B169" t="str">
            <v>V572 - AVON</v>
          </cell>
        </row>
        <row r="170">
          <cell r="B170" t="str">
            <v>V432 - WABASH</v>
          </cell>
        </row>
        <row r="171">
          <cell r="B171" t="str">
            <v>V632 - CLINTON</v>
          </cell>
        </row>
        <row r="172">
          <cell r="B172" t="str">
            <v>V642 - GREENCASTLE</v>
          </cell>
        </row>
        <row r="173">
          <cell r="B173" t="str">
            <v>V622 - TERRE HAUTE</v>
          </cell>
        </row>
        <row r="174">
          <cell r="B174" t="str">
            <v>V652 - BRAZIL</v>
          </cell>
        </row>
        <row r="175">
          <cell r="B175" t="str">
            <v>V762 - MARTINSVILLE</v>
          </cell>
        </row>
        <row r="176">
          <cell r="B176" t="str">
            <v>V742 - BLOOMINGTON</v>
          </cell>
        </row>
        <row r="177">
          <cell r="B177" t="str">
            <v>V792 - SULLIVAN</v>
          </cell>
        </row>
        <row r="178">
          <cell r="B178" t="str">
            <v>V752 - BEDFORD</v>
          </cell>
        </row>
        <row r="179">
          <cell r="B179" t="str">
            <v>V782 - VINCENNES</v>
          </cell>
        </row>
        <row r="180">
          <cell r="B180" t="str">
            <v>V812 - PRINCETON</v>
          </cell>
        </row>
        <row r="181">
          <cell r="B181" t="str">
            <v>V952 - FRANKLIN</v>
          </cell>
        </row>
        <row r="182">
          <cell r="B182" t="str">
            <v>V842 - CONNERSVILLE</v>
          </cell>
        </row>
        <row r="183">
          <cell r="B183" t="str">
            <v>V832 - SHELBYVILLE</v>
          </cell>
        </row>
        <row r="184">
          <cell r="B184" t="str">
            <v>V822 - GREENSBURG</v>
          </cell>
        </row>
        <row r="185">
          <cell r="B185" t="str">
            <v>V942 - COLUMBUS</v>
          </cell>
        </row>
        <row r="186">
          <cell r="B186" t="str">
            <v>V962 - SEYMOUR</v>
          </cell>
        </row>
        <row r="187">
          <cell r="B187" t="str">
            <v>V862 - AURORA</v>
          </cell>
        </row>
        <row r="188">
          <cell r="B188" t="str">
            <v>V892 - MADISON</v>
          </cell>
        </row>
        <row r="189">
          <cell r="B189" t="str">
            <v>V882 - CLARKSVILLE</v>
          </cell>
        </row>
        <row r="190">
          <cell r="B190" t="str">
            <v>V902 - CORYDON</v>
          </cell>
        </row>
        <row r="191">
          <cell r="B191" t="str">
            <v>-------------OHIO--------------</v>
          </cell>
        </row>
        <row r="192">
          <cell r="B192" t="str">
            <v>V461 - TODHUNTER</v>
          </cell>
        </row>
        <row r="193">
          <cell r="B193" t="str">
            <v>V462 - FAIRFIELD</v>
          </cell>
        </row>
        <row r="194">
          <cell r="B194" t="str">
            <v>V38H - HARTWELL</v>
          </cell>
        </row>
        <row r="195">
          <cell r="B195" t="str">
            <v>V493 - LITTLE MIAMI</v>
          </cell>
        </row>
        <row r="196">
          <cell r="B196" t="str">
            <v>V502 - BRECON</v>
          </cell>
        </row>
        <row r="197">
          <cell r="B197" t="str">
            <v>V492 - HAMLET/GEORGETOWN</v>
          </cell>
        </row>
        <row r="198">
          <cell r="B198" t="str">
            <v>VNWS - DOWNTOWN NETWORK</v>
          </cell>
        </row>
        <row r="199">
          <cell r="B199" t="str">
            <v>V40C - QUEENSGATE/MIAMITOWN</v>
          </cell>
        </row>
        <row r="200">
          <cell r="B200" t="str">
            <v>--------KENTUCKY----------</v>
          </cell>
        </row>
        <row r="201">
          <cell r="B201" t="str">
            <v>V932 - ERLANGER/COVINGTON</v>
          </cell>
        </row>
        <row r="202">
          <cell r="B202" t="str">
            <v>V932 - COLD SPRINGS</v>
          </cell>
        </row>
        <row r="203">
          <cell r="B203" t="str">
            <v>----SUBSTATION INDIANA----</v>
          </cell>
        </row>
        <row r="204">
          <cell r="B204" t="str">
            <v>VSIN - MW SS OPS IN NORTH</v>
          </cell>
        </row>
        <row r="205">
          <cell r="B205" t="str">
            <v>VSIE - MW SS OPS IN EAST</v>
          </cell>
        </row>
        <row r="206">
          <cell r="B206" t="str">
            <v>VSIW - MW SS OPS IN WEST</v>
          </cell>
        </row>
        <row r="207">
          <cell r="B207" t="str">
            <v>----SUBSTATION OHIO/KENTUCKY----</v>
          </cell>
        </row>
        <row r="208">
          <cell r="B208" t="str">
            <v>VSOH - MW SS OPS OH</v>
          </cell>
        </row>
        <row r="209">
          <cell r="B209" t="str">
            <v>VSKY - MW SS OPS Ky</v>
          </cell>
        </row>
        <row r="210">
          <cell r="B210" t="str">
            <v>-------------GAS Section---------------</v>
          </cell>
        </row>
        <row r="211">
          <cell r="B211" t="str">
            <v>GD10 - Gas Operations - OH</v>
          </cell>
        </row>
        <row r="212">
          <cell r="B212" t="str">
            <v>GD70 - Gas Operations - KY</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unication_Log"/>
      <sheetName val="DropDown_Elements"/>
      <sheetName val="Project Team"/>
    </sheetNames>
    <sheetDataSet>
      <sheetData sheetId="0" refreshError="1"/>
      <sheetData sheetId="1">
        <row r="2">
          <cell r="A2" t="str">
            <v>Daily</v>
          </cell>
        </row>
        <row r="3">
          <cell r="A3" t="str">
            <v>Weekly</v>
          </cell>
        </row>
        <row r="4">
          <cell r="A4" t="str">
            <v>Bi-Weekly</v>
          </cell>
        </row>
        <row r="5">
          <cell r="A5" t="str">
            <v>Monthly</v>
          </cell>
        </row>
        <row r="6">
          <cell r="A6" t="str">
            <v>Bi-Monthly</v>
          </cell>
        </row>
        <row r="7">
          <cell r="A7" t="str">
            <v>Quarterly</v>
          </cell>
        </row>
        <row r="8">
          <cell r="A8" t="str">
            <v>Semi-Annually</v>
          </cell>
        </row>
        <row r="9">
          <cell r="A9" t="str">
            <v>Annually</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onsor Input"/>
      <sheetName val="PM Input"/>
      <sheetName val="Project Financials Input"/>
      <sheetName val="Power Plan Setup &amp; DOA Approval"/>
      <sheetName val="Optional Scoping Document"/>
      <sheetName val="CE Ques"/>
      <sheetName val="Community Engagement Heat Map"/>
      <sheetName val="Outreach Notification Letter"/>
      <sheetName val="NERC CIP Checklist"/>
      <sheetName val="BES Checklist"/>
      <sheetName val="Operational Risk Checklist"/>
      <sheetName val="Radial Line Test"/>
      <sheetName val="Project Charter"/>
      <sheetName val="Coversheet Initiate Gate"/>
      <sheetName val="Coversheet Commit Gate"/>
      <sheetName val="Coversheet Build Gate"/>
      <sheetName val="PreAssigned Resources"/>
      <sheetName val="Super Form Instructions"/>
      <sheetName val="Assumptions &amp; Constraints"/>
      <sheetName val="Super Form"/>
      <sheetName val="JFC Form"/>
      <sheetName val="AR Form"/>
      <sheetName val="Contingency Form"/>
      <sheetName val="Lessons Learned"/>
      <sheetName val="Change Log"/>
      <sheetName val="Summary CG"/>
      <sheetName val="IRR Calc Input sht CG"/>
      <sheetName val="Financial Statements CG"/>
      <sheetName val="Revenue Requirement CG"/>
      <sheetName val="Calculations CG"/>
      <sheetName val="Policies &amp; Standards"/>
      <sheetName val="Useful Links"/>
      <sheetName val="Document Modifications"/>
    </sheetNames>
    <sheetDataSet>
      <sheetData sheetId="0"/>
      <sheetData sheetId="1"/>
      <sheetData sheetId="2">
        <row r="16">
          <cell r="K16" t="str">
            <v>Limited</v>
          </cell>
        </row>
        <row r="17">
          <cell r="K17" t="str">
            <v>Full</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tiate Gate Input"/>
      <sheetName val="DOA Signature Page - Initate"/>
      <sheetName val="Variance Form Initiate"/>
      <sheetName val="Cover Page Initiate"/>
      <sheetName val="Project Charter"/>
      <sheetName val="Scoping Doc - Initiate"/>
      <sheetName val="NERC CIP Checklist"/>
      <sheetName val="Summary IG"/>
      <sheetName val="IRR Calc Input sht IG"/>
      <sheetName val="Financial Statements IG"/>
      <sheetName val="Revenue Requirement IG"/>
      <sheetName val="Calculations IG"/>
      <sheetName val="Policies &amp; Standards"/>
      <sheetName val="Lessons Learned"/>
      <sheetName val="Commit Gate Input"/>
      <sheetName val="DOA Signature Page - Commit"/>
      <sheetName val="Variance Form - Commit"/>
      <sheetName val="Cover Page - Commit"/>
      <sheetName val="Project Charter (Orignal)"/>
      <sheetName val="Scoping Doc - Commit"/>
      <sheetName val="Summary CG"/>
      <sheetName val="IRR Calc Input sht CG"/>
      <sheetName val="Financial Statements CG"/>
      <sheetName val="Revenue Requirement CG"/>
      <sheetName val="Calculations CG"/>
      <sheetName val="Build Gate Input "/>
      <sheetName val="Variance Form Build"/>
      <sheetName val="Cost Sheet - Build"/>
      <sheetName val="Sheet7"/>
      <sheetName val="Sheet1"/>
    </sheetNames>
    <sheetDataSet>
      <sheetData sheetId="0">
        <row r="51">
          <cell r="B51" t="str">
            <v>Project # F15XXXXA: Where Ever You Want to Be USA - Green I or Green II Template</v>
          </cell>
        </row>
      </sheetData>
      <sheetData sheetId="1"/>
      <sheetData sheetId="2"/>
      <sheetData sheetId="3"/>
      <sheetData sheetId="4"/>
      <sheetData sheetId="5"/>
      <sheetData sheetId="6"/>
      <sheetData sheetId="7"/>
      <sheetData sheetId="8">
        <row r="9">
          <cell r="H9">
            <v>42150</v>
          </cell>
        </row>
        <row r="10">
          <cell r="H10">
            <v>43100</v>
          </cell>
        </row>
        <row r="48">
          <cell r="H48">
            <v>0.10199999999999999</v>
          </cell>
        </row>
        <row r="49">
          <cell r="H49">
            <v>0.53</v>
          </cell>
        </row>
        <row r="50">
          <cell r="H50">
            <v>4.5499999999999999E-2</v>
          </cell>
        </row>
        <row r="51">
          <cell r="H51">
            <v>0.38600000000000001</v>
          </cell>
        </row>
        <row r="52">
          <cell r="H52">
            <v>6.7190389999999989E-2</v>
          </cell>
        </row>
        <row r="60">
          <cell r="H60">
            <v>8.4600000000000005E-3</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Template"/>
      <sheetName val="Lookup Lists"/>
    </sheetNames>
    <sheetDataSet>
      <sheetData sheetId="0"/>
      <sheetData sheetId="1"/>
      <sheetData sheetId="2">
        <row r="2">
          <cell r="B2">
            <v>43465</v>
          </cell>
        </row>
        <row r="3">
          <cell r="B3">
            <v>43646</v>
          </cell>
          <cell r="D3" t="str">
            <v>BNP</v>
          </cell>
        </row>
        <row r="4">
          <cell r="B4">
            <v>43830</v>
          </cell>
          <cell r="D4" t="str">
            <v>CNS</v>
          </cell>
        </row>
        <row r="5">
          <cell r="B5">
            <v>44012</v>
          </cell>
          <cell r="D5" t="str">
            <v>HNP</v>
          </cell>
        </row>
        <row r="6">
          <cell r="B6">
            <v>44196</v>
          </cell>
          <cell r="D6" t="str">
            <v>MNS</v>
          </cell>
        </row>
        <row r="7">
          <cell r="B7">
            <v>44377</v>
          </cell>
          <cell r="D7" t="str">
            <v>ONS</v>
          </cell>
        </row>
        <row r="8">
          <cell r="B8">
            <v>44561</v>
          </cell>
          <cell r="D8" t="str">
            <v>RNP</v>
          </cell>
        </row>
        <row r="9">
          <cell r="B9">
            <v>44742</v>
          </cell>
        </row>
        <row r="10">
          <cell r="B10">
            <v>44926</v>
          </cell>
        </row>
        <row r="11">
          <cell r="B11">
            <v>45107</v>
          </cell>
        </row>
        <row r="12">
          <cell r="B12">
            <v>45291</v>
          </cell>
        </row>
        <row r="13">
          <cell r="B13">
            <v>45473</v>
          </cell>
        </row>
        <row r="14">
          <cell r="B14">
            <v>45657</v>
          </cell>
        </row>
        <row r="15">
          <cell r="B15">
            <v>45838</v>
          </cell>
        </row>
        <row r="16">
          <cell r="B16">
            <v>46022</v>
          </cell>
        </row>
        <row r="17">
          <cell r="B17">
            <v>46203</v>
          </cell>
        </row>
        <row r="18">
          <cell r="B18">
            <v>46387</v>
          </cell>
        </row>
        <row r="19">
          <cell r="B19">
            <v>46568</v>
          </cell>
        </row>
        <row r="20">
          <cell r="B20">
            <v>46752</v>
          </cell>
        </row>
        <row r="21">
          <cell r="B21">
            <v>46934</v>
          </cell>
        </row>
        <row r="22">
          <cell r="B22">
            <v>47118</v>
          </cell>
        </row>
        <row r="23">
          <cell r="B23">
            <v>47299</v>
          </cell>
        </row>
        <row r="24">
          <cell r="B24">
            <v>47483</v>
          </cell>
        </row>
        <row r="25">
          <cell r="B25">
            <v>47664</v>
          </cell>
        </row>
        <row r="26">
          <cell r="B26">
            <v>47848</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tect"/>
      <sheetName val="Drop Downs"/>
      <sheetName val="Revisions"/>
      <sheetName val="Job Aid"/>
      <sheetName val="Info From DCER"/>
      <sheetName val="PAP Cover Form"/>
      <sheetName val="PDT Minutes 10-01-2015"/>
      <sheetName val="PDT FINAL SCOPE"/>
      <sheetName val="Limited Funding Request"/>
      <sheetName val="KO Mtg Agenda-Minutes"/>
      <sheetName val="Key Project Dates - SS"/>
      <sheetName val="Key Project Dates - TL"/>
      <sheetName val="Labor Baseline Man-Hours"/>
      <sheetName val="Labor Summary"/>
      <sheetName val="KO Mtg Final Scope"/>
      <sheetName val="Comm Matrix"/>
      <sheetName val="Action Item Log"/>
      <sheetName val="Substation Work Plan"/>
      <sheetName val="Trans Line Work Plan"/>
      <sheetName val="Operational Risk Checklist"/>
      <sheetName val="Commit Gate Scope"/>
      <sheetName val="Build Gate Scope"/>
      <sheetName val="Substation Labor Hours"/>
      <sheetName val="TLine Labor Hours"/>
      <sheetName val="Substation Materials Costs"/>
      <sheetName val="Transmission Material Costs"/>
      <sheetName val="Change Log"/>
      <sheetName val="Lessons Learned"/>
      <sheetName val="Gate Requirements"/>
      <sheetName val="Sponsor Input"/>
      <sheetName val="PM Input"/>
      <sheetName val="Project Financials Input"/>
      <sheetName val="IRR Input - Green III+ "/>
      <sheetName val="Power Plan Setup &amp; DOA Approval"/>
      <sheetName val="Initiate Gate Cover Sheet"/>
      <sheetName val="Initiate Gate RFC Form"/>
      <sheetName val="Commit Gate Cover Sheet"/>
      <sheetName val="Committ Gate RFC Form "/>
      <sheetName val="Build Gate Cover Sheet"/>
      <sheetName val="Project Charter"/>
      <sheetName val="Scoping Document"/>
      <sheetName val="PreAssigned Resources"/>
      <sheetName val="BES Impact Checklist"/>
      <sheetName val="NERC CIP Checklist"/>
      <sheetName val="Radial Line Test"/>
      <sheetName val="Super Form Instructions"/>
      <sheetName val="Assumptions &amp; Constraints"/>
      <sheetName val="AR Form"/>
      <sheetName val="Risk Project Data"/>
      <sheetName val="Risk Entry"/>
      <sheetName val="Risk Sort"/>
      <sheetName val="Risk Reporting"/>
      <sheetName val="Tables"/>
      <sheetName val="Calc"/>
      <sheetName val="Risk Scales"/>
      <sheetName val="Risk Types"/>
      <sheetName val="IRR Calc Input sht CG"/>
      <sheetName val="Summary CG"/>
      <sheetName val="Financial Statements CG"/>
      <sheetName val="Revenue Requirement CG"/>
      <sheetName val="Calculations CG"/>
      <sheetName val="Policies &amp; Standards"/>
      <sheetName val="Project Request List"/>
      <sheetName val="New Lot Request"/>
      <sheetName val="New Sub Request"/>
      <sheetName val="Siting New ROW"/>
      <sheetName val="New Tap Line Request "/>
      <sheetName val="Existing Asset Reqest"/>
      <sheetName val="CE Ques"/>
      <sheetName val="Outreach Notification Letter"/>
      <sheetName val="Community Engagement Heat Map"/>
      <sheetName val="Useful Lin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 Aid"/>
      <sheetName val="Revisions"/>
      <sheetName val="DCER"/>
      <sheetName val="Final KO Meeting Minutes"/>
      <sheetName val="Scope Statement"/>
      <sheetName val="DOA Schedule"/>
      <sheetName val="Funding Project Est Summary"/>
      <sheetName val="Change Order Summary"/>
      <sheetName val="Huntington State St 69kV"/>
      <sheetName val="Trans Sub 1"/>
      <sheetName val="Trans Sub 2"/>
      <sheetName val="Huntington State St 12kV"/>
      <sheetName val="Dist Sub 1"/>
      <sheetName val="Station RLE"/>
      <sheetName val="Station Material"/>
      <sheetName val="Station Material (1)"/>
      <sheetName val="Station Material (2)"/>
      <sheetName val="Estimate Input Station"/>
      <sheetName val="Huntington State St 69143 TL"/>
      <sheetName val="Trans Line 1"/>
      <sheetName val="DL1"/>
      <sheetName val="DL2"/>
      <sheetName val="DL3"/>
      <sheetName val="Huntington State St 69143 OM"/>
      <sheetName val="Line Mtc 1"/>
      <sheetName val="Huntington State St 33MVA RLE"/>
      <sheetName val="Line Material"/>
      <sheetName val="Line Material (1)"/>
      <sheetName val="Line Material (2)"/>
      <sheetName val="Estimate Input Line"/>
      <sheetName val="MW Rates "/>
      <sheetName val="JUST PL4 and 5"/>
      <sheetName val="PL4PL5 and Process"/>
      <sheetName val="Car Rates"/>
      <sheetName val="201LINEDOT"/>
      <sheetName val="Process Drop Down"/>
      <sheetName val="Utility Accts"/>
      <sheetName val="Utility Accts (2)"/>
      <sheetName val="Idents-ALL"/>
      <sheetName val="Indiana"/>
      <sheetName val="Kentucky-Ohio"/>
      <sheetName val="Sheet1"/>
      <sheetName val="Proc Lvl 5 Code Descrip"/>
    </sheetNames>
    <sheetDataSet>
      <sheetData sheetId="0"/>
      <sheetData sheetId="1"/>
      <sheetData sheetId="2">
        <row r="3">
          <cell r="A3" t="str">
            <v>Funding Project Name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8">
          <cell r="A8" t="str">
            <v>Pick one from the drop-down list</v>
          </cell>
        </row>
        <row r="9">
          <cell r="A9" t="str">
            <v>-----Asset Management-----</v>
          </cell>
        </row>
        <row r="10">
          <cell r="A10" t="str">
            <v>APPARATUS - DPAPP - 803-Sub D</v>
          </cell>
        </row>
        <row r="11">
          <cell r="A11" t="str">
            <v>APPARATUS - TPAPP - 802-Sub T</v>
          </cell>
        </row>
        <row r="12">
          <cell r="A12" t="str">
            <v>Customer Deliveries - BOILCUS - 802-Sub T</v>
          </cell>
        </row>
        <row r="13">
          <cell r="A13" t="str">
            <v>Customer Deliveries - DNEWCAP - 803-SUB D</v>
          </cell>
        </row>
        <row r="14">
          <cell r="A14" t="str">
            <v>Customer Deliveries - DNEWSTA - 803-Sub D</v>
          </cell>
        </row>
        <row r="15">
          <cell r="A15" t="str">
            <v>Customer Deliveries - TLCUST - 804-Line T</v>
          </cell>
        </row>
        <row r="16">
          <cell r="A16" t="str">
            <v>IPP INTERCONNECTIONS - TPIPP - 804-Line T</v>
          </cell>
        </row>
        <row r="17">
          <cell r="A17" t="str">
            <v>Line &amp; Station Compliance - DLINCAP - Sch 814 - DLine</v>
          </cell>
        </row>
        <row r="18">
          <cell r="A18" t="str">
            <v>Line &amp; Station Compliance - DLINERC - DLine OM</v>
          </cell>
        </row>
        <row r="19">
          <cell r="A19" t="str">
            <v>Line &amp; Station Compliance - TLINCAP - Sch 804 - TLine</v>
          </cell>
        </row>
        <row r="20">
          <cell r="A20" t="str">
            <v>Line &amp; Station Compliance - TLINERC - TLine OM</v>
          </cell>
        </row>
        <row r="21">
          <cell r="A21" t="str">
            <v xml:space="preserve">Wholesale Deliveries - TLCATCU </v>
          </cell>
        </row>
        <row r="22">
          <cell r="A22" t="str">
            <v>Wholesale Deliveries - TSVCDL - 814-Line D</v>
          </cell>
        </row>
        <row r="23">
          <cell r="A23" t="str">
            <v>Wholesale Deliveries - TSVCDS - 803-Sub D</v>
          </cell>
        </row>
        <row r="24">
          <cell r="A24" t="str">
            <v>Wholesale Deliveries - TSVCTL - 804-Line T</v>
          </cell>
        </row>
        <row r="25">
          <cell r="A25" t="str">
            <v>Wholesale Deliveries - TSVCTS - 802-Sub T</v>
          </cell>
        </row>
        <row r="26">
          <cell r="A26" t="str">
            <v xml:space="preserve">ELECTRIC FACILITY SALES - ASTSALE </v>
          </cell>
        </row>
        <row r="27">
          <cell r="A27" t="str">
            <v>Retail Capacity - DCAPINC - 803-Sub D</v>
          </cell>
        </row>
        <row r="28">
          <cell r="A28" t="str">
            <v>Retail Capacity - DNEWRET - 803-Sub D</v>
          </cell>
        </row>
        <row r="29">
          <cell r="A29" t="str">
            <v>Retail Capacity - DRETLN - 814-Line D</v>
          </cell>
        </row>
        <row r="30">
          <cell r="A30" t="str">
            <v>Retail Capacity - TLRET - 804-Line T</v>
          </cell>
        </row>
        <row r="31">
          <cell r="A31" t="str">
            <v>Retail Capacity - TPRET - 802-SUB T</v>
          </cell>
        </row>
        <row r="32">
          <cell r="A32" t="str">
            <v>SYSTEM CAP - GEN - DSBUILD - 814-Line D</v>
          </cell>
        </row>
        <row r="33">
          <cell r="A33" t="str">
            <v>SYSTEM CAP - GEN - SCAPGTL - 804-Line T</v>
          </cell>
        </row>
        <row r="34">
          <cell r="A34" t="str">
            <v>SYSTEM CAP - GEN - SCAPGTS - 802-Sub T</v>
          </cell>
        </row>
        <row r="35">
          <cell r="A35" t="str">
            <v>SYSTEM CAP - GEN - SYGDSUB - 803-Sub D</v>
          </cell>
        </row>
        <row r="36">
          <cell r="A36" t="str">
            <v>SYSTEM CAPACITY - D - CFY - 814-Line D</v>
          </cell>
        </row>
        <row r="37">
          <cell r="A37" t="str">
            <v>SYSTEM CAPACITY - D - DOECAP</v>
          </cell>
        </row>
        <row r="38">
          <cell r="A38" t="str">
            <v>SYSTEM CAPACITY - D - SYCDSUB - 803-SUB D</v>
          </cell>
        </row>
        <row r="39">
          <cell r="A39" t="str">
            <v>SYSTEM CAPACITY - D - STCTSYB - 802-SUB T</v>
          </cell>
        </row>
        <row r="40">
          <cell r="A40" t="str">
            <v>SYSTEM CAPACITY - D - SYCTSUB - 804-Line T</v>
          </cell>
        </row>
        <row r="41">
          <cell r="A41" t="str">
            <v>SYSTEM CAPACITY SUB - CAPSUB - 802-Sub T</v>
          </cell>
        </row>
        <row r="42">
          <cell r="A42" t="str">
            <v>SYSTEM CAPACITY SUB - CAPSUBD - 803-Sub D</v>
          </cell>
        </row>
        <row r="43">
          <cell r="A43" t="str">
            <v>SYSTEM CAPACITY - T - SYCAPTD - 814-Line D</v>
          </cell>
        </row>
        <row r="44">
          <cell r="A44" t="str">
            <v>SYSTEM CAPACITY - T - TCAPDSB - 803-Sub D</v>
          </cell>
        </row>
        <row r="45">
          <cell r="A45" t="str">
            <v>SYSTEM CAPACITY - T - TPCAPIN - 802-Sub T</v>
          </cell>
        </row>
        <row r="46">
          <cell r="A46" t="str">
            <v>SYSTEM CAPACITY - T - TPLINES - 804-Line T</v>
          </cell>
        </row>
        <row r="47">
          <cell r="A47" t="str">
            <v>Line &amp; Sta Compliance - THOTLIN - 804-Line T</v>
          </cell>
        </row>
        <row r="48">
          <cell r="A48" t="str">
            <v>Line &amp; Sta Compliance - TPRIVER - 804-Line T</v>
          </cell>
        </row>
        <row r="49">
          <cell r="A49" t="str">
            <v>Line &amp; Sta Compliance - TSUBCOM - 802-Sub T</v>
          </cell>
        </row>
        <row r="50">
          <cell r="A50" t="str">
            <v>OD Breakers - DODBRKR - 803-Sub D</v>
          </cell>
        </row>
        <row r="51">
          <cell r="A51" t="str">
            <v>OD Breakers - TODBRKR - 802-Sub T</v>
          </cell>
        </row>
        <row r="52">
          <cell r="A52" t="str">
            <v>SPCC - DPOIL - 803-Sub D</v>
          </cell>
        </row>
        <row r="53">
          <cell r="A53" t="str">
            <v>SPCC - TPOIL - 802-Sub T</v>
          </cell>
        </row>
        <row r="54">
          <cell r="A54" t="str">
            <v>PROJ O&amp;M-CAR-AM - SUBPRO - 803-Sub D</v>
          </cell>
        </row>
        <row r="55">
          <cell r="A55" t="str">
            <v>PROJ O&amp;M-CAR-AM - TLINPRO - 804-Line T</v>
          </cell>
        </row>
        <row r="56">
          <cell r="A56" t="str">
            <v>PROJ-O&amp;M-MW-AM - PRJOMAM - O&amp;M</v>
          </cell>
        </row>
        <row r="57">
          <cell r="A57" t="str">
            <v>Integrity Projects - DAIRBRK - 803-Sub D</v>
          </cell>
        </row>
        <row r="58">
          <cell r="A58" t="str">
            <v>Integrity Projects - DMINTL - 814-Line D</v>
          </cell>
        </row>
        <row r="59">
          <cell r="A59" t="str">
            <v>Integrity Projects - DMJRINT - 803-Sub D</v>
          </cell>
        </row>
        <row r="60">
          <cell r="A60" t="str">
            <v>Integrity Projects - TLREBLD - 804-Line T</v>
          </cell>
        </row>
        <row r="61">
          <cell r="A61" t="str">
            <v>Integrity Projects - TPBRKR - 802-Sub T</v>
          </cell>
        </row>
        <row r="62">
          <cell r="A62" t="str">
            <v>Integrity Projects - TPPROT - 802-Sub T</v>
          </cell>
        </row>
        <row r="63">
          <cell r="A63" t="str">
            <v>Integrity Projects - TPREBLD - 802-Sub T</v>
          </cell>
        </row>
        <row r="64">
          <cell r="A64" t="str">
            <v>NUCLEAR SWITCHYARD - TNUCSW - 802-Sub T</v>
          </cell>
        </row>
        <row r="65">
          <cell r="A65" t="str">
            <v>R&amp;I Cap - Other T - DPMINR - 814-Line D</v>
          </cell>
        </row>
        <row r="66">
          <cell r="A66" t="str">
            <v>R&amp;I Cap - Other T - DPELEC - 803-Sub D</v>
          </cell>
        </row>
        <row r="67">
          <cell r="A67" t="str">
            <v>R&amp;I Cap - Other T - TMLINRI - 804-Line T</v>
          </cell>
        </row>
        <row r="68">
          <cell r="A68" t="str">
            <v>R&amp;I Cap - Other T - DMNRR&amp;I - 803-Sub D</v>
          </cell>
        </row>
        <row r="69">
          <cell r="A69" t="str">
            <v>R&amp;I Cap - Other T - TMNRR&amp;I - 802-Sub T</v>
          </cell>
        </row>
        <row r="70">
          <cell r="A70" t="str">
            <v>R&amp;I Cap - Other T - DOER&amp;I - 803-Sub D</v>
          </cell>
        </row>
        <row r="71">
          <cell r="A71" t="str">
            <v>R&amp;I Cap - Other T - DOER&amp;I - 802-Sub T</v>
          </cell>
        </row>
        <row r="72">
          <cell r="A72" t="str">
            <v>R&amp;I Cap - Other T - DOER&amp;I - 804-Line T</v>
          </cell>
        </row>
        <row r="73">
          <cell r="A73" t="str">
            <v>R&amp;I Programs - T - DPMISC - 803-Sub D</v>
          </cell>
        </row>
        <row r="74">
          <cell r="A74" t="str">
            <v>R&amp;I Programs - T - TLMISC - 804-Line T</v>
          </cell>
        </row>
        <row r="75">
          <cell r="A75" t="str">
            <v>R&amp;I Programs - T - TMISCST - 802-Sub T</v>
          </cell>
        </row>
        <row r="76">
          <cell r="A76" t="str">
            <v>R&amp;I Programs - T - TMISD - 814-Line D</v>
          </cell>
        </row>
        <row r="77">
          <cell r="A77" t="str">
            <v>Rel Maj Capital - T - DPMAJR - 814-Line D</v>
          </cell>
        </row>
        <row r="78">
          <cell r="A78" t="str">
            <v>Rel Maj Capital - T - DPTRFF - 803-Sub D</v>
          </cell>
        </row>
        <row r="79">
          <cell r="A79" t="str">
            <v>Rel Maj Capital - T - TPAPPF - 802-Sub T</v>
          </cell>
        </row>
        <row r="80">
          <cell r="A80" t="str">
            <v>Rel Maj Capital - T - TPMAJR - 804-Line T</v>
          </cell>
        </row>
        <row r="81">
          <cell r="A81" t="str">
            <v>Substation Auto D - DAUT - 802-Sub T</v>
          </cell>
        </row>
        <row r="82">
          <cell r="A82" t="str">
            <v>Substation Auto D - DAUTMAT - 803-Sub D</v>
          </cell>
        </row>
        <row r="83">
          <cell r="A83" t="str">
            <v>Relocations - Trans - HIWAYT - 804-Line T</v>
          </cell>
        </row>
        <row r="84">
          <cell r="A84" t="str">
            <v>Relocations - Trans - OTHRELO - 804-Line T</v>
          </cell>
        </row>
        <row r="85">
          <cell r="A85" t="str">
            <v>--------PD Technology-----------</v>
          </cell>
        </row>
        <row r="86">
          <cell r="A86" t="str">
            <v>TECHNOLOGY - PDIT - FRMRLAY</v>
          </cell>
        </row>
        <row r="87">
          <cell r="A87" t="str">
            <v>----------Field Ops----------</v>
          </cell>
        </row>
        <row r="88">
          <cell r="A88" t="str">
            <v>Syst Cap Region Sub - DMNRCAP - 803-Sub D</v>
          </cell>
        </row>
        <row r="89">
          <cell r="A89" t="str">
            <v>Syst Cap Region Sub - TMNRCAP - 802-Sub T</v>
          </cell>
        </row>
        <row r="90">
          <cell r="A90" t="str">
            <v>Pole Replacement T - TPPOLE - 804-Line T</v>
          </cell>
        </row>
        <row r="91">
          <cell r="A91" t="str">
            <v>OUT RESTOR SUB - DPEQUIP - 803-Sub D</v>
          </cell>
        </row>
        <row r="92">
          <cell r="A92" t="str">
            <v>OUT RESTOR SUB - TPEQUIP - 802-Sub T</v>
          </cell>
        </row>
        <row r="93">
          <cell r="A93" t="str">
            <v>--------NERC Requirements----------</v>
          </cell>
        </row>
        <row r="94">
          <cell r="A94" t="str">
            <v xml:space="preserve">System Capacity - T - GRIDPRT </v>
          </cell>
        </row>
        <row r="95">
          <cell r="A95" t="str">
            <v>--------SMARTGRID-----------</v>
          </cell>
        </row>
        <row r="96">
          <cell r="A96" t="str">
            <v xml:space="preserve">SMARTGRID DIST AUTOMATION - SGDAISS </v>
          </cell>
        </row>
        <row r="97">
          <cell r="A97">
            <v>0</v>
          </cell>
        </row>
        <row r="98">
          <cell r="A98">
            <v>0</v>
          </cell>
        </row>
      </sheetData>
      <sheetData sheetId="36"/>
      <sheetData sheetId="37"/>
      <sheetData sheetId="38"/>
      <sheetData sheetId="39"/>
      <sheetData sheetId="40"/>
      <sheetData sheetId="41"/>
      <sheetData sheetId="4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rst Sheet"/>
      <sheetName val="Master Tab"/>
      <sheetName val="Estimate Uncertainty Tool"/>
      <sheetName val="Finance Breakdown"/>
      <sheetName val="Assumptions"/>
      <sheetName val="Cost Change Log"/>
      <sheetName val="Cost Report"/>
      <sheetName val="Pipeline 1"/>
      <sheetName val="Demo 1"/>
      <sheetName val="Dropdown Values"/>
      <sheetName val="EJ Questionaire"/>
      <sheetName val="PE Level of Risk Template"/>
      <sheetName val="AFUDC"/>
    </sheetNames>
    <sheetDataSet>
      <sheetData sheetId="0" refreshError="1"/>
      <sheetData sheetId="1">
        <row r="19">
          <cell r="C19">
            <v>10</v>
          </cell>
        </row>
      </sheetData>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5.bin"/><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6AC4C-C0BA-4007-8C54-B1A160DBF0A3}">
  <dimension ref="A1:J12"/>
  <sheetViews>
    <sheetView tabSelected="1" view="pageLayout" zoomScaleNormal="100" workbookViewId="0">
      <selection activeCell="E24" sqref="E24"/>
    </sheetView>
  </sheetViews>
  <sheetFormatPr defaultRowHeight="12.75"/>
  <cols>
    <col min="1" max="1" width="3" style="233" bestFit="1" customWidth="1"/>
    <col min="2" max="2" width="24.7109375" style="233" bestFit="1" customWidth="1"/>
    <col min="3" max="3" width="22" style="233" bestFit="1" customWidth="1"/>
    <col min="4" max="5" width="13" style="233" bestFit="1" customWidth="1"/>
    <col min="6" max="7" width="15" style="233" bestFit="1" customWidth="1"/>
    <col min="8" max="8" width="11" style="233" bestFit="1" customWidth="1"/>
    <col min="9" max="10" width="13" style="233" bestFit="1" customWidth="1"/>
    <col min="11" max="256" width="9.140625" style="233"/>
    <col min="257" max="257" width="3" style="233" bestFit="1" customWidth="1"/>
    <col min="258" max="258" width="24.7109375" style="233" bestFit="1" customWidth="1"/>
    <col min="259" max="259" width="22" style="233" bestFit="1" customWidth="1"/>
    <col min="260" max="261" width="13" style="233" bestFit="1" customWidth="1"/>
    <col min="262" max="263" width="15" style="233" bestFit="1" customWidth="1"/>
    <col min="264" max="264" width="11" style="233" bestFit="1" customWidth="1"/>
    <col min="265" max="266" width="13" style="233" bestFit="1" customWidth="1"/>
    <col min="267" max="512" width="9.140625" style="233"/>
    <col min="513" max="513" width="3" style="233" bestFit="1" customWidth="1"/>
    <col min="514" max="514" width="24.7109375" style="233" bestFit="1" customWidth="1"/>
    <col min="515" max="515" width="22" style="233" bestFit="1" customWidth="1"/>
    <col min="516" max="517" width="13" style="233" bestFit="1" customWidth="1"/>
    <col min="518" max="519" width="15" style="233" bestFit="1" customWidth="1"/>
    <col min="520" max="520" width="11" style="233" bestFit="1" customWidth="1"/>
    <col min="521" max="522" width="13" style="233" bestFit="1" customWidth="1"/>
    <col min="523" max="768" width="9.140625" style="233"/>
    <col min="769" max="769" width="3" style="233" bestFit="1" customWidth="1"/>
    <col min="770" max="770" width="24.7109375" style="233" bestFit="1" customWidth="1"/>
    <col min="771" max="771" width="22" style="233" bestFit="1" customWidth="1"/>
    <col min="772" max="773" width="13" style="233" bestFit="1" customWidth="1"/>
    <col min="774" max="775" width="15" style="233" bestFit="1" customWidth="1"/>
    <col min="776" max="776" width="11" style="233" bestFit="1" customWidth="1"/>
    <col min="777" max="778" width="13" style="233" bestFit="1" customWidth="1"/>
    <col min="779" max="1024" width="9.140625" style="233"/>
    <col min="1025" max="1025" width="3" style="233" bestFit="1" customWidth="1"/>
    <col min="1026" max="1026" width="24.7109375" style="233" bestFit="1" customWidth="1"/>
    <col min="1027" max="1027" width="22" style="233" bestFit="1" customWidth="1"/>
    <col min="1028" max="1029" width="13" style="233" bestFit="1" customWidth="1"/>
    <col min="1030" max="1031" width="15" style="233" bestFit="1" customWidth="1"/>
    <col min="1032" max="1032" width="11" style="233" bestFit="1" customWidth="1"/>
    <col min="1033" max="1034" width="13" style="233" bestFit="1" customWidth="1"/>
    <col min="1035" max="1280" width="9.140625" style="233"/>
    <col min="1281" max="1281" width="3" style="233" bestFit="1" customWidth="1"/>
    <col min="1282" max="1282" width="24.7109375" style="233" bestFit="1" customWidth="1"/>
    <col min="1283" max="1283" width="22" style="233" bestFit="1" customWidth="1"/>
    <col min="1284" max="1285" width="13" style="233" bestFit="1" customWidth="1"/>
    <col min="1286" max="1287" width="15" style="233" bestFit="1" customWidth="1"/>
    <col min="1288" max="1288" width="11" style="233" bestFit="1" customWidth="1"/>
    <col min="1289" max="1290" width="13" style="233" bestFit="1" customWidth="1"/>
    <col min="1291" max="1536" width="9.140625" style="233"/>
    <col min="1537" max="1537" width="3" style="233" bestFit="1" customWidth="1"/>
    <col min="1538" max="1538" width="24.7109375" style="233" bestFit="1" customWidth="1"/>
    <col min="1539" max="1539" width="22" style="233" bestFit="1" customWidth="1"/>
    <col min="1540" max="1541" width="13" style="233" bestFit="1" customWidth="1"/>
    <col min="1542" max="1543" width="15" style="233" bestFit="1" customWidth="1"/>
    <col min="1544" max="1544" width="11" style="233" bestFit="1" customWidth="1"/>
    <col min="1545" max="1546" width="13" style="233" bestFit="1" customWidth="1"/>
    <col min="1547" max="1792" width="9.140625" style="233"/>
    <col min="1793" max="1793" width="3" style="233" bestFit="1" customWidth="1"/>
    <col min="1794" max="1794" width="24.7109375" style="233" bestFit="1" customWidth="1"/>
    <col min="1795" max="1795" width="22" style="233" bestFit="1" customWidth="1"/>
    <col min="1796" max="1797" width="13" style="233" bestFit="1" customWidth="1"/>
    <col min="1798" max="1799" width="15" style="233" bestFit="1" customWidth="1"/>
    <col min="1800" max="1800" width="11" style="233" bestFit="1" customWidth="1"/>
    <col min="1801" max="1802" width="13" style="233" bestFit="1" customWidth="1"/>
    <col min="1803" max="2048" width="9.140625" style="233"/>
    <col min="2049" max="2049" width="3" style="233" bestFit="1" customWidth="1"/>
    <col min="2050" max="2050" width="24.7109375" style="233" bestFit="1" customWidth="1"/>
    <col min="2051" max="2051" width="22" style="233" bestFit="1" customWidth="1"/>
    <col min="2052" max="2053" width="13" style="233" bestFit="1" customWidth="1"/>
    <col min="2054" max="2055" width="15" style="233" bestFit="1" customWidth="1"/>
    <col min="2056" max="2056" width="11" style="233" bestFit="1" customWidth="1"/>
    <col min="2057" max="2058" width="13" style="233" bestFit="1" customWidth="1"/>
    <col min="2059" max="2304" width="9.140625" style="233"/>
    <col min="2305" max="2305" width="3" style="233" bestFit="1" customWidth="1"/>
    <col min="2306" max="2306" width="24.7109375" style="233" bestFit="1" customWidth="1"/>
    <col min="2307" max="2307" width="22" style="233" bestFit="1" customWidth="1"/>
    <col min="2308" max="2309" width="13" style="233" bestFit="1" customWidth="1"/>
    <col min="2310" max="2311" width="15" style="233" bestFit="1" customWidth="1"/>
    <col min="2312" max="2312" width="11" style="233" bestFit="1" customWidth="1"/>
    <col min="2313" max="2314" width="13" style="233" bestFit="1" customWidth="1"/>
    <col min="2315" max="2560" width="9.140625" style="233"/>
    <col min="2561" max="2561" width="3" style="233" bestFit="1" customWidth="1"/>
    <col min="2562" max="2562" width="24.7109375" style="233" bestFit="1" customWidth="1"/>
    <col min="2563" max="2563" width="22" style="233" bestFit="1" customWidth="1"/>
    <col min="2564" max="2565" width="13" style="233" bestFit="1" customWidth="1"/>
    <col min="2566" max="2567" width="15" style="233" bestFit="1" customWidth="1"/>
    <col min="2568" max="2568" width="11" style="233" bestFit="1" customWidth="1"/>
    <col min="2569" max="2570" width="13" style="233" bestFit="1" customWidth="1"/>
    <col min="2571" max="2816" width="9.140625" style="233"/>
    <col min="2817" max="2817" width="3" style="233" bestFit="1" customWidth="1"/>
    <col min="2818" max="2818" width="24.7109375" style="233" bestFit="1" customWidth="1"/>
    <col min="2819" max="2819" width="22" style="233" bestFit="1" customWidth="1"/>
    <col min="2820" max="2821" width="13" style="233" bestFit="1" customWidth="1"/>
    <col min="2822" max="2823" width="15" style="233" bestFit="1" customWidth="1"/>
    <col min="2824" max="2824" width="11" style="233" bestFit="1" customWidth="1"/>
    <col min="2825" max="2826" width="13" style="233" bestFit="1" customWidth="1"/>
    <col min="2827" max="3072" width="9.140625" style="233"/>
    <col min="3073" max="3073" width="3" style="233" bestFit="1" customWidth="1"/>
    <col min="3074" max="3074" width="24.7109375" style="233" bestFit="1" customWidth="1"/>
    <col min="3075" max="3075" width="22" style="233" bestFit="1" customWidth="1"/>
    <col min="3076" max="3077" width="13" style="233" bestFit="1" customWidth="1"/>
    <col min="3078" max="3079" width="15" style="233" bestFit="1" customWidth="1"/>
    <col min="3080" max="3080" width="11" style="233" bestFit="1" customWidth="1"/>
    <col min="3081" max="3082" width="13" style="233" bestFit="1" customWidth="1"/>
    <col min="3083" max="3328" width="9.140625" style="233"/>
    <col min="3329" max="3329" width="3" style="233" bestFit="1" customWidth="1"/>
    <col min="3330" max="3330" width="24.7109375" style="233" bestFit="1" customWidth="1"/>
    <col min="3331" max="3331" width="22" style="233" bestFit="1" customWidth="1"/>
    <col min="3332" max="3333" width="13" style="233" bestFit="1" customWidth="1"/>
    <col min="3334" max="3335" width="15" style="233" bestFit="1" customWidth="1"/>
    <col min="3336" max="3336" width="11" style="233" bestFit="1" customWidth="1"/>
    <col min="3337" max="3338" width="13" style="233" bestFit="1" customWidth="1"/>
    <col min="3339" max="3584" width="9.140625" style="233"/>
    <col min="3585" max="3585" width="3" style="233" bestFit="1" customWidth="1"/>
    <col min="3586" max="3586" width="24.7109375" style="233" bestFit="1" customWidth="1"/>
    <col min="3587" max="3587" width="22" style="233" bestFit="1" customWidth="1"/>
    <col min="3588" max="3589" width="13" style="233" bestFit="1" customWidth="1"/>
    <col min="3590" max="3591" width="15" style="233" bestFit="1" customWidth="1"/>
    <col min="3592" max="3592" width="11" style="233" bestFit="1" customWidth="1"/>
    <col min="3593" max="3594" width="13" style="233" bestFit="1" customWidth="1"/>
    <col min="3595" max="3840" width="9.140625" style="233"/>
    <col min="3841" max="3841" width="3" style="233" bestFit="1" customWidth="1"/>
    <col min="3842" max="3842" width="24.7109375" style="233" bestFit="1" customWidth="1"/>
    <col min="3843" max="3843" width="22" style="233" bestFit="1" customWidth="1"/>
    <col min="3844" max="3845" width="13" style="233" bestFit="1" customWidth="1"/>
    <col min="3846" max="3847" width="15" style="233" bestFit="1" customWidth="1"/>
    <col min="3848" max="3848" width="11" style="233" bestFit="1" customWidth="1"/>
    <col min="3849" max="3850" width="13" style="233" bestFit="1" customWidth="1"/>
    <col min="3851" max="4096" width="9.140625" style="233"/>
    <col min="4097" max="4097" width="3" style="233" bestFit="1" customWidth="1"/>
    <col min="4098" max="4098" width="24.7109375" style="233" bestFit="1" customWidth="1"/>
    <col min="4099" max="4099" width="22" style="233" bestFit="1" customWidth="1"/>
    <col min="4100" max="4101" width="13" style="233" bestFit="1" customWidth="1"/>
    <col min="4102" max="4103" width="15" style="233" bestFit="1" customWidth="1"/>
    <col min="4104" max="4104" width="11" style="233" bestFit="1" customWidth="1"/>
    <col min="4105" max="4106" width="13" style="233" bestFit="1" customWidth="1"/>
    <col min="4107" max="4352" width="9.140625" style="233"/>
    <col min="4353" max="4353" width="3" style="233" bestFit="1" customWidth="1"/>
    <col min="4354" max="4354" width="24.7109375" style="233" bestFit="1" customWidth="1"/>
    <col min="4355" max="4355" width="22" style="233" bestFit="1" customWidth="1"/>
    <col min="4356" max="4357" width="13" style="233" bestFit="1" customWidth="1"/>
    <col min="4358" max="4359" width="15" style="233" bestFit="1" customWidth="1"/>
    <col min="4360" max="4360" width="11" style="233" bestFit="1" customWidth="1"/>
    <col min="4361" max="4362" width="13" style="233" bestFit="1" customWidth="1"/>
    <col min="4363" max="4608" width="9.140625" style="233"/>
    <col min="4609" max="4609" width="3" style="233" bestFit="1" customWidth="1"/>
    <col min="4610" max="4610" width="24.7109375" style="233" bestFit="1" customWidth="1"/>
    <col min="4611" max="4611" width="22" style="233" bestFit="1" customWidth="1"/>
    <col min="4612" max="4613" width="13" style="233" bestFit="1" customWidth="1"/>
    <col min="4614" max="4615" width="15" style="233" bestFit="1" customWidth="1"/>
    <col min="4616" max="4616" width="11" style="233" bestFit="1" customWidth="1"/>
    <col min="4617" max="4618" width="13" style="233" bestFit="1" customWidth="1"/>
    <col min="4619" max="4864" width="9.140625" style="233"/>
    <col min="4865" max="4865" width="3" style="233" bestFit="1" customWidth="1"/>
    <col min="4866" max="4866" width="24.7109375" style="233" bestFit="1" customWidth="1"/>
    <col min="4867" max="4867" width="22" style="233" bestFit="1" customWidth="1"/>
    <col min="4868" max="4869" width="13" style="233" bestFit="1" customWidth="1"/>
    <col min="4870" max="4871" width="15" style="233" bestFit="1" customWidth="1"/>
    <col min="4872" max="4872" width="11" style="233" bestFit="1" customWidth="1"/>
    <col min="4873" max="4874" width="13" style="233" bestFit="1" customWidth="1"/>
    <col min="4875" max="5120" width="9.140625" style="233"/>
    <col min="5121" max="5121" width="3" style="233" bestFit="1" customWidth="1"/>
    <col min="5122" max="5122" width="24.7109375" style="233" bestFit="1" customWidth="1"/>
    <col min="5123" max="5123" width="22" style="233" bestFit="1" customWidth="1"/>
    <col min="5124" max="5125" width="13" style="233" bestFit="1" customWidth="1"/>
    <col min="5126" max="5127" width="15" style="233" bestFit="1" customWidth="1"/>
    <col min="5128" max="5128" width="11" style="233" bestFit="1" customWidth="1"/>
    <col min="5129" max="5130" width="13" style="233" bestFit="1" customWidth="1"/>
    <col min="5131" max="5376" width="9.140625" style="233"/>
    <col min="5377" max="5377" width="3" style="233" bestFit="1" customWidth="1"/>
    <col min="5378" max="5378" width="24.7109375" style="233" bestFit="1" customWidth="1"/>
    <col min="5379" max="5379" width="22" style="233" bestFit="1" customWidth="1"/>
    <col min="5380" max="5381" width="13" style="233" bestFit="1" customWidth="1"/>
    <col min="5382" max="5383" width="15" style="233" bestFit="1" customWidth="1"/>
    <col min="5384" max="5384" width="11" style="233" bestFit="1" customWidth="1"/>
    <col min="5385" max="5386" width="13" style="233" bestFit="1" customWidth="1"/>
    <col min="5387" max="5632" width="9.140625" style="233"/>
    <col min="5633" max="5633" width="3" style="233" bestFit="1" customWidth="1"/>
    <col min="5634" max="5634" width="24.7109375" style="233" bestFit="1" customWidth="1"/>
    <col min="5635" max="5635" width="22" style="233" bestFit="1" customWidth="1"/>
    <col min="5636" max="5637" width="13" style="233" bestFit="1" customWidth="1"/>
    <col min="5638" max="5639" width="15" style="233" bestFit="1" customWidth="1"/>
    <col min="5640" max="5640" width="11" style="233" bestFit="1" customWidth="1"/>
    <col min="5641" max="5642" width="13" style="233" bestFit="1" customWidth="1"/>
    <col min="5643" max="5888" width="9.140625" style="233"/>
    <col min="5889" max="5889" width="3" style="233" bestFit="1" customWidth="1"/>
    <col min="5890" max="5890" width="24.7109375" style="233" bestFit="1" customWidth="1"/>
    <col min="5891" max="5891" width="22" style="233" bestFit="1" customWidth="1"/>
    <col min="5892" max="5893" width="13" style="233" bestFit="1" customWidth="1"/>
    <col min="5894" max="5895" width="15" style="233" bestFit="1" customWidth="1"/>
    <col min="5896" max="5896" width="11" style="233" bestFit="1" customWidth="1"/>
    <col min="5897" max="5898" width="13" style="233" bestFit="1" customWidth="1"/>
    <col min="5899" max="6144" width="9.140625" style="233"/>
    <col min="6145" max="6145" width="3" style="233" bestFit="1" customWidth="1"/>
    <col min="6146" max="6146" width="24.7109375" style="233" bestFit="1" customWidth="1"/>
    <col min="6147" max="6147" width="22" style="233" bestFit="1" customWidth="1"/>
    <col min="6148" max="6149" width="13" style="233" bestFit="1" customWidth="1"/>
    <col min="6150" max="6151" width="15" style="233" bestFit="1" customWidth="1"/>
    <col min="6152" max="6152" width="11" style="233" bestFit="1" customWidth="1"/>
    <col min="6153" max="6154" width="13" style="233" bestFit="1" customWidth="1"/>
    <col min="6155" max="6400" width="9.140625" style="233"/>
    <col min="6401" max="6401" width="3" style="233" bestFit="1" customWidth="1"/>
    <col min="6402" max="6402" width="24.7109375" style="233" bestFit="1" customWidth="1"/>
    <col min="6403" max="6403" width="22" style="233" bestFit="1" customWidth="1"/>
    <col min="6404" max="6405" width="13" style="233" bestFit="1" customWidth="1"/>
    <col min="6406" max="6407" width="15" style="233" bestFit="1" customWidth="1"/>
    <col min="6408" max="6408" width="11" style="233" bestFit="1" customWidth="1"/>
    <col min="6409" max="6410" width="13" style="233" bestFit="1" customWidth="1"/>
    <col min="6411" max="6656" width="9.140625" style="233"/>
    <col min="6657" max="6657" width="3" style="233" bestFit="1" customWidth="1"/>
    <col min="6658" max="6658" width="24.7109375" style="233" bestFit="1" customWidth="1"/>
    <col min="6659" max="6659" width="22" style="233" bestFit="1" customWidth="1"/>
    <col min="6660" max="6661" width="13" style="233" bestFit="1" customWidth="1"/>
    <col min="6662" max="6663" width="15" style="233" bestFit="1" customWidth="1"/>
    <col min="6664" max="6664" width="11" style="233" bestFit="1" customWidth="1"/>
    <col min="6665" max="6666" width="13" style="233" bestFit="1" customWidth="1"/>
    <col min="6667" max="6912" width="9.140625" style="233"/>
    <col min="6913" max="6913" width="3" style="233" bestFit="1" customWidth="1"/>
    <col min="6914" max="6914" width="24.7109375" style="233" bestFit="1" customWidth="1"/>
    <col min="6915" max="6915" width="22" style="233" bestFit="1" customWidth="1"/>
    <col min="6916" max="6917" width="13" style="233" bestFit="1" customWidth="1"/>
    <col min="6918" max="6919" width="15" style="233" bestFit="1" customWidth="1"/>
    <col min="6920" max="6920" width="11" style="233" bestFit="1" customWidth="1"/>
    <col min="6921" max="6922" width="13" style="233" bestFit="1" customWidth="1"/>
    <col min="6923" max="7168" width="9.140625" style="233"/>
    <col min="7169" max="7169" width="3" style="233" bestFit="1" customWidth="1"/>
    <col min="7170" max="7170" width="24.7109375" style="233" bestFit="1" customWidth="1"/>
    <col min="7171" max="7171" width="22" style="233" bestFit="1" customWidth="1"/>
    <col min="7172" max="7173" width="13" style="233" bestFit="1" customWidth="1"/>
    <col min="7174" max="7175" width="15" style="233" bestFit="1" customWidth="1"/>
    <col min="7176" max="7176" width="11" style="233" bestFit="1" customWidth="1"/>
    <col min="7177" max="7178" width="13" style="233" bestFit="1" customWidth="1"/>
    <col min="7179" max="7424" width="9.140625" style="233"/>
    <col min="7425" max="7425" width="3" style="233" bestFit="1" customWidth="1"/>
    <col min="7426" max="7426" width="24.7109375" style="233" bestFit="1" customWidth="1"/>
    <col min="7427" max="7427" width="22" style="233" bestFit="1" customWidth="1"/>
    <col min="7428" max="7429" width="13" style="233" bestFit="1" customWidth="1"/>
    <col min="7430" max="7431" width="15" style="233" bestFit="1" customWidth="1"/>
    <col min="7432" max="7432" width="11" style="233" bestFit="1" customWidth="1"/>
    <col min="7433" max="7434" width="13" style="233" bestFit="1" customWidth="1"/>
    <col min="7435" max="7680" width="9.140625" style="233"/>
    <col min="7681" max="7681" width="3" style="233" bestFit="1" customWidth="1"/>
    <col min="7682" max="7682" width="24.7109375" style="233" bestFit="1" customWidth="1"/>
    <col min="7683" max="7683" width="22" style="233" bestFit="1" customWidth="1"/>
    <col min="7684" max="7685" width="13" style="233" bestFit="1" customWidth="1"/>
    <col min="7686" max="7687" width="15" style="233" bestFit="1" customWidth="1"/>
    <col min="7688" max="7688" width="11" style="233" bestFit="1" customWidth="1"/>
    <col min="7689" max="7690" width="13" style="233" bestFit="1" customWidth="1"/>
    <col min="7691" max="7936" width="9.140625" style="233"/>
    <col min="7937" max="7937" width="3" style="233" bestFit="1" customWidth="1"/>
    <col min="7938" max="7938" width="24.7109375" style="233" bestFit="1" customWidth="1"/>
    <col min="7939" max="7939" width="22" style="233" bestFit="1" customWidth="1"/>
    <col min="7940" max="7941" width="13" style="233" bestFit="1" customWidth="1"/>
    <col min="7942" max="7943" width="15" style="233" bestFit="1" customWidth="1"/>
    <col min="7944" max="7944" width="11" style="233" bestFit="1" customWidth="1"/>
    <col min="7945" max="7946" width="13" style="233" bestFit="1" customWidth="1"/>
    <col min="7947" max="8192" width="9.140625" style="233"/>
    <col min="8193" max="8193" width="3" style="233" bestFit="1" customWidth="1"/>
    <col min="8194" max="8194" width="24.7109375" style="233" bestFit="1" customWidth="1"/>
    <col min="8195" max="8195" width="22" style="233" bestFit="1" customWidth="1"/>
    <col min="8196" max="8197" width="13" style="233" bestFit="1" customWidth="1"/>
    <col min="8198" max="8199" width="15" style="233" bestFit="1" customWidth="1"/>
    <col min="8200" max="8200" width="11" style="233" bestFit="1" customWidth="1"/>
    <col min="8201" max="8202" width="13" style="233" bestFit="1" customWidth="1"/>
    <col min="8203" max="8448" width="9.140625" style="233"/>
    <col min="8449" max="8449" width="3" style="233" bestFit="1" customWidth="1"/>
    <col min="8450" max="8450" width="24.7109375" style="233" bestFit="1" customWidth="1"/>
    <col min="8451" max="8451" width="22" style="233" bestFit="1" customWidth="1"/>
    <col min="8452" max="8453" width="13" style="233" bestFit="1" customWidth="1"/>
    <col min="8454" max="8455" width="15" style="233" bestFit="1" customWidth="1"/>
    <col min="8456" max="8456" width="11" style="233" bestFit="1" customWidth="1"/>
    <col min="8457" max="8458" width="13" style="233" bestFit="1" customWidth="1"/>
    <col min="8459" max="8704" width="9.140625" style="233"/>
    <col min="8705" max="8705" width="3" style="233" bestFit="1" customWidth="1"/>
    <col min="8706" max="8706" width="24.7109375" style="233" bestFit="1" customWidth="1"/>
    <col min="8707" max="8707" width="22" style="233" bestFit="1" customWidth="1"/>
    <col min="8708" max="8709" width="13" style="233" bestFit="1" customWidth="1"/>
    <col min="8710" max="8711" width="15" style="233" bestFit="1" customWidth="1"/>
    <col min="8712" max="8712" width="11" style="233" bestFit="1" customWidth="1"/>
    <col min="8713" max="8714" width="13" style="233" bestFit="1" customWidth="1"/>
    <col min="8715" max="8960" width="9.140625" style="233"/>
    <col min="8961" max="8961" width="3" style="233" bestFit="1" customWidth="1"/>
    <col min="8962" max="8962" width="24.7109375" style="233" bestFit="1" customWidth="1"/>
    <col min="8963" max="8963" width="22" style="233" bestFit="1" customWidth="1"/>
    <col min="8964" max="8965" width="13" style="233" bestFit="1" customWidth="1"/>
    <col min="8966" max="8967" width="15" style="233" bestFit="1" customWidth="1"/>
    <col min="8968" max="8968" width="11" style="233" bestFit="1" customWidth="1"/>
    <col min="8969" max="8970" width="13" style="233" bestFit="1" customWidth="1"/>
    <col min="8971" max="9216" width="9.140625" style="233"/>
    <col min="9217" max="9217" width="3" style="233" bestFit="1" customWidth="1"/>
    <col min="9218" max="9218" width="24.7109375" style="233" bestFit="1" customWidth="1"/>
    <col min="9219" max="9219" width="22" style="233" bestFit="1" customWidth="1"/>
    <col min="9220" max="9221" width="13" style="233" bestFit="1" customWidth="1"/>
    <col min="9222" max="9223" width="15" style="233" bestFit="1" customWidth="1"/>
    <col min="9224" max="9224" width="11" style="233" bestFit="1" customWidth="1"/>
    <col min="9225" max="9226" width="13" style="233" bestFit="1" customWidth="1"/>
    <col min="9227" max="9472" width="9.140625" style="233"/>
    <col min="9473" max="9473" width="3" style="233" bestFit="1" customWidth="1"/>
    <col min="9474" max="9474" width="24.7109375" style="233" bestFit="1" customWidth="1"/>
    <col min="9475" max="9475" width="22" style="233" bestFit="1" customWidth="1"/>
    <col min="9476" max="9477" width="13" style="233" bestFit="1" customWidth="1"/>
    <col min="9478" max="9479" width="15" style="233" bestFit="1" customWidth="1"/>
    <col min="9480" max="9480" width="11" style="233" bestFit="1" customWidth="1"/>
    <col min="9481" max="9482" width="13" style="233" bestFit="1" customWidth="1"/>
    <col min="9483" max="9728" width="9.140625" style="233"/>
    <col min="9729" max="9729" width="3" style="233" bestFit="1" customWidth="1"/>
    <col min="9730" max="9730" width="24.7109375" style="233" bestFit="1" customWidth="1"/>
    <col min="9731" max="9731" width="22" style="233" bestFit="1" customWidth="1"/>
    <col min="9732" max="9733" width="13" style="233" bestFit="1" customWidth="1"/>
    <col min="9734" max="9735" width="15" style="233" bestFit="1" customWidth="1"/>
    <col min="9736" max="9736" width="11" style="233" bestFit="1" customWidth="1"/>
    <col min="9737" max="9738" width="13" style="233" bestFit="1" customWidth="1"/>
    <col min="9739" max="9984" width="9.140625" style="233"/>
    <col min="9985" max="9985" width="3" style="233" bestFit="1" customWidth="1"/>
    <col min="9986" max="9986" width="24.7109375" style="233" bestFit="1" customWidth="1"/>
    <col min="9987" max="9987" width="22" style="233" bestFit="1" customWidth="1"/>
    <col min="9988" max="9989" width="13" style="233" bestFit="1" customWidth="1"/>
    <col min="9990" max="9991" width="15" style="233" bestFit="1" customWidth="1"/>
    <col min="9992" max="9992" width="11" style="233" bestFit="1" customWidth="1"/>
    <col min="9993" max="9994" width="13" style="233" bestFit="1" customWidth="1"/>
    <col min="9995" max="10240" width="9.140625" style="233"/>
    <col min="10241" max="10241" width="3" style="233" bestFit="1" customWidth="1"/>
    <col min="10242" max="10242" width="24.7109375" style="233" bestFit="1" customWidth="1"/>
    <col min="10243" max="10243" width="22" style="233" bestFit="1" customWidth="1"/>
    <col min="10244" max="10245" width="13" style="233" bestFit="1" customWidth="1"/>
    <col min="10246" max="10247" width="15" style="233" bestFit="1" customWidth="1"/>
    <col min="10248" max="10248" width="11" style="233" bestFit="1" customWidth="1"/>
    <col min="10249" max="10250" width="13" style="233" bestFit="1" customWidth="1"/>
    <col min="10251" max="10496" width="9.140625" style="233"/>
    <col min="10497" max="10497" width="3" style="233" bestFit="1" customWidth="1"/>
    <col min="10498" max="10498" width="24.7109375" style="233" bestFit="1" customWidth="1"/>
    <col min="10499" max="10499" width="22" style="233" bestFit="1" customWidth="1"/>
    <col min="10500" max="10501" width="13" style="233" bestFit="1" customWidth="1"/>
    <col min="10502" max="10503" width="15" style="233" bestFit="1" customWidth="1"/>
    <col min="10504" max="10504" width="11" style="233" bestFit="1" customWidth="1"/>
    <col min="10505" max="10506" width="13" style="233" bestFit="1" customWidth="1"/>
    <col min="10507" max="10752" width="9.140625" style="233"/>
    <col min="10753" max="10753" width="3" style="233" bestFit="1" customWidth="1"/>
    <col min="10754" max="10754" width="24.7109375" style="233" bestFit="1" customWidth="1"/>
    <col min="10755" max="10755" width="22" style="233" bestFit="1" customWidth="1"/>
    <col min="10756" max="10757" width="13" style="233" bestFit="1" customWidth="1"/>
    <col min="10758" max="10759" width="15" style="233" bestFit="1" customWidth="1"/>
    <col min="10760" max="10760" width="11" style="233" bestFit="1" customWidth="1"/>
    <col min="10761" max="10762" width="13" style="233" bestFit="1" customWidth="1"/>
    <col min="10763" max="11008" width="9.140625" style="233"/>
    <col min="11009" max="11009" width="3" style="233" bestFit="1" customWidth="1"/>
    <col min="11010" max="11010" width="24.7109375" style="233" bestFit="1" customWidth="1"/>
    <col min="11011" max="11011" width="22" style="233" bestFit="1" customWidth="1"/>
    <col min="11012" max="11013" width="13" style="233" bestFit="1" customWidth="1"/>
    <col min="11014" max="11015" width="15" style="233" bestFit="1" customWidth="1"/>
    <col min="11016" max="11016" width="11" style="233" bestFit="1" customWidth="1"/>
    <col min="11017" max="11018" width="13" style="233" bestFit="1" customWidth="1"/>
    <col min="11019" max="11264" width="9.140625" style="233"/>
    <col min="11265" max="11265" width="3" style="233" bestFit="1" customWidth="1"/>
    <col min="11266" max="11266" width="24.7109375" style="233" bestFit="1" customWidth="1"/>
    <col min="11267" max="11267" width="22" style="233" bestFit="1" customWidth="1"/>
    <col min="11268" max="11269" width="13" style="233" bestFit="1" customWidth="1"/>
    <col min="11270" max="11271" width="15" style="233" bestFit="1" customWidth="1"/>
    <col min="11272" max="11272" width="11" style="233" bestFit="1" customWidth="1"/>
    <col min="11273" max="11274" width="13" style="233" bestFit="1" customWidth="1"/>
    <col min="11275" max="11520" width="9.140625" style="233"/>
    <col min="11521" max="11521" width="3" style="233" bestFit="1" customWidth="1"/>
    <col min="11522" max="11522" width="24.7109375" style="233" bestFit="1" customWidth="1"/>
    <col min="11523" max="11523" width="22" style="233" bestFit="1" customWidth="1"/>
    <col min="11524" max="11525" width="13" style="233" bestFit="1" customWidth="1"/>
    <col min="11526" max="11527" width="15" style="233" bestFit="1" customWidth="1"/>
    <col min="11528" max="11528" width="11" style="233" bestFit="1" customWidth="1"/>
    <col min="11529" max="11530" width="13" style="233" bestFit="1" customWidth="1"/>
    <col min="11531" max="11776" width="9.140625" style="233"/>
    <col min="11777" max="11777" width="3" style="233" bestFit="1" customWidth="1"/>
    <col min="11778" max="11778" width="24.7109375" style="233" bestFit="1" customWidth="1"/>
    <col min="11779" max="11779" width="22" style="233" bestFit="1" customWidth="1"/>
    <col min="11780" max="11781" width="13" style="233" bestFit="1" customWidth="1"/>
    <col min="11782" max="11783" width="15" style="233" bestFit="1" customWidth="1"/>
    <col min="11784" max="11784" width="11" style="233" bestFit="1" customWidth="1"/>
    <col min="11785" max="11786" width="13" style="233" bestFit="1" customWidth="1"/>
    <col min="11787" max="12032" width="9.140625" style="233"/>
    <col min="12033" max="12033" width="3" style="233" bestFit="1" customWidth="1"/>
    <col min="12034" max="12034" width="24.7109375" style="233" bestFit="1" customWidth="1"/>
    <col min="12035" max="12035" width="22" style="233" bestFit="1" customWidth="1"/>
    <col min="12036" max="12037" width="13" style="233" bestFit="1" customWidth="1"/>
    <col min="12038" max="12039" width="15" style="233" bestFit="1" customWidth="1"/>
    <col min="12040" max="12040" width="11" style="233" bestFit="1" customWidth="1"/>
    <col min="12041" max="12042" width="13" style="233" bestFit="1" customWidth="1"/>
    <col min="12043" max="12288" width="9.140625" style="233"/>
    <col min="12289" max="12289" width="3" style="233" bestFit="1" customWidth="1"/>
    <col min="12290" max="12290" width="24.7109375" style="233" bestFit="1" customWidth="1"/>
    <col min="12291" max="12291" width="22" style="233" bestFit="1" customWidth="1"/>
    <col min="12292" max="12293" width="13" style="233" bestFit="1" customWidth="1"/>
    <col min="12294" max="12295" width="15" style="233" bestFit="1" customWidth="1"/>
    <col min="12296" max="12296" width="11" style="233" bestFit="1" customWidth="1"/>
    <col min="12297" max="12298" width="13" style="233" bestFit="1" customWidth="1"/>
    <col min="12299" max="12544" width="9.140625" style="233"/>
    <col min="12545" max="12545" width="3" style="233" bestFit="1" customWidth="1"/>
    <col min="12546" max="12546" width="24.7109375" style="233" bestFit="1" customWidth="1"/>
    <col min="12547" max="12547" width="22" style="233" bestFit="1" customWidth="1"/>
    <col min="12548" max="12549" width="13" style="233" bestFit="1" customWidth="1"/>
    <col min="12550" max="12551" width="15" style="233" bestFit="1" customWidth="1"/>
    <col min="12552" max="12552" width="11" style="233" bestFit="1" customWidth="1"/>
    <col min="12553" max="12554" width="13" style="233" bestFit="1" customWidth="1"/>
    <col min="12555" max="12800" width="9.140625" style="233"/>
    <col min="12801" max="12801" width="3" style="233" bestFit="1" customWidth="1"/>
    <col min="12802" max="12802" width="24.7109375" style="233" bestFit="1" customWidth="1"/>
    <col min="12803" max="12803" width="22" style="233" bestFit="1" customWidth="1"/>
    <col min="12804" max="12805" width="13" style="233" bestFit="1" customWidth="1"/>
    <col min="12806" max="12807" width="15" style="233" bestFit="1" customWidth="1"/>
    <col min="12808" max="12808" width="11" style="233" bestFit="1" customWidth="1"/>
    <col min="12809" max="12810" width="13" style="233" bestFit="1" customWidth="1"/>
    <col min="12811" max="13056" width="9.140625" style="233"/>
    <col min="13057" max="13057" width="3" style="233" bestFit="1" customWidth="1"/>
    <col min="13058" max="13058" width="24.7109375" style="233" bestFit="1" customWidth="1"/>
    <col min="13059" max="13059" width="22" style="233" bestFit="1" customWidth="1"/>
    <col min="13060" max="13061" width="13" style="233" bestFit="1" customWidth="1"/>
    <col min="13062" max="13063" width="15" style="233" bestFit="1" customWidth="1"/>
    <col min="13064" max="13064" width="11" style="233" bestFit="1" customWidth="1"/>
    <col min="13065" max="13066" width="13" style="233" bestFit="1" customWidth="1"/>
    <col min="13067" max="13312" width="9.140625" style="233"/>
    <col min="13313" max="13313" width="3" style="233" bestFit="1" customWidth="1"/>
    <col min="13314" max="13314" width="24.7109375" style="233" bestFit="1" customWidth="1"/>
    <col min="13315" max="13315" width="22" style="233" bestFit="1" customWidth="1"/>
    <col min="13316" max="13317" width="13" style="233" bestFit="1" customWidth="1"/>
    <col min="13318" max="13319" width="15" style="233" bestFit="1" customWidth="1"/>
    <col min="13320" max="13320" width="11" style="233" bestFit="1" customWidth="1"/>
    <col min="13321" max="13322" width="13" style="233" bestFit="1" customWidth="1"/>
    <col min="13323" max="13568" width="9.140625" style="233"/>
    <col min="13569" max="13569" width="3" style="233" bestFit="1" customWidth="1"/>
    <col min="13570" max="13570" width="24.7109375" style="233" bestFit="1" customWidth="1"/>
    <col min="13571" max="13571" width="22" style="233" bestFit="1" customWidth="1"/>
    <col min="13572" max="13573" width="13" style="233" bestFit="1" customWidth="1"/>
    <col min="13574" max="13575" width="15" style="233" bestFit="1" customWidth="1"/>
    <col min="13576" max="13576" width="11" style="233" bestFit="1" customWidth="1"/>
    <col min="13577" max="13578" width="13" style="233" bestFit="1" customWidth="1"/>
    <col min="13579" max="13824" width="9.140625" style="233"/>
    <col min="13825" max="13825" width="3" style="233" bestFit="1" customWidth="1"/>
    <col min="13826" max="13826" width="24.7109375" style="233" bestFit="1" customWidth="1"/>
    <col min="13827" max="13827" width="22" style="233" bestFit="1" customWidth="1"/>
    <col min="13828" max="13829" width="13" style="233" bestFit="1" customWidth="1"/>
    <col min="13830" max="13831" width="15" style="233" bestFit="1" customWidth="1"/>
    <col min="13832" max="13832" width="11" style="233" bestFit="1" customWidth="1"/>
    <col min="13833" max="13834" width="13" style="233" bestFit="1" customWidth="1"/>
    <col min="13835" max="14080" width="9.140625" style="233"/>
    <col min="14081" max="14081" width="3" style="233" bestFit="1" customWidth="1"/>
    <col min="14082" max="14082" width="24.7109375" style="233" bestFit="1" customWidth="1"/>
    <col min="14083" max="14083" width="22" style="233" bestFit="1" customWidth="1"/>
    <col min="14084" max="14085" width="13" style="233" bestFit="1" customWidth="1"/>
    <col min="14086" max="14087" width="15" style="233" bestFit="1" customWidth="1"/>
    <col min="14088" max="14088" width="11" style="233" bestFit="1" customWidth="1"/>
    <col min="14089" max="14090" width="13" style="233" bestFit="1" customWidth="1"/>
    <col min="14091" max="14336" width="9.140625" style="233"/>
    <col min="14337" max="14337" width="3" style="233" bestFit="1" customWidth="1"/>
    <col min="14338" max="14338" width="24.7109375" style="233" bestFit="1" customWidth="1"/>
    <col min="14339" max="14339" width="22" style="233" bestFit="1" customWidth="1"/>
    <col min="14340" max="14341" width="13" style="233" bestFit="1" customWidth="1"/>
    <col min="14342" max="14343" width="15" style="233" bestFit="1" customWidth="1"/>
    <col min="14344" max="14344" width="11" style="233" bestFit="1" customWidth="1"/>
    <col min="14345" max="14346" width="13" style="233" bestFit="1" customWidth="1"/>
    <col min="14347" max="14592" width="9.140625" style="233"/>
    <col min="14593" max="14593" width="3" style="233" bestFit="1" customWidth="1"/>
    <col min="14594" max="14594" width="24.7109375" style="233" bestFit="1" customWidth="1"/>
    <col min="14595" max="14595" width="22" style="233" bestFit="1" customWidth="1"/>
    <col min="14596" max="14597" width="13" style="233" bestFit="1" customWidth="1"/>
    <col min="14598" max="14599" width="15" style="233" bestFit="1" customWidth="1"/>
    <col min="14600" max="14600" width="11" style="233" bestFit="1" customWidth="1"/>
    <col min="14601" max="14602" width="13" style="233" bestFit="1" customWidth="1"/>
    <col min="14603" max="14848" width="9.140625" style="233"/>
    <col min="14849" max="14849" width="3" style="233" bestFit="1" customWidth="1"/>
    <col min="14850" max="14850" width="24.7109375" style="233" bestFit="1" customWidth="1"/>
    <col min="14851" max="14851" width="22" style="233" bestFit="1" customWidth="1"/>
    <col min="14852" max="14853" width="13" style="233" bestFit="1" customWidth="1"/>
    <col min="14854" max="14855" width="15" style="233" bestFit="1" customWidth="1"/>
    <col min="14856" max="14856" width="11" style="233" bestFit="1" customWidth="1"/>
    <col min="14857" max="14858" width="13" style="233" bestFit="1" customWidth="1"/>
    <col min="14859" max="15104" width="9.140625" style="233"/>
    <col min="15105" max="15105" width="3" style="233" bestFit="1" customWidth="1"/>
    <col min="15106" max="15106" width="24.7109375" style="233" bestFit="1" customWidth="1"/>
    <col min="15107" max="15107" width="22" style="233" bestFit="1" customWidth="1"/>
    <col min="15108" max="15109" width="13" style="233" bestFit="1" customWidth="1"/>
    <col min="15110" max="15111" width="15" style="233" bestFit="1" customWidth="1"/>
    <col min="15112" max="15112" width="11" style="233" bestFit="1" customWidth="1"/>
    <col min="15113" max="15114" width="13" style="233" bestFit="1" customWidth="1"/>
    <col min="15115" max="15360" width="9.140625" style="233"/>
    <col min="15361" max="15361" width="3" style="233" bestFit="1" customWidth="1"/>
    <col min="15362" max="15362" width="24.7109375" style="233" bestFit="1" customWidth="1"/>
    <col min="15363" max="15363" width="22" style="233" bestFit="1" customWidth="1"/>
    <col min="15364" max="15365" width="13" style="233" bestFit="1" customWidth="1"/>
    <col min="15366" max="15367" width="15" style="233" bestFit="1" customWidth="1"/>
    <col min="15368" max="15368" width="11" style="233" bestFit="1" customWidth="1"/>
    <col min="15369" max="15370" width="13" style="233" bestFit="1" customWidth="1"/>
    <col min="15371" max="15616" width="9.140625" style="233"/>
    <col min="15617" max="15617" width="3" style="233" bestFit="1" customWidth="1"/>
    <col min="15618" max="15618" width="24.7109375" style="233" bestFit="1" customWidth="1"/>
    <col min="15619" max="15619" width="22" style="233" bestFit="1" customWidth="1"/>
    <col min="15620" max="15621" width="13" style="233" bestFit="1" customWidth="1"/>
    <col min="15622" max="15623" width="15" style="233" bestFit="1" customWidth="1"/>
    <col min="15624" max="15624" width="11" style="233" bestFit="1" customWidth="1"/>
    <col min="15625" max="15626" width="13" style="233" bestFit="1" customWidth="1"/>
    <col min="15627" max="15872" width="9.140625" style="233"/>
    <col min="15873" max="15873" width="3" style="233" bestFit="1" customWidth="1"/>
    <col min="15874" max="15874" width="24.7109375" style="233" bestFit="1" customWidth="1"/>
    <col min="15875" max="15875" width="22" style="233" bestFit="1" customWidth="1"/>
    <col min="15876" max="15877" width="13" style="233" bestFit="1" customWidth="1"/>
    <col min="15878" max="15879" width="15" style="233" bestFit="1" customWidth="1"/>
    <col min="15880" max="15880" width="11" style="233" bestFit="1" customWidth="1"/>
    <col min="15881" max="15882" width="13" style="233" bestFit="1" customWidth="1"/>
    <col min="15883" max="16128" width="9.140625" style="233"/>
    <col min="16129" max="16129" width="3" style="233" bestFit="1" customWidth="1"/>
    <col min="16130" max="16130" width="24.7109375" style="233" bestFit="1" customWidth="1"/>
    <col min="16131" max="16131" width="22" style="233" bestFit="1" customWidth="1"/>
    <col min="16132" max="16133" width="13" style="233" bestFit="1" customWidth="1"/>
    <col min="16134" max="16135" width="15" style="233" bestFit="1" customWidth="1"/>
    <col min="16136" max="16136" width="11" style="233" bestFit="1" customWidth="1"/>
    <col min="16137" max="16138" width="13" style="233" bestFit="1" customWidth="1"/>
    <col min="16139" max="16384" width="9.140625" style="233"/>
  </cols>
  <sheetData>
    <row r="1" spans="1:10" ht="24">
      <c r="A1" s="232" t="s">
        <v>7</v>
      </c>
      <c r="B1" s="232" t="s">
        <v>327</v>
      </c>
      <c r="C1" s="232" t="s">
        <v>328</v>
      </c>
      <c r="D1" s="232" t="s">
        <v>184</v>
      </c>
      <c r="E1" s="232" t="s">
        <v>329</v>
      </c>
      <c r="F1" s="232" t="s">
        <v>330</v>
      </c>
      <c r="G1" s="232" t="s">
        <v>331</v>
      </c>
      <c r="H1" s="232" t="s">
        <v>332</v>
      </c>
      <c r="I1" s="232" t="s">
        <v>333</v>
      </c>
      <c r="J1" s="232" t="s">
        <v>334</v>
      </c>
    </row>
    <row r="2" spans="1:10">
      <c r="A2" s="234" t="s">
        <v>7</v>
      </c>
      <c r="B2" s="234" t="str">
        <f>CONCATENATE('Master Tab'!$C$7,'Master Tab'!$X$105,'Master Tab'!Y105)</f>
        <v>OPP-000XXX.CP1.NGCONFC</v>
      </c>
      <c r="C2" s="234" t="s">
        <v>7</v>
      </c>
      <c r="D2" s="235">
        <f>'Master Tab'!$C$32</f>
        <v>44927</v>
      </c>
      <c r="E2" s="235">
        <f>'Master Tab'!$C$34</f>
        <v>46143</v>
      </c>
      <c r="F2" s="234" t="str">
        <f>CONCATENATE('Master Tab'!$C$10,'Master Tab'!$Z$105,'Master Tab'!Y105)</f>
        <v>3Y-NGCONFC</v>
      </c>
      <c r="G2" s="240">
        <f>'Cost Report'!D18</f>
        <v>2205000</v>
      </c>
      <c r="H2" s="234" t="s">
        <v>7</v>
      </c>
      <c r="I2" s="234" t="s">
        <v>7</v>
      </c>
      <c r="J2" s="234" t="s">
        <v>7</v>
      </c>
    </row>
    <row r="3" spans="1:10">
      <c r="A3" s="234" t="s">
        <v>7</v>
      </c>
      <c r="B3" s="234" t="str">
        <f>CONCATENATE('Master Tab'!$C$7,'Master Tab'!$X$105,'Master Tab'!Y106)</f>
        <v>OPP-000XXX.CP1.NGCONPC</v>
      </c>
      <c r="C3" s="234" t="s">
        <v>7</v>
      </c>
      <c r="D3" s="235">
        <f>'Master Tab'!$C$32</f>
        <v>44927</v>
      </c>
      <c r="E3" s="235">
        <f>'Master Tab'!$C$34</f>
        <v>46143</v>
      </c>
      <c r="F3" s="234" t="str">
        <f>CONCATENATE('Master Tab'!$C$10,'Master Tab'!$Z$105,'Master Tab'!Y106)</f>
        <v>3Y-NGCONPC</v>
      </c>
      <c r="G3" s="240">
        <f>'Cost Report'!D17</f>
        <v>23420300</v>
      </c>
      <c r="H3" s="234" t="s">
        <v>7</v>
      </c>
      <c r="I3" s="234" t="s">
        <v>7</v>
      </c>
      <c r="J3" s="234" t="s">
        <v>7</v>
      </c>
    </row>
    <row r="4" spans="1:10">
      <c r="A4" s="234" t="s">
        <v>7</v>
      </c>
      <c r="B4" s="234" t="str">
        <f>CONCATENATE('Master Tab'!$C$7,'Master Tab'!$X$105,'Master Tab'!Y107)</f>
        <v>OPP-000XXX.CP1.NGCONT</v>
      </c>
      <c r="C4" s="234" t="s">
        <v>7</v>
      </c>
      <c r="D4" s="235">
        <f>'Master Tab'!$C$32</f>
        <v>44927</v>
      </c>
      <c r="E4" s="235">
        <f>'Master Tab'!$C$34</f>
        <v>46143</v>
      </c>
      <c r="F4" s="234" t="str">
        <f>CONCATENATE('Master Tab'!$C$10,'Master Tab'!$Z$105,'Master Tab'!Y107)</f>
        <v>3Y-NGCONT</v>
      </c>
      <c r="G4" s="240">
        <f>SUM('Cost Report'!D24:D25)</f>
        <v>6419800</v>
      </c>
      <c r="H4" s="234" t="s">
        <v>7</v>
      </c>
      <c r="I4" s="234" t="s">
        <v>7</v>
      </c>
      <c r="J4" s="234" t="s">
        <v>7</v>
      </c>
    </row>
    <row r="5" spans="1:10">
      <c r="A5" s="234" t="s">
        <v>7</v>
      </c>
      <c r="B5" s="234" t="str">
        <f>CONCATENATE('Master Tab'!$C$7,'Master Tab'!$X$105,'Master Tab'!Y108)</f>
        <v>OPP-000XXX.CP1.NGENGNC</v>
      </c>
      <c r="C5" s="234" t="s">
        <v>7</v>
      </c>
      <c r="D5" s="235">
        <f>'Master Tab'!$C$32</f>
        <v>44927</v>
      </c>
      <c r="E5" s="235">
        <f>'Master Tab'!$C$34</f>
        <v>46143</v>
      </c>
      <c r="F5" s="234" t="str">
        <f>CONCATENATE('Master Tab'!$C$10,'Master Tab'!$Z$105,'Master Tab'!Y108)</f>
        <v>3Y-NGENGNC</v>
      </c>
      <c r="G5" s="240">
        <f>'Cost Report'!D11</f>
        <v>2325100</v>
      </c>
      <c r="H5" s="234" t="s">
        <v>7</v>
      </c>
      <c r="I5" s="234" t="s">
        <v>7</v>
      </c>
      <c r="J5" s="234" t="s">
        <v>7</v>
      </c>
    </row>
    <row r="6" spans="1:10">
      <c r="A6" s="234" t="s">
        <v>7</v>
      </c>
      <c r="B6" s="234" t="str">
        <f>CONCATENATE('Master Tab'!$C$7,'Master Tab'!$X$105,'Master Tab'!Y109)</f>
        <v>OPP-000XXX.CP1.NGFITSC</v>
      </c>
      <c r="C6" s="234" t="s">
        <v>7</v>
      </c>
      <c r="D6" s="235">
        <f>'Master Tab'!$C$32</f>
        <v>44927</v>
      </c>
      <c r="E6" s="235">
        <f>'Master Tab'!$C$34</f>
        <v>46143</v>
      </c>
      <c r="F6" s="234" t="str">
        <f>CONCATENATE('Master Tab'!$C$10,'Master Tab'!$Z$105,'Master Tab'!Y109)</f>
        <v>3Y-NGFITSC</v>
      </c>
      <c r="G6" s="240">
        <f>'Cost Report'!D19+'Cost Report'!D20</f>
        <v>2003200</v>
      </c>
      <c r="H6" s="234" t="s">
        <v>7</v>
      </c>
      <c r="I6" s="234" t="s">
        <v>7</v>
      </c>
      <c r="J6" s="234" t="s">
        <v>7</v>
      </c>
    </row>
    <row r="7" spans="1:10">
      <c r="A7" s="234" t="s">
        <v>7</v>
      </c>
      <c r="B7" s="234" t="str">
        <f>CONCATENATE('Master Tab'!$C$7,'Master Tab'!$X$105,'Master Tab'!Y110)</f>
        <v>OPP-000XXX.CP1.NGLANDC</v>
      </c>
      <c r="C7" s="234" t="s">
        <v>7</v>
      </c>
      <c r="D7" s="235">
        <f>'Master Tab'!$C$32</f>
        <v>44927</v>
      </c>
      <c r="E7" s="235">
        <f>'Master Tab'!$C$34</f>
        <v>46143</v>
      </c>
      <c r="F7" s="234" t="str">
        <f>CONCATENATE('Master Tab'!$C$10,'Master Tab'!$Z$105,'Master Tab'!Y110)</f>
        <v>3Y-NGLANDC</v>
      </c>
      <c r="G7" s="240">
        <f>SUM('Cost Report'!D12:D15)</f>
        <v>2756400</v>
      </c>
      <c r="H7" s="234" t="s">
        <v>7</v>
      </c>
      <c r="I7" s="234" t="s">
        <v>7</v>
      </c>
      <c r="J7" s="234" t="s">
        <v>7</v>
      </c>
    </row>
    <row r="8" spans="1:10">
      <c r="A8" s="234" t="s">
        <v>7</v>
      </c>
      <c r="B8" s="234" t="str">
        <f>CONCATENATE('Master Tab'!$C$7,'Master Tab'!$X$105,'Master Tab'!Y111)</f>
        <v>OPP-000XXX.CP1.NGMAFD</v>
      </c>
      <c r="C8" s="234" t="s">
        <v>7</v>
      </c>
      <c r="D8" s="235">
        <f>'Master Tab'!$C$32</f>
        <v>44927</v>
      </c>
      <c r="E8" s="235">
        <f>'Master Tab'!$C$34</f>
        <v>46143</v>
      </c>
      <c r="F8" s="234" t="str">
        <f>CONCATENATE('Master Tab'!$C$10,'Master Tab'!$Z$105,'Master Tab'!Y111)</f>
        <v>3Y-NGMAFD</v>
      </c>
      <c r="G8" s="240">
        <f>'Cost Report'!D29</f>
        <v>1832200</v>
      </c>
      <c r="H8" s="234" t="s">
        <v>7</v>
      </c>
      <c r="I8" s="234" t="s">
        <v>7</v>
      </c>
      <c r="J8" s="234" t="s">
        <v>7</v>
      </c>
    </row>
    <row r="9" spans="1:10">
      <c r="A9" s="234" t="s">
        <v>7</v>
      </c>
      <c r="B9" s="234" t="str">
        <f>CONCATENATE('Master Tab'!$C$7,'Master Tab'!$X$105,'Master Tab'!Y112)</f>
        <v>OPP-000XXX.CP1.NGMATEC</v>
      </c>
      <c r="C9" s="234" t="s">
        <v>7</v>
      </c>
      <c r="D9" s="235">
        <f>'Master Tab'!$C$32</f>
        <v>44927</v>
      </c>
      <c r="E9" s="235">
        <f>'Master Tab'!$C$34</f>
        <v>46143</v>
      </c>
      <c r="F9" s="234" t="str">
        <f>CONCATENATE('Master Tab'!$C$10,'Master Tab'!$Z$105,'Master Tab'!Y112)</f>
        <v>3Y-NGMATEC</v>
      </c>
      <c r="G9" s="240">
        <f>'Cost Report'!D16</f>
        <v>4839200</v>
      </c>
      <c r="H9" s="234" t="s">
        <v>7</v>
      </c>
      <c r="I9" s="234" t="s">
        <v>7</v>
      </c>
      <c r="J9" s="234" t="s">
        <v>7</v>
      </c>
    </row>
    <row r="10" spans="1:10">
      <c r="A10" s="234" t="s">
        <v>7</v>
      </c>
      <c r="B10" s="234" t="str">
        <f>CONCATENATE('Master Tab'!$C$7,'Master Tab'!$X$105,'Master Tab'!Y113)</f>
        <v>OPP-000XXX.CP1.NGMOTH</v>
      </c>
      <c r="C10" s="234" t="s">
        <v>7</v>
      </c>
      <c r="D10" s="235">
        <f>'Master Tab'!$C$32</f>
        <v>44927</v>
      </c>
      <c r="E10" s="235">
        <f>'Master Tab'!$C$34</f>
        <v>46143</v>
      </c>
      <c r="F10" s="234" t="str">
        <f>CONCATENATE('Master Tab'!$C$10,'Master Tab'!$Z$105,'Master Tab'!Y113)</f>
        <v>3Y-NGMOTH</v>
      </c>
      <c r="G10" s="240">
        <f>'Cost Report'!D22</f>
        <v>128000</v>
      </c>
      <c r="H10" s="234" t="s">
        <v>7</v>
      </c>
      <c r="I10" s="234" t="s">
        <v>7</v>
      </c>
      <c r="J10" s="234" t="s">
        <v>7</v>
      </c>
    </row>
    <row r="11" spans="1:10">
      <c r="A11" s="234" t="s">
        <v>7</v>
      </c>
      <c r="B11" s="234" t="str">
        <f>CONCATENATE('Master Tab'!$C$7,'Master Tab'!$X$105,'Master Tab'!Y114)</f>
        <v>OPP-000XXX.CP1.NGMOVH</v>
      </c>
      <c r="C11" s="234" t="s">
        <v>7</v>
      </c>
      <c r="D11" s="235">
        <f>'Master Tab'!$C$32</f>
        <v>44927</v>
      </c>
      <c r="E11" s="235">
        <f>'Master Tab'!$C$34</f>
        <v>46143</v>
      </c>
      <c r="F11" s="234" t="str">
        <f>CONCATENATE('Master Tab'!$C$10,'Master Tab'!$Z$105,'Master Tab'!Y114)</f>
        <v>3Y-NGMOVH</v>
      </c>
      <c r="G11" s="240">
        <f>'Cost Report'!D30</f>
        <v>5182400</v>
      </c>
      <c r="H11" s="234" t="s">
        <v>7</v>
      </c>
      <c r="I11" s="234" t="s">
        <v>7</v>
      </c>
      <c r="J11" s="234" t="s">
        <v>7</v>
      </c>
    </row>
    <row r="12" spans="1:10">
      <c r="A12" s="234" t="s">
        <v>7</v>
      </c>
      <c r="B12" s="234" t="str">
        <f>CONCATENATE('Master Tab'!$C$7,'Master Tab'!$X$105,'Master Tab'!Y115)</f>
        <v>OPP-000XXX.CP1.NGMPGL</v>
      </c>
      <c r="C12" s="234" t="s">
        <v>7</v>
      </c>
      <c r="D12" s="235">
        <f>'Master Tab'!$C$32</f>
        <v>44927</v>
      </c>
      <c r="E12" s="235">
        <f>'Master Tab'!$C$34</f>
        <v>46143</v>
      </c>
      <c r="F12" s="234" t="str">
        <f>CONCATENATE('Master Tab'!$C$10,'Master Tab'!$Z$105,'Master Tab'!Y115)</f>
        <v>3Y-NGMPGL</v>
      </c>
      <c r="G12" s="240">
        <f>'Cost Report'!D21</f>
        <v>514000</v>
      </c>
      <c r="H12" s="234" t="s">
        <v>7</v>
      </c>
      <c r="I12" s="234" t="s">
        <v>7</v>
      </c>
      <c r="J12" s="234" t="s">
        <v>7</v>
      </c>
    </row>
  </sheetData>
  <sheetProtection algorithmName="SHA-512" hashValue="XQBRrZt7K5KA3rNiuMJnNe1wjXqgMz3Klr6rRe+weVsI/WSJw9q6Wxjd1TeZepXTISCENlXorqJ736ulQNLkKA==" saltValue="CqWYLs+GRvKLN5GG2QF8oA==" spinCount="100000" sheet="1" objects="1" scenarios="1"/>
  <protectedRanges>
    <protectedRange algorithmName="SHA-512" hashValue="1VnxZ0smlO5qoAfW1PyWh6IfC8/6xG6wgNPjzvDUhZyNx5QocuGfg5MgM7P2ygjR2Ox1kFltubhq8VH4p9HhEg==" saltValue="fUGPQbr+LC/7HNnq3FXnvg==" spinCount="100000" sqref="A1:XFD1048576" name="Range1" securityDescriptor="O:WDG:WDD:(A;;CC;;;S-1-5-21-577582919-1435025626-1914702595-4020469)(A;;CC;;;S-1-5-21-577582919-1435025626-1914702595-3940917)(A;;CC;;;S-1-5-21-577582919-1435025626-1914702595-3758999)(A;;CC;;;S-1-5-21-577582919-1435025626-1914702595-3758875)(A;;CC;;;S-1-5-21-577582919-1435025626-1914702595-4023729)(A;;CC;;;S-1-5-21-577582919-1435025626-1914702595-3758127)"/>
  </protectedRanges>
  <pageMargins left="0.7" right="0.7" top="0.75" bottom="0.75" header="0.3" footer="0.3"/>
  <pageSetup scale="63" fitToHeight="0" orientation="portrait" r:id="rId1"/>
  <headerFooter>
    <oddHeader>&amp;R&amp;"Times New Roman,Bold"&amp;10KyPSC Case No. 2025-00229
STAFF-DR-01-005(b) Attachment 3
Page &amp;P of &amp;N</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69F80-3461-42EA-85C2-B973ED8C0C36}">
  <sheetPr>
    <tabColor rgb="FFFFFF00"/>
  </sheetPr>
  <dimension ref="B1:Q207"/>
  <sheetViews>
    <sheetView view="pageLayout" topLeftCell="E1" zoomScaleNormal="100" workbookViewId="0">
      <selection activeCell="E24" sqref="E24"/>
    </sheetView>
  </sheetViews>
  <sheetFormatPr defaultRowHeight="15"/>
  <cols>
    <col min="1" max="1" width="9.140625" customWidth="1"/>
    <col min="2" max="2" width="14.85546875" style="1" customWidth="1"/>
    <col min="3" max="3" width="41.85546875" style="228" customWidth="1"/>
    <col min="4" max="4" width="11.5703125" style="139" customWidth="1"/>
    <col min="5" max="5" width="17.85546875" style="1" customWidth="1"/>
    <col min="6" max="6" width="13.7109375" style="86" bestFit="1" customWidth="1"/>
    <col min="7" max="7" width="0.85546875" style="86" customWidth="1"/>
    <col min="8" max="8" width="16.28515625" style="86" customWidth="1"/>
    <col min="9" max="9" width="21.140625" style="86" customWidth="1"/>
    <col min="10" max="10" width="3.7109375" customWidth="1"/>
  </cols>
  <sheetData>
    <row r="1" spans="2:17" ht="23.25">
      <c r="B1" s="119"/>
      <c r="C1" s="528" t="str">
        <f>'Master Tab'!$C$8</f>
        <v>Line AM07 Phase 3</v>
      </c>
      <c r="D1" s="528"/>
      <c r="E1" s="528"/>
      <c r="F1" s="528"/>
      <c r="G1" s="528"/>
      <c r="H1" s="120"/>
      <c r="I1" s="121"/>
    </row>
    <row r="2" spans="2:17" ht="19.5" thickBot="1">
      <c r="B2" s="345">
        <f>'Master Tab'!$C$9</f>
        <v>45427</v>
      </c>
      <c r="C2" s="527" t="str">
        <f>'Master Tab'!$C$28</f>
        <v>24''</v>
      </c>
      <c r="D2" s="527"/>
      <c r="E2" s="527"/>
      <c r="F2" s="527"/>
      <c r="G2" s="527"/>
      <c r="H2" s="122" t="s">
        <v>94</v>
      </c>
      <c r="I2" s="123" t="str">
        <f>'Master Tab'!$C$6</f>
        <v>F-Initiate 60% Refresh</v>
      </c>
    </row>
    <row r="3" spans="2:17" ht="15.75" thickBot="1">
      <c r="B3" s="125" t="s">
        <v>95</v>
      </c>
      <c r="C3" s="124" t="s">
        <v>96</v>
      </c>
      <c r="D3" s="131" t="s">
        <v>97</v>
      </c>
      <c r="E3" s="125" t="s">
        <v>98</v>
      </c>
      <c r="F3" s="126" t="s">
        <v>99</v>
      </c>
      <c r="G3" s="126"/>
      <c r="H3" s="126" t="s">
        <v>177</v>
      </c>
      <c r="I3" s="126" t="s">
        <v>100</v>
      </c>
      <c r="K3" s="506" t="s">
        <v>101</v>
      </c>
      <c r="L3" s="506"/>
      <c r="M3" s="506"/>
      <c r="N3" s="506"/>
      <c r="O3" s="506"/>
      <c r="P3" s="506"/>
      <c r="Q3" s="506"/>
    </row>
    <row r="4" spans="2:17" ht="15.75">
      <c r="B4" s="94" t="s">
        <v>102</v>
      </c>
      <c r="C4" s="226"/>
      <c r="D4" s="132"/>
      <c r="E4" s="83"/>
      <c r="F4" s="84"/>
      <c r="G4" s="84"/>
      <c r="H4" s="84"/>
      <c r="I4" s="93"/>
      <c r="K4" s="526" t="s">
        <v>157</v>
      </c>
      <c r="L4" s="526"/>
      <c r="M4" s="526"/>
      <c r="N4" s="526"/>
      <c r="O4" s="526"/>
      <c r="P4" s="526"/>
      <c r="Q4" s="526"/>
    </row>
    <row r="5" spans="2:17">
      <c r="B5" s="12" t="s">
        <v>593</v>
      </c>
      <c r="C5" s="2" t="s">
        <v>73</v>
      </c>
      <c r="D5" s="129">
        <f>'Master Tab'!$C$17</f>
        <v>40</v>
      </c>
      <c r="E5" s="92" t="s">
        <v>320</v>
      </c>
      <c r="F5" s="85">
        <v>3000</v>
      </c>
      <c r="G5" s="104" t="s">
        <v>7</v>
      </c>
      <c r="H5" s="85">
        <f>CEILING(F5*D5,100)</f>
        <v>120000</v>
      </c>
      <c r="I5" s="105"/>
    </row>
    <row r="6" spans="2:17">
      <c r="B6" s="12" t="s">
        <v>594</v>
      </c>
      <c r="C6" s="2" t="s">
        <v>104</v>
      </c>
      <c r="D6" s="129">
        <f>'Master Tab'!$C$17</f>
        <v>40</v>
      </c>
      <c r="E6" s="92" t="s">
        <v>320</v>
      </c>
      <c r="F6" s="85">
        <v>500</v>
      </c>
      <c r="G6" s="104" t="s">
        <v>7</v>
      </c>
      <c r="H6" s="85">
        <f>CEILING(F6*D6,100)</f>
        <v>20000</v>
      </c>
      <c r="I6" s="105"/>
      <c r="K6" t="s">
        <v>339</v>
      </c>
    </row>
    <row r="7" spans="2:17" ht="15.75">
      <c r="B7" s="94" t="s">
        <v>106</v>
      </c>
      <c r="C7" s="81"/>
      <c r="D7" s="132"/>
      <c r="E7" s="83"/>
      <c r="F7" s="84"/>
      <c r="G7" s="84"/>
      <c r="H7" s="84"/>
      <c r="I7" s="93">
        <f>CEILING(SUM(H5:H6),100)</f>
        <v>140000</v>
      </c>
    </row>
    <row r="8" spans="2:17" ht="8.25" customHeight="1">
      <c r="B8" s="350"/>
      <c r="C8" s="107"/>
      <c r="D8" s="133"/>
      <c r="E8" s="106"/>
      <c r="F8" s="108"/>
      <c r="G8" s="108"/>
      <c r="H8" s="108"/>
      <c r="I8" s="109"/>
    </row>
    <row r="9" spans="2:17" ht="15.75">
      <c r="B9" s="94" t="s">
        <v>107</v>
      </c>
      <c r="C9" s="81"/>
      <c r="D9" s="132"/>
      <c r="E9" s="83"/>
      <c r="F9" s="84"/>
      <c r="G9" s="84"/>
      <c r="H9" s="84"/>
      <c r="I9" s="93"/>
    </row>
    <row r="10" spans="2:17">
      <c r="B10" s="12" t="s">
        <v>565</v>
      </c>
      <c r="C10" s="419" t="s">
        <v>960</v>
      </c>
      <c r="D10" s="129">
        <v>1</v>
      </c>
      <c r="E10" s="420" t="s">
        <v>119</v>
      </c>
      <c r="F10" s="421">
        <v>285659</v>
      </c>
      <c r="G10" s="422"/>
      <c r="H10" s="421">
        <f t="shared" ref="H10:H26" si="0">F10*D10</f>
        <v>285659</v>
      </c>
      <c r="I10" s="105"/>
      <c r="K10" s="384">
        <v>0</v>
      </c>
      <c r="L10" s="383" t="s">
        <v>717</v>
      </c>
      <c r="M10" s="308"/>
    </row>
    <row r="11" spans="2:17">
      <c r="B11" s="12" t="s">
        <v>566</v>
      </c>
      <c r="C11" s="2" t="s">
        <v>567</v>
      </c>
      <c r="D11" s="129">
        <f>((($I$44+$I$172+$I$200)*K10)/F11)*0.011</f>
        <v>0</v>
      </c>
      <c r="E11" s="92" t="s">
        <v>103</v>
      </c>
      <c r="F11" s="85">
        <v>125</v>
      </c>
      <c r="G11" s="104"/>
      <c r="H11" s="85">
        <f t="shared" si="0"/>
        <v>0</v>
      </c>
      <c r="I11" s="105"/>
    </row>
    <row r="12" spans="2:17">
      <c r="B12" s="12" t="s">
        <v>568</v>
      </c>
      <c r="C12" s="2" t="s">
        <v>569</v>
      </c>
      <c r="D12" s="129">
        <f>((($I$44+$I$172+$I$200)*K10)/F12)*0.043</f>
        <v>0</v>
      </c>
      <c r="E12" s="92" t="s">
        <v>103</v>
      </c>
      <c r="F12" s="85">
        <v>125</v>
      </c>
      <c r="G12" s="104"/>
      <c r="H12" s="85">
        <f t="shared" si="0"/>
        <v>0</v>
      </c>
      <c r="I12" s="105"/>
    </row>
    <row r="13" spans="2:17">
      <c r="B13" s="12" t="s">
        <v>570</v>
      </c>
      <c r="C13" s="2" t="s">
        <v>571</v>
      </c>
      <c r="D13" s="129">
        <f>((($I$44+$I$172+$I$200)*K10)/F13)*0.002</f>
        <v>0</v>
      </c>
      <c r="E13" s="92" t="s">
        <v>103</v>
      </c>
      <c r="F13" s="85">
        <v>125</v>
      </c>
      <c r="G13" s="104"/>
      <c r="H13" s="85">
        <f t="shared" si="0"/>
        <v>0</v>
      </c>
      <c r="I13" s="105"/>
    </row>
    <row r="14" spans="2:17">
      <c r="B14" s="12" t="s">
        <v>572</v>
      </c>
      <c r="C14" s="2" t="s">
        <v>573</v>
      </c>
      <c r="D14" s="129">
        <f>((($I$44+$I$172+$I$200)*K10)/F14)*0.007</f>
        <v>0</v>
      </c>
      <c r="E14" s="92" t="s">
        <v>103</v>
      </c>
      <c r="F14" s="85">
        <v>125</v>
      </c>
      <c r="G14" s="104"/>
      <c r="H14" s="85">
        <f t="shared" si="0"/>
        <v>0</v>
      </c>
      <c r="I14" s="105"/>
    </row>
    <row r="15" spans="2:17">
      <c r="B15" s="12" t="s">
        <v>574</v>
      </c>
      <c r="C15" s="2" t="s">
        <v>575</v>
      </c>
      <c r="D15" s="129">
        <f>((($I$44+$I$172+$I$200)*K10)/F15)*0.112</f>
        <v>0</v>
      </c>
      <c r="E15" s="92" t="s">
        <v>103</v>
      </c>
      <c r="F15" s="85">
        <v>125</v>
      </c>
      <c r="G15" s="104"/>
      <c r="H15" s="85">
        <f t="shared" si="0"/>
        <v>0</v>
      </c>
      <c r="I15" s="105"/>
    </row>
    <row r="16" spans="2:17">
      <c r="B16" s="12" t="s">
        <v>576</v>
      </c>
      <c r="C16" s="2" t="s">
        <v>577</v>
      </c>
      <c r="D16" s="129">
        <f>((($I$44+$I$172+$I$200)*K10)/F16)*0.046</f>
        <v>0</v>
      </c>
      <c r="E16" s="92" t="s">
        <v>103</v>
      </c>
      <c r="F16" s="85">
        <v>125</v>
      </c>
      <c r="G16" s="104"/>
      <c r="H16" s="85">
        <f t="shared" si="0"/>
        <v>0</v>
      </c>
      <c r="I16" s="105"/>
    </row>
    <row r="17" spans="2:13">
      <c r="B17" s="12" t="s">
        <v>578</v>
      </c>
      <c r="C17" s="2" t="s">
        <v>604</v>
      </c>
      <c r="D17" s="129">
        <f>((($I$44+$I$172+$I$200)*K10)/F17)*0.04</f>
        <v>0</v>
      </c>
      <c r="E17" s="92" t="s">
        <v>103</v>
      </c>
      <c r="F17" s="85">
        <v>125</v>
      </c>
      <c r="G17" s="104"/>
      <c r="H17" s="85">
        <f t="shared" si="0"/>
        <v>0</v>
      </c>
      <c r="I17" s="105"/>
    </row>
    <row r="18" spans="2:13">
      <c r="B18" s="12" t="s">
        <v>579</v>
      </c>
      <c r="C18" s="2" t="s">
        <v>580</v>
      </c>
      <c r="D18" s="129">
        <f>((($I$44+$I$172+$I$200)*K10)/F18)*0.055</f>
        <v>0</v>
      </c>
      <c r="E18" s="92" t="s">
        <v>103</v>
      </c>
      <c r="F18" s="85">
        <v>125</v>
      </c>
      <c r="G18" s="104"/>
      <c r="H18" s="85">
        <f t="shared" si="0"/>
        <v>0</v>
      </c>
      <c r="I18" s="105"/>
    </row>
    <row r="19" spans="2:13">
      <c r="B19" s="12" t="s">
        <v>586</v>
      </c>
      <c r="C19" s="2" t="s">
        <v>108</v>
      </c>
      <c r="D19" s="129">
        <f>((($I$44+$I$172+$I$200)*K10)/F19)*0.092</f>
        <v>0</v>
      </c>
      <c r="E19" s="92" t="s">
        <v>103</v>
      </c>
      <c r="F19" s="85">
        <v>125</v>
      </c>
      <c r="G19" s="104"/>
      <c r="H19" s="85">
        <f t="shared" si="0"/>
        <v>0</v>
      </c>
      <c r="I19" s="105"/>
    </row>
    <row r="20" spans="2:13">
      <c r="B20" s="12" t="s">
        <v>587</v>
      </c>
      <c r="C20" s="2" t="s">
        <v>109</v>
      </c>
      <c r="D20" s="129">
        <f>((($I$44+$I$172+$I$200)*K10)/F20)*0</f>
        <v>0</v>
      </c>
      <c r="E20" s="92" t="s">
        <v>103</v>
      </c>
      <c r="F20" s="85">
        <v>125</v>
      </c>
      <c r="G20" s="104"/>
      <c r="H20" s="85">
        <f t="shared" si="0"/>
        <v>0</v>
      </c>
      <c r="I20" s="105"/>
    </row>
    <row r="21" spans="2:13">
      <c r="B21" s="12" t="s">
        <v>588</v>
      </c>
      <c r="C21" s="2" t="s">
        <v>581</v>
      </c>
      <c r="D21" s="129">
        <f>((($I$44+$I$172+$I$200)*K10)/F21)*0.002</f>
        <v>0</v>
      </c>
      <c r="E21" s="92" t="s">
        <v>103</v>
      </c>
      <c r="F21" s="85">
        <v>125</v>
      </c>
      <c r="G21" s="104"/>
      <c r="H21" s="85">
        <f t="shared" si="0"/>
        <v>0</v>
      </c>
      <c r="I21" s="105"/>
    </row>
    <row r="22" spans="2:13">
      <c r="B22" s="12" t="s">
        <v>589</v>
      </c>
      <c r="C22" s="2" t="s">
        <v>582</v>
      </c>
      <c r="D22" s="129">
        <f>((($I$44+$I$172+$I$200)*K10)/F22)*0.017</f>
        <v>0</v>
      </c>
      <c r="E22" s="92" t="s">
        <v>103</v>
      </c>
      <c r="F22" s="85">
        <v>125</v>
      </c>
      <c r="G22" s="104"/>
      <c r="H22" s="85">
        <f t="shared" si="0"/>
        <v>0</v>
      </c>
      <c r="I22" s="105"/>
    </row>
    <row r="23" spans="2:13">
      <c r="B23" s="12" t="s">
        <v>590</v>
      </c>
      <c r="C23" s="2" t="s">
        <v>583</v>
      </c>
      <c r="D23" s="129">
        <f>((($I$44+$I$172+$I$200)*K10)/F23)*0.13</f>
        <v>0</v>
      </c>
      <c r="E23" s="92" t="s">
        <v>103</v>
      </c>
      <c r="F23" s="85">
        <v>125</v>
      </c>
      <c r="G23" s="104"/>
      <c r="H23" s="85">
        <f t="shared" si="0"/>
        <v>0</v>
      </c>
      <c r="I23" s="105"/>
    </row>
    <row r="24" spans="2:13">
      <c r="B24" s="12" t="s">
        <v>591</v>
      </c>
      <c r="C24" s="2" t="s">
        <v>584</v>
      </c>
      <c r="D24" s="129">
        <f>((($I$44+$I$172+$I$200)*K10)/F24)*0.42</f>
        <v>0</v>
      </c>
      <c r="E24" s="92" t="s">
        <v>103</v>
      </c>
      <c r="F24" s="85">
        <v>125</v>
      </c>
      <c r="G24" s="104"/>
      <c r="H24" s="85">
        <f t="shared" si="0"/>
        <v>0</v>
      </c>
      <c r="I24" s="105"/>
    </row>
    <row r="25" spans="2:13">
      <c r="B25" s="12" t="s">
        <v>591</v>
      </c>
      <c r="C25" s="2" t="s">
        <v>585</v>
      </c>
      <c r="D25" s="129">
        <f>((($I$44+$I$172+$I$200)*K10)/F25)*0.012</f>
        <v>0</v>
      </c>
      <c r="E25" s="92" t="s">
        <v>103</v>
      </c>
      <c r="F25" s="85">
        <v>125</v>
      </c>
      <c r="G25" s="104"/>
      <c r="H25" s="85">
        <f t="shared" si="0"/>
        <v>0</v>
      </c>
      <c r="I25" s="105"/>
    </row>
    <row r="26" spans="2:13">
      <c r="B26" s="12" t="s">
        <v>592</v>
      </c>
      <c r="C26" s="2" t="s">
        <v>110</v>
      </c>
      <c r="D26" s="136">
        <v>0</v>
      </c>
      <c r="E26" s="165" t="s">
        <v>119</v>
      </c>
      <c r="F26" s="85">
        <v>0</v>
      </c>
      <c r="G26" s="104"/>
      <c r="H26" s="85">
        <f t="shared" si="0"/>
        <v>0</v>
      </c>
      <c r="I26" s="105"/>
      <c r="K26" t="s">
        <v>206</v>
      </c>
    </row>
    <row r="27" spans="2:13" ht="15.75">
      <c r="B27" s="94" t="s">
        <v>111</v>
      </c>
      <c r="C27" s="81"/>
      <c r="D27" s="132"/>
      <c r="E27" s="83"/>
      <c r="F27" s="84"/>
      <c r="G27" s="84"/>
      <c r="H27" s="110"/>
      <c r="I27" s="93">
        <f>CEILING(SUM(H10:H26),100)</f>
        <v>285700</v>
      </c>
    </row>
    <row r="28" spans="2:13" ht="8.25" customHeight="1">
      <c r="B28" s="350"/>
      <c r="C28" s="107"/>
      <c r="D28" s="133"/>
      <c r="E28" s="106"/>
      <c r="F28" s="108"/>
      <c r="G28" s="108"/>
      <c r="H28" s="108"/>
      <c r="I28" s="109"/>
    </row>
    <row r="29" spans="2:13" ht="15.75">
      <c r="B29" s="94" t="s">
        <v>112</v>
      </c>
      <c r="C29" s="81"/>
      <c r="D29" s="132"/>
      <c r="E29" s="83"/>
      <c r="F29" s="84"/>
      <c r="G29" s="84"/>
      <c r="H29" s="84"/>
      <c r="I29" s="93"/>
    </row>
    <row r="30" spans="2:13">
      <c r="B30" s="12" t="s">
        <v>595</v>
      </c>
      <c r="C30" s="2" t="s">
        <v>350</v>
      </c>
      <c r="D30" s="134">
        <v>0</v>
      </c>
      <c r="E30" s="3" t="s">
        <v>113</v>
      </c>
      <c r="F30" s="85">
        <v>60000</v>
      </c>
      <c r="G30" s="104"/>
      <c r="H30" s="85">
        <f t="shared" ref="H30:H43" si="1">CEILING(F30*D30,100)</f>
        <v>0</v>
      </c>
      <c r="I30" s="105"/>
      <c r="M30" t="s">
        <v>7</v>
      </c>
    </row>
    <row r="31" spans="2:13">
      <c r="B31" s="12" t="s">
        <v>595</v>
      </c>
      <c r="C31" s="2" t="s">
        <v>351</v>
      </c>
      <c r="D31" s="134">
        <v>0</v>
      </c>
      <c r="E31" s="3" t="s">
        <v>113</v>
      </c>
      <c r="F31" s="85">
        <v>0</v>
      </c>
      <c r="G31" s="104"/>
      <c r="H31" s="85">
        <f t="shared" si="1"/>
        <v>0</v>
      </c>
      <c r="I31" s="105"/>
      <c r="K31" t="s">
        <v>362</v>
      </c>
    </row>
    <row r="32" spans="2:13">
      <c r="B32" s="12" t="s">
        <v>596</v>
      </c>
      <c r="C32" s="2" t="s">
        <v>352</v>
      </c>
      <c r="D32" s="414">
        <v>2</v>
      </c>
      <c r="E32" s="3" t="s">
        <v>113</v>
      </c>
      <c r="F32" s="112">
        <f>F30*1.2</f>
        <v>72000</v>
      </c>
      <c r="G32" s="104"/>
      <c r="H32" s="85">
        <f t="shared" si="1"/>
        <v>144000</v>
      </c>
      <c r="I32" s="105"/>
    </row>
    <row r="33" spans="2:12">
      <c r="B33" s="12" t="s">
        <v>596</v>
      </c>
      <c r="C33" s="2" t="s">
        <v>355</v>
      </c>
      <c r="D33" s="134">
        <v>0</v>
      </c>
      <c r="E33" s="3" t="s">
        <v>113</v>
      </c>
      <c r="F33" s="112">
        <f>F31*1.2</f>
        <v>0</v>
      </c>
      <c r="G33" s="104"/>
      <c r="H33" s="85">
        <f t="shared" si="1"/>
        <v>0</v>
      </c>
      <c r="I33" s="105"/>
    </row>
    <row r="34" spans="2:12">
      <c r="B34" s="12" t="s">
        <v>596</v>
      </c>
      <c r="C34" s="2" t="s">
        <v>353</v>
      </c>
      <c r="D34" s="134">
        <v>0</v>
      </c>
      <c r="E34" s="3" t="s">
        <v>113</v>
      </c>
      <c r="F34" s="112">
        <f>F30*1.4</f>
        <v>84000</v>
      </c>
      <c r="G34" s="104"/>
      <c r="H34" s="85">
        <f t="shared" si="1"/>
        <v>0</v>
      </c>
      <c r="I34" s="105"/>
    </row>
    <row r="35" spans="2:12">
      <c r="B35" s="12" t="s">
        <v>596</v>
      </c>
      <c r="C35" s="2" t="s">
        <v>356</v>
      </c>
      <c r="D35" s="134">
        <v>0</v>
      </c>
      <c r="E35" s="3" t="s">
        <v>113</v>
      </c>
      <c r="F35" s="112">
        <f>F31*1.4</f>
        <v>0</v>
      </c>
      <c r="G35" s="104"/>
      <c r="H35" s="85">
        <f t="shared" si="1"/>
        <v>0</v>
      </c>
      <c r="I35" s="105"/>
    </row>
    <row r="36" spans="2:12">
      <c r="B36" s="12" t="s">
        <v>592</v>
      </c>
      <c r="C36" s="2" t="s">
        <v>364</v>
      </c>
      <c r="D36" s="414">
        <v>2</v>
      </c>
      <c r="E36" s="3" t="s">
        <v>113</v>
      </c>
      <c r="F36" s="112">
        <f>F30*0.25</f>
        <v>15000</v>
      </c>
      <c r="G36" s="104"/>
      <c r="H36" s="85">
        <f t="shared" si="1"/>
        <v>30000</v>
      </c>
      <c r="I36" s="105"/>
    </row>
    <row r="37" spans="2:12">
      <c r="B37" s="12" t="s">
        <v>592</v>
      </c>
      <c r="C37" s="2" t="s">
        <v>365</v>
      </c>
      <c r="D37" s="134">
        <v>0</v>
      </c>
      <c r="E37" s="3" t="s">
        <v>113</v>
      </c>
      <c r="F37" s="112">
        <f>F31*0.25</f>
        <v>0</v>
      </c>
      <c r="G37" s="104"/>
      <c r="H37" s="85">
        <f t="shared" si="1"/>
        <v>0</v>
      </c>
      <c r="I37" s="105"/>
    </row>
    <row r="38" spans="2:12">
      <c r="B38" s="12" t="s">
        <v>597</v>
      </c>
      <c r="C38" s="2" t="s">
        <v>321</v>
      </c>
      <c r="D38" s="134">
        <v>0</v>
      </c>
      <c r="E38" s="3" t="s">
        <v>138</v>
      </c>
      <c r="F38" s="85">
        <v>10000</v>
      </c>
      <c r="G38" s="104"/>
      <c r="H38" s="85">
        <f t="shared" si="1"/>
        <v>0</v>
      </c>
      <c r="I38" s="105"/>
    </row>
    <row r="39" spans="2:12">
      <c r="B39" s="12" t="s">
        <v>592</v>
      </c>
      <c r="C39" s="2" t="s">
        <v>322</v>
      </c>
      <c r="D39" s="134">
        <v>0</v>
      </c>
      <c r="E39" s="3" t="s">
        <v>349</v>
      </c>
      <c r="F39" s="85">
        <v>4200</v>
      </c>
      <c r="G39" s="104"/>
      <c r="H39" s="85">
        <f t="shared" si="1"/>
        <v>0</v>
      </c>
      <c r="I39" s="105"/>
      <c r="K39" t="s">
        <v>348</v>
      </c>
    </row>
    <row r="40" spans="2:12">
      <c r="B40" s="12" t="s">
        <v>598</v>
      </c>
      <c r="C40" s="2" t="s">
        <v>360</v>
      </c>
      <c r="D40" s="129">
        <v>0</v>
      </c>
      <c r="E40" s="3" t="s">
        <v>114</v>
      </c>
      <c r="F40" s="85">
        <v>3250</v>
      </c>
      <c r="G40" s="104"/>
      <c r="H40" s="85">
        <f t="shared" si="1"/>
        <v>0</v>
      </c>
      <c r="I40" s="105"/>
      <c r="K40" t="s">
        <v>407</v>
      </c>
    </row>
    <row r="41" spans="2:12">
      <c r="B41" s="12" t="s">
        <v>598</v>
      </c>
      <c r="C41" s="2" t="s">
        <v>406</v>
      </c>
      <c r="D41" s="134">
        <v>0</v>
      </c>
      <c r="E41" s="3" t="s">
        <v>113</v>
      </c>
      <c r="F41" s="85">
        <v>0</v>
      </c>
      <c r="G41" s="104"/>
      <c r="H41" s="85">
        <f t="shared" si="1"/>
        <v>0</v>
      </c>
      <c r="I41" s="105"/>
      <c r="K41" t="s">
        <v>361</v>
      </c>
    </row>
    <row r="42" spans="2:12">
      <c r="B42" s="12" t="s">
        <v>599</v>
      </c>
      <c r="C42" s="419" t="s">
        <v>918</v>
      </c>
      <c r="D42" s="423">
        <v>1</v>
      </c>
      <c r="E42" s="424" t="s">
        <v>119</v>
      </c>
      <c r="F42" s="421">
        <v>90000</v>
      </c>
      <c r="G42" s="422"/>
      <c r="H42" s="421">
        <f t="shared" si="1"/>
        <v>90000</v>
      </c>
      <c r="I42" s="105"/>
    </row>
    <row r="43" spans="2:12">
      <c r="B43" s="12" t="s">
        <v>599</v>
      </c>
      <c r="C43" s="2" t="s">
        <v>115</v>
      </c>
      <c r="D43" s="129">
        <v>1</v>
      </c>
      <c r="E43" s="92" t="s">
        <v>114</v>
      </c>
      <c r="F43" s="85">
        <v>30000</v>
      </c>
      <c r="G43" s="104"/>
      <c r="H43" s="85">
        <f t="shared" si="1"/>
        <v>30000</v>
      </c>
      <c r="I43" s="105"/>
      <c r="K43" t="s">
        <v>250</v>
      </c>
    </row>
    <row r="44" spans="2:12" ht="15.75">
      <c r="B44" s="94" t="s">
        <v>116</v>
      </c>
      <c r="C44" s="81"/>
      <c r="D44" s="132"/>
      <c r="E44" s="83"/>
      <c r="F44" s="84"/>
      <c r="G44" s="110"/>
      <c r="H44" s="84"/>
      <c r="I44" s="93">
        <f>SUM(H30:H43)</f>
        <v>294000</v>
      </c>
    </row>
    <row r="45" spans="2:12" ht="8.25" customHeight="1">
      <c r="B45" s="350"/>
      <c r="C45" s="107"/>
      <c r="D45" s="133"/>
      <c r="E45" s="106"/>
      <c r="F45" s="108"/>
      <c r="G45" s="108"/>
      <c r="H45" s="108"/>
      <c r="I45" s="109"/>
    </row>
    <row r="46" spans="2:12" ht="15.75">
      <c r="B46" s="94" t="s">
        <v>117</v>
      </c>
      <c r="C46" s="81"/>
      <c r="D46" s="135">
        <v>1430</v>
      </c>
      <c r="E46" s="90" t="s">
        <v>118</v>
      </c>
      <c r="F46" s="91"/>
      <c r="G46" s="84"/>
      <c r="H46" s="84"/>
      <c r="I46" s="93"/>
    </row>
    <row r="47" spans="2:12">
      <c r="B47" s="12">
        <v>820</v>
      </c>
      <c r="C47" s="2" t="s">
        <v>120</v>
      </c>
      <c r="D47" s="136">
        <v>1</v>
      </c>
      <c r="E47" s="92" t="s">
        <v>119</v>
      </c>
      <c r="F47" s="112">
        <f>(SUM(H48:H171)*K47)</f>
        <v>124372.65000000001</v>
      </c>
      <c r="G47" s="104"/>
      <c r="H47" s="85">
        <f>F47*D47</f>
        <v>124372.65000000001</v>
      </c>
      <c r="I47" s="105"/>
      <c r="K47" s="113">
        <v>0.1</v>
      </c>
      <c r="L47" t="s">
        <v>121</v>
      </c>
    </row>
    <row r="48" spans="2:12">
      <c r="B48" s="12">
        <v>821</v>
      </c>
      <c r="C48" s="2" t="s">
        <v>213</v>
      </c>
      <c r="D48" s="134">
        <f>D32+D36</f>
        <v>4</v>
      </c>
      <c r="E48" s="3" t="s">
        <v>225</v>
      </c>
      <c r="F48" s="85">
        <v>40250</v>
      </c>
      <c r="G48" s="104"/>
      <c r="H48" s="85">
        <f t="shared" ref="H48:H171" si="2">F48*D48</f>
        <v>161000</v>
      </c>
      <c r="I48" s="105"/>
      <c r="K48" t="s">
        <v>326</v>
      </c>
    </row>
    <row r="49" spans="2:12">
      <c r="B49" s="12">
        <v>821</v>
      </c>
      <c r="C49" s="2" t="s">
        <v>214</v>
      </c>
      <c r="D49" s="134">
        <v>0</v>
      </c>
      <c r="E49" s="3" t="s">
        <v>225</v>
      </c>
      <c r="F49" s="85">
        <v>0</v>
      </c>
      <c r="G49" s="104"/>
      <c r="H49" s="85">
        <f t="shared" si="2"/>
        <v>0</v>
      </c>
      <c r="I49" s="105"/>
      <c r="K49" t="s">
        <v>325</v>
      </c>
    </row>
    <row r="50" spans="2:12">
      <c r="B50" s="12">
        <v>829</v>
      </c>
      <c r="C50" s="2" t="s">
        <v>130</v>
      </c>
      <c r="D50" s="134">
        <f>D46</f>
        <v>1430</v>
      </c>
      <c r="E50" s="3" t="s">
        <v>125</v>
      </c>
      <c r="F50" s="85">
        <v>453</v>
      </c>
      <c r="G50" s="104"/>
      <c r="H50" s="85">
        <f t="shared" si="2"/>
        <v>647790</v>
      </c>
      <c r="I50" s="105"/>
      <c r="L50" t="s">
        <v>7</v>
      </c>
    </row>
    <row r="51" spans="2:12">
      <c r="B51" s="12">
        <v>829</v>
      </c>
      <c r="C51" s="2" t="s">
        <v>666</v>
      </c>
      <c r="D51" s="134">
        <v>0</v>
      </c>
      <c r="E51" s="3" t="s">
        <v>125</v>
      </c>
      <c r="F51" s="85">
        <v>0</v>
      </c>
      <c r="G51" s="104"/>
      <c r="H51" s="85">
        <f t="shared" si="2"/>
        <v>0</v>
      </c>
      <c r="I51" s="105"/>
      <c r="K51" t="s">
        <v>760</v>
      </c>
    </row>
    <row r="52" spans="2:12">
      <c r="B52" s="12">
        <v>830</v>
      </c>
      <c r="C52" s="2" t="s">
        <v>881</v>
      </c>
      <c r="D52" s="134">
        <v>0</v>
      </c>
      <c r="E52" s="3" t="s">
        <v>125</v>
      </c>
      <c r="F52" s="85">
        <v>360</v>
      </c>
      <c r="G52" s="104"/>
      <c r="H52" s="85">
        <f t="shared" si="2"/>
        <v>0</v>
      </c>
      <c r="I52" s="105"/>
    </row>
    <row r="53" spans="2:12">
      <c r="B53" s="12">
        <v>825</v>
      </c>
      <c r="C53" s="2" t="s">
        <v>126</v>
      </c>
      <c r="D53" s="134">
        <v>0</v>
      </c>
      <c r="E53" s="3" t="s">
        <v>125</v>
      </c>
      <c r="F53" s="85">
        <v>0</v>
      </c>
      <c r="G53" s="104"/>
      <c r="H53" s="85">
        <f t="shared" si="2"/>
        <v>0</v>
      </c>
      <c r="I53" s="105"/>
    </row>
    <row r="54" spans="2:12">
      <c r="B54" s="12">
        <v>826</v>
      </c>
      <c r="C54" s="2" t="s">
        <v>127</v>
      </c>
      <c r="D54" s="134">
        <v>0</v>
      </c>
      <c r="E54" s="3" t="s">
        <v>125</v>
      </c>
      <c r="F54" s="85">
        <v>0</v>
      </c>
      <c r="G54" s="104"/>
      <c r="H54" s="85">
        <f t="shared" si="2"/>
        <v>0</v>
      </c>
      <c r="I54" s="105"/>
    </row>
    <row r="55" spans="2:12">
      <c r="B55" s="12">
        <v>827</v>
      </c>
      <c r="C55" s="2" t="s">
        <v>128</v>
      </c>
      <c r="D55" s="134">
        <v>0</v>
      </c>
      <c r="E55" s="3" t="s">
        <v>125</v>
      </c>
      <c r="F55" s="85">
        <v>0</v>
      </c>
      <c r="G55" s="104"/>
      <c r="H55" s="85">
        <f t="shared" si="2"/>
        <v>0</v>
      </c>
      <c r="I55" s="105"/>
      <c r="K55" t="s">
        <v>258</v>
      </c>
    </row>
    <row r="56" spans="2:12">
      <c r="B56" s="12">
        <v>828</v>
      </c>
      <c r="C56" s="2" t="s">
        <v>129</v>
      </c>
      <c r="D56" s="134">
        <v>0</v>
      </c>
      <c r="E56" s="3" t="s">
        <v>125</v>
      </c>
      <c r="F56" s="85">
        <v>1140</v>
      </c>
      <c r="G56" s="104"/>
      <c r="H56" s="85">
        <f>F56*D56</f>
        <v>0</v>
      </c>
      <c r="I56" s="105"/>
      <c r="K56" t="s">
        <v>258</v>
      </c>
    </row>
    <row r="57" spans="2:12">
      <c r="B57" s="12">
        <v>828</v>
      </c>
      <c r="C57" s="2" t="s">
        <v>721</v>
      </c>
      <c r="D57" s="134">
        <v>0</v>
      </c>
      <c r="E57" s="3" t="s">
        <v>125</v>
      </c>
      <c r="F57" s="85">
        <v>170</v>
      </c>
      <c r="G57" s="104"/>
      <c r="H57" s="85">
        <f>F57*D57</f>
        <v>0</v>
      </c>
      <c r="I57" s="105"/>
      <c r="K57" t="s">
        <v>761</v>
      </c>
    </row>
    <row r="58" spans="2:12">
      <c r="B58" s="12">
        <v>822</v>
      </c>
      <c r="C58" s="2" t="s">
        <v>215</v>
      </c>
      <c r="D58" s="134">
        <v>0</v>
      </c>
      <c r="E58" s="3" t="s">
        <v>167</v>
      </c>
      <c r="F58" s="85">
        <v>0</v>
      </c>
      <c r="G58" s="104"/>
      <c r="H58" s="85">
        <f>F58*D58</f>
        <v>0</v>
      </c>
      <c r="I58" s="105"/>
    </row>
    <row r="59" spans="2:12">
      <c r="B59" s="12">
        <v>822</v>
      </c>
      <c r="C59" s="2" t="s">
        <v>216</v>
      </c>
      <c r="D59" s="134">
        <v>0</v>
      </c>
      <c r="E59" s="3" t="s">
        <v>167</v>
      </c>
      <c r="F59" s="85">
        <v>275</v>
      </c>
      <c r="G59" s="104"/>
      <c r="H59" s="85">
        <f>F59*D59</f>
        <v>0</v>
      </c>
      <c r="I59" s="105"/>
    </row>
    <row r="60" spans="2:12">
      <c r="B60" s="12">
        <v>829</v>
      </c>
      <c r="C60" s="2" t="s">
        <v>765</v>
      </c>
      <c r="D60" s="134">
        <v>0</v>
      </c>
      <c r="E60" s="3" t="s">
        <v>138</v>
      </c>
      <c r="F60" s="85">
        <v>0</v>
      </c>
      <c r="G60" s="104"/>
      <c r="H60" s="85">
        <f t="shared" ref="H60:H63" si="3">F60*D60</f>
        <v>0</v>
      </c>
      <c r="I60" s="105"/>
    </row>
    <row r="61" spans="2:12">
      <c r="B61" s="12">
        <v>829</v>
      </c>
      <c r="C61" s="2" t="s">
        <v>767</v>
      </c>
      <c r="D61" s="134">
        <v>0</v>
      </c>
      <c r="E61" s="3" t="s">
        <v>125</v>
      </c>
      <c r="F61" s="85">
        <v>0</v>
      </c>
      <c r="G61" s="104"/>
      <c r="H61" s="85">
        <f t="shared" si="3"/>
        <v>0</v>
      </c>
      <c r="I61" s="105"/>
    </row>
    <row r="62" spans="2:12">
      <c r="B62" s="12">
        <v>829</v>
      </c>
      <c r="C62" s="2" t="s">
        <v>815</v>
      </c>
      <c r="D62" s="134">
        <v>0</v>
      </c>
      <c r="E62" s="3" t="s">
        <v>138</v>
      </c>
      <c r="F62" s="85">
        <v>18000</v>
      </c>
      <c r="G62" s="104"/>
      <c r="H62" s="85">
        <f t="shared" si="3"/>
        <v>0</v>
      </c>
      <c r="I62" s="105"/>
    </row>
    <row r="63" spans="2:12">
      <c r="B63" s="12">
        <v>829</v>
      </c>
      <c r="C63" s="2" t="s">
        <v>762</v>
      </c>
      <c r="D63" s="134">
        <v>0</v>
      </c>
      <c r="E63" s="3" t="s">
        <v>138</v>
      </c>
      <c r="F63" s="85">
        <v>54139</v>
      </c>
      <c r="G63" s="104"/>
      <c r="H63" s="85">
        <f t="shared" si="3"/>
        <v>0</v>
      </c>
      <c r="I63" s="105"/>
      <c r="K63" t="s">
        <v>764</v>
      </c>
    </row>
    <row r="64" spans="2:12">
      <c r="B64" s="12">
        <v>829</v>
      </c>
      <c r="C64" s="2" t="s">
        <v>217</v>
      </c>
      <c r="D64" s="134">
        <v>0</v>
      </c>
      <c r="E64" s="3" t="s">
        <v>622</v>
      </c>
      <c r="F64" s="85">
        <v>40</v>
      </c>
      <c r="G64" s="104"/>
      <c r="H64" s="85">
        <f t="shared" si="2"/>
        <v>0</v>
      </c>
      <c r="I64" s="105"/>
      <c r="K64" t="s">
        <v>763</v>
      </c>
    </row>
    <row r="65" spans="2:11">
      <c r="B65" s="12">
        <v>829</v>
      </c>
      <c r="C65" s="2" t="s">
        <v>218</v>
      </c>
      <c r="D65" s="134">
        <v>0</v>
      </c>
      <c r="E65" s="3" t="s">
        <v>125</v>
      </c>
      <c r="F65" s="85">
        <v>0</v>
      </c>
      <c r="G65" s="104"/>
      <c r="H65" s="85">
        <f t="shared" si="2"/>
        <v>0</v>
      </c>
      <c r="I65" s="105"/>
      <c r="K65" t="s">
        <v>374</v>
      </c>
    </row>
    <row r="66" spans="2:11">
      <c r="B66" s="12">
        <v>829</v>
      </c>
      <c r="C66" s="2" t="s">
        <v>219</v>
      </c>
      <c r="D66" s="134">
        <v>0</v>
      </c>
      <c r="E66" s="3" t="s">
        <v>125</v>
      </c>
      <c r="F66" s="85">
        <v>0</v>
      </c>
      <c r="G66" s="104"/>
      <c r="H66" s="85">
        <f t="shared" si="2"/>
        <v>0</v>
      </c>
      <c r="I66" s="105"/>
      <c r="K66" t="s">
        <v>687</v>
      </c>
    </row>
    <row r="67" spans="2:11">
      <c r="B67" s="12">
        <v>829</v>
      </c>
      <c r="C67" s="2" t="s">
        <v>610</v>
      </c>
      <c r="D67" s="134">
        <v>0</v>
      </c>
      <c r="E67" s="3" t="s">
        <v>167</v>
      </c>
      <c r="F67" s="85">
        <v>0</v>
      </c>
      <c r="G67" s="104"/>
      <c r="H67" s="85">
        <f t="shared" si="2"/>
        <v>0</v>
      </c>
      <c r="I67" s="105"/>
      <c r="K67" t="s">
        <v>688</v>
      </c>
    </row>
    <row r="68" spans="2:11">
      <c r="B68" s="12">
        <v>822</v>
      </c>
      <c r="C68" s="2" t="s">
        <v>220</v>
      </c>
      <c r="D68" s="134">
        <v>0</v>
      </c>
      <c r="E68" s="3" t="s">
        <v>125</v>
      </c>
      <c r="F68" s="85">
        <v>20</v>
      </c>
      <c r="G68" s="104"/>
      <c r="H68" s="85">
        <f t="shared" si="2"/>
        <v>0</v>
      </c>
      <c r="I68" s="105"/>
      <c r="K68" t="s">
        <v>373</v>
      </c>
    </row>
    <row r="69" spans="2:11">
      <c r="B69" s="12">
        <v>831</v>
      </c>
      <c r="C69" s="2" t="s">
        <v>221</v>
      </c>
      <c r="D69" s="134">
        <v>0</v>
      </c>
      <c r="E69" s="3" t="s">
        <v>138</v>
      </c>
      <c r="F69" s="85">
        <v>0</v>
      </c>
      <c r="G69" s="104"/>
      <c r="H69" s="85">
        <f t="shared" si="2"/>
        <v>0</v>
      </c>
      <c r="I69" s="105"/>
      <c r="K69" t="s">
        <v>694</v>
      </c>
    </row>
    <row r="70" spans="2:11">
      <c r="B70" s="12">
        <v>831</v>
      </c>
      <c r="C70" s="2" t="s">
        <v>222</v>
      </c>
      <c r="D70" s="134">
        <v>0</v>
      </c>
      <c r="E70" s="3" t="s">
        <v>138</v>
      </c>
      <c r="F70" s="85">
        <v>0</v>
      </c>
      <c r="G70" s="104"/>
      <c r="H70" s="85">
        <f t="shared" si="2"/>
        <v>0</v>
      </c>
      <c r="I70" s="105"/>
      <c r="K70" t="s">
        <v>695</v>
      </c>
    </row>
    <row r="71" spans="2:11">
      <c r="B71" s="12">
        <v>831</v>
      </c>
      <c r="C71" s="2" t="s">
        <v>223</v>
      </c>
      <c r="D71" s="134">
        <v>0</v>
      </c>
      <c r="E71" s="3" t="s">
        <v>125</v>
      </c>
      <c r="F71" s="85">
        <v>0</v>
      </c>
      <c r="G71" s="104"/>
      <c r="H71" s="85">
        <f t="shared" si="2"/>
        <v>0</v>
      </c>
      <c r="I71" s="105"/>
      <c r="K71" t="s">
        <v>688</v>
      </c>
    </row>
    <row r="72" spans="2:11">
      <c r="B72" s="12">
        <v>837</v>
      </c>
      <c r="C72" s="2" t="s">
        <v>549</v>
      </c>
      <c r="D72" s="134">
        <v>0</v>
      </c>
      <c r="E72" s="3" t="s">
        <v>125</v>
      </c>
      <c r="F72" s="85">
        <v>19</v>
      </c>
      <c r="G72" s="104"/>
      <c r="H72" s="85">
        <f t="shared" si="2"/>
        <v>0</v>
      </c>
      <c r="I72" s="105"/>
      <c r="K72" t="s">
        <v>689</v>
      </c>
    </row>
    <row r="73" spans="2:11">
      <c r="B73" s="12">
        <v>837</v>
      </c>
      <c r="C73" s="2" t="s">
        <v>224</v>
      </c>
      <c r="D73" s="134">
        <v>0</v>
      </c>
      <c r="E73" s="3" t="s">
        <v>138</v>
      </c>
      <c r="F73" s="85">
        <v>20400</v>
      </c>
      <c r="G73" s="104"/>
      <c r="H73" s="85">
        <f t="shared" si="2"/>
        <v>0</v>
      </c>
      <c r="I73" s="105"/>
      <c r="K73" t="s">
        <v>375</v>
      </c>
    </row>
    <row r="74" spans="2:11">
      <c r="B74" s="12">
        <v>835</v>
      </c>
      <c r="C74" s="2" t="s">
        <v>611</v>
      </c>
      <c r="D74" s="134">
        <f>D46</f>
        <v>1430</v>
      </c>
      <c r="E74" s="3" t="s">
        <v>125</v>
      </c>
      <c r="F74" s="85">
        <v>14</v>
      </c>
      <c r="G74" s="104"/>
      <c r="H74" s="85">
        <f t="shared" si="2"/>
        <v>20020</v>
      </c>
      <c r="I74" s="105"/>
      <c r="K74" t="s">
        <v>772</v>
      </c>
    </row>
    <row r="75" spans="2:11">
      <c r="B75" s="12">
        <v>833</v>
      </c>
      <c r="C75" s="419" t="s">
        <v>969</v>
      </c>
      <c r="D75" s="423">
        <v>1</v>
      </c>
      <c r="E75" s="424" t="s">
        <v>119</v>
      </c>
      <c r="F75" s="421">
        <v>50000</v>
      </c>
      <c r="G75" s="422"/>
      <c r="H75" s="421">
        <f t="shared" si="2"/>
        <v>50000</v>
      </c>
      <c r="I75" s="105"/>
      <c r="K75" t="s">
        <v>768</v>
      </c>
    </row>
    <row r="76" spans="2:11">
      <c r="B76" s="12">
        <v>833</v>
      </c>
      <c r="C76" s="2" t="s">
        <v>667</v>
      </c>
      <c r="D76" s="134">
        <v>0</v>
      </c>
      <c r="E76" s="3" t="s">
        <v>119</v>
      </c>
      <c r="F76" s="85">
        <v>25000</v>
      </c>
      <c r="G76" s="104"/>
      <c r="H76" s="85">
        <f t="shared" si="2"/>
        <v>0</v>
      </c>
      <c r="I76" s="105"/>
      <c r="K76" t="s">
        <v>389</v>
      </c>
    </row>
    <row r="77" spans="2:11">
      <c r="B77" s="12">
        <v>834</v>
      </c>
      <c r="C77" s="419" t="s">
        <v>970</v>
      </c>
      <c r="D77" s="423">
        <v>1</v>
      </c>
      <c r="E77" s="424" t="s">
        <v>119</v>
      </c>
      <c r="F77" s="421">
        <v>10000</v>
      </c>
      <c r="G77" s="422"/>
      <c r="H77" s="421">
        <f t="shared" si="2"/>
        <v>10000</v>
      </c>
      <c r="I77" s="105"/>
      <c r="K77" t="s">
        <v>769</v>
      </c>
    </row>
    <row r="78" spans="2:11">
      <c r="B78" s="12">
        <v>837</v>
      </c>
      <c r="C78" s="2" t="s">
        <v>612</v>
      </c>
      <c r="D78" s="134">
        <v>0</v>
      </c>
      <c r="E78" s="3" t="s">
        <v>125</v>
      </c>
      <c r="F78" s="85">
        <v>0</v>
      </c>
      <c r="G78" s="104"/>
      <c r="H78" s="85">
        <f t="shared" si="2"/>
        <v>0</v>
      </c>
      <c r="I78" s="105"/>
      <c r="K78" t="s">
        <v>688</v>
      </c>
    </row>
    <row r="79" spans="2:11">
      <c r="B79" s="12">
        <v>837</v>
      </c>
      <c r="C79" s="2" t="s">
        <v>718</v>
      </c>
      <c r="D79" s="134">
        <v>0</v>
      </c>
      <c r="E79" s="3" t="s">
        <v>125</v>
      </c>
      <c r="F79" s="85">
        <v>0</v>
      </c>
      <c r="G79" s="104"/>
      <c r="H79" s="85">
        <f t="shared" si="2"/>
        <v>0</v>
      </c>
      <c r="I79" s="105"/>
      <c r="K79" t="s">
        <v>688</v>
      </c>
    </row>
    <row r="80" spans="2:11">
      <c r="B80" s="12">
        <v>837</v>
      </c>
      <c r="C80" s="2" t="s">
        <v>613</v>
      </c>
      <c r="D80" s="134">
        <v>0</v>
      </c>
      <c r="E80" s="3" t="s">
        <v>125</v>
      </c>
      <c r="F80" s="85">
        <v>0</v>
      </c>
      <c r="G80" s="104"/>
      <c r="H80" s="85">
        <f t="shared" si="2"/>
        <v>0</v>
      </c>
      <c r="I80" s="105"/>
      <c r="K80" t="s">
        <v>688</v>
      </c>
    </row>
    <row r="81" spans="2:11">
      <c r="B81" s="12">
        <v>829</v>
      </c>
      <c r="C81" s="2" t="s">
        <v>614</v>
      </c>
      <c r="D81" s="134">
        <v>6</v>
      </c>
      <c r="E81" s="3" t="s">
        <v>119</v>
      </c>
      <c r="F81" s="85">
        <v>1500</v>
      </c>
      <c r="G81" s="104"/>
      <c r="H81" s="85">
        <f t="shared" si="2"/>
        <v>9000</v>
      </c>
      <c r="I81" s="105"/>
      <c r="K81" t="s">
        <v>770</v>
      </c>
    </row>
    <row r="82" spans="2:11">
      <c r="B82" s="12">
        <v>829</v>
      </c>
      <c r="C82" s="2" t="s">
        <v>615</v>
      </c>
      <c r="D82" s="134">
        <v>0</v>
      </c>
      <c r="E82" s="3" t="s">
        <v>620</v>
      </c>
      <c r="F82" s="85">
        <v>0</v>
      </c>
      <c r="G82" s="104"/>
      <c r="H82" s="85">
        <f t="shared" si="2"/>
        <v>0</v>
      </c>
      <c r="I82" s="105"/>
      <c r="K82" t="s">
        <v>690</v>
      </c>
    </row>
    <row r="83" spans="2:11">
      <c r="B83" s="12">
        <v>829</v>
      </c>
      <c r="C83" s="2" t="s">
        <v>616</v>
      </c>
      <c r="D83" s="134">
        <v>0</v>
      </c>
      <c r="E83" s="3" t="s">
        <v>621</v>
      </c>
      <c r="F83" s="85">
        <v>0</v>
      </c>
      <c r="G83" s="104"/>
      <c r="H83" s="85">
        <f t="shared" si="2"/>
        <v>0</v>
      </c>
      <c r="I83" s="105"/>
      <c r="K83" t="s">
        <v>688</v>
      </c>
    </row>
    <row r="84" spans="2:11">
      <c r="B84" s="12">
        <v>829</v>
      </c>
      <c r="C84" s="2" t="s">
        <v>617</v>
      </c>
      <c r="D84" s="134">
        <v>0</v>
      </c>
      <c r="E84" s="3" t="s">
        <v>138</v>
      </c>
      <c r="F84" s="85">
        <v>0</v>
      </c>
      <c r="G84" s="104"/>
      <c r="H84" s="85">
        <f t="shared" si="2"/>
        <v>0</v>
      </c>
      <c r="I84" s="105"/>
      <c r="K84" t="s">
        <v>688</v>
      </c>
    </row>
    <row r="85" spans="2:11">
      <c r="B85" s="12">
        <v>837</v>
      </c>
      <c r="C85" s="2" t="s">
        <v>618</v>
      </c>
      <c r="D85" s="134">
        <v>3</v>
      </c>
      <c r="E85" s="3" t="s">
        <v>138</v>
      </c>
      <c r="F85" s="85">
        <v>1000</v>
      </c>
      <c r="G85" s="104"/>
      <c r="H85" s="85">
        <f t="shared" si="2"/>
        <v>3000</v>
      </c>
      <c r="I85" s="105"/>
      <c r="K85" t="s">
        <v>771</v>
      </c>
    </row>
    <row r="86" spans="2:11">
      <c r="B86" s="12">
        <v>829</v>
      </c>
      <c r="C86" s="2" t="s">
        <v>619</v>
      </c>
      <c r="D86" s="134">
        <v>0</v>
      </c>
      <c r="E86" s="3" t="s">
        <v>125</v>
      </c>
      <c r="F86" s="85">
        <v>0</v>
      </c>
      <c r="G86" s="104"/>
      <c r="H86" s="85">
        <f t="shared" si="2"/>
        <v>0</v>
      </c>
      <c r="I86" s="105"/>
      <c r="K86" t="s">
        <v>688</v>
      </c>
    </row>
    <row r="87" spans="2:11">
      <c r="B87" s="12">
        <v>630</v>
      </c>
      <c r="C87" s="2" t="s">
        <v>226</v>
      </c>
      <c r="D87" s="134">
        <f>D46*2</f>
        <v>2860</v>
      </c>
      <c r="E87" s="3" t="s">
        <v>125</v>
      </c>
      <c r="F87" s="85">
        <v>16</v>
      </c>
      <c r="G87" s="104"/>
      <c r="H87" s="85">
        <f t="shared" si="2"/>
        <v>45760</v>
      </c>
      <c r="I87" s="105"/>
      <c r="K87" t="s">
        <v>773</v>
      </c>
    </row>
    <row r="88" spans="2:11">
      <c r="B88" s="12">
        <v>630</v>
      </c>
      <c r="C88" s="2" t="s">
        <v>623</v>
      </c>
      <c r="D88" s="134">
        <v>0</v>
      </c>
      <c r="E88" s="3" t="s">
        <v>125</v>
      </c>
      <c r="F88" s="85">
        <v>0</v>
      </c>
      <c r="G88" s="104"/>
      <c r="H88" s="85">
        <f t="shared" si="2"/>
        <v>0</v>
      </c>
      <c r="I88" s="105"/>
      <c r="K88" t="s">
        <v>688</v>
      </c>
    </row>
    <row r="89" spans="2:11">
      <c r="B89" s="12">
        <v>630</v>
      </c>
      <c r="C89" s="2" t="s">
        <v>624</v>
      </c>
      <c r="D89" s="134">
        <v>0</v>
      </c>
      <c r="E89" s="3" t="s">
        <v>125</v>
      </c>
      <c r="F89" s="85">
        <v>0</v>
      </c>
      <c r="G89" s="104"/>
      <c r="H89" s="85">
        <f t="shared" si="2"/>
        <v>0</v>
      </c>
      <c r="I89" s="105"/>
      <c r="K89" t="s">
        <v>688</v>
      </c>
    </row>
    <row r="90" spans="2:11">
      <c r="B90" s="12">
        <v>630</v>
      </c>
      <c r="C90" s="2" t="s">
        <v>227</v>
      </c>
      <c r="D90" s="134">
        <v>0</v>
      </c>
      <c r="E90" s="3" t="s">
        <v>236</v>
      </c>
      <c r="F90" s="85">
        <v>0</v>
      </c>
      <c r="G90" s="104"/>
      <c r="H90" s="85">
        <f t="shared" si="2"/>
        <v>0</v>
      </c>
      <c r="I90" s="105"/>
      <c r="K90" t="s">
        <v>376</v>
      </c>
    </row>
    <row r="91" spans="2:11">
      <c r="B91" s="12">
        <v>630</v>
      </c>
      <c r="C91" s="2" t="s">
        <v>625</v>
      </c>
      <c r="D91" s="134">
        <v>0</v>
      </c>
      <c r="E91" s="3" t="s">
        <v>236</v>
      </c>
      <c r="F91" s="85">
        <v>0</v>
      </c>
      <c r="G91" s="104"/>
      <c r="H91" s="85">
        <f t="shared" si="2"/>
        <v>0</v>
      </c>
      <c r="I91" s="105"/>
      <c r="K91" t="s">
        <v>688</v>
      </c>
    </row>
    <row r="92" spans="2:11">
      <c r="B92" s="12">
        <v>630</v>
      </c>
      <c r="C92" s="2" t="s">
        <v>626</v>
      </c>
      <c r="D92" s="134">
        <v>0</v>
      </c>
      <c r="E92" s="3" t="s">
        <v>236</v>
      </c>
      <c r="F92" s="85">
        <v>0</v>
      </c>
      <c r="G92" s="104"/>
      <c r="H92" s="85">
        <f t="shared" si="2"/>
        <v>0</v>
      </c>
      <c r="I92" s="105"/>
      <c r="K92" t="s">
        <v>688</v>
      </c>
    </row>
    <row r="93" spans="2:11">
      <c r="B93" s="12">
        <v>630</v>
      </c>
      <c r="C93" s="2" t="s">
        <v>627</v>
      </c>
      <c r="D93" s="134">
        <v>0</v>
      </c>
      <c r="E93" s="3" t="s">
        <v>236</v>
      </c>
      <c r="F93" s="85">
        <v>0</v>
      </c>
      <c r="G93" s="104"/>
      <c r="H93" s="85">
        <f t="shared" si="2"/>
        <v>0</v>
      </c>
      <c r="I93" s="105"/>
      <c r="K93" t="s">
        <v>688</v>
      </c>
    </row>
    <row r="94" spans="2:11">
      <c r="B94" s="12">
        <v>630</v>
      </c>
      <c r="C94" s="2" t="s">
        <v>628</v>
      </c>
      <c r="D94" s="134">
        <v>0</v>
      </c>
      <c r="E94" s="3" t="s">
        <v>236</v>
      </c>
      <c r="F94" s="85">
        <v>0</v>
      </c>
      <c r="G94" s="104"/>
      <c r="H94" s="85">
        <f t="shared" si="2"/>
        <v>0</v>
      </c>
      <c r="I94" s="105"/>
      <c r="K94" t="s">
        <v>688</v>
      </c>
    </row>
    <row r="95" spans="2:11">
      <c r="B95" s="12">
        <v>630</v>
      </c>
      <c r="C95" s="2" t="s">
        <v>629</v>
      </c>
      <c r="D95" s="134">
        <v>0</v>
      </c>
      <c r="E95" s="3" t="s">
        <v>236</v>
      </c>
      <c r="F95" s="141">
        <v>0</v>
      </c>
      <c r="G95" s="104"/>
      <c r="H95" s="85">
        <f t="shared" si="2"/>
        <v>0</v>
      </c>
      <c r="I95" s="105"/>
      <c r="K95" t="s">
        <v>688</v>
      </c>
    </row>
    <row r="96" spans="2:11">
      <c r="B96" s="12">
        <v>630</v>
      </c>
      <c r="C96" s="2" t="s">
        <v>630</v>
      </c>
      <c r="D96" s="134">
        <v>0</v>
      </c>
      <c r="E96" s="3" t="s">
        <v>236</v>
      </c>
      <c r="F96" s="141">
        <v>0</v>
      </c>
      <c r="G96" s="104"/>
      <c r="H96" s="85">
        <f t="shared" si="2"/>
        <v>0</v>
      </c>
      <c r="I96" s="105"/>
      <c r="K96" t="s">
        <v>688</v>
      </c>
    </row>
    <row r="97" spans="2:11">
      <c r="B97" s="12">
        <v>630</v>
      </c>
      <c r="C97" s="2" t="s">
        <v>228</v>
      </c>
      <c r="D97" s="134">
        <v>0</v>
      </c>
      <c r="E97" s="3" t="s">
        <v>237</v>
      </c>
      <c r="F97" s="85">
        <v>0</v>
      </c>
      <c r="G97" s="104"/>
      <c r="H97" s="85">
        <f t="shared" si="2"/>
        <v>0</v>
      </c>
      <c r="I97" s="105"/>
      <c r="K97" t="s">
        <v>688</v>
      </c>
    </row>
    <row r="98" spans="2:11">
      <c r="B98" s="12">
        <v>630</v>
      </c>
      <c r="C98" s="2" t="s">
        <v>229</v>
      </c>
      <c r="D98" s="134">
        <v>0</v>
      </c>
      <c r="E98" s="3" t="s">
        <v>237</v>
      </c>
      <c r="F98" s="85">
        <v>67</v>
      </c>
      <c r="G98" s="104"/>
      <c r="H98" s="85">
        <f t="shared" si="2"/>
        <v>0</v>
      </c>
      <c r="I98" s="105"/>
      <c r="K98" t="s">
        <v>774</v>
      </c>
    </row>
    <row r="99" spans="2:11">
      <c r="B99" s="12">
        <v>630</v>
      </c>
      <c r="C99" s="2" t="s">
        <v>230</v>
      </c>
      <c r="D99" s="134">
        <v>0</v>
      </c>
      <c r="E99" s="3" t="s">
        <v>236</v>
      </c>
      <c r="F99" s="85">
        <v>7</v>
      </c>
      <c r="G99" s="104"/>
      <c r="H99" s="85">
        <f t="shared" si="2"/>
        <v>0</v>
      </c>
      <c r="I99" s="105"/>
      <c r="K99" t="s">
        <v>775</v>
      </c>
    </row>
    <row r="100" spans="2:11">
      <c r="B100" s="12">
        <v>630</v>
      </c>
      <c r="C100" s="2" t="s">
        <v>122</v>
      </c>
      <c r="D100" s="134">
        <v>200</v>
      </c>
      <c r="E100" s="3" t="s">
        <v>238</v>
      </c>
      <c r="F100" s="85">
        <v>7</v>
      </c>
      <c r="G100" s="104"/>
      <c r="H100" s="85">
        <f t="shared" si="2"/>
        <v>1400</v>
      </c>
      <c r="I100" s="105"/>
      <c r="K100" t="s">
        <v>776</v>
      </c>
    </row>
    <row r="101" spans="2:11">
      <c r="B101" s="12">
        <v>630</v>
      </c>
      <c r="C101" s="2" t="s">
        <v>631</v>
      </c>
      <c r="D101" s="134">
        <v>0</v>
      </c>
      <c r="E101" s="3" t="s">
        <v>655</v>
      </c>
      <c r="F101" s="85">
        <v>0</v>
      </c>
      <c r="G101" s="104"/>
      <c r="H101" s="85">
        <f t="shared" si="2"/>
        <v>0</v>
      </c>
      <c r="I101" s="105"/>
      <c r="K101" t="s">
        <v>688</v>
      </c>
    </row>
    <row r="102" spans="2:11">
      <c r="B102" s="12">
        <v>630</v>
      </c>
      <c r="C102" s="2" t="s">
        <v>632</v>
      </c>
      <c r="D102" s="134">
        <v>0</v>
      </c>
      <c r="E102" s="3" t="s">
        <v>138</v>
      </c>
      <c r="F102" s="85">
        <v>0</v>
      </c>
      <c r="G102" s="104"/>
      <c r="H102" s="85">
        <f t="shared" si="2"/>
        <v>0</v>
      </c>
      <c r="I102" s="105"/>
      <c r="K102" t="s">
        <v>688</v>
      </c>
    </row>
    <row r="103" spans="2:11">
      <c r="B103" s="12">
        <v>630</v>
      </c>
      <c r="C103" s="2" t="s">
        <v>633</v>
      </c>
      <c r="D103" s="134">
        <v>0</v>
      </c>
      <c r="E103" s="3" t="s">
        <v>138</v>
      </c>
      <c r="F103" s="85">
        <v>0</v>
      </c>
      <c r="G103" s="104"/>
      <c r="H103" s="85">
        <f t="shared" si="2"/>
        <v>0</v>
      </c>
      <c r="I103" s="105"/>
      <c r="K103" t="s">
        <v>688</v>
      </c>
    </row>
    <row r="104" spans="2:11">
      <c r="B104" s="12">
        <v>630</v>
      </c>
      <c r="C104" s="2" t="s">
        <v>231</v>
      </c>
      <c r="D104" s="134">
        <v>0</v>
      </c>
      <c r="E104" s="3" t="s">
        <v>138</v>
      </c>
      <c r="F104" s="85">
        <v>0</v>
      </c>
      <c r="G104" s="104"/>
      <c r="H104" s="85">
        <f t="shared" si="2"/>
        <v>0</v>
      </c>
      <c r="I104" s="105"/>
      <c r="K104" t="s">
        <v>688</v>
      </c>
    </row>
    <row r="105" spans="2:11">
      <c r="B105" s="12">
        <v>630</v>
      </c>
      <c r="C105" s="2" t="s">
        <v>634</v>
      </c>
      <c r="D105" s="134">
        <v>0</v>
      </c>
      <c r="E105" s="3" t="s">
        <v>138</v>
      </c>
      <c r="F105" s="85">
        <v>0</v>
      </c>
      <c r="G105" s="104"/>
      <c r="H105" s="85">
        <f t="shared" si="2"/>
        <v>0</v>
      </c>
      <c r="I105" s="105"/>
      <c r="K105" t="s">
        <v>688</v>
      </c>
    </row>
    <row r="106" spans="2:11">
      <c r="B106" s="12">
        <v>630</v>
      </c>
      <c r="C106" s="419" t="s">
        <v>971</v>
      </c>
      <c r="D106" s="423">
        <v>50</v>
      </c>
      <c r="E106" s="424" t="s">
        <v>653</v>
      </c>
      <c r="F106" s="421">
        <v>700</v>
      </c>
      <c r="G106" s="422"/>
      <c r="H106" s="421">
        <f t="shared" si="2"/>
        <v>35000</v>
      </c>
      <c r="I106" s="105"/>
      <c r="K106" t="s">
        <v>779</v>
      </c>
    </row>
    <row r="107" spans="2:11">
      <c r="B107" s="12">
        <v>630</v>
      </c>
      <c r="C107" s="2" t="s">
        <v>636</v>
      </c>
      <c r="D107" s="134">
        <v>0</v>
      </c>
      <c r="E107" s="3" t="s">
        <v>653</v>
      </c>
      <c r="F107" s="85">
        <v>0</v>
      </c>
      <c r="G107" s="104"/>
      <c r="H107" s="85">
        <f t="shared" si="2"/>
        <v>0</v>
      </c>
      <c r="I107" s="105"/>
      <c r="K107" t="s">
        <v>688</v>
      </c>
    </row>
    <row r="108" spans="2:11">
      <c r="B108" s="12">
        <v>630</v>
      </c>
      <c r="C108" s="2" t="s">
        <v>232</v>
      </c>
      <c r="D108" s="134">
        <v>0</v>
      </c>
      <c r="E108" s="3" t="s">
        <v>138</v>
      </c>
      <c r="F108" s="85">
        <v>0</v>
      </c>
      <c r="G108" s="104"/>
      <c r="H108" s="85">
        <f t="shared" si="2"/>
        <v>0</v>
      </c>
      <c r="I108" s="105"/>
      <c r="K108" t="s">
        <v>691</v>
      </c>
    </row>
    <row r="109" spans="2:11">
      <c r="B109" s="12">
        <v>630</v>
      </c>
      <c r="C109" s="2" t="s">
        <v>233</v>
      </c>
      <c r="D109" s="134">
        <v>107250</v>
      </c>
      <c r="E109" s="3" t="s">
        <v>247</v>
      </c>
      <c r="F109" s="141">
        <v>0.1</v>
      </c>
      <c r="G109" s="104"/>
      <c r="H109" s="85">
        <f t="shared" si="2"/>
        <v>10725</v>
      </c>
      <c r="I109" s="105"/>
      <c r="K109" t="s">
        <v>692</v>
      </c>
    </row>
    <row r="110" spans="2:11">
      <c r="B110" s="12">
        <v>630</v>
      </c>
      <c r="C110" s="2" t="s">
        <v>234</v>
      </c>
      <c r="D110" s="134">
        <v>107250</v>
      </c>
      <c r="E110" s="3" t="s">
        <v>247</v>
      </c>
      <c r="F110" s="141">
        <v>7.0000000000000007E-2</v>
      </c>
      <c r="G110" s="104"/>
      <c r="H110" s="85">
        <f t="shared" si="2"/>
        <v>7507.5000000000009</v>
      </c>
      <c r="I110" s="105"/>
      <c r="K110" t="s">
        <v>692</v>
      </c>
    </row>
    <row r="111" spans="2:11">
      <c r="B111" s="12">
        <v>630</v>
      </c>
      <c r="C111" s="2" t="s">
        <v>235</v>
      </c>
      <c r="D111" s="134">
        <v>0</v>
      </c>
      <c r="E111" s="3" t="s">
        <v>138</v>
      </c>
      <c r="F111" s="85">
        <v>0</v>
      </c>
      <c r="G111" s="104"/>
      <c r="H111" s="85">
        <f t="shared" si="2"/>
        <v>0</v>
      </c>
      <c r="I111" s="105"/>
      <c r="K111" t="s">
        <v>693</v>
      </c>
    </row>
    <row r="112" spans="2:11">
      <c r="B112" s="12">
        <v>630</v>
      </c>
      <c r="C112" s="2" t="s">
        <v>637</v>
      </c>
      <c r="D112" s="134">
        <v>0</v>
      </c>
      <c r="E112" s="3" t="s">
        <v>124</v>
      </c>
      <c r="F112" s="85">
        <v>0</v>
      </c>
      <c r="G112" s="104"/>
      <c r="H112" s="85">
        <f t="shared" si="2"/>
        <v>0</v>
      </c>
      <c r="I112" s="105"/>
      <c r="K112" t="s">
        <v>688</v>
      </c>
    </row>
    <row r="113" spans="2:11">
      <c r="B113" s="12">
        <v>630</v>
      </c>
      <c r="C113" s="2" t="s">
        <v>638</v>
      </c>
      <c r="D113" s="134">
        <v>0</v>
      </c>
      <c r="E113" s="3" t="s">
        <v>138</v>
      </c>
      <c r="F113" s="85">
        <v>0</v>
      </c>
      <c r="G113" s="104"/>
      <c r="H113" s="85">
        <f t="shared" si="2"/>
        <v>0</v>
      </c>
      <c r="I113" s="105"/>
      <c r="K113" t="s">
        <v>688</v>
      </c>
    </row>
    <row r="114" spans="2:11">
      <c r="B114" s="12">
        <v>630</v>
      </c>
      <c r="C114" s="2" t="s">
        <v>639</v>
      </c>
      <c r="D114" s="134">
        <v>0</v>
      </c>
      <c r="E114" s="3" t="s">
        <v>138</v>
      </c>
      <c r="F114" s="85">
        <v>0</v>
      </c>
      <c r="G114" s="104"/>
      <c r="H114" s="85">
        <f t="shared" si="2"/>
        <v>0</v>
      </c>
      <c r="I114" s="105"/>
      <c r="K114" t="s">
        <v>688</v>
      </c>
    </row>
    <row r="115" spans="2:11">
      <c r="B115" s="12">
        <v>630</v>
      </c>
      <c r="C115" s="2" t="s">
        <v>640</v>
      </c>
      <c r="D115" s="134">
        <v>0</v>
      </c>
      <c r="E115" s="3" t="s">
        <v>138</v>
      </c>
      <c r="F115" s="85">
        <v>0</v>
      </c>
      <c r="G115" s="104"/>
      <c r="H115" s="85">
        <f t="shared" si="2"/>
        <v>0</v>
      </c>
      <c r="I115" s="105"/>
      <c r="K115" t="s">
        <v>688</v>
      </c>
    </row>
    <row r="116" spans="2:11">
      <c r="B116" s="12">
        <v>630</v>
      </c>
      <c r="C116" s="2" t="s">
        <v>641</v>
      </c>
      <c r="D116" s="134">
        <v>0</v>
      </c>
      <c r="E116" s="3" t="s">
        <v>138</v>
      </c>
      <c r="F116" s="85">
        <v>0</v>
      </c>
      <c r="G116" s="104"/>
      <c r="H116" s="85">
        <f t="shared" si="2"/>
        <v>0</v>
      </c>
      <c r="I116" s="105"/>
      <c r="K116" t="s">
        <v>688</v>
      </c>
    </row>
    <row r="117" spans="2:11">
      <c r="B117" s="12">
        <v>630</v>
      </c>
      <c r="C117" s="2" t="s">
        <v>642</v>
      </c>
      <c r="D117" s="134">
        <v>0</v>
      </c>
      <c r="E117" s="3" t="s">
        <v>138</v>
      </c>
      <c r="F117" s="85">
        <v>0</v>
      </c>
      <c r="G117" s="104"/>
      <c r="H117" s="85">
        <f t="shared" si="2"/>
        <v>0</v>
      </c>
      <c r="I117" s="105"/>
      <c r="K117" t="s">
        <v>688</v>
      </c>
    </row>
    <row r="118" spans="2:11">
      <c r="B118" s="12">
        <v>630</v>
      </c>
      <c r="C118" s="2" t="s">
        <v>643</v>
      </c>
      <c r="D118" s="134">
        <v>0</v>
      </c>
      <c r="E118" s="3" t="s">
        <v>138</v>
      </c>
      <c r="F118" s="85">
        <v>0</v>
      </c>
      <c r="G118" s="104"/>
      <c r="H118" s="85">
        <f t="shared" si="2"/>
        <v>0</v>
      </c>
      <c r="I118" s="105"/>
      <c r="K118" t="s">
        <v>688</v>
      </c>
    </row>
    <row r="119" spans="2:11">
      <c r="B119" s="12">
        <v>630</v>
      </c>
      <c r="C119" s="2" t="s">
        <v>644</v>
      </c>
      <c r="D119" s="134">
        <v>0</v>
      </c>
      <c r="E119" s="3" t="s">
        <v>138</v>
      </c>
      <c r="F119" s="85">
        <v>0</v>
      </c>
      <c r="G119" s="104"/>
      <c r="H119" s="85">
        <f t="shared" si="2"/>
        <v>0</v>
      </c>
      <c r="I119" s="105"/>
      <c r="K119" t="s">
        <v>688</v>
      </c>
    </row>
    <row r="120" spans="2:11">
      <c r="B120" s="12">
        <v>630</v>
      </c>
      <c r="C120" s="2" t="s">
        <v>645</v>
      </c>
      <c r="D120" s="134">
        <v>0</v>
      </c>
      <c r="E120" s="3" t="s">
        <v>138</v>
      </c>
      <c r="F120" s="85">
        <v>0</v>
      </c>
      <c r="G120" s="104"/>
      <c r="H120" s="85">
        <f t="shared" si="2"/>
        <v>0</v>
      </c>
      <c r="I120" s="105"/>
      <c r="K120" t="s">
        <v>688</v>
      </c>
    </row>
    <row r="121" spans="2:11">
      <c r="B121" s="12">
        <v>630</v>
      </c>
      <c r="C121" s="2" t="s">
        <v>646</v>
      </c>
      <c r="D121" s="134">
        <v>0</v>
      </c>
      <c r="E121" s="3" t="s">
        <v>138</v>
      </c>
      <c r="F121" s="85">
        <v>0</v>
      </c>
      <c r="G121" s="104"/>
      <c r="H121" s="85">
        <f t="shared" si="2"/>
        <v>0</v>
      </c>
      <c r="I121" s="105"/>
      <c r="K121" t="s">
        <v>688</v>
      </c>
    </row>
    <row r="122" spans="2:11">
      <c r="B122" s="12">
        <v>630</v>
      </c>
      <c r="C122" s="2" t="s">
        <v>647</v>
      </c>
      <c r="D122" s="134">
        <v>0</v>
      </c>
      <c r="E122" s="3" t="s">
        <v>138</v>
      </c>
      <c r="F122" s="85">
        <v>0</v>
      </c>
      <c r="G122" s="104"/>
      <c r="H122" s="85">
        <f t="shared" si="2"/>
        <v>0</v>
      </c>
      <c r="I122" s="105"/>
      <c r="K122" t="s">
        <v>688</v>
      </c>
    </row>
    <row r="123" spans="2:11">
      <c r="B123" s="12">
        <v>630</v>
      </c>
      <c r="C123" s="2" t="s">
        <v>648</v>
      </c>
      <c r="D123" s="134">
        <v>0</v>
      </c>
      <c r="E123" s="3" t="s">
        <v>138</v>
      </c>
      <c r="F123" s="85">
        <v>0</v>
      </c>
      <c r="G123" s="104"/>
      <c r="H123" s="85">
        <f t="shared" si="2"/>
        <v>0</v>
      </c>
      <c r="I123" s="105"/>
      <c r="K123" t="s">
        <v>688</v>
      </c>
    </row>
    <row r="124" spans="2:11">
      <c r="B124" s="12">
        <v>630</v>
      </c>
      <c r="C124" s="2" t="s">
        <v>649</v>
      </c>
      <c r="D124" s="134">
        <v>0</v>
      </c>
      <c r="E124" s="3" t="s">
        <v>654</v>
      </c>
      <c r="F124" s="85">
        <v>0</v>
      </c>
      <c r="G124" s="104"/>
      <c r="H124" s="85">
        <f t="shared" si="2"/>
        <v>0</v>
      </c>
      <c r="I124" s="105"/>
      <c r="K124" t="s">
        <v>688</v>
      </c>
    </row>
    <row r="125" spans="2:11">
      <c r="B125" s="12">
        <v>630</v>
      </c>
      <c r="C125" s="2" t="s">
        <v>650</v>
      </c>
      <c r="D125" s="134">
        <v>0</v>
      </c>
      <c r="E125" s="3" t="s">
        <v>621</v>
      </c>
      <c r="F125" s="85">
        <v>0</v>
      </c>
      <c r="G125" s="104"/>
      <c r="H125" s="85">
        <f t="shared" si="2"/>
        <v>0</v>
      </c>
      <c r="I125" s="105"/>
      <c r="K125" t="s">
        <v>688</v>
      </c>
    </row>
    <row r="126" spans="2:11">
      <c r="B126" s="12">
        <v>630</v>
      </c>
      <c r="C126" s="2" t="s">
        <v>651</v>
      </c>
      <c r="D126" s="134">
        <v>0</v>
      </c>
      <c r="E126" s="3" t="s">
        <v>621</v>
      </c>
      <c r="F126" s="85">
        <v>0</v>
      </c>
      <c r="G126" s="104"/>
      <c r="H126" s="85">
        <f t="shared" si="2"/>
        <v>0</v>
      </c>
      <c r="I126" s="105"/>
      <c r="K126" t="s">
        <v>688</v>
      </c>
    </row>
    <row r="127" spans="2:11">
      <c r="B127" s="12">
        <v>630</v>
      </c>
      <c r="C127" s="2" t="s">
        <v>652</v>
      </c>
      <c r="D127" s="134">
        <v>1</v>
      </c>
      <c r="E127" s="3" t="s">
        <v>138</v>
      </c>
      <c r="F127" s="85">
        <v>4500</v>
      </c>
      <c r="G127" s="104"/>
      <c r="H127" s="85">
        <f t="shared" si="2"/>
        <v>4500</v>
      </c>
      <c r="I127" s="105"/>
      <c r="K127" t="s">
        <v>780</v>
      </c>
    </row>
    <row r="128" spans="2:11">
      <c r="B128" s="12">
        <v>831</v>
      </c>
      <c r="C128" s="2" t="s">
        <v>239</v>
      </c>
      <c r="D128" s="134">
        <v>0</v>
      </c>
      <c r="E128" s="3" t="s">
        <v>138</v>
      </c>
      <c r="F128" s="85">
        <v>0</v>
      </c>
      <c r="G128" s="104"/>
      <c r="H128" s="85">
        <f t="shared" si="2"/>
        <v>0</v>
      </c>
      <c r="I128" s="105"/>
      <c r="K128" t="s">
        <v>377</v>
      </c>
    </row>
    <row r="129" spans="2:11">
      <c r="B129" s="12">
        <v>832</v>
      </c>
      <c r="C129" s="2" t="s">
        <v>240</v>
      </c>
      <c r="D129" s="134">
        <v>0</v>
      </c>
      <c r="E129" s="3" t="s">
        <v>138</v>
      </c>
      <c r="F129" s="85">
        <v>0</v>
      </c>
      <c r="G129" s="104"/>
      <c r="H129" s="85">
        <f t="shared" si="2"/>
        <v>0</v>
      </c>
      <c r="I129" s="105"/>
      <c r="K129" t="s">
        <v>696</v>
      </c>
    </row>
    <row r="130" spans="2:11">
      <c r="B130" s="12">
        <v>832</v>
      </c>
      <c r="C130" s="2" t="s">
        <v>241</v>
      </c>
      <c r="D130" s="134">
        <v>0</v>
      </c>
      <c r="E130" s="3" t="s">
        <v>125</v>
      </c>
      <c r="F130" s="85">
        <v>0</v>
      </c>
      <c r="G130" s="104"/>
      <c r="H130" s="85">
        <f t="shared" si="2"/>
        <v>0</v>
      </c>
      <c r="I130" s="105"/>
      <c r="K130" t="s">
        <v>668</v>
      </c>
    </row>
    <row r="131" spans="2:11">
      <c r="B131" s="12">
        <v>832</v>
      </c>
      <c r="C131" s="2" t="s">
        <v>242</v>
      </c>
      <c r="D131" s="134">
        <v>0</v>
      </c>
      <c r="E131" s="3" t="s">
        <v>125</v>
      </c>
      <c r="F131" s="85">
        <v>0</v>
      </c>
      <c r="G131" s="104"/>
      <c r="H131" s="85">
        <f t="shared" si="2"/>
        <v>0</v>
      </c>
      <c r="I131" s="105"/>
    </row>
    <row r="132" spans="2:11">
      <c r="B132" s="12">
        <v>832</v>
      </c>
      <c r="C132" s="2" t="s">
        <v>243</v>
      </c>
      <c r="D132" s="134">
        <v>0</v>
      </c>
      <c r="E132" s="3" t="s">
        <v>125</v>
      </c>
      <c r="F132" s="85">
        <v>0</v>
      </c>
      <c r="G132" s="104"/>
      <c r="H132" s="85">
        <f t="shared" si="2"/>
        <v>0</v>
      </c>
      <c r="I132" s="105"/>
      <c r="K132" t="s">
        <v>697</v>
      </c>
    </row>
    <row r="133" spans="2:11">
      <c r="B133" s="12">
        <v>832</v>
      </c>
      <c r="C133" s="2" t="s">
        <v>244</v>
      </c>
      <c r="D133" s="134">
        <v>0</v>
      </c>
      <c r="E133" s="3" t="s">
        <v>125</v>
      </c>
      <c r="F133" s="85">
        <v>0</v>
      </c>
      <c r="G133" s="104"/>
      <c r="H133" s="85">
        <f t="shared" si="2"/>
        <v>0</v>
      </c>
      <c r="I133" s="105"/>
      <c r="K133" t="s">
        <v>781</v>
      </c>
    </row>
    <row r="134" spans="2:11">
      <c r="B134" s="12">
        <v>832</v>
      </c>
      <c r="C134" s="2" t="s">
        <v>245</v>
      </c>
      <c r="D134" s="134">
        <v>50</v>
      </c>
      <c r="E134" s="3" t="s">
        <v>125</v>
      </c>
      <c r="F134" s="85">
        <v>145</v>
      </c>
      <c r="G134" s="104"/>
      <c r="H134" s="85">
        <f t="shared" si="2"/>
        <v>7250</v>
      </c>
      <c r="I134" s="105"/>
      <c r="K134" t="s">
        <v>698</v>
      </c>
    </row>
    <row r="135" spans="2:11">
      <c r="B135" s="12">
        <v>832</v>
      </c>
      <c r="C135" s="2" t="s">
        <v>656</v>
      </c>
      <c r="D135" s="134">
        <v>0</v>
      </c>
      <c r="E135" s="3" t="s">
        <v>237</v>
      </c>
      <c r="F135" s="85">
        <v>0</v>
      </c>
      <c r="G135" s="104"/>
      <c r="H135" s="85">
        <f t="shared" si="2"/>
        <v>0</v>
      </c>
      <c r="I135" s="105"/>
      <c r="K135" t="s">
        <v>688</v>
      </c>
    </row>
    <row r="136" spans="2:11">
      <c r="B136" s="12">
        <v>832</v>
      </c>
      <c r="C136" s="2" t="s">
        <v>782</v>
      </c>
      <c r="D136" s="134">
        <v>0</v>
      </c>
      <c r="E136" s="3" t="s">
        <v>247</v>
      </c>
      <c r="F136" s="85">
        <v>0</v>
      </c>
      <c r="G136" s="104"/>
      <c r="H136" s="85">
        <f t="shared" si="2"/>
        <v>0</v>
      </c>
      <c r="I136" s="105"/>
      <c r="K136" t="s">
        <v>699</v>
      </c>
    </row>
    <row r="137" spans="2:11">
      <c r="B137" s="12">
        <v>832</v>
      </c>
      <c r="C137" s="2" t="s">
        <v>783</v>
      </c>
      <c r="D137" s="134">
        <v>0</v>
      </c>
      <c r="E137" s="3" t="s">
        <v>247</v>
      </c>
      <c r="F137" s="85">
        <v>0</v>
      </c>
      <c r="G137" s="104"/>
      <c r="H137" s="85">
        <f t="shared" si="2"/>
        <v>0</v>
      </c>
      <c r="I137" s="105"/>
      <c r="K137" t="s">
        <v>699</v>
      </c>
    </row>
    <row r="138" spans="2:11">
      <c r="B138" s="12">
        <v>832</v>
      </c>
      <c r="C138" s="2" t="s">
        <v>659</v>
      </c>
      <c r="D138" s="134">
        <v>0</v>
      </c>
      <c r="E138" s="3" t="s">
        <v>378</v>
      </c>
      <c r="F138" s="85">
        <v>0</v>
      </c>
      <c r="G138" s="104"/>
      <c r="H138" s="85">
        <f t="shared" si="2"/>
        <v>0</v>
      </c>
      <c r="I138" s="105"/>
      <c r="K138" t="s">
        <v>688</v>
      </c>
    </row>
    <row r="139" spans="2:11">
      <c r="B139" s="12">
        <v>832</v>
      </c>
      <c r="C139" s="2" t="s">
        <v>660</v>
      </c>
      <c r="D139" s="134">
        <v>0</v>
      </c>
      <c r="E139" s="3" t="s">
        <v>378</v>
      </c>
      <c r="F139" s="85">
        <v>5000</v>
      </c>
      <c r="G139" s="104"/>
      <c r="H139" s="85">
        <f t="shared" si="2"/>
        <v>0</v>
      </c>
      <c r="I139" s="105"/>
      <c r="K139" t="s">
        <v>700</v>
      </c>
    </row>
    <row r="140" spans="2:11">
      <c r="B140" s="12">
        <v>832</v>
      </c>
      <c r="C140" s="2" t="s">
        <v>383</v>
      </c>
      <c r="D140" s="134">
        <v>0</v>
      </c>
      <c r="E140" s="3" t="s">
        <v>138</v>
      </c>
      <c r="F140" s="85">
        <v>750</v>
      </c>
      <c r="G140" s="104"/>
      <c r="H140" s="85">
        <f t="shared" si="2"/>
        <v>0</v>
      </c>
      <c r="I140" s="105"/>
      <c r="K140" t="s">
        <v>701</v>
      </c>
    </row>
    <row r="141" spans="2:11">
      <c r="B141" s="12">
        <v>832</v>
      </c>
      <c r="C141" s="2" t="s">
        <v>382</v>
      </c>
      <c r="D141" s="134">
        <v>0</v>
      </c>
      <c r="E141" s="3" t="s">
        <v>378</v>
      </c>
      <c r="F141" s="85">
        <v>0</v>
      </c>
      <c r="G141" s="104"/>
      <c r="H141" s="85">
        <f t="shared" si="2"/>
        <v>0</v>
      </c>
      <c r="I141" s="105"/>
      <c r="K141" t="s">
        <v>384</v>
      </c>
    </row>
    <row r="142" spans="2:11">
      <c r="B142" s="12">
        <v>832</v>
      </c>
      <c r="C142" s="2" t="s">
        <v>661</v>
      </c>
      <c r="D142" s="134">
        <v>6</v>
      </c>
      <c r="E142" s="3" t="s">
        <v>378</v>
      </c>
      <c r="F142" s="85">
        <v>5000</v>
      </c>
      <c r="G142" s="104"/>
      <c r="H142" s="85">
        <f t="shared" si="2"/>
        <v>30000</v>
      </c>
      <c r="I142" s="105"/>
    </row>
    <row r="143" spans="2:11">
      <c r="B143" s="12">
        <v>832</v>
      </c>
      <c r="C143" s="2" t="s">
        <v>662</v>
      </c>
      <c r="D143" s="134">
        <v>12</v>
      </c>
      <c r="E143" s="3" t="s">
        <v>378</v>
      </c>
      <c r="F143" s="85">
        <v>100</v>
      </c>
      <c r="G143" s="104"/>
      <c r="H143" s="85">
        <f t="shared" si="2"/>
        <v>1200</v>
      </c>
      <c r="I143" s="105"/>
    </row>
    <row r="144" spans="2:11">
      <c r="B144" s="12">
        <v>832</v>
      </c>
      <c r="C144" s="2" t="s">
        <v>663</v>
      </c>
      <c r="D144" s="134">
        <v>12</v>
      </c>
      <c r="E144" s="3" t="s">
        <v>378</v>
      </c>
      <c r="F144" s="85">
        <v>100</v>
      </c>
      <c r="G144" s="104"/>
      <c r="H144" s="85">
        <f t="shared" si="2"/>
        <v>1200</v>
      </c>
      <c r="I144" s="105"/>
    </row>
    <row r="145" spans="2:11">
      <c r="B145" s="12">
        <v>832</v>
      </c>
      <c r="C145" s="2" t="s">
        <v>664</v>
      </c>
      <c r="D145" s="134">
        <v>0</v>
      </c>
      <c r="E145" s="3" t="s">
        <v>167</v>
      </c>
      <c r="F145" s="85">
        <v>0</v>
      </c>
      <c r="G145" s="104"/>
      <c r="H145" s="85">
        <f t="shared" si="2"/>
        <v>0</v>
      </c>
      <c r="I145" s="105"/>
      <c r="K145" t="s">
        <v>688</v>
      </c>
    </row>
    <row r="146" spans="2:11">
      <c r="B146" s="12">
        <v>832</v>
      </c>
      <c r="C146" s="2" t="s">
        <v>665</v>
      </c>
      <c r="D146" s="134">
        <v>0</v>
      </c>
      <c r="E146" s="3" t="s">
        <v>378</v>
      </c>
      <c r="F146" s="85">
        <v>0</v>
      </c>
      <c r="G146" s="104"/>
      <c r="H146" s="85">
        <f t="shared" si="2"/>
        <v>0</v>
      </c>
      <c r="I146" s="105"/>
      <c r="K146" t="s">
        <v>688</v>
      </c>
    </row>
    <row r="147" spans="2:11">
      <c r="B147" s="12">
        <v>837</v>
      </c>
      <c r="C147" s="2" t="s">
        <v>550</v>
      </c>
      <c r="D147" s="134">
        <v>1</v>
      </c>
      <c r="E147" s="3" t="s">
        <v>138</v>
      </c>
      <c r="F147" s="85">
        <v>10000</v>
      </c>
      <c r="G147" s="104"/>
      <c r="H147" s="85">
        <f>F147*D147</f>
        <v>10000</v>
      </c>
      <c r="I147" s="105"/>
      <c r="K147" t="s">
        <v>551</v>
      </c>
    </row>
    <row r="148" spans="2:11">
      <c r="B148" s="12">
        <v>837</v>
      </c>
      <c r="C148" s="2" t="s">
        <v>552</v>
      </c>
      <c r="D148" s="134">
        <v>1</v>
      </c>
      <c r="E148" s="3" t="s">
        <v>553</v>
      </c>
      <c r="F148" s="85">
        <v>9000</v>
      </c>
      <c r="G148" s="104"/>
      <c r="H148" s="85">
        <f>F148*D148</f>
        <v>9000</v>
      </c>
      <c r="I148" s="105"/>
      <c r="K148" t="s">
        <v>405</v>
      </c>
    </row>
    <row r="149" spans="2:11">
      <c r="B149" s="12">
        <v>837</v>
      </c>
      <c r="C149" s="2" t="s">
        <v>554</v>
      </c>
      <c r="D149" s="134">
        <v>0</v>
      </c>
      <c r="E149" s="3" t="s">
        <v>553</v>
      </c>
      <c r="F149" s="85">
        <v>6000</v>
      </c>
      <c r="G149" s="104"/>
      <c r="H149" s="85">
        <f>F149*D149</f>
        <v>0</v>
      </c>
      <c r="I149" s="105"/>
      <c r="K149" t="s">
        <v>405</v>
      </c>
    </row>
    <row r="150" spans="2:11">
      <c r="B150" s="12"/>
      <c r="C150" s="2" t="s">
        <v>195</v>
      </c>
      <c r="D150" s="134">
        <v>0</v>
      </c>
      <c r="E150" s="3" t="s">
        <v>138</v>
      </c>
      <c r="F150" s="85">
        <v>273884</v>
      </c>
      <c r="G150" s="104"/>
      <c r="H150" s="85">
        <f t="shared" ref="H150:H167" si="4">F150*D150</f>
        <v>0</v>
      </c>
      <c r="I150" s="105"/>
      <c r="K150" t="s">
        <v>336</v>
      </c>
    </row>
    <row r="151" spans="2:11">
      <c r="B151" s="12"/>
      <c r="C151" s="2" t="s">
        <v>784</v>
      </c>
      <c r="D151" s="134">
        <v>0</v>
      </c>
      <c r="E151" s="3" t="s">
        <v>138</v>
      </c>
      <c r="F151" s="85">
        <v>7500</v>
      </c>
      <c r="G151" s="104"/>
      <c r="H151" s="85">
        <f t="shared" si="4"/>
        <v>0</v>
      </c>
      <c r="I151" s="105"/>
    </row>
    <row r="152" spans="2:11">
      <c r="B152" s="12"/>
      <c r="C152" s="2" t="s">
        <v>386</v>
      </c>
      <c r="D152" s="134">
        <v>0</v>
      </c>
      <c r="E152" s="3" t="s">
        <v>138</v>
      </c>
      <c r="F152" s="85">
        <v>100000</v>
      </c>
      <c r="G152" s="104"/>
      <c r="H152" s="85">
        <f t="shared" si="4"/>
        <v>0</v>
      </c>
      <c r="I152" s="105"/>
      <c r="K152" t="s">
        <v>669</v>
      </c>
    </row>
    <row r="153" spans="2:11">
      <c r="B153" s="12"/>
      <c r="C153" s="2" t="s">
        <v>387</v>
      </c>
      <c r="D153" s="134">
        <v>0</v>
      </c>
      <c r="E153" s="3" t="s">
        <v>138</v>
      </c>
      <c r="F153" s="85">
        <v>50000</v>
      </c>
      <c r="G153" s="104"/>
      <c r="H153" s="85">
        <f t="shared" si="4"/>
        <v>0</v>
      </c>
      <c r="I153" s="105"/>
      <c r="K153" t="s">
        <v>669</v>
      </c>
    </row>
    <row r="154" spans="2:11">
      <c r="B154" s="12"/>
      <c r="C154" s="2" t="s">
        <v>402</v>
      </c>
      <c r="D154" s="134">
        <v>0</v>
      </c>
      <c r="E154" s="3" t="s">
        <v>138</v>
      </c>
      <c r="F154" s="85">
        <v>21000</v>
      </c>
      <c r="G154" s="104"/>
      <c r="H154" s="85">
        <f t="shared" si="4"/>
        <v>0</v>
      </c>
      <c r="I154" s="105"/>
      <c r="K154" t="s">
        <v>669</v>
      </c>
    </row>
    <row r="155" spans="2:11">
      <c r="B155" s="12"/>
      <c r="C155" s="2" t="s">
        <v>248</v>
      </c>
      <c r="D155" s="134">
        <v>0</v>
      </c>
      <c r="E155" s="3" t="s">
        <v>138</v>
      </c>
      <c r="F155" s="85">
        <v>0</v>
      </c>
      <c r="G155" s="104"/>
      <c r="H155" s="85">
        <f t="shared" si="4"/>
        <v>0</v>
      </c>
      <c r="I155" s="105"/>
    </row>
    <row r="156" spans="2:11">
      <c r="B156" s="12"/>
      <c r="C156" s="2" t="s">
        <v>785</v>
      </c>
      <c r="D156" s="134">
        <v>0</v>
      </c>
      <c r="E156" s="3" t="s">
        <v>138</v>
      </c>
      <c r="F156" s="85">
        <v>30000</v>
      </c>
      <c r="G156" s="104"/>
      <c r="H156" s="85">
        <f t="shared" si="4"/>
        <v>0</v>
      </c>
      <c r="I156" s="105"/>
    </row>
    <row r="157" spans="2:11">
      <c r="B157" s="12"/>
      <c r="C157" s="2" t="s">
        <v>556</v>
      </c>
      <c r="D157" s="134">
        <v>0</v>
      </c>
      <c r="E157" s="3" t="s">
        <v>119</v>
      </c>
      <c r="F157" s="85">
        <v>25000</v>
      </c>
      <c r="G157" s="104"/>
      <c r="H157" s="85">
        <f t="shared" si="4"/>
        <v>0</v>
      </c>
      <c r="I157" s="105"/>
      <c r="K157" t="s">
        <v>557</v>
      </c>
    </row>
    <row r="158" spans="2:11">
      <c r="B158" s="12"/>
      <c r="C158" s="2" t="s">
        <v>249</v>
      </c>
      <c r="D158" s="134">
        <v>0</v>
      </c>
      <c r="E158" s="3" t="s">
        <v>113</v>
      </c>
      <c r="F158" s="85">
        <v>65000</v>
      </c>
      <c r="G158" s="104"/>
      <c r="H158" s="85">
        <f t="shared" si="4"/>
        <v>0</v>
      </c>
      <c r="I158" s="105"/>
      <c r="K158" t="s">
        <v>786</v>
      </c>
    </row>
    <row r="159" spans="2:11">
      <c r="B159" s="12"/>
      <c r="C159" s="2" t="s">
        <v>385</v>
      </c>
      <c r="D159" s="134">
        <v>0</v>
      </c>
      <c r="E159" s="3" t="s">
        <v>138</v>
      </c>
      <c r="F159" s="85">
        <v>20000</v>
      </c>
      <c r="G159" s="104"/>
      <c r="H159" s="85">
        <f t="shared" si="4"/>
        <v>0</v>
      </c>
      <c r="I159" s="105"/>
    </row>
    <row r="160" spans="2:11">
      <c r="B160" s="12"/>
      <c r="C160" s="2" t="s">
        <v>132</v>
      </c>
      <c r="D160" s="134">
        <v>0</v>
      </c>
      <c r="E160" s="3" t="s">
        <v>119</v>
      </c>
      <c r="F160" s="85">
        <v>0</v>
      </c>
      <c r="G160" s="104"/>
      <c r="H160" s="85">
        <f t="shared" si="4"/>
        <v>0</v>
      </c>
      <c r="I160" s="105"/>
    </row>
    <row r="161" spans="2:13">
      <c r="B161" s="12"/>
      <c r="C161" s="2" t="s">
        <v>936</v>
      </c>
      <c r="D161" s="134">
        <v>1</v>
      </c>
      <c r="E161" s="3" t="s">
        <v>138</v>
      </c>
      <c r="F161" s="85">
        <v>54139</v>
      </c>
      <c r="G161" s="104"/>
      <c r="H161" s="85">
        <f t="shared" si="4"/>
        <v>54139</v>
      </c>
      <c r="I161" s="105"/>
    </row>
    <row r="162" spans="2:13">
      <c r="B162" s="12"/>
      <c r="C162" s="2" t="s">
        <v>937</v>
      </c>
      <c r="D162" s="134">
        <v>1</v>
      </c>
      <c r="E162" s="3" t="s">
        <v>138</v>
      </c>
      <c r="F162" s="85">
        <v>54139</v>
      </c>
      <c r="G162" s="104"/>
      <c r="H162" s="85">
        <f t="shared" ref="H162" si="5">F162*D162</f>
        <v>54139</v>
      </c>
      <c r="I162" s="105"/>
    </row>
    <row r="163" spans="2:13">
      <c r="B163" s="12"/>
      <c r="C163" s="2" t="s">
        <v>934</v>
      </c>
      <c r="D163" s="134">
        <v>1</v>
      </c>
      <c r="E163" s="3" t="s">
        <v>138</v>
      </c>
      <c r="F163" s="85">
        <v>21273</v>
      </c>
      <c r="G163" s="104"/>
      <c r="H163" s="85">
        <f t="shared" si="4"/>
        <v>21273</v>
      </c>
      <c r="I163" s="105"/>
    </row>
    <row r="164" spans="2:13">
      <c r="B164" s="12"/>
      <c r="C164" s="2" t="s">
        <v>935</v>
      </c>
      <c r="D164" s="134">
        <v>1</v>
      </c>
      <c r="E164" s="3" t="s">
        <v>138</v>
      </c>
      <c r="F164" s="85">
        <v>21273</v>
      </c>
      <c r="G164" s="104"/>
      <c r="H164" s="85">
        <f t="shared" ref="H164" si="6">F164*D164</f>
        <v>21273</v>
      </c>
      <c r="I164" s="105"/>
    </row>
    <row r="165" spans="2:13">
      <c r="B165" s="12"/>
      <c r="C165" s="2" t="s">
        <v>939</v>
      </c>
      <c r="D165" s="134">
        <v>1</v>
      </c>
      <c r="E165" s="3" t="s">
        <v>138</v>
      </c>
      <c r="F165" s="85">
        <v>16500</v>
      </c>
      <c r="G165" s="104"/>
      <c r="H165" s="85">
        <f t="shared" si="4"/>
        <v>16500</v>
      </c>
      <c r="I165" s="105"/>
    </row>
    <row r="166" spans="2:13">
      <c r="B166" s="12"/>
      <c r="C166" s="2" t="s">
        <v>940</v>
      </c>
      <c r="D166" s="134">
        <v>1</v>
      </c>
      <c r="E166" s="3" t="s">
        <v>138</v>
      </c>
      <c r="F166" s="85">
        <v>12050</v>
      </c>
      <c r="G166" s="104"/>
      <c r="H166" s="85">
        <f t="shared" ref="H166" si="7">F166*D166</f>
        <v>12050</v>
      </c>
      <c r="I166" s="105"/>
    </row>
    <row r="167" spans="2:13">
      <c r="B167" s="12"/>
      <c r="C167" s="2" t="s">
        <v>380</v>
      </c>
      <c r="D167" s="134">
        <v>0</v>
      </c>
      <c r="E167" s="3" t="s">
        <v>138</v>
      </c>
      <c r="F167" s="85">
        <v>0</v>
      </c>
      <c r="G167" s="104"/>
      <c r="H167" s="85">
        <f t="shared" si="4"/>
        <v>0</v>
      </c>
      <c r="I167" s="105"/>
    </row>
    <row r="168" spans="2:13">
      <c r="B168" s="12"/>
      <c r="C168" s="2" t="s">
        <v>381</v>
      </c>
      <c r="D168" s="134">
        <v>0</v>
      </c>
      <c r="E168" s="3" t="s">
        <v>138</v>
      </c>
      <c r="F168" s="85">
        <v>0</v>
      </c>
      <c r="G168" s="104"/>
      <c r="H168" s="85">
        <f t="shared" si="2"/>
        <v>0</v>
      </c>
      <c r="I168" s="105"/>
    </row>
    <row r="169" spans="2:13">
      <c r="B169" s="12"/>
      <c r="C169" s="2" t="s">
        <v>777</v>
      </c>
      <c r="D169" s="134">
        <v>0</v>
      </c>
      <c r="E169" s="3" t="s">
        <v>138</v>
      </c>
      <c r="F169" s="85">
        <v>60000</v>
      </c>
      <c r="G169" s="104"/>
      <c r="H169" s="85">
        <f t="shared" si="2"/>
        <v>0</v>
      </c>
      <c r="I169" s="105"/>
      <c r="K169" t="s">
        <v>778</v>
      </c>
    </row>
    <row r="170" spans="2:13">
      <c r="B170" s="12"/>
      <c r="C170" s="2" t="s">
        <v>134</v>
      </c>
      <c r="D170" s="134">
        <v>0</v>
      </c>
      <c r="E170" s="3" t="s">
        <v>125</v>
      </c>
      <c r="F170" s="85">
        <v>17</v>
      </c>
      <c r="G170" s="104"/>
      <c r="H170" s="85">
        <f t="shared" si="2"/>
        <v>0</v>
      </c>
      <c r="I170" s="105"/>
    </row>
    <row r="171" spans="2:13">
      <c r="B171" s="12"/>
      <c r="C171" s="2" t="s">
        <v>253</v>
      </c>
      <c r="D171" s="134">
        <v>0</v>
      </c>
      <c r="E171" s="3" t="s">
        <v>337</v>
      </c>
      <c r="F171" s="85">
        <v>20000</v>
      </c>
      <c r="G171" s="104"/>
      <c r="H171" s="85">
        <f t="shared" si="2"/>
        <v>0</v>
      </c>
      <c r="I171" s="105"/>
      <c r="K171" t="s">
        <v>338</v>
      </c>
    </row>
    <row r="172" spans="2:13" ht="15.75">
      <c r="B172" s="94" t="s">
        <v>605</v>
      </c>
      <c r="C172" s="81"/>
      <c r="D172" s="132"/>
      <c r="E172" s="83"/>
      <c r="F172" s="84"/>
      <c r="G172" s="84"/>
      <c r="H172" s="110"/>
      <c r="I172" s="93">
        <f>CEILING(SUM(H47:H171),100)</f>
        <v>1368100</v>
      </c>
    </row>
    <row r="173" spans="2:13">
      <c r="B173" s="350"/>
      <c r="C173" s="107"/>
      <c r="D173" s="133"/>
      <c r="E173" s="106"/>
      <c r="F173" s="108"/>
      <c r="G173" s="108"/>
      <c r="H173" s="108"/>
      <c r="I173" s="109"/>
    </row>
    <row r="174" spans="2:13" ht="15.75">
      <c r="B174" s="94" t="s">
        <v>139</v>
      </c>
      <c r="C174" s="81"/>
      <c r="D174" s="132"/>
      <c r="E174" s="83"/>
      <c r="F174" s="84"/>
      <c r="G174" s="84"/>
      <c r="H174" s="84"/>
      <c r="I174" s="93"/>
    </row>
    <row r="175" spans="2:13">
      <c r="B175" s="12" t="s">
        <v>600</v>
      </c>
      <c r="C175" s="2" t="s">
        <v>140</v>
      </c>
      <c r="D175" s="129">
        <f>($I$172*K175)/$F$175</f>
        <v>97.721428571428575</v>
      </c>
      <c r="E175" s="92" t="s">
        <v>141</v>
      </c>
      <c r="F175" s="85">
        <v>840</v>
      </c>
      <c r="G175" s="104"/>
      <c r="H175" s="85">
        <f>F175*D175</f>
        <v>82086</v>
      </c>
      <c r="I175" s="105"/>
      <c r="K175" s="384">
        <v>0.06</v>
      </c>
      <c r="L175" s="383" t="s">
        <v>719</v>
      </c>
      <c r="M175" s="308"/>
    </row>
    <row r="176" spans="2:13">
      <c r="B176" s="12" t="s">
        <v>601</v>
      </c>
      <c r="C176" s="2" t="s">
        <v>142</v>
      </c>
      <c r="D176" s="129">
        <f>($I$172*K176)/$F$176</f>
        <v>10.26075</v>
      </c>
      <c r="E176" s="92" t="s">
        <v>136</v>
      </c>
      <c r="F176" s="85">
        <v>2000</v>
      </c>
      <c r="G176" s="104"/>
      <c r="H176" s="85">
        <f>F176*D176</f>
        <v>20521.5</v>
      </c>
      <c r="I176" s="105"/>
      <c r="K176" s="429">
        <v>1.4999999999999999E-2</v>
      </c>
      <c r="L176" s="383" t="s">
        <v>720</v>
      </c>
      <c r="M176" s="308"/>
    </row>
    <row r="177" spans="2:9" ht="15.75">
      <c r="B177" s="94" t="s">
        <v>143</v>
      </c>
      <c r="C177" s="81"/>
      <c r="D177" s="132"/>
      <c r="E177" s="83"/>
      <c r="F177" s="84"/>
      <c r="G177" s="84"/>
      <c r="H177" s="110"/>
      <c r="I177" s="93">
        <f>CEILING(SUM(H175:H176),100)</f>
        <v>102700</v>
      </c>
    </row>
    <row r="178" spans="2:9">
      <c r="B178" s="350"/>
      <c r="C178" s="107"/>
      <c r="D178" s="133"/>
      <c r="E178" s="106"/>
      <c r="F178" s="108"/>
      <c r="G178" s="108"/>
      <c r="H178" s="108"/>
      <c r="I178" s="109"/>
    </row>
    <row r="179" spans="2:9" ht="15.75">
      <c r="B179" s="94" t="s">
        <v>144</v>
      </c>
      <c r="C179" s="81"/>
      <c r="D179" s="132"/>
      <c r="E179" s="83"/>
      <c r="F179" s="84"/>
      <c r="G179" s="84"/>
      <c r="H179" s="84"/>
      <c r="I179" s="93"/>
    </row>
    <row r="180" spans="2:9">
      <c r="B180" s="347"/>
      <c r="C180" s="114" t="s">
        <v>145</v>
      </c>
      <c r="D180" s="137"/>
      <c r="E180" s="348"/>
      <c r="F180" s="115"/>
      <c r="G180" s="116"/>
      <c r="H180" s="115"/>
      <c r="I180" s="117"/>
    </row>
    <row r="181" spans="2:9">
      <c r="B181" s="12" t="s">
        <v>602</v>
      </c>
      <c r="C181" s="2" t="s">
        <v>882</v>
      </c>
      <c r="D181" s="134">
        <v>1440</v>
      </c>
      <c r="E181" s="3" t="s">
        <v>125</v>
      </c>
      <c r="F181" s="85">
        <v>137</v>
      </c>
      <c r="G181" s="104"/>
      <c r="H181" s="85">
        <f>F181*D181</f>
        <v>197280</v>
      </c>
      <c r="I181" s="105"/>
    </row>
    <row r="182" spans="2:9">
      <c r="B182" s="12" t="s">
        <v>602</v>
      </c>
      <c r="C182" s="2" t="s">
        <v>146</v>
      </c>
      <c r="D182" s="134">
        <v>0</v>
      </c>
      <c r="E182" s="3" t="s">
        <v>125</v>
      </c>
      <c r="F182" s="85">
        <v>0</v>
      </c>
      <c r="G182" s="104"/>
      <c r="H182" s="85">
        <f>F182*D182</f>
        <v>0</v>
      </c>
      <c r="I182" s="105"/>
    </row>
    <row r="183" spans="2:9">
      <c r="B183" s="12" t="s">
        <v>602</v>
      </c>
      <c r="C183" s="227" t="s">
        <v>874</v>
      </c>
      <c r="D183" s="225">
        <v>0</v>
      </c>
      <c r="E183" s="3" t="s">
        <v>125</v>
      </c>
      <c r="F183" s="85">
        <v>0</v>
      </c>
      <c r="G183" s="104"/>
      <c r="H183" s="85">
        <f>F183*D183</f>
        <v>0</v>
      </c>
      <c r="I183" s="105"/>
    </row>
    <row r="184" spans="2:9">
      <c r="B184" s="12" t="s">
        <v>602</v>
      </c>
      <c r="C184" s="227" t="s">
        <v>938</v>
      </c>
      <c r="D184" s="225">
        <v>0</v>
      </c>
      <c r="E184" s="3" t="s">
        <v>125</v>
      </c>
      <c r="F184" s="85">
        <v>0</v>
      </c>
      <c r="G184" s="104"/>
      <c r="H184" s="85">
        <f>F184*D184</f>
        <v>0</v>
      </c>
      <c r="I184" s="105"/>
    </row>
    <row r="185" spans="2:9">
      <c r="B185" s="347"/>
      <c r="C185" s="114" t="s">
        <v>147</v>
      </c>
      <c r="D185" s="137"/>
      <c r="E185" s="348"/>
      <c r="F185" s="115"/>
      <c r="G185" s="116"/>
      <c r="H185" s="115"/>
      <c r="I185" s="117"/>
    </row>
    <row r="186" spans="2:9">
      <c r="B186" s="12" t="s">
        <v>602</v>
      </c>
      <c r="C186" s="2" t="s">
        <v>883</v>
      </c>
      <c r="D186" s="134">
        <v>6</v>
      </c>
      <c r="E186" s="3" t="s">
        <v>138</v>
      </c>
      <c r="F186" s="85">
        <v>3210</v>
      </c>
      <c r="G186" s="104"/>
      <c r="H186" s="85">
        <f>F186*D186</f>
        <v>19260</v>
      </c>
      <c r="I186" s="105"/>
    </row>
    <row r="187" spans="2:9">
      <c r="B187" s="12" t="s">
        <v>602</v>
      </c>
      <c r="C187" s="2" t="s">
        <v>884</v>
      </c>
      <c r="D187" s="134">
        <v>7</v>
      </c>
      <c r="E187" s="3" t="s">
        <v>138</v>
      </c>
      <c r="F187" s="85">
        <v>2197</v>
      </c>
      <c r="G187" s="104"/>
      <c r="H187" s="85">
        <f>F187*D187</f>
        <v>15379</v>
      </c>
      <c r="I187" s="105"/>
    </row>
    <row r="188" spans="2:9">
      <c r="B188" s="347"/>
      <c r="C188" s="114" t="s">
        <v>196</v>
      </c>
      <c r="D188" s="137"/>
      <c r="E188" s="348"/>
      <c r="F188" s="115"/>
      <c r="G188" s="116"/>
      <c r="H188" s="115"/>
      <c r="I188" s="117"/>
    </row>
    <row r="189" spans="2:9">
      <c r="B189" s="12" t="s">
        <v>603</v>
      </c>
      <c r="C189" s="419" t="s">
        <v>951</v>
      </c>
      <c r="D189" s="423">
        <v>1</v>
      </c>
      <c r="E189" s="424" t="s">
        <v>138</v>
      </c>
      <c r="F189" s="421">
        <v>52146</v>
      </c>
      <c r="G189" s="422"/>
      <c r="H189" s="421">
        <f>F189*D189</f>
        <v>52146</v>
      </c>
      <c r="I189" s="105"/>
    </row>
    <row r="190" spans="2:9">
      <c r="B190" s="12" t="s">
        <v>603</v>
      </c>
      <c r="C190" s="419" t="s">
        <v>932</v>
      </c>
      <c r="D190" s="423">
        <v>1</v>
      </c>
      <c r="E190" s="424" t="s">
        <v>138</v>
      </c>
      <c r="F190" s="421">
        <v>39646</v>
      </c>
      <c r="G190" s="422"/>
      <c r="H190" s="421">
        <f>F190*D190</f>
        <v>39646</v>
      </c>
      <c r="I190" s="105"/>
    </row>
    <row r="191" spans="2:9">
      <c r="B191" s="12" t="s">
        <v>603</v>
      </c>
      <c r="C191" s="2" t="s">
        <v>197</v>
      </c>
      <c r="D191" s="134">
        <v>0</v>
      </c>
      <c r="E191" s="3" t="s">
        <v>138</v>
      </c>
      <c r="F191" s="85">
        <v>0</v>
      </c>
      <c r="G191" s="104"/>
      <c r="H191" s="85">
        <f>F191*D191</f>
        <v>0</v>
      </c>
      <c r="I191" s="105"/>
    </row>
    <row r="192" spans="2:9">
      <c r="B192" s="12" t="s">
        <v>603</v>
      </c>
      <c r="C192" s="2" t="s">
        <v>885</v>
      </c>
      <c r="D192" s="134">
        <v>0</v>
      </c>
      <c r="E192" s="3" t="s">
        <v>138</v>
      </c>
      <c r="F192" s="85">
        <v>194300</v>
      </c>
      <c r="G192" s="104"/>
      <c r="H192" s="85">
        <f>F192*D192</f>
        <v>0</v>
      </c>
      <c r="I192" s="105"/>
    </row>
    <row r="193" spans="2:16">
      <c r="B193" s="347"/>
      <c r="C193" s="114" t="s">
        <v>158</v>
      </c>
      <c r="D193" s="137" t="s">
        <v>7</v>
      </c>
      <c r="E193" s="348" t="s">
        <v>7</v>
      </c>
      <c r="F193" s="115" t="s">
        <v>7</v>
      </c>
      <c r="G193" s="116"/>
      <c r="H193" s="115" t="s">
        <v>7</v>
      </c>
      <c r="I193" s="117"/>
    </row>
    <row r="194" spans="2:16">
      <c r="B194" s="12"/>
      <c r="C194" s="2" t="s">
        <v>790</v>
      </c>
      <c r="D194" s="134">
        <f>D146</f>
        <v>0</v>
      </c>
      <c r="E194" s="3" t="s">
        <v>138</v>
      </c>
      <c r="F194" s="85">
        <v>20000</v>
      </c>
      <c r="G194" s="104"/>
      <c r="H194" s="85">
        <f t="shared" ref="H194:H199" si="8">F194*D194</f>
        <v>0</v>
      </c>
      <c r="I194" s="105"/>
      <c r="K194" t="s">
        <v>551</v>
      </c>
    </row>
    <row r="195" spans="2:16">
      <c r="B195" s="12"/>
      <c r="C195" s="2" t="s">
        <v>555</v>
      </c>
      <c r="D195" s="134">
        <f>D147</f>
        <v>1</v>
      </c>
      <c r="E195" s="3" t="s">
        <v>138</v>
      </c>
      <c r="F195" s="85">
        <v>10000</v>
      </c>
      <c r="G195" s="104"/>
      <c r="H195" s="85">
        <f t="shared" si="8"/>
        <v>10000</v>
      </c>
      <c r="I195" s="105"/>
      <c r="K195" t="s">
        <v>551</v>
      </c>
    </row>
    <row r="196" spans="2:16">
      <c r="B196" s="12"/>
      <c r="C196" s="2" t="s">
        <v>682</v>
      </c>
      <c r="D196" s="134">
        <f>D76</f>
        <v>0</v>
      </c>
      <c r="E196" s="3" t="s">
        <v>138</v>
      </c>
      <c r="F196" s="85">
        <v>75000</v>
      </c>
      <c r="G196" s="104"/>
      <c r="H196" s="85">
        <f t="shared" si="8"/>
        <v>0</v>
      </c>
      <c r="I196" s="105"/>
      <c r="K196" t="s">
        <v>683</v>
      </c>
    </row>
    <row r="197" spans="2:16">
      <c r="B197" s="12" t="s">
        <v>603</v>
      </c>
      <c r="C197" s="2" t="s">
        <v>400</v>
      </c>
      <c r="D197" s="134">
        <v>0</v>
      </c>
      <c r="E197" s="3" t="s">
        <v>125</v>
      </c>
      <c r="F197" s="85">
        <v>0</v>
      </c>
      <c r="G197" s="104"/>
      <c r="H197" s="85">
        <f t="shared" si="8"/>
        <v>0</v>
      </c>
      <c r="I197" s="105"/>
    </row>
    <row r="198" spans="2:16">
      <c r="B198" s="12" t="s">
        <v>602</v>
      </c>
      <c r="C198" s="2" t="s">
        <v>149</v>
      </c>
      <c r="D198" s="134">
        <v>1</v>
      </c>
      <c r="E198" s="92" t="s">
        <v>105</v>
      </c>
      <c r="F198" s="112">
        <f>SUM(H180:H197)*0.1</f>
        <v>33371.1</v>
      </c>
      <c r="G198" s="104"/>
      <c r="H198" s="85">
        <f t="shared" si="8"/>
        <v>33371.1</v>
      </c>
      <c r="I198" s="105"/>
    </row>
    <row r="199" spans="2:16">
      <c r="B199" s="12" t="s">
        <v>602</v>
      </c>
      <c r="C199" s="2" t="s">
        <v>793</v>
      </c>
      <c r="D199" s="134">
        <v>1</v>
      </c>
      <c r="E199" s="92" t="s">
        <v>105</v>
      </c>
      <c r="F199" s="112">
        <f>SUM(H180:H198)*0.11</f>
        <v>40379.030999999995</v>
      </c>
      <c r="G199" s="104"/>
      <c r="H199" s="85">
        <f t="shared" si="8"/>
        <v>40379.030999999995</v>
      </c>
      <c r="I199" s="105"/>
    </row>
    <row r="200" spans="2:16" ht="16.5" thickBot="1">
      <c r="B200" s="94" t="s">
        <v>150</v>
      </c>
      <c r="C200" s="82"/>
      <c r="D200" s="132"/>
      <c r="E200" s="83"/>
      <c r="F200" s="87"/>
      <c r="G200" s="87"/>
      <c r="H200" s="111"/>
      <c r="I200" s="101">
        <f>CEILING(SUM(H180:H199),100)</f>
        <v>407500</v>
      </c>
    </row>
    <row r="201" spans="2:16" ht="16.5" thickBot="1">
      <c r="B201" s="536" t="s">
        <v>151</v>
      </c>
      <c r="C201" s="537"/>
      <c r="D201" s="537"/>
      <c r="E201" s="537"/>
      <c r="F201" s="537"/>
      <c r="G201" s="537"/>
      <c r="H201" s="538"/>
      <c r="I201" s="103">
        <f>SUM(I7,I27,I44,I172,I177,I200)</f>
        <v>2598000</v>
      </c>
    </row>
    <row r="202" spans="2:16" ht="15.75" thickBot="1">
      <c r="B202" s="534" t="s">
        <v>153</v>
      </c>
      <c r="C202" s="535"/>
      <c r="D202" s="166">
        <f>'Master Tab'!C29</f>
        <v>0</v>
      </c>
      <c r="E202" s="167" t="s">
        <v>159</v>
      </c>
      <c r="F202" s="168">
        <f>'Master Tab'!C30</f>
        <v>2.5000000000000001E-2</v>
      </c>
      <c r="G202" s="97"/>
      <c r="H202" s="102"/>
      <c r="I202" s="95">
        <f>CEILING(-(FV(F202,D202,0,SUM(I200,I44,I27,I7),1))-(SUM(I200,I44,I27,I7)),100)+CEILING(-(FV(F202,D202+1,0,SUM(I177,I172),1))-(SUM(I177,I172)),100)</f>
        <v>36800</v>
      </c>
      <c r="K202" s="506"/>
      <c r="L202" s="506"/>
      <c r="M202" s="506"/>
      <c r="N202" s="506"/>
      <c r="O202" s="506"/>
      <c r="P202" s="506"/>
    </row>
    <row r="203" spans="2:16" ht="15.75" thickBot="1">
      <c r="B203" s="532" t="s">
        <v>152</v>
      </c>
      <c r="C203" s="533"/>
      <c r="D203" s="138"/>
      <c r="E203" s="100"/>
      <c r="F203" s="169">
        <f>'Master Tab'!C31</f>
        <v>0.15</v>
      </c>
      <c r="G203" s="88"/>
      <c r="H203" s="102"/>
      <c r="I203" s="98">
        <f>CEILING((I201)*F203,100)</f>
        <v>389700</v>
      </c>
    </row>
    <row r="204" spans="2:16" ht="19.5" thickBot="1">
      <c r="B204" s="529" t="s">
        <v>154</v>
      </c>
      <c r="C204" s="530"/>
      <c r="D204" s="530"/>
      <c r="E204" s="530"/>
      <c r="F204" s="530"/>
      <c r="G204" s="530"/>
      <c r="H204" s="531"/>
      <c r="I204" s="96">
        <f>SUM(I201:I203)</f>
        <v>3024500</v>
      </c>
    </row>
    <row r="205" spans="2:16">
      <c r="B205" s="1" t="s">
        <v>7</v>
      </c>
      <c r="C205" s="228" t="s">
        <v>7</v>
      </c>
    </row>
    <row r="206" spans="2:16">
      <c r="B206" s="1" t="s">
        <v>7</v>
      </c>
      <c r="C206" s="228" t="s">
        <v>7</v>
      </c>
      <c r="H206" s="86" t="s">
        <v>155</v>
      </c>
      <c r="I206" s="86">
        <f>I204/D46</f>
        <v>2115.0349650349649</v>
      </c>
    </row>
    <row r="207" spans="2:16">
      <c r="H207" s="86" t="s">
        <v>156</v>
      </c>
      <c r="I207" s="86">
        <f>I204/(D46/5280)</f>
        <v>11167384.615384616</v>
      </c>
    </row>
  </sheetData>
  <sheetProtection formatCells="0" formatColumns="0" formatRows="0" insertColumns="0" insertRows="0" deleteColumns="0" deleteRows="0"/>
  <protectedRanges>
    <protectedRange algorithmName="SHA-512" hashValue="IbmNoH/XH9GZlitwFdFY+V3LGy1xQ3NuyVDz7GZtIth0KYgNC0Qiwte8wkicOU0jJryaYhOoqvkAD5QQLEfb1g==" saltValue="AzvUTwuISd6SY3rDKW9o1w==" spinCount="100000" sqref="B203:XFD1048576 D202:XFD202 A1:XFD4 A5:E6 G6:XFD6 B173:XFD174 C172:XFD172 A7:XFD9 L47:XFD47 A47:A56 B198:XFD198 A197:A1048576 N10:XFD10 A10:C25 E11:XFD25 E10:J10 B177:XFD180 B175:C176 N175:XFD176 R5:XFD5 M58:XFD61 A58:A61 M48:XFD56 G197:XFD197 B200:XFD201 B199 G199:XFD199 A44:XFD46 A43:E43 G43:XFD43 A26:XFD42 G181:XFD195 A63:A195 M63:XFD171" name="Range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TgN2v4D1fCFeftgjUK9pEnAKUNQeBvGTEn7HgMYP3TgK+Lnb8CEJvr9mDUM9krxFyvgX1rqREi6Bj66egkIy9w==" saltValue="VQoFCzDNmxNbXYp+WTQXog==" spinCount="100000" sqref="B202:C202" name="Range1_1" securityDescriptor="O:WDG:WDD:(A;;CC;;;S-1-5-21-577582919-1435025626-1914702595-3940917)(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B172" name="Range1_3"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B47:K47" name="Range1_4"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A196 G196:XFD196" name="Range1_8"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K10:M10" name="Range1_1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D10:D25" name="Range1_9"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D175:J176" name="Range1_10"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L175:M176" name="Range1_11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A57 M57:XFD57" name="Range1_12"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G5:Q5" name="Range1_13"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F6" name="Range1_14"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K175:K176" name="Range1_11_2"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L170:L171 L48:L61 L63:L119" name="Range1_2"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L120:L169" name="Range1_2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K48:K53 K55:K56 K64:K66 K69:K70 D72:E72 K77:K78 B85:C85 B147:B149 B72 B73:E84 K83:K84 K145:K146 K58 B48:E61 B86:E146 K137:K143 B63:E71 G48:J56 G77:J85 G72:K76 G86:K136 G58:J59 G57:K57 G64:J71 G60:K61 G137:J146 G63:K63 G150:K171 B150:E171" name="Range1_4_2_4"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C147:C149" name="Range1_4_1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C72" name="Range1_5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D147:E149 G147:K149" name="Range1_6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D85:E85" name="Range1_7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B181:F197" name="Range1_15"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C199:F199" name="Range1_16"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A62 L62:XFD62" name="Range1_5"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B62:E62 G62:K62" name="Range1_4_2"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F43" name="Range1_6"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F5" name="Range1_7"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F86:F146 F48:F84 F150:F171" name="Range1_4_2_1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F147:F149" name="Range1_6_1_1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F85" name="Range1_7_1_2"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s>
  <mergeCells count="9">
    <mergeCell ref="B203:C203"/>
    <mergeCell ref="B204:H204"/>
    <mergeCell ref="C1:G1"/>
    <mergeCell ref="C2:G2"/>
    <mergeCell ref="K3:Q3"/>
    <mergeCell ref="K4:Q4"/>
    <mergeCell ref="B201:H201"/>
    <mergeCell ref="B202:C202"/>
    <mergeCell ref="K202:P202"/>
  </mergeCells>
  <pageMargins left="0.7" right="0.7" top="0.75" bottom="0.75" header="0.3" footer="0.3"/>
  <pageSetup scale="63" fitToHeight="0" orientation="landscape" r:id="rId1"/>
  <headerFooter>
    <oddHeader>&amp;R&amp;"Times New Roman,Bold"&amp;10KyPSC Case No. 2025-00229
STAFF-DR-01-005(b) Attachment 3
Page &amp;P of &amp;N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F2928-1C65-47C4-80A9-B805EE54BCA0}">
  <sheetPr>
    <tabColor rgb="FF00B050"/>
  </sheetPr>
  <dimension ref="B1:Q146"/>
  <sheetViews>
    <sheetView view="pageLayout" topLeftCell="E1" zoomScaleNormal="100" workbookViewId="0">
      <selection activeCell="E24" sqref="E24"/>
    </sheetView>
  </sheetViews>
  <sheetFormatPr defaultRowHeight="15"/>
  <cols>
    <col min="2" max="2" width="18.28515625" style="1" customWidth="1"/>
    <col min="3" max="3" width="46.5703125" bestFit="1" customWidth="1"/>
    <col min="4" max="4" width="11.5703125" style="139" customWidth="1"/>
    <col min="5" max="5" width="15.5703125" style="1" bestFit="1" customWidth="1"/>
    <col min="6" max="6" width="13" style="86" customWidth="1"/>
    <col min="7" max="7" width="0.85546875" style="86" customWidth="1"/>
    <col min="8" max="8" width="16.28515625" style="86" customWidth="1"/>
    <col min="9" max="9" width="21.140625" style="86" customWidth="1"/>
    <col min="10" max="10" width="3.7109375" customWidth="1"/>
  </cols>
  <sheetData>
    <row r="1" spans="2:17" ht="23.25">
      <c r="B1" s="119"/>
      <c r="C1" s="528" t="str">
        <f>'Master Tab'!$C$8</f>
        <v>Line AM07 Phase 3</v>
      </c>
      <c r="D1" s="528"/>
      <c r="E1" s="528"/>
      <c r="F1" s="528"/>
      <c r="G1" s="528"/>
      <c r="H1" s="120"/>
      <c r="I1" s="121"/>
    </row>
    <row r="2" spans="2:17" ht="19.5" thickBot="1">
      <c r="B2" s="345">
        <f>'Master Tab'!$C$9</f>
        <v>45427</v>
      </c>
      <c r="C2" s="527" t="s">
        <v>162</v>
      </c>
      <c r="D2" s="527"/>
      <c r="E2" s="527"/>
      <c r="F2" s="527"/>
      <c r="G2" s="527"/>
      <c r="H2" s="122" t="s">
        <v>94</v>
      </c>
      <c r="I2" s="123" t="str">
        <f>'Master Tab'!$C$6</f>
        <v>F-Initiate 60% Refresh</v>
      </c>
    </row>
    <row r="3" spans="2:17" ht="15.75" thickBot="1">
      <c r="B3" s="125" t="s">
        <v>95</v>
      </c>
      <c r="C3" s="124" t="s">
        <v>96</v>
      </c>
      <c r="D3" s="131" t="s">
        <v>97</v>
      </c>
      <c r="E3" s="125" t="s">
        <v>98</v>
      </c>
      <c r="F3" s="126" t="s">
        <v>99</v>
      </c>
      <c r="G3" s="126"/>
      <c r="H3" s="126" t="s">
        <v>177</v>
      </c>
      <c r="I3" s="126" t="s">
        <v>100</v>
      </c>
      <c r="K3" s="506" t="s">
        <v>101</v>
      </c>
      <c r="L3" s="506"/>
      <c r="M3" s="506"/>
      <c r="N3" s="506"/>
      <c r="O3" s="506"/>
      <c r="P3" s="506"/>
      <c r="Q3" s="506"/>
    </row>
    <row r="4" spans="2:17" ht="15.75">
      <c r="B4" s="94" t="s">
        <v>102</v>
      </c>
      <c r="C4" s="81"/>
      <c r="D4" s="132"/>
      <c r="E4" s="83"/>
      <c r="F4" s="84"/>
      <c r="G4" s="84"/>
      <c r="H4" s="84"/>
      <c r="I4" s="93"/>
      <c r="K4" s="526" t="s">
        <v>157</v>
      </c>
      <c r="L4" s="526"/>
      <c r="M4" s="526"/>
      <c r="N4" s="526"/>
      <c r="O4" s="526"/>
      <c r="P4" s="526"/>
      <c r="Q4" s="526"/>
    </row>
    <row r="5" spans="2:17">
      <c r="B5" s="12" t="s">
        <v>593</v>
      </c>
      <c r="C5" s="2" t="s">
        <v>73</v>
      </c>
      <c r="D5" s="129">
        <f>'Master Tab'!$C$17</f>
        <v>40</v>
      </c>
      <c r="E5" s="92" t="s">
        <v>320</v>
      </c>
      <c r="F5" s="85">
        <v>2000</v>
      </c>
      <c r="G5" s="104" t="s">
        <v>7</v>
      </c>
      <c r="H5" s="85">
        <f>CEILING(F5*D5,100)</f>
        <v>80000</v>
      </c>
      <c r="I5" s="105"/>
    </row>
    <row r="6" spans="2:17">
      <c r="B6" s="12" t="s">
        <v>594</v>
      </c>
      <c r="C6" s="2" t="s">
        <v>104</v>
      </c>
      <c r="D6" s="129">
        <f>'Master Tab'!$C$17</f>
        <v>40</v>
      </c>
      <c r="E6" s="92" t="s">
        <v>320</v>
      </c>
      <c r="F6" s="85">
        <v>1000</v>
      </c>
      <c r="G6" s="104" t="s">
        <v>7</v>
      </c>
      <c r="H6" s="85">
        <f>CEILING(F6*D6,100)</f>
        <v>40000</v>
      </c>
      <c r="I6" s="105"/>
      <c r="K6" t="s">
        <v>340</v>
      </c>
    </row>
    <row r="7" spans="2:17" ht="15.75">
      <c r="B7" s="94" t="s">
        <v>106</v>
      </c>
      <c r="C7" s="81"/>
      <c r="D7" s="132"/>
      <c r="E7" s="83"/>
      <c r="F7" s="84"/>
      <c r="G7" s="84"/>
      <c r="H7" s="84"/>
      <c r="I7" s="93">
        <f>SUM(H5:H6)</f>
        <v>120000</v>
      </c>
    </row>
    <row r="8" spans="2:17" ht="8.25" customHeight="1">
      <c r="B8" s="350"/>
      <c r="C8" s="107"/>
      <c r="D8" s="133"/>
      <c r="E8" s="106"/>
      <c r="F8" s="108"/>
      <c r="G8" s="108"/>
      <c r="H8" s="108"/>
      <c r="I8" s="109"/>
    </row>
    <row r="9" spans="2:17" ht="15.75">
      <c r="B9" s="94" t="s">
        <v>107</v>
      </c>
      <c r="C9" s="81"/>
      <c r="D9" s="132"/>
      <c r="E9" s="83"/>
      <c r="F9" s="84"/>
      <c r="G9" s="84"/>
      <c r="H9" s="84"/>
      <c r="I9" s="93"/>
    </row>
    <row r="10" spans="2:17">
      <c r="B10" s="12" t="s">
        <v>565</v>
      </c>
      <c r="C10" s="419" t="s">
        <v>960</v>
      </c>
      <c r="D10" s="129">
        <v>1</v>
      </c>
      <c r="E10" s="420" t="s">
        <v>119</v>
      </c>
      <c r="F10" s="421">
        <v>571318</v>
      </c>
      <c r="G10" s="422"/>
      <c r="H10" s="421">
        <f t="shared" ref="H10:H26" si="0">F10*D10</f>
        <v>571318</v>
      </c>
      <c r="I10" s="105"/>
      <c r="K10" s="384">
        <v>0</v>
      </c>
      <c r="L10" s="383" t="s">
        <v>717</v>
      </c>
      <c r="M10" s="308"/>
    </row>
    <row r="11" spans="2:17">
      <c r="B11" s="12" t="s">
        <v>566</v>
      </c>
      <c r="C11" s="2" t="s">
        <v>567</v>
      </c>
      <c r="D11" s="129">
        <f>((($I$44+$I$102+$I$140)*$K$10)/F11)*0.016</f>
        <v>0</v>
      </c>
      <c r="E11" s="92" t="s">
        <v>103</v>
      </c>
      <c r="F11" s="85">
        <v>125</v>
      </c>
      <c r="G11" s="104"/>
      <c r="H11" s="85">
        <f t="shared" si="0"/>
        <v>0</v>
      </c>
      <c r="I11" s="105"/>
    </row>
    <row r="12" spans="2:17">
      <c r="B12" s="12" t="s">
        <v>568</v>
      </c>
      <c r="C12" s="2" t="s">
        <v>569</v>
      </c>
      <c r="D12" s="129">
        <f>((($I$44+$I$102+$I$140)*$K$10)/F12)*0.127</f>
        <v>0</v>
      </c>
      <c r="E12" s="92" t="s">
        <v>103</v>
      </c>
      <c r="F12" s="85">
        <v>125</v>
      </c>
      <c r="G12" s="104"/>
      <c r="H12" s="85">
        <f t="shared" si="0"/>
        <v>0</v>
      </c>
      <c r="I12" s="105"/>
    </row>
    <row r="13" spans="2:17">
      <c r="B13" s="12" t="s">
        <v>570</v>
      </c>
      <c r="C13" s="2" t="s">
        <v>571</v>
      </c>
      <c r="D13" s="129">
        <f>((($I$44+$I$102+$I$140)*$K$10)/F13)*0.008</f>
        <v>0</v>
      </c>
      <c r="E13" s="92" t="s">
        <v>103</v>
      </c>
      <c r="F13" s="85">
        <v>125</v>
      </c>
      <c r="G13" s="104"/>
      <c r="H13" s="85">
        <f t="shared" si="0"/>
        <v>0</v>
      </c>
      <c r="I13" s="105"/>
    </row>
    <row r="14" spans="2:17">
      <c r="B14" s="12" t="s">
        <v>572</v>
      </c>
      <c r="C14" s="2" t="s">
        <v>573</v>
      </c>
      <c r="D14" s="129">
        <f>((($I$44+$I$102+$I$140)*$K$10)/F14)*0.005</f>
        <v>0</v>
      </c>
      <c r="E14" s="92" t="s">
        <v>103</v>
      </c>
      <c r="F14" s="85">
        <v>125</v>
      </c>
      <c r="G14" s="104"/>
      <c r="H14" s="85">
        <f t="shared" si="0"/>
        <v>0</v>
      </c>
      <c r="I14" s="105"/>
    </row>
    <row r="15" spans="2:17">
      <c r="B15" s="12" t="s">
        <v>574</v>
      </c>
      <c r="C15" s="2" t="s">
        <v>575</v>
      </c>
      <c r="D15" s="129">
        <f>((($I$44+$I$102+$I$140)*$K$10)/F15)*0.036</f>
        <v>0</v>
      </c>
      <c r="E15" s="92" t="s">
        <v>103</v>
      </c>
      <c r="F15" s="85">
        <v>125</v>
      </c>
      <c r="G15" s="104"/>
      <c r="H15" s="85">
        <f t="shared" si="0"/>
        <v>0</v>
      </c>
      <c r="I15" s="105"/>
    </row>
    <row r="16" spans="2:17">
      <c r="B16" s="12" t="s">
        <v>576</v>
      </c>
      <c r="C16" s="2" t="s">
        <v>577</v>
      </c>
      <c r="D16" s="129">
        <f>((($I$44+$I$102+$I$140)*$K$10)/F16)*0.007</f>
        <v>0</v>
      </c>
      <c r="E16" s="92" t="s">
        <v>103</v>
      </c>
      <c r="F16" s="85">
        <v>125</v>
      </c>
      <c r="G16" s="104"/>
      <c r="H16" s="85">
        <f t="shared" si="0"/>
        <v>0</v>
      </c>
      <c r="I16" s="105"/>
    </row>
    <row r="17" spans="2:13">
      <c r="B17" s="12" t="s">
        <v>578</v>
      </c>
      <c r="C17" s="2" t="s">
        <v>604</v>
      </c>
      <c r="D17" s="129">
        <f>((($I$44+$I$102+$I$140)*$K$10)/F17)*0.056</f>
        <v>0</v>
      </c>
      <c r="E17" s="92" t="s">
        <v>103</v>
      </c>
      <c r="F17" s="85">
        <v>125</v>
      </c>
      <c r="G17" s="104"/>
      <c r="H17" s="85">
        <f t="shared" si="0"/>
        <v>0</v>
      </c>
      <c r="I17" s="105"/>
    </row>
    <row r="18" spans="2:13">
      <c r="B18" s="12" t="s">
        <v>579</v>
      </c>
      <c r="C18" s="2" t="s">
        <v>580</v>
      </c>
      <c r="D18" s="129">
        <f>((($I$44+$I$102+$I$140)*$K$10)/F18)*0.062</f>
        <v>0</v>
      </c>
      <c r="E18" s="92" t="s">
        <v>103</v>
      </c>
      <c r="F18" s="85">
        <v>125</v>
      </c>
      <c r="G18" s="104"/>
      <c r="H18" s="85">
        <f t="shared" si="0"/>
        <v>0</v>
      </c>
      <c r="I18" s="105"/>
    </row>
    <row r="19" spans="2:13">
      <c r="B19" s="12" t="s">
        <v>586</v>
      </c>
      <c r="C19" s="2" t="s">
        <v>108</v>
      </c>
      <c r="D19" s="129">
        <f>((($I$44+$I$102+$I$140)*$K$10)/F19)*0</f>
        <v>0</v>
      </c>
      <c r="E19" s="92" t="s">
        <v>103</v>
      </c>
      <c r="F19" s="85">
        <v>125</v>
      </c>
      <c r="G19" s="104"/>
      <c r="H19" s="85">
        <f t="shared" si="0"/>
        <v>0</v>
      </c>
      <c r="I19" s="105"/>
    </row>
    <row r="20" spans="2:13">
      <c r="B20" s="12" t="s">
        <v>587</v>
      </c>
      <c r="C20" s="2" t="s">
        <v>109</v>
      </c>
      <c r="D20" s="129">
        <f>((($I$44+$I$102+$I$140)*$K$10)/F20)*0.162</f>
        <v>0</v>
      </c>
      <c r="E20" s="92" t="s">
        <v>103</v>
      </c>
      <c r="F20" s="85">
        <v>125</v>
      </c>
      <c r="G20" s="104"/>
      <c r="H20" s="85">
        <f t="shared" si="0"/>
        <v>0</v>
      </c>
      <c r="I20" s="105"/>
    </row>
    <row r="21" spans="2:13">
      <c r="B21" s="12" t="s">
        <v>588</v>
      </c>
      <c r="C21" s="2" t="s">
        <v>581</v>
      </c>
      <c r="D21" s="129">
        <f>((($I$44+$I$102+$I$140)*$K$10)/F21)*0.008</f>
        <v>0</v>
      </c>
      <c r="E21" s="92" t="s">
        <v>103</v>
      </c>
      <c r="F21" s="85">
        <v>125</v>
      </c>
      <c r="G21" s="104"/>
      <c r="H21" s="85">
        <f t="shared" si="0"/>
        <v>0</v>
      </c>
      <c r="I21" s="105"/>
    </row>
    <row r="22" spans="2:13">
      <c r="B22" s="12" t="s">
        <v>589</v>
      </c>
      <c r="C22" s="2" t="s">
        <v>582</v>
      </c>
      <c r="D22" s="129">
        <f>((($I$44+$I$102+$I$140)*$K$10)/F22)*0.015</f>
        <v>0</v>
      </c>
      <c r="E22" s="92" t="s">
        <v>103</v>
      </c>
      <c r="F22" s="85">
        <v>125</v>
      </c>
      <c r="G22" s="104"/>
      <c r="H22" s="85">
        <f t="shared" si="0"/>
        <v>0</v>
      </c>
      <c r="I22" s="105"/>
    </row>
    <row r="23" spans="2:13">
      <c r="B23" s="12" t="s">
        <v>590</v>
      </c>
      <c r="C23" s="2" t="s">
        <v>583</v>
      </c>
      <c r="D23" s="129">
        <f>((($I$44+$I$102+$I$140)*$K$10)/F23)*0.323</f>
        <v>0</v>
      </c>
      <c r="E23" s="92" t="s">
        <v>103</v>
      </c>
      <c r="F23" s="85">
        <v>125</v>
      </c>
      <c r="G23" s="104"/>
      <c r="H23" s="85">
        <f t="shared" si="0"/>
        <v>0</v>
      </c>
      <c r="I23" s="105"/>
    </row>
    <row r="24" spans="2:13">
      <c r="B24" s="12" t="s">
        <v>591</v>
      </c>
      <c r="C24" s="2" t="s">
        <v>584</v>
      </c>
      <c r="D24" s="129">
        <f>((($I$44+$I$102+$I$140)*$K$10)/F24)*0.151</f>
        <v>0</v>
      </c>
      <c r="E24" s="92" t="s">
        <v>103</v>
      </c>
      <c r="F24" s="85">
        <v>125</v>
      </c>
      <c r="G24" s="104"/>
      <c r="H24" s="85">
        <f t="shared" si="0"/>
        <v>0</v>
      </c>
      <c r="I24" s="105"/>
    </row>
    <row r="25" spans="2:13">
      <c r="B25" s="12" t="s">
        <v>591</v>
      </c>
      <c r="C25" s="2" t="s">
        <v>585</v>
      </c>
      <c r="D25" s="129">
        <f>((($I$44+$I$102+$I$140)*$K$10)/F25)*0.009</f>
        <v>0</v>
      </c>
      <c r="E25" s="92" t="s">
        <v>103</v>
      </c>
      <c r="F25" s="85">
        <v>125</v>
      </c>
      <c r="G25" s="104"/>
      <c r="H25" s="85">
        <f t="shared" si="0"/>
        <v>0</v>
      </c>
      <c r="I25" s="105"/>
    </row>
    <row r="26" spans="2:13">
      <c r="B26" s="12" t="s">
        <v>592</v>
      </c>
      <c r="C26" s="2" t="s">
        <v>110</v>
      </c>
      <c r="D26" s="136">
        <v>0</v>
      </c>
      <c r="E26" s="165" t="s">
        <v>119</v>
      </c>
      <c r="F26" s="85">
        <v>0</v>
      </c>
      <c r="G26" s="104"/>
      <c r="H26" s="85">
        <f t="shared" si="0"/>
        <v>0</v>
      </c>
      <c r="I26" s="105"/>
      <c r="K26" t="s">
        <v>206</v>
      </c>
    </row>
    <row r="27" spans="2:13" ht="15.75">
      <c r="B27" s="94" t="s">
        <v>111</v>
      </c>
      <c r="C27" s="81"/>
      <c r="D27" s="132"/>
      <c r="E27" s="83"/>
      <c r="F27" s="84"/>
      <c r="G27" s="84"/>
      <c r="H27" s="110"/>
      <c r="I27" s="93">
        <f>CEILING(SUM(H10:H26),100)</f>
        <v>571400</v>
      </c>
    </row>
    <row r="28" spans="2:13" ht="8.25" customHeight="1">
      <c r="B28" s="350"/>
      <c r="C28" s="107"/>
      <c r="D28" s="133"/>
      <c r="E28" s="106"/>
      <c r="F28" s="108"/>
      <c r="G28" s="108"/>
      <c r="H28" s="108"/>
      <c r="I28" s="109"/>
    </row>
    <row r="29" spans="2:13" ht="15.75">
      <c r="B29" s="94" t="s">
        <v>112</v>
      </c>
      <c r="C29" s="81"/>
      <c r="D29" s="132"/>
      <c r="E29" s="83"/>
      <c r="F29" s="84"/>
      <c r="G29" s="84"/>
      <c r="H29" s="84"/>
      <c r="I29" s="93"/>
    </row>
    <row r="30" spans="2:13">
      <c r="B30" s="12" t="s">
        <v>367</v>
      </c>
      <c r="C30" s="2" t="s">
        <v>350</v>
      </c>
      <c r="D30" s="134">
        <v>0</v>
      </c>
      <c r="E30" s="3" t="s">
        <v>113</v>
      </c>
      <c r="F30" s="85">
        <v>0</v>
      </c>
      <c r="G30" s="104"/>
      <c r="H30" s="85">
        <f t="shared" ref="H30:H43" si="1">CEILING(F30*D30,100)</f>
        <v>0</v>
      </c>
      <c r="I30" s="105"/>
      <c r="M30" t="s">
        <v>7</v>
      </c>
    </row>
    <row r="31" spans="2:13">
      <c r="B31" s="12" t="s">
        <v>367</v>
      </c>
      <c r="C31" s="2" t="s">
        <v>351</v>
      </c>
      <c r="D31" s="134">
        <v>0</v>
      </c>
      <c r="E31" s="3" t="s">
        <v>113</v>
      </c>
      <c r="F31" s="85">
        <v>125000</v>
      </c>
      <c r="G31" s="104"/>
      <c r="H31" s="85">
        <f t="shared" si="1"/>
        <v>0</v>
      </c>
      <c r="I31" s="105"/>
      <c r="K31" t="s">
        <v>362</v>
      </c>
    </row>
    <row r="32" spans="2:13">
      <c r="B32" s="12" t="s">
        <v>368</v>
      </c>
      <c r="C32" s="2" t="s">
        <v>352</v>
      </c>
      <c r="D32" s="134">
        <v>0</v>
      </c>
      <c r="E32" s="3" t="s">
        <v>113</v>
      </c>
      <c r="F32" s="112">
        <f>F30*1.2</f>
        <v>0</v>
      </c>
      <c r="G32" s="104"/>
      <c r="H32" s="85">
        <f t="shared" si="1"/>
        <v>0</v>
      </c>
      <c r="I32" s="105"/>
    </row>
    <row r="33" spans="2:11">
      <c r="B33" s="12" t="s">
        <v>368</v>
      </c>
      <c r="C33" s="2" t="s">
        <v>355</v>
      </c>
      <c r="D33" s="134">
        <v>0</v>
      </c>
      <c r="E33" s="3" t="s">
        <v>113</v>
      </c>
      <c r="F33" s="112">
        <f>F31*1.2</f>
        <v>150000</v>
      </c>
      <c r="G33" s="104"/>
      <c r="H33" s="85">
        <f t="shared" si="1"/>
        <v>0</v>
      </c>
      <c r="I33" s="105"/>
    </row>
    <row r="34" spans="2:11">
      <c r="B34" s="12" t="s">
        <v>368</v>
      </c>
      <c r="C34" s="2" t="s">
        <v>353</v>
      </c>
      <c r="D34" s="134">
        <v>0</v>
      </c>
      <c r="E34" s="3" t="s">
        <v>113</v>
      </c>
      <c r="F34" s="112">
        <f>F30*1.4</f>
        <v>0</v>
      </c>
      <c r="G34" s="104"/>
      <c r="H34" s="85">
        <f t="shared" si="1"/>
        <v>0</v>
      </c>
      <c r="I34" s="105"/>
    </row>
    <row r="35" spans="2:11">
      <c r="B35" s="12" t="s">
        <v>368</v>
      </c>
      <c r="C35" s="2" t="s">
        <v>356</v>
      </c>
      <c r="D35" s="414">
        <v>0.5</v>
      </c>
      <c r="E35" s="3" t="s">
        <v>113</v>
      </c>
      <c r="F35" s="112">
        <f>F31*1.4</f>
        <v>175000</v>
      </c>
      <c r="G35" s="104"/>
      <c r="H35" s="85">
        <f t="shared" si="1"/>
        <v>87500</v>
      </c>
      <c r="I35" s="105"/>
    </row>
    <row r="36" spans="2:11">
      <c r="B36" s="12" t="s">
        <v>369</v>
      </c>
      <c r="C36" s="2" t="s">
        <v>364</v>
      </c>
      <c r="D36" s="134">
        <v>0</v>
      </c>
      <c r="E36" s="3" t="s">
        <v>113</v>
      </c>
      <c r="F36" s="112">
        <f>F30*0.25</f>
        <v>0</v>
      </c>
      <c r="G36" s="104"/>
      <c r="H36" s="85">
        <f t="shared" si="1"/>
        <v>0</v>
      </c>
      <c r="I36" s="105"/>
    </row>
    <row r="37" spans="2:11">
      <c r="B37" s="12" t="s">
        <v>369</v>
      </c>
      <c r="C37" s="2" t="s">
        <v>365</v>
      </c>
      <c r="D37" s="414">
        <v>0.25</v>
      </c>
      <c r="E37" s="3" t="s">
        <v>113</v>
      </c>
      <c r="F37" s="112">
        <f>F31*0.25</f>
        <v>31250</v>
      </c>
      <c r="G37" s="104"/>
      <c r="H37" s="85">
        <f t="shared" si="1"/>
        <v>7900</v>
      </c>
      <c r="I37" s="105"/>
    </row>
    <row r="38" spans="2:11">
      <c r="B38" s="12" t="s">
        <v>370</v>
      </c>
      <c r="C38" s="2" t="s">
        <v>321</v>
      </c>
      <c r="D38" s="134">
        <v>1</v>
      </c>
      <c r="E38" s="3" t="s">
        <v>138</v>
      </c>
      <c r="F38" s="85">
        <v>10000</v>
      </c>
      <c r="G38" s="104"/>
      <c r="H38" s="85">
        <f t="shared" si="1"/>
        <v>10000</v>
      </c>
      <c r="I38" s="105"/>
    </row>
    <row r="39" spans="2:11">
      <c r="B39" s="12" t="s">
        <v>369</v>
      </c>
      <c r="C39" s="2" t="s">
        <v>322</v>
      </c>
      <c r="D39" s="134">
        <v>0</v>
      </c>
      <c r="E39" s="3" t="s">
        <v>349</v>
      </c>
      <c r="F39" s="85">
        <v>4200</v>
      </c>
      <c r="G39" s="104"/>
      <c r="H39" s="85">
        <f t="shared" si="1"/>
        <v>0</v>
      </c>
      <c r="I39" s="105"/>
    </row>
    <row r="40" spans="2:11">
      <c r="B40" s="12" t="s">
        <v>371</v>
      </c>
      <c r="C40" s="2" t="s">
        <v>360</v>
      </c>
      <c r="D40" s="129">
        <f>D42</f>
        <v>1</v>
      </c>
      <c r="E40" s="3" t="s">
        <v>114</v>
      </c>
      <c r="F40" s="85">
        <v>3250</v>
      </c>
      <c r="G40" s="104"/>
      <c r="H40" s="85">
        <f t="shared" si="1"/>
        <v>3300</v>
      </c>
      <c r="I40" s="105"/>
      <c r="K40" t="s">
        <v>407</v>
      </c>
    </row>
    <row r="41" spans="2:11">
      <c r="B41" s="12" t="s">
        <v>371</v>
      </c>
      <c r="C41" s="2" t="s">
        <v>406</v>
      </c>
      <c r="D41" s="134">
        <v>0</v>
      </c>
      <c r="E41" s="3" t="s">
        <v>113</v>
      </c>
      <c r="F41" s="85">
        <v>0</v>
      </c>
      <c r="G41" s="104"/>
      <c r="H41" s="85">
        <f t="shared" si="1"/>
        <v>0</v>
      </c>
      <c r="I41" s="105"/>
      <c r="K41" t="s">
        <v>361</v>
      </c>
    </row>
    <row r="42" spans="2:11">
      <c r="B42" s="12" t="s">
        <v>372</v>
      </c>
      <c r="C42" s="419" t="s">
        <v>972</v>
      </c>
      <c r="D42" s="423">
        <v>1</v>
      </c>
      <c r="E42" s="424" t="s">
        <v>114</v>
      </c>
      <c r="F42" s="421">
        <v>100000</v>
      </c>
      <c r="G42" s="422"/>
      <c r="H42" s="421">
        <f t="shared" si="1"/>
        <v>100000</v>
      </c>
      <c r="I42" s="105"/>
    </row>
    <row r="43" spans="2:11">
      <c r="B43" s="12" t="s">
        <v>372</v>
      </c>
      <c r="C43" s="2" t="s">
        <v>115</v>
      </c>
      <c r="D43" s="243">
        <v>0</v>
      </c>
      <c r="E43" s="244" t="s">
        <v>114</v>
      </c>
      <c r="F43" s="85">
        <v>30000</v>
      </c>
      <c r="G43" s="104"/>
      <c r="H43" s="85">
        <f t="shared" si="1"/>
        <v>0</v>
      </c>
      <c r="I43" s="105"/>
    </row>
    <row r="44" spans="2:11" ht="15.75">
      <c r="B44" s="94" t="s">
        <v>116</v>
      </c>
      <c r="C44" s="81"/>
      <c r="D44" s="132"/>
      <c r="E44" s="83"/>
      <c r="F44" s="84"/>
      <c r="G44" s="110"/>
      <c r="H44" s="84"/>
      <c r="I44" s="93">
        <f>SUM(H30:H43)</f>
        <v>208700</v>
      </c>
    </row>
    <row r="45" spans="2:11" ht="8.25" customHeight="1">
      <c r="B45" s="350"/>
      <c r="C45" s="107"/>
      <c r="D45" s="133"/>
      <c r="E45" s="106"/>
      <c r="F45" s="108"/>
      <c r="G45" s="108"/>
      <c r="H45" s="108"/>
      <c r="I45" s="109"/>
    </row>
    <row r="46" spans="2:11" ht="15.75">
      <c r="B46" s="94" t="s">
        <v>259</v>
      </c>
      <c r="C46" s="81"/>
      <c r="D46" s="140"/>
      <c r="E46" s="127"/>
      <c r="F46" s="128"/>
      <c r="G46" s="84"/>
      <c r="H46" s="84"/>
      <c r="I46" s="93"/>
    </row>
    <row r="47" spans="2:11">
      <c r="B47" s="12">
        <v>850</v>
      </c>
      <c r="C47" s="2" t="s">
        <v>120</v>
      </c>
      <c r="D47" s="136">
        <v>1</v>
      </c>
      <c r="E47" s="92" t="s">
        <v>119</v>
      </c>
      <c r="F47" s="112">
        <f>(SUM(H48:H101)*K47)</f>
        <v>200452.80000000002</v>
      </c>
      <c r="G47" s="104"/>
      <c r="H47" s="85">
        <f>F47*D47</f>
        <v>200452.80000000002</v>
      </c>
      <c r="I47" s="105"/>
      <c r="K47" s="113">
        <v>0.1</v>
      </c>
    </row>
    <row r="48" spans="2:11">
      <c r="B48" s="12">
        <v>851</v>
      </c>
      <c r="C48" s="419" t="s">
        <v>794</v>
      </c>
      <c r="D48" s="423">
        <v>1</v>
      </c>
      <c r="E48" s="424" t="s">
        <v>119</v>
      </c>
      <c r="F48" s="421">
        <v>250000</v>
      </c>
      <c r="G48" s="422"/>
      <c r="H48" s="421">
        <f t="shared" ref="H48:H101" si="2">F48*D48</f>
        <v>250000</v>
      </c>
      <c r="I48" s="105"/>
      <c r="K48" t="s">
        <v>795</v>
      </c>
    </row>
    <row r="49" spans="2:12">
      <c r="B49" s="12">
        <v>851</v>
      </c>
      <c r="C49" s="2" t="s">
        <v>213</v>
      </c>
      <c r="D49" s="414">
        <v>0.8</v>
      </c>
      <c r="E49" s="3" t="s">
        <v>225</v>
      </c>
      <c r="F49" s="85">
        <v>40250</v>
      </c>
      <c r="G49" s="104"/>
      <c r="H49" s="85">
        <f t="shared" ref="H49" si="3">F49*D49</f>
        <v>32200</v>
      </c>
      <c r="I49" s="105"/>
      <c r="K49" t="s">
        <v>702</v>
      </c>
    </row>
    <row r="50" spans="2:12">
      <c r="B50" s="12">
        <v>851</v>
      </c>
      <c r="C50" s="2" t="s">
        <v>214</v>
      </c>
      <c r="D50" s="134">
        <v>0</v>
      </c>
      <c r="E50" s="3" t="s">
        <v>225</v>
      </c>
      <c r="F50" s="85">
        <v>0</v>
      </c>
      <c r="G50" s="104"/>
      <c r="H50" s="85">
        <f t="shared" si="2"/>
        <v>0</v>
      </c>
      <c r="I50" s="105"/>
      <c r="K50" t="s">
        <v>325</v>
      </c>
    </row>
    <row r="51" spans="2:12">
      <c r="B51" s="12">
        <v>851</v>
      </c>
      <c r="C51" s="2" t="s">
        <v>215</v>
      </c>
      <c r="D51" s="134">
        <v>0</v>
      </c>
      <c r="E51" s="3" t="s">
        <v>167</v>
      </c>
      <c r="F51" s="85">
        <v>0</v>
      </c>
      <c r="G51" s="104"/>
      <c r="H51" s="85">
        <f t="shared" si="2"/>
        <v>0</v>
      </c>
      <c r="I51" s="105"/>
      <c r="L51" t="s">
        <v>7</v>
      </c>
    </row>
    <row r="52" spans="2:12">
      <c r="B52" s="12">
        <v>851</v>
      </c>
      <c r="C52" s="2" t="s">
        <v>216</v>
      </c>
      <c r="D52" s="134">
        <v>0</v>
      </c>
      <c r="E52" s="3" t="s">
        <v>167</v>
      </c>
      <c r="F52" s="85">
        <v>0</v>
      </c>
      <c r="G52" s="104"/>
      <c r="H52" s="85">
        <f t="shared" si="2"/>
        <v>0</v>
      </c>
      <c r="I52" s="105"/>
    </row>
    <row r="53" spans="2:12">
      <c r="B53" s="12">
        <v>852</v>
      </c>
      <c r="C53" s="2" t="s">
        <v>703</v>
      </c>
      <c r="D53" s="134">
        <f>1100+360+96+40</f>
        <v>1596</v>
      </c>
      <c r="E53" s="3" t="s">
        <v>620</v>
      </c>
      <c r="F53" s="85">
        <v>68</v>
      </c>
      <c r="G53" s="104"/>
      <c r="H53" s="85">
        <f t="shared" si="2"/>
        <v>108528</v>
      </c>
      <c r="I53" s="105"/>
      <c r="K53" t="s">
        <v>704</v>
      </c>
    </row>
    <row r="54" spans="2:12">
      <c r="B54" s="12">
        <v>853</v>
      </c>
      <c r="C54" s="2" t="s">
        <v>163</v>
      </c>
      <c r="D54" s="134">
        <v>1</v>
      </c>
      <c r="E54" s="3" t="s">
        <v>138</v>
      </c>
      <c r="F54" s="85">
        <v>25000</v>
      </c>
      <c r="G54" s="104"/>
      <c r="H54" s="85">
        <f t="shared" si="2"/>
        <v>25000</v>
      </c>
      <c r="I54" s="105"/>
      <c r="K54" t="s">
        <v>798</v>
      </c>
    </row>
    <row r="55" spans="2:12">
      <c r="B55" s="12">
        <v>854</v>
      </c>
      <c r="C55" s="2" t="s">
        <v>251</v>
      </c>
      <c r="D55" s="134">
        <v>30</v>
      </c>
      <c r="E55" s="3" t="s">
        <v>136</v>
      </c>
      <c r="F55" s="85">
        <v>15000</v>
      </c>
      <c r="G55" s="104"/>
      <c r="H55" s="85">
        <f>F55*D55</f>
        <v>450000</v>
      </c>
      <c r="I55" s="105"/>
      <c r="K55" t="s">
        <v>705</v>
      </c>
    </row>
    <row r="56" spans="2:12">
      <c r="B56" s="12">
        <v>855</v>
      </c>
      <c r="C56" s="2" t="s">
        <v>252</v>
      </c>
      <c r="D56" s="134">
        <v>36</v>
      </c>
      <c r="E56" s="3" t="s">
        <v>136</v>
      </c>
      <c r="F56" s="85">
        <v>11000</v>
      </c>
      <c r="G56" s="104"/>
      <c r="H56" s="85">
        <f>F56*D56</f>
        <v>396000</v>
      </c>
      <c r="I56" s="105"/>
      <c r="K56" t="s">
        <v>705</v>
      </c>
    </row>
    <row r="57" spans="2:12">
      <c r="B57" s="12">
        <v>856</v>
      </c>
      <c r="C57" s="2" t="s">
        <v>670</v>
      </c>
      <c r="D57" s="134">
        <v>1</v>
      </c>
      <c r="E57" s="3" t="s">
        <v>119</v>
      </c>
      <c r="F57" s="85">
        <f>100000+25000</f>
        <v>125000</v>
      </c>
      <c r="G57" s="104"/>
      <c r="H57" s="85">
        <f>F57*D57</f>
        <v>125000</v>
      </c>
      <c r="I57" s="105"/>
      <c r="K57" t="s">
        <v>796</v>
      </c>
    </row>
    <row r="58" spans="2:12">
      <c r="B58" s="12">
        <v>857</v>
      </c>
      <c r="C58" s="2" t="s">
        <v>241</v>
      </c>
      <c r="D58" s="134">
        <v>0</v>
      </c>
      <c r="E58" s="3" t="s">
        <v>125</v>
      </c>
      <c r="F58" s="85">
        <v>0</v>
      </c>
      <c r="G58" s="104"/>
      <c r="H58" s="85">
        <f t="shared" si="2"/>
        <v>0</v>
      </c>
      <c r="I58" s="105"/>
      <c r="K58" t="s">
        <v>403</v>
      </c>
    </row>
    <row r="59" spans="2:12">
      <c r="B59" s="12">
        <v>857</v>
      </c>
      <c r="C59" s="2" t="s">
        <v>242</v>
      </c>
      <c r="D59" s="134">
        <v>0</v>
      </c>
      <c r="E59" s="3" t="s">
        <v>125</v>
      </c>
      <c r="F59" s="85">
        <v>0</v>
      </c>
      <c r="G59" s="104"/>
      <c r="H59" s="85">
        <f t="shared" si="2"/>
        <v>0</v>
      </c>
      <c r="I59" s="105"/>
    </row>
    <row r="60" spans="2:12">
      <c r="B60" s="12">
        <v>857</v>
      </c>
      <c r="C60" s="2" t="s">
        <v>797</v>
      </c>
      <c r="D60" s="134">
        <v>1</v>
      </c>
      <c r="E60" s="3" t="s">
        <v>119</v>
      </c>
      <c r="F60" s="85">
        <v>25000</v>
      </c>
      <c r="G60" s="104"/>
      <c r="H60" s="85">
        <f t="shared" ref="H60" si="4">F60*D60</f>
        <v>25000</v>
      </c>
      <c r="I60" s="105"/>
      <c r="K60" t="s">
        <v>799</v>
      </c>
    </row>
    <row r="61" spans="2:12">
      <c r="B61" s="12">
        <v>858</v>
      </c>
      <c r="C61" s="2" t="s">
        <v>671</v>
      </c>
      <c r="D61" s="134">
        <v>0</v>
      </c>
      <c r="E61" s="3" t="s">
        <v>138</v>
      </c>
      <c r="F61" s="85">
        <v>0</v>
      </c>
      <c r="G61" s="104"/>
      <c r="H61" s="85">
        <f t="shared" si="2"/>
        <v>0</v>
      </c>
      <c r="I61" s="105"/>
      <c r="K61" t="s">
        <v>706</v>
      </c>
    </row>
    <row r="62" spans="2:12">
      <c r="B62" s="12">
        <v>859</v>
      </c>
      <c r="C62" s="2" t="s">
        <v>165</v>
      </c>
      <c r="D62" s="134">
        <v>1</v>
      </c>
      <c r="E62" s="3" t="s">
        <v>119</v>
      </c>
      <c r="F62" s="85">
        <v>175000</v>
      </c>
      <c r="G62" s="104"/>
      <c r="H62" s="85">
        <f t="shared" si="2"/>
        <v>175000</v>
      </c>
      <c r="I62" s="105"/>
      <c r="K62" t="s">
        <v>800</v>
      </c>
    </row>
    <row r="63" spans="2:12">
      <c r="B63" s="12">
        <v>860</v>
      </c>
      <c r="C63" s="2" t="s">
        <v>707</v>
      </c>
      <c r="D63" s="134">
        <v>1</v>
      </c>
      <c r="E63" s="3" t="s">
        <v>119</v>
      </c>
      <c r="F63" s="85">
        <v>75000</v>
      </c>
      <c r="G63" s="104"/>
      <c r="H63" s="85">
        <f t="shared" si="2"/>
        <v>75000</v>
      </c>
      <c r="I63" s="105"/>
      <c r="K63" t="s">
        <v>708</v>
      </c>
    </row>
    <row r="64" spans="2:12">
      <c r="B64" s="12">
        <v>860</v>
      </c>
      <c r="C64" s="2" t="s">
        <v>224</v>
      </c>
      <c r="D64" s="134">
        <v>1</v>
      </c>
      <c r="E64" s="3" t="s">
        <v>138</v>
      </c>
      <c r="F64" s="85">
        <v>21100</v>
      </c>
      <c r="G64" s="104"/>
      <c r="H64" s="85">
        <f t="shared" si="2"/>
        <v>21100</v>
      </c>
      <c r="I64" s="105"/>
      <c r="K64" t="s">
        <v>390</v>
      </c>
    </row>
    <row r="65" spans="2:11">
      <c r="B65" s="12">
        <v>861</v>
      </c>
      <c r="C65" s="2" t="s">
        <v>133</v>
      </c>
      <c r="D65" s="134">
        <v>1</v>
      </c>
      <c r="E65" s="3" t="s">
        <v>119</v>
      </c>
      <c r="F65" s="85">
        <f>20000+10000+8000</f>
        <v>38000</v>
      </c>
      <c r="G65" s="104"/>
      <c r="H65" s="85">
        <f t="shared" si="2"/>
        <v>38000</v>
      </c>
      <c r="I65" s="105"/>
      <c r="K65" t="s">
        <v>801</v>
      </c>
    </row>
    <row r="66" spans="2:11">
      <c r="B66" s="12">
        <v>851</v>
      </c>
      <c r="C66" s="2" t="s">
        <v>672</v>
      </c>
      <c r="D66" s="134">
        <v>0</v>
      </c>
      <c r="E66" s="3" t="s">
        <v>802</v>
      </c>
      <c r="F66" s="85">
        <v>1250</v>
      </c>
      <c r="G66" s="104"/>
      <c r="H66" s="85">
        <f t="shared" si="2"/>
        <v>0</v>
      </c>
      <c r="I66" s="105"/>
    </row>
    <row r="67" spans="2:11">
      <c r="B67" s="12">
        <v>855</v>
      </c>
      <c r="C67" s="2" t="s">
        <v>673</v>
      </c>
      <c r="D67" s="134">
        <v>0</v>
      </c>
      <c r="E67" s="3" t="s">
        <v>621</v>
      </c>
      <c r="F67" s="85">
        <v>0</v>
      </c>
      <c r="G67" s="104"/>
      <c r="H67" s="85">
        <f t="shared" si="2"/>
        <v>0</v>
      </c>
      <c r="I67" s="105"/>
      <c r="K67" t="s">
        <v>688</v>
      </c>
    </row>
    <row r="68" spans="2:11">
      <c r="B68" s="12">
        <v>855</v>
      </c>
      <c r="C68" s="2" t="s">
        <v>674</v>
      </c>
      <c r="D68" s="134">
        <v>1</v>
      </c>
      <c r="E68" s="3" t="s">
        <v>621</v>
      </c>
      <c r="F68" s="85">
        <v>50000</v>
      </c>
      <c r="G68" s="104"/>
      <c r="H68" s="85">
        <f t="shared" si="2"/>
        <v>50000</v>
      </c>
      <c r="I68" s="105"/>
      <c r="K68" t="s">
        <v>803</v>
      </c>
    </row>
    <row r="69" spans="2:11">
      <c r="B69" s="12">
        <v>630</v>
      </c>
      <c r="C69" s="2" t="s">
        <v>226</v>
      </c>
      <c r="D69" s="134">
        <v>1200</v>
      </c>
      <c r="E69" s="3" t="s">
        <v>125</v>
      </c>
      <c r="F69" s="85">
        <v>16</v>
      </c>
      <c r="G69" s="104"/>
      <c r="H69" s="85">
        <f t="shared" si="2"/>
        <v>19200</v>
      </c>
      <c r="I69" s="105"/>
      <c r="K69" t="s">
        <v>709</v>
      </c>
    </row>
    <row r="70" spans="2:11">
      <c r="B70" s="12">
        <v>630</v>
      </c>
      <c r="C70" s="2" t="s">
        <v>623</v>
      </c>
      <c r="D70" s="134">
        <v>0</v>
      </c>
      <c r="E70" s="3" t="s">
        <v>125</v>
      </c>
      <c r="F70" s="85">
        <v>0</v>
      </c>
      <c r="G70" s="104"/>
      <c r="H70" s="85">
        <f t="shared" si="2"/>
        <v>0</v>
      </c>
      <c r="I70" s="105"/>
      <c r="K70" t="s">
        <v>688</v>
      </c>
    </row>
    <row r="71" spans="2:11">
      <c r="B71" s="12">
        <v>630</v>
      </c>
      <c r="C71" s="2" t="s">
        <v>227</v>
      </c>
      <c r="D71" s="134">
        <v>0</v>
      </c>
      <c r="E71" s="3" t="s">
        <v>236</v>
      </c>
      <c r="F71" s="85">
        <v>0</v>
      </c>
      <c r="G71" s="104"/>
      <c r="H71" s="85">
        <f t="shared" si="2"/>
        <v>0</v>
      </c>
      <c r="I71" s="105"/>
      <c r="K71" t="s">
        <v>710</v>
      </c>
    </row>
    <row r="72" spans="2:11">
      <c r="B72" s="12">
        <v>630</v>
      </c>
      <c r="C72" s="2" t="s">
        <v>629</v>
      </c>
      <c r="D72" s="134">
        <v>0</v>
      </c>
      <c r="E72" s="3" t="s">
        <v>236</v>
      </c>
      <c r="F72" s="85">
        <v>0</v>
      </c>
      <c r="G72" s="104"/>
      <c r="H72" s="85">
        <f t="shared" si="2"/>
        <v>0</v>
      </c>
      <c r="I72" s="105"/>
      <c r="K72" t="s">
        <v>688</v>
      </c>
    </row>
    <row r="73" spans="2:11">
      <c r="B73" s="12">
        <v>630</v>
      </c>
      <c r="C73" s="2" t="s">
        <v>630</v>
      </c>
      <c r="D73" s="134">
        <v>0</v>
      </c>
      <c r="E73" s="3" t="s">
        <v>236</v>
      </c>
      <c r="F73" s="85">
        <v>0</v>
      </c>
      <c r="G73" s="104"/>
      <c r="H73" s="85">
        <f t="shared" si="2"/>
        <v>0</v>
      </c>
      <c r="I73" s="105"/>
      <c r="K73" t="s">
        <v>688</v>
      </c>
    </row>
    <row r="74" spans="2:11">
      <c r="B74" s="12">
        <v>630</v>
      </c>
      <c r="C74" s="2" t="s">
        <v>229</v>
      </c>
      <c r="D74" s="134">
        <v>500</v>
      </c>
      <c r="E74" s="3" t="s">
        <v>237</v>
      </c>
      <c r="F74" s="85">
        <v>68</v>
      </c>
      <c r="G74" s="104"/>
      <c r="H74" s="85">
        <f t="shared" si="2"/>
        <v>34000</v>
      </c>
      <c r="I74" s="105"/>
      <c r="K74" t="s">
        <v>804</v>
      </c>
    </row>
    <row r="75" spans="2:11">
      <c r="B75" s="12">
        <v>630</v>
      </c>
      <c r="C75" s="2" t="s">
        <v>230</v>
      </c>
      <c r="D75" s="134">
        <v>625</v>
      </c>
      <c r="E75" s="3" t="s">
        <v>236</v>
      </c>
      <c r="F75" s="85">
        <v>8</v>
      </c>
      <c r="G75" s="104"/>
      <c r="H75" s="85">
        <f t="shared" si="2"/>
        <v>5000</v>
      </c>
      <c r="I75" s="105"/>
      <c r="K75" t="s">
        <v>391</v>
      </c>
    </row>
    <row r="76" spans="2:11">
      <c r="B76" s="12">
        <v>630</v>
      </c>
      <c r="C76" s="2" t="s">
        <v>122</v>
      </c>
      <c r="D76" s="134">
        <v>200</v>
      </c>
      <c r="E76" s="3" t="s">
        <v>238</v>
      </c>
      <c r="F76" s="85">
        <v>6</v>
      </c>
      <c r="G76" s="104"/>
      <c r="H76" s="85">
        <f t="shared" si="2"/>
        <v>1200</v>
      </c>
      <c r="I76" s="105"/>
      <c r="K76" t="s">
        <v>711</v>
      </c>
    </row>
    <row r="77" spans="2:11">
      <c r="B77" s="12">
        <v>630</v>
      </c>
      <c r="C77" s="2" t="s">
        <v>233</v>
      </c>
      <c r="D77" s="134">
        <v>10000</v>
      </c>
      <c r="E77" s="3" t="s">
        <v>247</v>
      </c>
      <c r="F77" s="141">
        <v>0.1</v>
      </c>
      <c r="G77" s="104"/>
      <c r="H77" s="85">
        <f t="shared" si="2"/>
        <v>1000</v>
      </c>
      <c r="I77" s="105"/>
      <c r="K77" t="s">
        <v>712</v>
      </c>
    </row>
    <row r="78" spans="2:11">
      <c r="B78" s="12">
        <v>630</v>
      </c>
      <c r="C78" s="2" t="s">
        <v>234</v>
      </c>
      <c r="D78" s="134">
        <v>0</v>
      </c>
      <c r="E78" s="3" t="s">
        <v>247</v>
      </c>
      <c r="F78" s="141">
        <v>0</v>
      </c>
      <c r="G78" s="104"/>
      <c r="H78" s="85">
        <f t="shared" si="2"/>
        <v>0</v>
      </c>
      <c r="I78" s="105"/>
      <c r="K78" t="s">
        <v>688</v>
      </c>
    </row>
    <row r="79" spans="2:11">
      <c r="B79" s="12">
        <v>630</v>
      </c>
      <c r="C79" s="2" t="s">
        <v>235</v>
      </c>
      <c r="D79" s="134">
        <v>0</v>
      </c>
      <c r="E79" s="3" t="s">
        <v>138</v>
      </c>
      <c r="F79" s="85">
        <v>0</v>
      </c>
      <c r="G79" s="104"/>
      <c r="H79" s="85">
        <f t="shared" si="2"/>
        <v>0</v>
      </c>
      <c r="I79" s="105"/>
      <c r="K79" t="s">
        <v>688</v>
      </c>
    </row>
    <row r="80" spans="2:11">
      <c r="B80" s="12">
        <v>630</v>
      </c>
      <c r="C80" s="2" t="s">
        <v>637</v>
      </c>
      <c r="D80" s="134">
        <v>0</v>
      </c>
      <c r="E80" s="3" t="s">
        <v>124</v>
      </c>
      <c r="F80" s="85">
        <v>0</v>
      </c>
      <c r="G80" s="104"/>
      <c r="H80" s="85">
        <f t="shared" si="2"/>
        <v>0</v>
      </c>
      <c r="I80" s="105"/>
      <c r="K80" t="s">
        <v>688</v>
      </c>
    </row>
    <row r="81" spans="2:12">
      <c r="B81" s="12">
        <v>630</v>
      </c>
      <c r="C81" s="2" t="s">
        <v>675</v>
      </c>
      <c r="D81" s="134">
        <v>0</v>
      </c>
      <c r="E81" s="3" t="s">
        <v>138</v>
      </c>
      <c r="F81" s="85">
        <v>0</v>
      </c>
      <c r="G81" s="104"/>
      <c r="H81" s="85">
        <f t="shared" si="2"/>
        <v>0</v>
      </c>
      <c r="I81" s="105"/>
      <c r="K81" t="s">
        <v>688</v>
      </c>
      <c r="L81" t="s">
        <v>7</v>
      </c>
    </row>
    <row r="82" spans="2:12">
      <c r="B82" s="12">
        <v>630</v>
      </c>
      <c r="C82" s="2" t="s">
        <v>676</v>
      </c>
      <c r="D82" s="134">
        <v>0</v>
      </c>
      <c r="E82" s="3" t="s">
        <v>138</v>
      </c>
      <c r="F82" s="85">
        <v>0</v>
      </c>
      <c r="G82" s="104"/>
      <c r="H82" s="85">
        <f t="shared" si="2"/>
        <v>0</v>
      </c>
      <c r="I82" s="105"/>
      <c r="K82" t="s">
        <v>688</v>
      </c>
    </row>
    <row r="83" spans="2:12">
      <c r="B83" s="12">
        <v>831</v>
      </c>
      <c r="C83" s="2" t="s">
        <v>239</v>
      </c>
      <c r="D83" s="134">
        <v>0</v>
      </c>
      <c r="E83" s="3" t="s">
        <v>138</v>
      </c>
      <c r="F83" s="85">
        <v>0</v>
      </c>
      <c r="G83" s="104"/>
      <c r="H83" s="85">
        <f t="shared" si="2"/>
        <v>0</v>
      </c>
      <c r="I83" s="105"/>
      <c r="K83" t="s">
        <v>388</v>
      </c>
    </row>
    <row r="84" spans="2:12">
      <c r="B84" s="12">
        <v>832</v>
      </c>
      <c r="C84" s="2" t="s">
        <v>240</v>
      </c>
      <c r="D84" s="134">
        <v>0</v>
      </c>
      <c r="E84" s="3" t="s">
        <v>138</v>
      </c>
      <c r="F84" s="85">
        <v>0</v>
      </c>
      <c r="G84" s="104"/>
      <c r="H84" s="85">
        <f t="shared" si="2"/>
        <v>0</v>
      </c>
      <c r="I84" s="105"/>
      <c r="K84" t="s">
        <v>688</v>
      </c>
    </row>
    <row r="85" spans="2:12">
      <c r="B85" s="12">
        <v>832</v>
      </c>
      <c r="C85" s="2" t="s">
        <v>243</v>
      </c>
      <c r="D85" s="134">
        <v>0</v>
      </c>
      <c r="E85" s="3" t="s">
        <v>125</v>
      </c>
      <c r="F85" s="85">
        <v>0</v>
      </c>
      <c r="G85" s="104"/>
      <c r="H85" s="85">
        <f t="shared" si="2"/>
        <v>0</v>
      </c>
      <c r="I85" s="105"/>
      <c r="K85" t="s">
        <v>688</v>
      </c>
    </row>
    <row r="86" spans="2:12">
      <c r="B86" s="12">
        <v>832</v>
      </c>
      <c r="C86" s="2" t="s">
        <v>805</v>
      </c>
      <c r="D86" s="134">
        <v>1</v>
      </c>
      <c r="E86" s="3" t="s">
        <v>119</v>
      </c>
      <c r="F86" s="85">
        <v>4500</v>
      </c>
      <c r="G86" s="104"/>
      <c r="H86" s="85">
        <f t="shared" ref="H86" si="5">F86*D86</f>
        <v>4500</v>
      </c>
      <c r="I86" s="105"/>
    </row>
    <row r="87" spans="2:12">
      <c r="B87" s="12">
        <v>832</v>
      </c>
      <c r="C87" s="2" t="s">
        <v>244</v>
      </c>
      <c r="D87" s="134">
        <v>100</v>
      </c>
      <c r="E87" s="3" t="s">
        <v>125</v>
      </c>
      <c r="F87" s="85">
        <v>75</v>
      </c>
      <c r="G87" s="104"/>
      <c r="H87" s="85">
        <f t="shared" si="2"/>
        <v>7500</v>
      </c>
      <c r="I87" s="105"/>
      <c r="K87" t="s">
        <v>713</v>
      </c>
    </row>
    <row r="88" spans="2:12">
      <c r="B88" s="12">
        <v>832</v>
      </c>
      <c r="C88" s="2" t="s">
        <v>245</v>
      </c>
      <c r="D88" s="134">
        <v>0</v>
      </c>
      <c r="E88" s="3" t="s">
        <v>125</v>
      </c>
      <c r="F88" s="85">
        <v>0</v>
      </c>
      <c r="G88" s="104"/>
      <c r="H88" s="85">
        <f t="shared" si="2"/>
        <v>0</v>
      </c>
      <c r="I88" s="105"/>
      <c r="K88" t="s">
        <v>688</v>
      </c>
    </row>
    <row r="89" spans="2:12">
      <c r="B89" s="12">
        <v>832</v>
      </c>
      <c r="C89" s="2" t="s">
        <v>656</v>
      </c>
      <c r="D89" s="134">
        <v>0</v>
      </c>
      <c r="E89" s="3" t="s">
        <v>237</v>
      </c>
      <c r="F89" s="85">
        <v>0</v>
      </c>
      <c r="G89" s="104"/>
      <c r="H89" s="85">
        <f t="shared" si="2"/>
        <v>0</v>
      </c>
      <c r="I89" s="105"/>
      <c r="K89" t="s">
        <v>688</v>
      </c>
    </row>
    <row r="90" spans="2:12">
      <c r="B90" s="12">
        <v>832</v>
      </c>
      <c r="C90" s="2" t="s">
        <v>246</v>
      </c>
      <c r="D90" s="134">
        <v>0</v>
      </c>
      <c r="E90" s="3" t="s">
        <v>247</v>
      </c>
      <c r="F90" s="85">
        <v>0</v>
      </c>
      <c r="G90" s="104"/>
      <c r="H90" s="85">
        <f t="shared" si="2"/>
        <v>0</v>
      </c>
      <c r="I90" s="105"/>
      <c r="K90" t="s">
        <v>714</v>
      </c>
    </row>
    <row r="91" spans="2:12">
      <c r="B91" s="12">
        <v>832</v>
      </c>
      <c r="C91" s="2" t="s">
        <v>677</v>
      </c>
      <c r="D91" s="134">
        <v>400</v>
      </c>
      <c r="E91" s="3" t="s">
        <v>125</v>
      </c>
      <c r="F91" s="85">
        <v>20</v>
      </c>
      <c r="G91" s="104"/>
      <c r="H91" s="85">
        <f t="shared" si="2"/>
        <v>8000</v>
      </c>
      <c r="I91" s="105"/>
      <c r="K91" t="s">
        <v>715</v>
      </c>
    </row>
    <row r="92" spans="2:12">
      <c r="B92" s="12">
        <v>832</v>
      </c>
      <c r="C92" s="2" t="s">
        <v>678</v>
      </c>
      <c r="D92" s="134">
        <v>0</v>
      </c>
      <c r="E92" s="3" t="s">
        <v>125</v>
      </c>
      <c r="F92" s="85">
        <v>0</v>
      </c>
      <c r="G92" s="104"/>
      <c r="H92" s="85">
        <f t="shared" si="2"/>
        <v>0</v>
      </c>
      <c r="I92" s="105"/>
      <c r="K92" t="s">
        <v>688</v>
      </c>
    </row>
    <row r="93" spans="2:12">
      <c r="B93" s="12">
        <v>832</v>
      </c>
      <c r="C93" s="2" t="s">
        <v>679</v>
      </c>
      <c r="D93" s="134">
        <v>0</v>
      </c>
      <c r="E93" s="3" t="s">
        <v>125</v>
      </c>
      <c r="F93" s="85">
        <v>0</v>
      </c>
      <c r="G93" s="104"/>
      <c r="H93" s="85">
        <f t="shared" si="2"/>
        <v>0</v>
      </c>
      <c r="I93" s="105"/>
      <c r="K93" t="s">
        <v>688</v>
      </c>
    </row>
    <row r="94" spans="2:12">
      <c r="B94" s="12">
        <v>832</v>
      </c>
      <c r="C94" s="2" t="s">
        <v>680</v>
      </c>
      <c r="D94" s="134">
        <v>0</v>
      </c>
      <c r="E94" s="3" t="s">
        <v>247</v>
      </c>
      <c r="F94" s="85">
        <v>0</v>
      </c>
      <c r="G94" s="104"/>
      <c r="H94" s="85">
        <f t="shared" si="2"/>
        <v>0</v>
      </c>
      <c r="I94" s="105"/>
    </row>
    <row r="95" spans="2:12">
      <c r="B95" s="12"/>
      <c r="C95" s="2" t="s">
        <v>166</v>
      </c>
      <c r="D95" s="134">
        <v>1</v>
      </c>
      <c r="E95" s="3" t="s">
        <v>119</v>
      </c>
      <c r="F95" s="85">
        <v>100000</v>
      </c>
      <c r="G95" s="104"/>
      <c r="H95" s="85">
        <f t="shared" si="2"/>
        <v>100000</v>
      </c>
      <c r="I95" s="105"/>
    </row>
    <row r="96" spans="2:12">
      <c r="B96" s="12"/>
      <c r="C96" s="2" t="s">
        <v>404</v>
      </c>
      <c r="D96" s="134">
        <v>1</v>
      </c>
      <c r="E96" s="3" t="s">
        <v>119</v>
      </c>
      <c r="F96" s="85">
        <v>40000</v>
      </c>
      <c r="G96" s="104"/>
      <c r="H96" s="85">
        <f t="shared" si="2"/>
        <v>40000</v>
      </c>
      <c r="I96" s="105"/>
      <c r="K96" t="s">
        <v>806</v>
      </c>
    </row>
    <row r="97" spans="2:13">
      <c r="B97" s="12"/>
      <c r="C97" s="2" t="s">
        <v>135</v>
      </c>
      <c r="D97" s="134">
        <v>1</v>
      </c>
      <c r="E97" s="3" t="s">
        <v>138</v>
      </c>
      <c r="F97" s="85">
        <v>10750</v>
      </c>
      <c r="G97" s="104"/>
      <c r="H97" s="85">
        <f t="shared" si="2"/>
        <v>10750</v>
      </c>
      <c r="I97" s="105"/>
    </row>
    <row r="98" spans="2:13">
      <c r="B98" s="12"/>
      <c r="C98" s="2" t="s">
        <v>137</v>
      </c>
      <c r="D98" s="134">
        <v>1</v>
      </c>
      <c r="E98" s="3" t="s">
        <v>138</v>
      </c>
      <c r="F98" s="85">
        <v>2550</v>
      </c>
      <c r="G98" s="104"/>
      <c r="H98" s="85">
        <f t="shared" si="2"/>
        <v>2550</v>
      </c>
      <c r="I98" s="105"/>
    </row>
    <row r="99" spans="2:13">
      <c r="B99" s="12"/>
      <c r="C99" s="2" t="s">
        <v>681</v>
      </c>
      <c r="D99" s="134">
        <v>0</v>
      </c>
      <c r="E99" s="3" t="s">
        <v>138</v>
      </c>
      <c r="F99" s="85">
        <v>0</v>
      </c>
      <c r="G99" s="104"/>
      <c r="H99" s="85">
        <f t="shared" si="2"/>
        <v>0</v>
      </c>
      <c r="I99" s="105"/>
    </row>
    <row r="100" spans="2:13">
      <c r="B100" s="12"/>
      <c r="C100" s="2" t="s">
        <v>807</v>
      </c>
      <c r="D100" s="134">
        <v>0</v>
      </c>
      <c r="E100" s="3" t="s">
        <v>138</v>
      </c>
      <c r="F100" s="85">
        <v>0</v>
      </c>
      <c r="G100" s="104"/>
      <c r="H100" s="85">
        <f t="shared" ref="H100" si="6">F100*D100</f>
        <v>0</v>
      </c>
      <c r="I100" s="105"/>
    </row>
    <row r="101" spans="2:13">
      <c r="B101" s="12"/>
      <c r="C101" s="2" t="s">
        <v>164</v>
      </c>
      <c r="D101" s="134">
        <v>0</v>
      </c>
      <c r="E101" s="3" t="s">
        <v>119</v>
      </c>
      <c r="F101" s="85">
        <v>0</v>
      </c>
      <c r="G101" s="104"/>
      <c r="H101" s="85">
        <f t="shared" si="2"/>
        <v>0</v>
      </c>
      <c r="I101" s="105"/>
    </row>
    <row r="102" spans="2:13" ht="15.75">
      <c r="B102" s="94" t="s">
        <v>606</v>
      </c>
      <c r="C102" s="81"/>
      <c r="D102" s="132"/>
      <c r="E102" s="83"/>
      <c r="F102" s="84"/>
      <c r="G102" s="84"/>
      <c r="H102" s="110"/>
      <c r="I102" s="93">
        <f>CEILING(SUM(H47:H101),100)</f>
        <v>2205000</v>
      </c>
    </row>
    <row r="103" spans="2:13" ht="8.25" customHeight="1">
      <c r="B103" s="350"/>
      <c r="C103" s="107"/>
      <c r="D103" s="133"/>
      <c r="E103" s="106"/>
      <c r="F103" s="108"/>
      <c r="G103" s="108"/>
      <c r="H103" s="108"/>
      <c r="I103" s="109"/>
    </row>
    <row r="104" spans="2:13" ht="15.75">
      <c r="B104" s="94" t="s">
        <v>139</v>
      </c>
      <c r="C104" s="81"/>
      <c r="D104" s="132"/>
      <c r="E104" s="83"/>
      <c r="F104" s="84"/>
      <c r="G104" s="84"/>
      <c r="H104" s="84"/>
      <c r="I104" s="93"/>
    </row>
    <row r="105" spans="2:13">
      <c r="B105" s="12" t="s">
        <v>600</v>
      </c>
      <c r="C105" s="2" t="s">
        <v>140</v>
      </c>
      <c r="D105" s="129">
        <f>($I$102*K105)/$F$105</f>
        <v>210</v>
      </c>
      <c r="E105" s="92" t="s">
        <v>141</v>
      </c>
      <c r="F105" s="85">
        <v>840</v>
      </c>
      <c r="G105" s="104"/>
      <c r="H105" s="85">
        <f>F105*D105</f>
        <v>176400</v>
      </c>
      <c r="I105" s="105"/>
      <c r="K105" s="384">
        <v>0.08</v>
      </c>
      <c r="L105" s="383" t="s">
        <v>719</v>
      </c>
      <c r="M105" s="308"/>
    </row>
    <row r="106" spans="2:13">
      <c r="B106" s="12" t="s">
        <v>601</v>
      </c>
      <c r="C106" s="2" t="s">
        <v>142</v>
      </c>
      <c r="D106" s="129">
        <f>($I$102*K106)/$F$106</f>
        <v>22.05</v>
      </c>
      <c r="E106" s="92" t="s">
        <v>136</v>
      </c>
      <c r="F106" s="85">
        <v>2000</v>
      </c>
      <c r="G106" s="104"/>
      <c r="H106" s="85">
        <f>F106*D106</f>
        <v>44100</v>
      </c>
      <c r="I106" s="105"/>
      <c r="K106" s="384">
        <v>0.02</v>
      </c>
      <c r="L106" s="383" t="s">
        <v>720</v>
      </c>
      <c r="M106" s="308"/>
    </row>
    <row r="107" spans="2:13" ht="15.75">
      <c r="B107" s="94" t="s">
        <v>143</v>
      </c>
      <c r="C107" s="81"/>
      <c r="D107" s="132"/>
      <c r="E107" s="83"/>
      <c r="F107" s="84"/>
      <c r="G107" s="84"/>
      <c r="H107" s="110"/>
      <c r="I107" s="93">
        <f>CEILING(SUM(H105:H106),100)</f>
        <v>220500</v>
      </c>
    </row>
    <row r="108" spans="2:13" ht="8.25" customHeight="1">
      <c r="B108" s="350"/>
      <c r="C108" s="107"/>
      <c r="D108" s="133"/>
      <c r="E108" s="106"/>
      <c r="F108" s="108"/>
      <c r="G108" s="108"/>
      <c r="H108" s="108"/>
      <c r="I108" s="109"/>
    </row>
    <row r="109" spans="2:13" ht="15.75">
      <c r="B109" s="94" t="s">
        <v>144</v>
      </c>
      <c r="C109" s="81"/>
      <c r="D109" s="132"/>
      <c r="E109" s="83"/>
      <c r="F109" s="84"/>
      <c r="G109" s="84"/>
      <c r="H109" s="84"/>
      <c r="I109" s="93"/>
    </row>
    <row r="110" spans="2:13">
      <c r="B110" s="347"/>
      <c r="C110" s="114" t="s">
        <v>145</v>
      </c>
      <c r="D110" s="137"/>
      <c r="E110" s="348"/>
      <c r="F110" s="115"/>
      <c r="G110" s="116"/>
      <c r="H110" s="115"/>
      <c r="I110" s="117"/>
    </row>
    <row r="111" spans="2:13">
      <c r="B111" s="12" t="s">
        <v>602</v>
      </c>
      <c r="C111" s="2" t="s">
        <v>889</v>
      </c>
      <c r="D111" s="134">
        <v>280</v>
      </c>
      <c r="E111" s="3" t="s">
        <v>125</v>
      </c>
      <c r="F111" s="85">
        <v>26</v>
      </c>
      <c r="G111" s="104"/>
      <c r="H111" s="85">
        <f>F111*D111</f>
        <v>7280</v>
      </c>
      <c r="I111" s="105"/>
    </row>
    <row r="112" spans="2:13">
      <c r="B112" s="12" t="s">
        <v>602</v>
      </c>
      <c r="C112" s="2" t="s">
        <v>890</v>
      </c>
      <c r="D112" s="134">
        <v>280</v>
      </c>
      <c r="E112" s="3" t="s">
        <v>125</v>
      </c>
      <c r="F112" s="85">
        <v>39</v>
      </c>
      <c r="G112" s="104"/>
      <c r="H112" s="85">
        <f>F112*D112</f>
        <v>10920</v>
      </c>
      <c r="I112" s="105"/>
    </row>
    <row r="113" spans="2:9">
      <c r="B113" s="12" t="s">
        <v>602</v>
      </c>
      <c r="C113" s="2" t="s">
        <v>891</v>
      </c>
      <c r="D113" s="134">
        <v>80</v>
      </c>
      <c r="E113" s="3" t="s">
        <v>125</v>
      </c>
      <c r="F113" s="85">
        <v>34</v>
      </c>
      <c r="G113" s="104"/>
      <c r="H113" s="85">
        <f>F113*D113</f>
        <v>2720</v>
      </c>
      <c r="I113" s="105"/>
    </row>
    <row r="114" spans="2:9">
      <c r="B114" s="12" t="s">
        <v>602</v>
      </c>
      <c r="C114" s="2" t="s">
        <v>892</v>
      </c>
      <c r="D114" s="134">
        <v>160</v>
      </c>
      <c r="E114" s="3" t="s">
        <v>125</v>
      </c>
      <c r="F114" s="85">
        <v>36</v>
      </c>
      <c r="G114" s="104"/>
      <c r="H114" s="85">
        <f>F114*D114</f>
        <v>5760</v>
      </c>
      <c r="I114" s="105"/>
    </row>
    <row r="115" spans="2:9">
      <c r="B115" s="347"/>
      <c r="C115" s="114" t="s">
        <v>169</v>
      </c>
      <c r="D115" s="137"/>
      <c r="E115" s="348"/>
      <c r="F115" s="115"/>
      <c r="G115" s="116"/>
      <c r="H115" s="115"/>
      <c r="I115" s="117"/>
    </row>
    <row r="116" spans="2:9">
      <c r="B116" s="12" t="s">
        <v>603</v>
      </c>
      <c r="C116" s="2" t="s">
        <v>893</v>
      </c>
      <c r="D116" s="134">
        <v>3</v>
      </c>
      <c r="E116" s="3" t="s">
        <v>138</v>
      </c>
      <c r="F116" s="85">
        <v>10521</v>
      </c>
      <c r="G116" s="104"/>
      <c r="H116" s="85">
        <f t="shared" ref="H116:H128" si="7">F116*D116</f>
        <v>31563</v>
      </c>
      <c r="I116" s="105"/>
    </row>
    <row r="117" spans="2:9">
      <c r="B117" s="12" t="s">
        <v>603</v>
      </c>
      <c r="C117" s="2" t="s">
        <v>894</v>
      </c>
      <c r="D117" s="134">
        <v>6</v>
      </c>
      <c r="E117" s="3" t="s">
        <v>138</v>
      </c>
      <c r="F117" s="85">
        <v>3982</v>
      </c>
      <c r="G117" s="104"/>
      <c r="H117" s="85">
        <f t="shared" si="7"/>
        <v>23892</v>
      </c>
      <c r="I117" s="105"/>
    </row>
    <row r="118" spans="2:9">
      <c r="B118" s="12" t="s">
        <v>603</v>
      </c>
      <c r="C118" s="2" t="s">
        <v>895</v>
      </c>
      <c r="D118" s="134">
        <v>1</v>
      </c>
      <c r="E118" s="3" t="s">
        <v>138</v>
      </c>
      <c r="F118" s="85">
        <v>14400</v>
      </c>
      <c r="G118" s="104"/>
      <c r="H118" s="85">
        <f>F118*D118</f>
        <v>14400</v>
      </c>
      <c r="I118" s="105"/>
    </row>
    <row r="119" spans="2:9">
      <c r="B119" s="12" t="s">
        <v>603</v>
      </c>
      <c r="C119" s="2" t="s">
        <v>896</v>
      </c>
      <c r="D119" s="134">
        <v>2</v>
      </c>
      <c r="E119" s="3" t="s">
        <v>138</v>
      </c>
      <c r="F119" s="85">
        <v>4680</v>
      </c>
      <c r="G119" s="104"/>
      <c r="H119" s="85">
        <f>F119*D119</f>
        <v>9360</v>
      </c>
      <c r="I119" s="105"/>
    </row>
    <row r="120" spans="2:9">
      <c r="B120" s="12" t="s">
        <v>603</v>
      </c>
      <c r="C120" s="2" t="s">
        <v>809</v>
      </c>
      <c r="D120" s="134">
        <v>0</v>
      </c>
      <c r="E120" s="3" t="s">
        <v>138</v>
      </c>
      <c r="F120" s="85">
        <v>0</v>
      </c>
      <c r="G120" s="104"/>
      <c r="H120" s="85">
        <f t="shared" ref="H120" si="8">F120*D120</f>
        <v>0</v>
      </c>
      <c r="I120" s="105"/>
    </row>
    <row r="121" spans="2:9">
      <c r="B121" s="12" t="s">
        <v>603</v>
      </c>
      <c r="C121" s="2" t="s">
        <v>897</v>
      </c>
      <c r="D121" s="134">
        <v>2</v>
      </c>
      <c r="E121" s="3" t="s">
        <v>138</v>
      </c>
      <c r="F121" s="85">
        <v>12240</v>
      </c>
      <c r="G121" s="104"/>
      <c r="H121" s="85">
        <f t="shared" si="7"/>
        <v>24480</v>
      </c>
      <c r="I121" s="105"/>
    </row>
    <row r="122" spans="2:9">
      <c r="B122" s="12" t="s">
        <v>603</v>
      </c>
      <c r="C122" s="2" t="s">
        <v>898</v>
      </c>
      <c r="D122" s="134">
        <v>4</v>
      </c>
      <c r="E122" s="3" t="s">
        <v>138</v>
      </c>
      <c r="F122" s="85">
        <v>7497</v>
      </c>
      <c r="G122" s="104"/>
      <c r="H122" s="85">
        <f t="shared" si="7"/>
        <v>29988</v>
      </c>
      <c r="I122" s="105"/>
    </row>
    <row r="123" spans="2:9">
      <c r="B123" s="12" t="s">
        <v>603</v>
      </c>
      <c r="C123" s="2" t="s">
        <v>394</v>
      </c>
      <c r="D123" s="134">
        <v>0</v>
      </c>
      <c r="E123" s="3" t="s">
        <v>138</v>
      </c>
      <c r="F123" s="85">
        <v>0</v>
      </c>
      <c r="G123" s="104"/>
      <c r="H123" s="85">
        <f t="shared" si="7"/>
        <v>0</v>
      </c>
      <c r="I123" s="105"/>
    </row>
    <row r="124" spans="2:9">
      <c r="B124" s="12" t="s">
        <v>603</v>
      </c>
      <c r="C124" s="419" t="s">
        <v>930</v>
      </c>
      <c r="D124" s="423">
        <v>1</v>
      </c>
      <c r="E124" s="424" t="s">
        <v>138</v>
      </c>
      <c r="F124" s="421">
        <v>11581</v>
      </c>
      <c r="G124" s="422"/>
      <c r="H124" s="421">
        <f t="shared" si="7"/>
        <v>11581</v>
      </c>
      <c r="I124" s="105"/>
    </row>
    <row r="125" spans="2:9">
      <c r="B125" s="12" t="s">
        <v>603</v>
      </c>
      <c r="C125" s="2" t="s">
        <v>899</v>
      </c>
      <c r="D125" s="134">
        <v>5</v>
      </c>
      <c r="E125" s="3" t="s">
        <v>138</v>
      </c>
      <c r="F125" s="85">
        <v>2840</v>
      </c>
      <c r="G125" s="104"/>
      <c r="H125" s="85">
        <f t="shared" si="7"/>
        <v>14200</v>
      </c>
      <c r="I125" s="105"/>
    </row>
    <row r="126" spans="2:9">
      <c r="B126" s="12" t="s">
        <v>603</v>
      </c>
      <c r="C126" s="2" t="s">
        <v>900</v>
      </c>
      <c r="D126" s="134">
        <v>3</v>
      </c>
      <c r="E126" s="3" t="s">
        <v>138</v>
      </c>
      <c r="F126" s="85">
        <v>3620</v>
      </c>
      <c r="G126" s="104"/>
      <c r="H126" s="85">
        <f>F126*D126</f>
        <v>10860</v>
      </c>
      <c r="I126" s="105"/>
    </row>
    <row r="127" spans="2:9">
      <c r="B127" s="12" t="s">
        <v>603</v>
      </c>
      <c r="C127" s="2" t="s">
        <v>901</v>
      </c>
      <c r="D127" s="134">
        <v>1</v>
      </c>
      <c r="E127" s="3" t="s">
        <v>138</v>
      </c>
      <c r="F127" s="85">
        <v>89700</v>
      </c>
      <c r="G127" s="104"/>
      <c r="H127" s="85">
        <f t="shared" si="7"/>
        <v>89700</v>
      </c>
      <c r="I127" s="105"/>
    </row>
    <row r="128" spans="2:9">
      <c r="B128" s="12" t="s">
        <v>603</v>
      </c>
      <c r="C128" s="2" t="s">
        <v>170</v>
      </c>
      <c r="D128" s="134">
        <v>0</v>
      </c>
      <c r="E128" s="3" t="s">
        <v>138</v>
      </c>
      <c r="F128" s="85">
        <v>0</v>
      </c>
      <c r="G128" s="104"/>
      <c r="H128" s="85">
        <f t="shared" si="7"/>
        <v>0</v>
      </c>
      <c r="I128" s="105"/>
    </row>
    <row r="129" spans="2:16">
      <c r="B129" s="12" t="s">
        <v>603</v>
      </c>
      <c r="C129" s="2" t="s">
        <v>808</v>
      </c>
      <c r="D129" s="134">
        <v>0</v>
      </c>
      <c r="E129" s="3" t="s">
        <v>138</v>
      </c>
      <c r="F129" s="85">
        <v>0</v>
      </c>
      <c r="G129" s="104"/>
      <c r="H129" s="85">
        <f t="shared" ref="H129" si="9">F129*D129</f>
        <v>0</v>
      </c>
      <c r="I129" s="105"/>
    </row>
    <row r="130" spans="2:16">
      <c r="B130" s="12" t="s">
        <v>603</v>
      </c>
      <c r="C130" s="419" t="s">
        <v>973</v>
      </c>
      <c r="D130" s="423">
        <v>0</v>
      </c>
      <c r="E130" s="424" t="s">
        <v>138</v>
      </c>
      <c r="F130" s="421">
        <v>0</v>
      </c>
      <c r="G130" s="422"/>
      <c r="H130" s="421">
        <f>F130*D130</f>
        <v>0</v>
      </c>
      <c r="I130" s="105"/>
    </row>
    <row r="131" spans="2:16">
      <c r="B131" s="347"/>
      <c r="C131" s="114" t="s">
        <v>158</v>
      </c>
      <c r="D131" s="137" t="s">
        <v>7</v>
      </c>
      <c r="E131" s="348" t="s">
        <v>7</v>
      </c>
      <c r="F131" s="115" t="s">
        <v>7</v>
      </c>
      <c r="G131" s="116"/>
      <c r="H131" s="115" t="s">
        <v>7</v>
      </c>
      <c r="I131" s="117"/>
    </row>
    <row r="132" spans="2:16">
      <c r="B132" s="12"/>
      <c r="C132" s="2" t="s">
        <v>148</v>
      </c>
      <c r="D132" s="134">
        <v>1</v>
      </c>
      <c r="E132" s="3" t="s">
        <v>119</v>
      </c>
      <c r="F132" s="85">
        <v>10000</v>
      </c>
      <c r="G132" s="104"/>
      <c r="H132" s="85">
        <f t="shared" ref="H132:H139" si="10">F132*D132</f>
        <v>10000</v>
      </c>
      <c r="I132" s="105"/>
    </row>
    <row r="133" spans="2:16">
      <c r="B133" s="12"/>
      <c r="C133" s="2" t="s">
        <v>810</v>
      </c>
      <c r="D133" s="134">
        <v>1</v>
      </c>
      <c r="E133" s="3" t="s">
        <v>119</v>
      </c>
      <c r="F133" s="85">
        <v>40000</v>
      </c>
      <c r="G133" s="104"/>
      <c r="H133" s="85">
        <f t="shared" ref="H133" si="11">F133*D133</f>
        <v>40000</v>
      </c>
      <c r="I133" s="105"/>
    </row>
    <row r="134" spans="2:16">
      <c r="B134" s="12"/>
      <c r="C134" s="2" t="s">
        <v>757</v>
      </c>
      <c r="D134" s="134">
        <v>0</v>
      </c>
      <c r="E134" s="3" t="s">
        <v>138</v>
      </c>
      <c r="F134" s="85">
        <v>5000</v>
      </c>
      <c r="G134" s="104"/>
      <c r="H134" s="85">
        <f t="shared" si="10"/>
        <v>0</v>
      </c>
      <c r="I134" s="105"/>
    </row>
    <row r="135" spans="2:16">
      <c r="B135" s="12"/>
      <c r="C135" s="2" t="s">
        <v>758</v>
      </c>
      <c r="D135" s="134">
        <v>0</v>
      </c>
      <c r="E135" s="3" t="s">
        <v>138</v>
      </c>
      <c r="F135" s="85">
        <v>25000</v>
      </c>
      <c r="G135" s="104"/>
      <c r="H135" s="85">
        <f t="shared" si="10"/>
        <v>0</v>
      </c>
      <c r="I135" s="105"/>
    </row>
    <row r="136" spans="2:16">
      <c r="B136" s="12"/>
      <c r="C136" s="2" t="s">
        <v>171</v>
      </c>
      <c r="D136" s="134">
        <v>1</v>
      </c>
      <c r="E136" s="3" t="s">
        <v>138</v>
      </c>
      <c r="F136" s="85">
        <v>21100</v>
      </c>
      <c r="G136" s="104"/>
      <c r="H136" s="85">
        <f t="shared" si="10"/>
        <v>21100</v>
      </c>
      <c r="I136" s="105"/>
    </row>
    <row r="137" spans="2:16">
      <c r="B137" s="12"/>
      <c r="C137" s="2" t="s">
        <v>395</v>
      </c>
      <c r="D137" s="134">
        <v>0</v>
      </c>
      <c r="E137" s="3" t="s">
        <v>138</v>
      </c>
      <c r="F137" s="85">
        <v>0</v>
      </c>
      <c r="G137" s="104"/>
      <c r="H137" s="85">
        <f t="shared" si="10"/>
        <v>0</v>
      </c>
      <c r="I137" s="105"/>
    </row>
    <row r="138" spans="2:16">
      <c r="B138" s="12" t="s">
        <v>602</v>
      </c>
      <c r="C138" s="2" t="s">
        <v>149</v>
      </c>
      <c r="D138" s="134">
        <v>1</v>
      </c>
      <c r="E138" s="92" t="s">
        <v>105</v>
      </c>
      <c r="F138" s="112">
        <f>SUM(H110:H137)*0.1</f>
        <v>35780.400000000001</v>
      </c>
      <c r="G138" s="104"/>
      <c r="H138" s="85">
        <f t="shared" si="10"/>
        <v>35780.400000000001</v>
      </c>
      <c r="I138" s="105"/>
    </row>
    <row r="139" spans="2:16">
      <c r="B139" s="12" t="s">
        <v>602</v>
      </c>
      <c r="C139" s="2" t="s">
        <v>793</v>
      </c>
      <c r="D139" s="134">
        <v>1</v>
      </c>
      <c r="E139" s="92" t="s">
        <v>105</v>
      </c>
      <c r="F139" s="112">
        <f>SUM(H111:H138)*0.11</f>
        <v>43294.284</v>
      </c>
      <c r="G139" s="104"/>
      <c r="H139" s="85">
        <f t="shared" si="10"/>
        <v>43294.284</v>
      </c>
      <c r="I139" s="105"/>
    </row>
    <row r="140" spans="2:16" ht="16.5" thickBot="1">
      <c r="B140" s="94" t="s">
        <v>150</v>
      </c>
      <c r="C140" s="82"/>
      <c r="D140" s="132"/>
      <c r="E140" s="83"/>
      <c r="F140" s="87"/>
      <c r="G140" s="87"/>
      <c r="H140" s="111"/>
      <c r="I140" s="101">
        <f>CEILING(SUM(H110:H139),100)</f>
        <v>436900</v>
      </c>
    </row>
    <row r="141" spans="2:16" ht="16.5" thickBot="1">
      <c r="B141" s="536" t="s">
        <v>151</v>
      </c>
      <c r="C141" s="537"/>
      <c r="D141" s="537"/>
      <c r="E141" s="537"/>
      <c r="F141" s="537"/>
      <c r="G141" s="537"/>
      <c r="H141" s="537"/>
      <c r="I141" s="103">
        <f>SUM(I7,I27,I44,I102,I107,I140)</f>
        <v>3762500</v>
      </c>
    </row>
    <row r="142" spans="2:16" ht="15.75" thickBot="1">
      <c r="B142" s="346" t="s">
        <v>153</v>
      </c>
      <c r="C142" s="99"/>
      <c r="D142" s="166">
        <f>'Master Tab'!C29</f>
        <v>0</v>
      </c>
      <c r="E142" s="167" t="s">
        <v>159</v>
      </c>
      <c r="F142" s="168">
        <f>'Master Tab'!C30</f>
        <v>2.5000000000000001E-2</v>
      </c>
      <c r="G142" s="97"/>
      <c r="H142" s="102"/>
      <c r="I142" s="95">
        <f>CEILING(-(FV(F142,D142,0,SUM(I140,I44,I27,I7),1))-(SUM(I140,I44,I27,I7)),100)+CEILING(-(FV(F142,D142+1,0,SUM(I107,I102),1))-(SUM(I107,I102)),100)</f>
        <v>60700</v>
      </c>
      <c r="K142" s="506"/>
      <c r="L142" s="506"/>
      <c r="M142" s="506"/>
      <c r="N142" s="506"/>
      <c r="O142" s="506"/>
      <c r="P142" s="506"/>
    </row>
    <row r="143" spans="2:16" ht="15.75" thickBot="1">
      <c r="B143" s="532" t="s">
        <v>152</v>
      </c>
      <c r="C143" s="533"/>
      <c r="D143" s="170"/>
      <c r="E143" s="171"/>
      <c r="F143" s="169">
        <f>'Master Tab'!C31</f>
        <v>0.15</v>
      </c>
      <c r="G143" s="88"/>
      <c r="H143" s="102"/>
      <c r="I143" s="98">
        <f>CEILING((I141)*F143,100)</f>
        <v>564400</v>
      </c>
    </row>
    <row r="144" spans="2:16" ht="19.5" thickBot="1">
      <c r="B144" s="529" t="s">
        <v>154</v>
      </c>
      <c r="C144" s="530"/>
      <c r="D144" s="530"/>
      <c r="E144" s="530"/>
      <c r="F144" s="530"/>
      <c r="G144" s="530"/>
      <c r="H144" s="531"/>
      <c r="I144" s="96">
        <f>SUM(I141:I143)</f>
        <v>4387600</v>
      </c>
    </row>
    <row r="145" spans="2:3">
      <c r="B145" s="1" t="s">
        <v>7</v>
      </c>
      <c r="C145" t="s">
        <v>7</v>
      </c>
    </row>
    <row r="146" spans="2:3">
      <c r="B146" s="1" t="s">
        <v>7</v>
      </c>
      <c r="C146" t="s">
        <v>7</v>
      </c>
    </row>
  </sheetData>
  <protectedRanges>
    <protectedRange algorithmName="SHA-512" hashValue="98mvCEbsVTr0NrpZIc/15xCyc5XMAKIcQ32f6j26GlFJjqit7togokYXh1ezGpBBO38H70R7ZV7Kl2qfUZxfXQ==" saltValue="m/mfSvZWqLmC52Rm2aeRyw==" spinCount="100000" sqref="K7:Q9 Q6 L30:Q39 B140:Q148 B139 I139:Q139 B44:Q46 L41:Q43 A1:Q4 B26:J29 K24:Q29 A24:A39 E24:J25 B102:Q104 B107:Q119 B105:C106 N105:Q106 A136:A148 B136:Q138 A41:A68 M47:Q68 A70:A90 M70:Q90 M92:Q101 A92:A119 A120:Q135 A6:J9 A5:E5 G5:J5" name="Range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UG+0yrph1YufCusZCjzc7qoekVnDNADQ8UOdE7Z0KZG3aWJXRcf5QAckVVzZelsRqwDDHdHmrggyyI82AAZZEQ==" saltValue="mSZWX7vCKB1mMkQa2otVIw==" spinCount="100000" sqref="P6" name="Range1_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K6:O6" name="Range1_2"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D30:K31 D38:K39 G32:K37 D41:K42 D43:E43 G43:K43 D32:E37 D49" name="Range1_4"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C139:H139" name="Range1_5"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B30:C39 B42:C43 B41" name="Range1_3"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A69 A91 M69:Q69 M91:Q91" name="Range1_8"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F32:F37" name="Range1_9"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TgN2v4D1fCFeftgjUK9pEnAKUNQeBvGTEn7HgMYP3TgK+Lnb8CEJvr9mDUM9krxFyvgX1rqREi6Bj66egkIy9w==" saltValue="VQoFCzDNmxNbXYp+WTQXog==" spinCount="100000" sqref="A40:XFD40" name="Range1_18" securityDescriptor="O:WDG:WDD:(A;;CC;;;S-1-5-21-577582919-1435025626-1914702595-3940917)(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C41" name="Range1_10"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A10:A23 D10:XFD10 E11:XFD23 D11:D25" name="Range1_1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B10:C25" name="Range1_13"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98mvCEbsVTr0NrpZIc/15xCyc5XMAKIcQ32f6j26GlFJjqit7togokYXh1ezGpBBO38H70R7ZV7Kl2qfUZxfXQ==" saltValue="m/mfSvZWqLmC52Rm2aeRyw==" spinCount="100000" sqref="B66:J67 L66:L67 L82:L84 B47:L47 L70:L77 K76:K77 B82:J84 B91:J94 B68:L68 K69:K73 B78:L81 K82:K85 K92:K94 B70:J77 B48:J48 L48:L50 B51:L65 B86:L90 L91:L101 B95:B101 B50:J50 B49:C49 E49:J49" name="Range1_12"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K74 K66" name="Range1_6_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K75 K67" name="Range1_7_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K91 B69:J69 L69 B85:J85 L85" name="Range1_8_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98mvCEbsVTr0NrpZIc/15xCyc5XMAKIcQ32f6j26GlFJjqit7togokYXh1ezGpBBO38H70R7ZV7Kl2qfUZxfXQ==" saltValue="m/mfSvZWqLmC52Rm2aeRyw==" spinCount="100000" sqref="C95:K101" name="Range1_14"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K48:K50" name="Range1_4_2"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D105:J106" name="Range1_6"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L105:M106" name="Range1_11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F43" name="Range1_7"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F5" name="Range1_15"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K105:K106" name="Range1_11_2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s>
  <mergeCells count="8">
    <mergeCell ref="C1:G1"/>
    <mergeCell ref="C2:G2"/>
    <mergeCell ref="K3:Q3"/>
    <mergeCell ref="K4:Q4"/>
    <mergeCell ref="K142:P142"/>
    <mergeCell ref="B143:C143"/>
    <mergeCell ref="B144:H144"/>
    <mergeCell ref="B141:H141"/>
  </mergeCells>
  <pageMargins left="0.7" right="0.7" top="0.75" bottom="0.75" header="0.3" footer="0.3"/>
  <pageSetup scale="63" fitToHeight="0" orientation="landscape" r:id="rId1"/>
  <headerFooter>
    <oddHeader>&amp;R&amp;"Times New Roman,Bold"&amp;10KyPSC Case No. 2025-00229
STAFF-DR-01-005(b) Attachment 3
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97EC9-85FE-4280-8C07-0CC1AF2463C5}">
  <sheetPr>
    <tabColor rgb="FFFF0000"/>
  </sheetPr>
  <dimension ref="B1:Q60"/>
  <sheetViews>
    <sheetView view="pageLayout" topLeftCell="E1" zoomScaleNormal="100" workbookViewId="0">
      <selection activeCell="E24" sqref="E24"/>
    </sheetView>
  </sheetViews>
  <sheetFormatPr defaultRowHeight="15"/>
  <cols>
    <col min="2" max="2" width="17.7109375" style="1" customWidth="1"/>
    <col min="3" max="3" width="37.5703125" bestFit="1" customWidth="1"/>
    <col min="4" max="4" width="11.5703125" style="139" customWidth="1"/>
    <col min="5" max="5" width="13.85546875" style="1" customWidth="1"/>
    <col min="6" max="6" width="13" style="86" customWidth="1"/>
    <col min="7" max="7" width="0.85546875" style="86" customWidth="1"/>
    <col min="8" max="8" width="16.28515625" style="86" customWidth="1"/>
    <col min="9" max="9" width="21.140625" style="86" customWidth="1"/>
    <col min="10" max="10" width="3.7109375" customWidth="1"/>
  </cols>
  <sheetData>
    <row r="1" spans="2:17" ht="23.25">
      <c r="B1" s="119"/>
      <c r="C1" s="528" t="str">
        <f>'Master Tab'!$C$8</f>
        <v>Line AM07 Phase 3</v>
      </c>
      <c r="D1" s="528"/>
      <c r="E1" s="528"/>
      <c r="F1" s="528"/>
      <c r="G1" s="528"/>
      <c r="H1" s="120"/>
      <c r="I1" s="121"/>
    </row>
    <row r="2" spans="2:17" ht="19.5" thickBot="1">
      <c r="B2" s="345">
        <f>'Master Tab'!$C$9</f>
        <v>45427</v>
      </c>
      <c r="C2" s="527" t="s">
        <v>58</v>
      </c>
      <c r="D2" s="527"/>
      <c r="E2" s="527"/>
      <c r="F2" s="527"/>
      <c r="G2" s="527"/>
      <c r="H2" s="122" t="s">
        <v>94</v>
      </c>
      <c r="I2" s="123" t="str">
        <f>'Master Tab'!$C$6</f>
        <v>F-Initiate 60% Refresh</v>
      </c>
    </row>
    <row r="3" spans="2:17" ht="30.75" thickBot="1">
      <c r="B3" s="125" t="s">
        <v>95</v>
      </c>
      <c r="C3" s="124" t="s">
        <v>96</v>
      </c>
      <c r="D3" s="131" t="s">
        <v>97</v>
      </c>
      <c r="E3" s="125" t="s">
        <v>98</v>
      </c>
      <c r="F3" s="126" t="s">
        <v>99</v>
      </c>
      <c r="G3" s="126"/>
      <c r="H3" s="126" t="s">
        <v>177</v>
      </c>
      <c r="I3" s="126" t="s">
        <v>100</v>
      </c>
      <c r="K3" s="506" t="s">
        <v>101</v>
      </c>
      <c r="L3" s="506"/>
      <c r="M3" s="506"/>
      <c r="N3" s="506"/>
      <c r="O3" s="506"/>
      <c r="P3" s="506"/>
      <c r="Q3" s="506"/>
    </row>
    <row r="4" spans="2:17" ht="15.75">
      <c r="B4" s="94" t="s">
        <v>102</v>
      </c>
      <c r="C4" s="81"/>
      <c r="D4" s="132"/>
      <c r="E4" s="83"/>
      <c r="F4" s="84"/>
      <c r="G4" s="84"/>
      <c r="H4" s="84"/>
      <c r="I4" s="93"/>
      <c r="K4" s="526" t="s">
        <v>157</v>
      </c>
      <c r="L4" s="526"/>
      <c r="M4" s="526"/>
      <c r="N4" s="526"/>
      <c r="O4" s="526"/>
      <c r="P4" s="526"/>
      <c r="Q4" s="526"/>
    </row>
    <row r="5" spans="2:17">
      <c r="B5" s="12" t="s">
        <v>593</v>
      </c>
      <c r="C5" s="2" t="s">
        <v>73</v>
      </c>
      <c r="D5" s="129">
        <f>'Master Tab'!$C$17</f>
        <v>40</v>
      </c>
      <c r="E5" s="92" t="s">
        <v>320</v>
      </c>
      <c r="F5" s="85">
        <v>500</v>
      </c>
      <c r="G5" s="104" t="s">
        <v>7</v>
      </c>
      <c r="H5" s="85">
        <f>CEILING(F5*D5,100)</f>
        <v>20000</v>
      </c>
      <c r="I5" s="105"/>
    </row>
    <row r="6" spans="2:17">
      <c r="B6" s="12" t="s">
        <v>594</v>
      </c>
      <c r="C6" s="2" t="s">
        <v>104</v>
      </c>
      <c r="D6" s="129">
        <f>'Master Tab'!$C$17</f>
        <v>40</v>
      </c>
      <c r="E6" s="92" t="s">
        <v>320</v>
      </c>
      <c r="F6" s="85">
        <v>100</v>
      </c>
      <c r="G6" s="104" t="s">
        <v>7</v>
      </c>
      <c r="H6" s="85">
        <f>CEILING(F6*D6,100)</f>
        <v>4000</v>
      </c>
      <c r="I6" s="105"/>
      <c r="L6" t="s">
        <v>7</v>
      </c>
      <c r="M6" t="s">
        <v>7</v>
      </c>
    </row>
    <row r="7" spans="2:17" ht="15.75">
      <c r="B7" s="94" t="s">
        <v>106</v>
      </c>
      <c r="C7" s="81"/>
      <c r="D7" s="132"/>
      <c r="E7" s="83"/>
      <c r="F7" s="84"/>
      <c r="G7" s="84"/>
      <c r="H7" s="84"/>
      <c r="I7" s="93">
        <f>SUM(H5:H6)</f>
        <v>24000</v>
      </c>
    </row>
    <row r="8" spans="2:17" ht="8.25" customHeight="1">
      <c r="B8" s="350"/>
      <c r="C8" s="107"/>
      <c r="D8" s="133"/>
      <c r="E8" s="106"/>
      <c r="F8" s="108"/>
      <c r="G8" s="108"/>
      <c r="H8" s="108"/>
      <c r="I8" s="109"/>
    </row>
    <row r="9" spans="2:17" ht="15.75">
      <c r="B9" s="94" t="s">
        <v>107</v>
      </c>
      <c r="C9" s="81"/>
      <c r="D9" s="132"/>
      <c r="E9" s="83"/>
      <c r="F9" s="84"/>
      <c r="G9" s="84"/>
      <c r="H9" s="84"/>
      <c r="I9" s="93"/>
    </row>
    <row r="10" spans="2:17" ht="30">
      <c r="B10" s="12" t="s">
        <v>586</v>
      </c>
      <c r="C10" s="427" t="s">
        <v>961</v>
      </c>
      <c r="D10" s="129">
        <v>1</v>
      </c>
      <c r="E10" s="420" t="s">
        <v>119</v>
      </c>
      <c r="F10" s="421">
        <v>142830</v>
      </c>
      <c r="G10" s="422"/>
      <c r="H10" s="421">
        <f>F10*D10</f>
        <v>142830</v>
      </c>
      <c r="I10" s="105"/>
    </row>
    <row r="11" spans="2:17">
      <c r="B11" s="12" t="s">
        <v>587</v>
      </c>
      <c r="C11" s="2" t="s">
        <v>109</v>
      </c>
      <c r="D11" s="129">
        <f>(($I$20+$I$41+$I$54)*0)/F11</f>
        <v>0</v>
      </c>
      <c r="E11" s="92" t="s">
        <v>103</v>
      </c>
      <c r="F11" s="85">
        <v>125</v>
      </c>
      <c r="G11" s="104"/>
      <c r="H11" s="85">
        <f>F11*D11</f>
        <v>0</v>
      </c>
      <c r="I11" s="105"/>
    </row>
    <row r="12" spans="2:17">
      <c r="B12" s="12" t="s">
        <v>592</v>
      </c>
      <c r="C12" s="2" t="s">
        <v>110</v>
      </c>
      <c r="D12" s="136">
        <v>1</v>
      </c>
      <c r="E12" s="165" t="s">
        <v>119</v>
      </c>
      <c r="F12" s="85">
        <v>0</v>
      </c>
      <c r="G12" s="104"/>
      <c r="H12" s="85">
        <f>F12*D12</f>
        <v>0</v>
      </c>
      <c r="I12" s="105"/>
      <c r="K12" t="s">
        <v>206</v>
      </c>
    </row>
    <row r="13" spans="2:17" ht="15.75">
      <c r="B13" s="94" t="s">
        <v>111</v>
      </c>
      <c r="C13" s="81"/>
      <c r="D13" s="132"/>
      <c r="E13" s="83"/>
      <c r="F13" s="84"/>
      <c r="G13" s="84"/>
      <c r="H13" s="110"/>
      <c r="I13" s="93">
        <f>CEILING(SUM(H10:H12),100)</f>
        <v>142900</v>
      </c>
    </row>
    <row r="14" spans="2:17" ht="8.25" customHeight="1">
      <c r="B14" s="350"/>
      <c r="C14" s="107"/>
      <c r="D14" s="133"/>
      <c r="E14" s="106"/>
      <c r="F14" s="108"/>
      <c r="G14" s="108"/>
      <c r="H14" s="108"/>
      <c r="I14" s="109"/>
    </row>
    <row r="15" spans="2:17" ht="15.75">
      <c r="B15" s="94" t="s">
        <v>112</v>
      </c>
      <c r="C15" s="81"/>
      <c r="D15" s="132"/>
      <c r="E15" s="83"/>
      <c r="F15" s="84"/>
      <c r="G15" s="84"/>
      <c r="H15" s="84"/>
      <c r="I15" s="93"/>
    </row>
    <row r="16" spans="2:17">
      <c r="B16" s="12" t="s">
        <v>369</v>
      </c>
      <c r="C16" s="2" t="s">
        <v>354</v>
      </c>
      <c r="D16" s="134">
        <v>0</v>
      </c>
      <c r="E16" s="3" t="s">
        <v>113</v>
      </c>
      <c r="F16" s="242">
        <v>45000</v>
      </c>
      <c r="G16" s="104"/>
      <c r="H16" s="85">
        <f>CEILING(F16*D16,100)</f>
        <v>0</v>
      </c>
      <c r="I16" s="105"/>
      <c r="M16" t="s">
        <v>7</v>
      </c>
    </row>
    <row r="17" spans="2:12">
      <c r="B17" s="12" t="s">
        <v>369</v>
      </c>
      <c r="C17" s="2" t="s">
        <v>357</v>
      </c>
      <c r="D17" s="134">
        <v>0</v>
      </c>
      <c r="E17" s="3" t="s">
        <v>113</v>
      </c>
      <c r="F17" s="242">
        <v>5000</v>
      </c>
      <c r="G17" s="104"/>
      <c r="H17" s="85">
        <f>CEILING(F17*D17,100)</f>
        <v>0</v>
      </c>
      <c r="I17" s="105"/>
    </row>
    <row r="18" spans="2:12">
      <c r="B18" s="12" t="s">
        <v>370</v>
      </c>
      <c r="C18" s="2" t="s">
        <v>321</v>
      </c>
      <c r="D18" s="134">
        <v>0</v>
      </c>
      <c r="E18" s="3" t="s">
        <v>138</v>
      </c>
      <c r="F18" s="85">
        <v>10000</v>
      </c>
      <c r="G18" s="104"/>
      <c r="H18" s="85">
        <f>CEILING(F18*D18,100)</f>
        <v>0</v>
      </c>
      <c r="I18" s="105"/>
    </row>
    <row r="19" spans="2:12">
      <c r="B19" s="12" t="s">
        <v>372</v>
      </c>
      <c r="C19" s="2" t="s">
        <v>366</v>
      </c>
      <c r="D19" s="134">
        <v>0</v>
      </c>
      <c r="E19" s="3" t="s">
        <v>114</v>
      </c>
      <c r="F19" s="85">
        <v>10000</v>
      </c>
      <c r="G19" s="104"/>
      <c r="H19" s="85">
        <f>CEILING(F19*D19,100)</f>
        <v>0</v>
      </c>
      <c r="I19" s="105"/>
    </row>
    <row r="20" spans="2:12" ht="15.75">
      <c r="B20" s="94" t="s">
        <v>116</v>
      </c>
      <c r="C20" s="81"/>
      <c r="D20" s="132"/>
      <c r="E20" s="83"/>
      <c r="F20" s="84"/>
      <c r="G20" s="110"/>
      <c r="H20" s="84"/>
      <c r="I20" s="93">
        <f>SUM(H16:H19)</f>
        <v>0</v>
      </c>
    </row>
    <row r="21" spans="2:12" ht="8.25" customHeight="1">
      <c r="B21" s="350"/>
      <c r="C21" s="107"/>
      <c r="D21" s="133"/>
      <c r="E21" s="106"/>
      <c r="F21" s="108"/>
      <c r="G21" s="108"/>
      <c r="H21" s="108"/>
      <c r="I21" s="109"/>
    </row>
    <row r="22" spans="2:12" ht="15.75">
      <c r="B22" s="94" t="s">
        <v>117</v>
      </c>
      <c r="C22" s="81"/>
      <c r="D22" s="135">
        <v>0</v>
      </c>
      <c r="E22" s="90" t="s">
        <v>172</v>
      </c>
      <c r="F22" s="91"/>
      <c r="G22" s="89"/>
      <c r="H22" s="89"/>
      <c r="I22" s="93"/>
    </row>
    <row r="23" spans="2:12">
      <c r="B23" s="12">
        <v>850</v>
      </c>
      <c r="C23" s="2" t="s">
        <v>120</v>
      </c>
      <c r="D23" s="136">
        <v>1</v>
      </c>
      <c r="E23" s="92" t="s">
        <v>119</v>
      </c>
      <c r="F23" s="112">
        <f>(SUM(H24:H40)*K23)</f>
        <v>36000</v>
      </c>
      <c r="G23" s="104"/>
      <c r="H23" s="85">
        <f>F23*D23</f>
        <v>36000</v>
      </c>
      <c r="I23" s="105"/>
      <c r="K23" s="113">
        <v>0.1</v>
      </c>
      <c r="L23" t="s">
        <v>121</v>
      </c>
    </row>
    <row r="24" spans="2:12">
      <c r="B24" s="12"/>
      <c r="C24" s="2" t="s">
        <v>173</v>
      </c>
      <c r="D24" s="134">
        <v>5</v>
      </c>
      <c r="E24" s="3" t="s">
        <v>136</v>
      </c>
      <c r="F24" s="85">
        <v>7500</v>
      </c>
      <c r="G24" s="104"/>
      <c r="H24" s="85">
        <f t="shared" ref="H24:H40" si="0">F24*D24</f>
        <v>37500</v>
      </c>
      <c r="I24" s="105"/>
      <c r="K24" t="s">
        <v>816</v>
      </c>
    </row>
    <row r="25" spans="2:12">
      <c r="B25" s="12">
        <v>823</v>
      </c>
      <c r="C25" s="2" t="s">
        <v>657</v>
      </c>
      <c r="D25" s="134">
        <v>1</v>
      </c>
      <c r="E25" s="3" t="s">
        <v>167</v>
      </c>
      <c r="F25" s="85">
        <v>0</v>
      </c>
      <c r="G25" s="104"/>
      <c r="H25" s="85">
        <f t="shared" si="0"/>
        <v>0</v>
      </c>
      <c r="I25" s="105"/>
    </row>
    <row r="26" spans="2:12">
      <c r="B26" s="12">
        <v>824</v>
      </c>
      <c r="C26" s="2" t="s">
        <v>658</v>
      </c>
      <c r="D26" s="134">
        <v>100</v>
      </c>
      <c r="E26" s="3" t="s">
        <v>125</v>
      </c>
      <c r="F26" s="85">
        <v>2125</v>
      </c>
      <c r="G26" s="104"/>
      <c r="H26" s="85">
        <f t="shared" si="0"/>
        <v>212500</v>
      </c>
      <c r="I26" s="105"/>
      <c r="K26" t="s">
        <v>817</v>
      </c>
    </row>
    <row r="27" spans="2:12">
      <c r="B27" s="12"/>
      <c r="C27" s="2" t="s">
        <v>174</v>
      </c>
      <c r="D27" s="134">
        <v>10</v>
      </c>
      <c r="E27" s="3" t="s">
        <v>812</v>
      </c>
      <c r="F27" s="85">
        <v>3750</v>
      </c>
      <c r="G27" s="104"/>
      <c r="H27" s="85">
        <f t="shared" si="0"/>
        <v>37500</v>
      </c>
      <c r="I27" s="105"/>
    </row>
    <row r="28" spans="2:12">
      <c r="B28" s="12"/>
      <c r="C28" s="2" t="s">
        <v>254</v>
      </c>
      <c r="D28" s="134">
        <v>0</v>
      </c>
      <c r="E28" s="3" t="s">
        <v>119</v>
      </c>
      <c r="F28" s="85">
        <v>50000</v>
      </c>
      <c r="G28" s="104"/>
      <c r="H28" s="85">
        <f t="shared" si="0"/>
        <v>0</v>
      </c>
      <c r="I28" s="105"/>
    </row>
    <row r="29" spans="2:12">
      <c r="B29" s="12"/>
      <c r="C29" s="419" t="s">
        <v>811</v>
      </c>
      <c r="D29" s="423">
        <v>1</v>
      </c>
      <c r="E29" s="424" t="s">
        <v>119</v>
      </c>
      <c r="F29" s="421">
        <v>25000</v>
      </c>
      <c r="G29" s="422"/>
      <c r="H29" s="421">
        <f t="shared" si="0"/>
        <v>25000</v>
      </c>
      <c r="I29" s="105"/>
      <c r="K29" t="s">
        <v>813</v>
      </c>
    </row>
    <row r="30" spans="2:12">
      <c r="B30" s="12" t="s">
        <v>608</v>
      </c>
      <c r="C30" s="2" t="s">
        <v>207</v>
      </c>
      <c r="D30" s="134">
        <v>0</v>
      </c>
      <c r="E30" s="3" t="s">
        <v>138</v>
      </c>
      <c r="F30" s="85">
        <v>75000</v>
      </c>
      <c r="G30" s="104"/>
      <c r="H30" s="85">
        <f t="shared" si="0"/>
        <v>0</v>
      </c>
      <c r="I30" s="105"/>
      <c r="L30" t="s">
        <v>7</v>
      </c>
    </row>
    <row r="31" spans="2:12">
      <c r="B31" s="12" t="s">
        <v>608</v>
      </c>
      <c r="C31" s="2" t="s">
        <v>255</v>
      </c>
      <c r="D31" s="134">
        <v>0</v>
      </c>
      <c r="E31" s="3" t="s">
        <v>138</v>
      </c>
      <c r="F31" s="85">
        <v>35000</v>
      </c>
      <c r="G31" s="104"/>
      <c r="H31" s="85">
        <f t="shared" si="0"/>
        <v>0</v>
      </c>
      <c r="I31" s="105"/>
    </row>
    <row r="32" spans="2:12">
      <c r="B32" s="12" t="s">
        <v>608</v>
      </c>
      <c r="C32" s="2" t="s">
        <v>256</v>
      </c>
      <c r="D32" s="134">
        <v>0</v>
      </c>
      <c r="E32" s="3" t="s">
        <v>138</v>
      </c>
      <c r="F32" s="85">
        <v>50000</v>
      </c>
      <c r="G32" s="104"/>
      <c r="H32" s="85">
        <f t="shared" si="0"/>
        <v>0</v>
      </c>
      <c r="I32" s="105"/>
    </row>
    <row r="33" spans="2:9">
      <c r="B33" s="12" t="s">
        <v>608</v>
      </c>
      <c r="C33" s="2" t="s">
        <v>257</v>
      </c>
      <c r="D33" s="134">
        <v>0</v>
      </c>
      <c r="E33" s="3" t="s">
        <v>138</v>
      </c>
      <c r="F33" s="85">
        <v>85000</v>
      </c>
      <c r="G33" s="104"/>
      <c r="H33" s="85">
        <f t="shared" si="0"/>
        <v>0</v>
      </c>
      <c r="I33" s="105"/>
    </row>
    <row r="34" spans="2:9">
      <c r="B34" s="12"/>
      <c r="C34" s="2" t="s">
        <v>208</v>
      </c>
      <c r="D34" s="134">
        <v>1</v>
      </c>
      <c r="E34" s="3" t="s">
        <v>814</v>
      </c>
      <c r="F34" s="85">
        <v>10000</v>
      </c>
      <c r="G34" s="104"/>
      <c r="H34" s="85">
        <f t="shared" si="0"/>
        <v>10000</v>
      </c>
      <c r="I34" s="105"/>
    </row>
    <row r="35" spans="2:9">
      <c r="B35" s="12"/>
      <c r="C35" s="2" t="s">
        <v>211</v>
      </c>
      <c r="D35" s="134">
        <v>1</v>
      </c>
      <c r="E35" s="3" t="s">
        <v>119</v>
      </c>
      <c r="F35" s="85">
        <v>25000</v>
      </c>
      <c r="G35" s="104"/>
      <c r="H35" s="85">
        <f t="shared" si="0"/>
        <v>25000</v>
      </c>
      <c r="I35" s="105"/>
    </row>
    <row r="36" spans="2:9">
      <c r="B36" s="12"/>
      <c r="C36" s="2" t="s">
        <v>209</v>
      </c>
      <c r="D36" s="134">
        <v>1</v>
      </c>
      <c r="E36" s="3" t="s">
        <v>210</v>
      </c>
      <c r="F36" s="85">
        <v>12500</v>
      </c>
      <c r="G36" s="104"/>
      <c r="H36" s="85">
        <f t="shared" si="0"/>
        <v>12500</v>
      </c>
      <c r="I36" s="105"/>
    </row>
    <row r="37" spans="2:9">
      <c r="B37" s="12"/>
      <c r="C37" s="2" t="s">
        <v>135</v>
      </c>
      <c r="D37" s="134">
        <v>0</v>
      </c>
      <c r="E37" s="3" t="s">
        <v>136</v>
      </c>
      <c r="F37" s="85">
        <v>0</v>
      </c>
      <c r="G37" s="104"/>
      <c r="H37" s="85">
        <f t="shared" si="0"/>
        <v>0</v>
      </c>
      <c r="I37" s="105"/>
    </row>
    <row r="38" spans="2:9">
      <c r="B38" s="12"/>
      <c r="C38" s="2" t="s">
        <v>392</v>
      </c>
      <c r="D38" s="134">
        <v>0</v>
      </c>
      <c r="E38" s="3" t="s">
        <v>124</v>
      </c>
      <c r="F38" s="141">
        <v>0</v>
      </c>
      <c r="G38" s="104"/>
      <c r="H38" s="85">
        <f t="shared" si="0"/>
        <v>0</v>
      </c>
      <c r="I38" s="105"/>
    </row>
    <row r="39" spans="2:9">
      <c r="B39" s="12"/>
      <c r="C39" s="2" t="s">
        <v>393</v>
      </c>
      <c r="D39" s="134">
        <v>0</v>
      </c>
      <c r="E39" s="3" t="s">
        <v>123</v>
      </c>
      <c r="F39" s="85">
        <v>0</v>
      </c>
      <c r="G39" s="104"/>
      <c r="H39" s="85">
        <f t="shared" si="0"/>
        <v>0</v>
      </c>
      <c r="I39" s="105"/>
    </row>
    <row r="40" spans="2:9">
      <c r="B40" s="12"/>
      <c r="C40" s="2" t="s">
        <v>137</v>
      </c>
      <c r="D40" s="134">
        <v>0</v>
      </c>
      <c r="E40" s="3" t="s">
        <v>138</v>
      </c>
      <c r="F40" s="85">
        <v>0</v>
      </c>
      <c r="G40" s="104"/>
      <c r="H40" s="85">
        <f t="shared" si="0"/>
        <v>0</v>
      </c>
      <c r="I40" s="105"/>
    </row>
    <row r="41" spans="2:9" ht="15.75">
      <c r="B41" s="351" t="s">
        <v>7</v>
      </c>
      <c r="C41" s="81"/>
      <c r="D41" s="132"/>
      <c r="E41" s="83"/>
      <c r="F41" s="84"/>
      <c r="G41" s="84"/>
      <c r="H41" s="110"/>
      <c r="I41" s="93">
        <f>CEILING(SUM(H23:H40),100)</f>
        <v>396000</v>
      </c>
    </row>
    <row r="42" spans="2:9" ht="8.25" customHeight="1">
      <c r="B42" s="350"/>
      <c r="C42" s="107"/>
      <c r="D42" s="133"/>
      <c r="E42" s="106"/>
      <c r="F42" s="108"/>
      <c r="G42" s="108"/>
      <c r="H42" s="108"/>
      <c r="I42" s="109"/>
    </row>
    <row r="43" spans="2:9" ht="15.75">
      <c r="B43" s="94" t="s">
        <v>139</v>
      </c>
      <c r="C43" s="81"/>
      <c r="D43" s="132"/>
      <c r="E43" s="83"/>
      <c r="F43" s="84"/>
      <c r="G43" s="84"/>
      <c r="H43" s="84"/>
      <c r="I43" s="93"/>
    </row>
    <row r="44" spans="2:9">
      <c r="B44" s="12" t="s">
        <v>600</v>
      </c>
      <c r="C44" s="2" t="s">
        <v>140</v>
      </c>
      <c r="D44" s="129">
        <f>($I$41*0.14)/$F$44</f>
        <v>66.000000000000014</v>
      </c>
      <c r="E44" s="92" t="s">
        <v>141</v>
      </c>
      <c r="F44" s="85">
        <v>840</v>
      </c>
      <c r="G44" s="104"/>
      <c r="H44" s="85">
        <f>F44*D44</f>
        <v>55440.000000000015</v>
      </c>
      <c r="I44" s="105"/>
    </row>
    <row r="45" spans="2:9">
      <c r="B45" s="12" t="s">
        <v>601</v>
      </c>
      <c r="C45" s="2" t="s">
        <v>142</v>
      </c>
      <c r="D45" s="134">
        <v>0</v>
      </c>
      <c r="E45" s="3" t="s">
        <v>136</v>
      </c>
      <c r="F45" s="85">
        <v>2000</v>
      </c>
      <c r="G45" s="104"/>
      <c r="H45" s="85">
        <f>F45*D45</f>
        <v>0</v>
      </c>
      <c r="I45" s="105"/>
    </row>
    <row r="46" spans="2:9" ht="15.75">
      <c r="B46" s="94" t="s">
        <v>143</v>
      </c>
      <c r="C46" s="81"/>
      <c r="D46" s="132"/>
      <c r="E46" s="83"/>
      <c r="F46" s="84"/>
      <c r="G46" s="84"/>
      <c r="H46" s="110"/>
      <c r="I46" s="93">
        <f>CEILING(SUM(H44:H45),100)</f>
        <v>55500</v>
      </c>
    </row>
    <row r="47" spans="2:9" ht="8.25" customHeight="1">
      <c r="B47" s="350"/>
      <c r="C47" s="107"/>
      <c r="D47" s="133"/>
      <c r="E47" s="106"/>
      <c r="F47" s="108"/>
      <c r="G47" s="108"/>
      <c r="H47" s="108"/>
      <c r="I47" s="109"/>
    </row>
    <row r="48" spans="2:9" ht="15.75">
      <c r="B48" s="94" t="s">
        <v>144</v>
      </c>
      <c r="C48" s="81"/>
      <c r="D48" s="132"/>
      <c r="E48" s="83"/>
      <c r="F48" s="84"/>
      <c r="G48" s="84"/>
      <c r="H48" s="84"/>
      <c r="I48" s="93"/>
    </row>
    <row r="49" spans="2:16">
      <c r="B49" s="12" t="s">
        <v>602</v>
      </c>
      <c r="C49" s="2" t="s">
        <v>175</v>
      </c>
      <c r="D49" s="134">
        <v>1</v>
      </c>
      <c r="E49" s="3" t="s">
        <v>119</v>
      </c>
      <c r="F49" s="85">
        <v>5000</v>
      </c>
      <c r="G49" s="104"/>
      <c r="H49" s="85">
        <f>F49*D49</f>
        <v>5000</v>
      </c>
      <c r="I49" s="105"/>
    </row>
    <row r="50" spans="2:16">
      <c r="B50" s="12" t="s">
        <v>603</v>
      </c>
      <c r="C50" s="2" t="s">
        <v>176</v>
      </c>
      <c r="D50" s="134">
        <v>0</v>
      </c>
      <c r="E50" s="3" t="s">
        <v>138</v>
      </c>
      <c r="F50" s="85">
        <v>0</v>
      </c>
      <c r="G50" s="104"/>
      <c r="H50" s="85">
        <f>F50*D50</f>
        <v>0</v>
      </c>
      <c r="I50" s="105"/>
    </row>
    <row r="51" spans="2:16">
      <c r="B51" s="12" t="s">
        <v>603</v>
      </c>
      <c r="C51" s="2" t="s">
        <v>176</v>
      </c>
      <c r="D51" s="134">
        <v>0</v>
      </c>
      <c r="E51" s="3" t="s">
        <v>138</v>
      </c>
      <c r="F51" s="85">
        <v>0</v>
      </c>
      <c r="G51" s="104"/>
      <c r="H51" s="85">
        <f>F51*D51</f>
        <v>0</v>
      </c>
      <c r="I51" s="105"/>
    </row>
    <row r="52" spans="2:16">
      <c r="B52" s="12" t="s">
        <v>602</v>
      </c>
      <c r="C52" s="2" t="s">
        <v>149</v>
      </c>
      <c r="D52" s="134">
        <v>1</v>
      </c>
      <c r="E52" s="92" t="s">
        <v>105</v>
      </c>
      <c r="F52" s="112">
        <f>SUM(H49:H51)*0.1</f>
        <v>500</v>
      </c>
      <c r="G52" s="104"/>
      <c r="H52" s="85">
        <f>F52*D52</f>
        <v>500</v>
      </c>
      <c r="I52" s="105"/>
    </row>
    <row r="53" spans="2:16">
      <c r="B53" s="12" t="s">
        <v>602</v>
      </c>
      <c r="C53" s="2" t="s">
        <v>363</v>
      </c>
      <c r="D53" s="134">
        <v>1</v>
      </c>
      <c r="E53" s="92" t="s">
        <v>105</v>
      </c>
      <c r="F53" s="112">
        <f>SUM(H49:H52)*0.09</f>
        <v>495</v>
      </c>
      <c r="G53" s="104"/>
      <c r="H53" s="85">
        <f>F53*D53</f>
        <v>495</v>
      </c>
      <c r="I53" s="105"/>
    </row>
    <row r="54" spans="2:16" ht="16.5" thickBot="1">
      <c r="B54" s="94" t="s">
        <v>150</v>
      </c>
      <c r="C54" s="82"/>
      <c r="D54" s="132"/>
      <c r="E54" s="83"/>
      <c r="F54" s="87"/>
      <c r="G54" s="87"/>
      <c r="H54" s="111"/>
      <c r="I54" s="101">
        <f>CEILING(SUM(H49:H53),100)</f>
        <v>6000</v>
      </c>
    </row>
    <row r="55" spans="2:16" ht="16.5" thickBot="1">
      <c r="B55" s="536" t="s">
        <v>151</v>
      </c>
      <c r="C55" s="537"/>
      <c r="D55" s="537"/>
      <c r="E55" s="537"/>
      <c r="F55" s="537"/>
      <c r="G55" s="537"/>
      <c r="H55" s="537"/>
      <c r="I55" s="103">
        <f>SUM(I7,I13,I20,I41,I46,I54)</f>
        <v>624400</v>
      </c>
    </row>
    <row r="56" spans="2:16" ht="15.75" thickBot="1">
      <c r="B56" s="346" t="s">
        <v>153</v>
      </c>
      <c r="C56" s="99"/>
      <c r="D56" s="166">
        <f>'Master Tab'!C29</f>
        <v>0</v>
      </c>
      <c r="E56" s="167" t="s">
        <v>159</v>
      </c>
      <c r="F56" s="168">
        <f>'Master Tab'!C30</f>
        <v>2.5000000000000001E-2</v>
      </c>
      <c r="G56" s="97"/>
      <c r="H56" s="102"/>
      <c r="I56" s="95">
        <f>CEILING(-(FV(F56,D56,0,SUM(I54,I20,I13,I7),1))-(SUM(I54,I20,I13,I7)),100)+CEILING(-(FV(F56,D56+1,0,SUM(I46,I41),1))-(SUM(I41,I46)),100)</f>
        <v>11300</v>
      </c>
      <c r="K56" s="506"/>
      <c r="L56" s="506"/>
      <c r="M56" s="506"/>
      <c r="N56" s="506"/>
      <c r="O56" s="506"/>
      <c r="P56" s="506"/>
    </row>
    <row r="57" spans="2:16" ht="15.75" thickBot="1">
      <c r="B57" s="532" t="s">
        <v>152</v>
      </c>
      <c r="C57" s="533"/>
      <c r="D57" s="170"/>
      <c r="E57" s="171"/>
      <c r="F57" s="169">
        <f>'Master Tab'!C31</f>
        <v>0.15</v>
      </c>
      <c r="G57" s="88"/>
      <c r="H57" s="102"/>
      <c r="I57" s="98">
        <f>CEILING((I55)*F57,100)</f>
        <v>93700</v>
      </c>
    </row>
    <row r="58" spans="2:16" ht="19.5" thickBot="1">
      <c r="B58" s="529" t="s">
        <v>154</v>
      </c>
      <c r="C58" s="530"/>
      <c r="D58" s="530"/>
      <c r="E58" s="530"/>
      <c r="F58" s="530"/>
      <c r="G58" s="530"/>
      <c r="H58" s="531"/>
      <c r="I58" s="96">
        <f>SUM(I55:I57)</f>
        <v>729400</v>
      </c>
    </row>
    <row r="59" spans="2:16">
      <c r="B59" s="1" t="s">
        <v>7</v>
      </c>
      <c r="C59" t="s">
        <v>7</v>
      </c>
    </row>
    <row r="60" spans="2:16">
      <c r="B60" s="1" t="s">
        <v>7</v>
      </c>
      <c r="C60" t="s">
        <v>7</v>
      </c>
    </row>
  </sheetData>
  <protectedRanges>
    <protectedRange algorithmName="SHA-512" hashValue="b/W1Z7CpyamLclBLOEtRCtGodxrtaeliauQ3OUUHPm00YYsCNF8pTKSQiORYzJqUiQoLnhhRhce20619agOvZQ==" saltValue="xW25fNM3ubj+z+H1lkfzNA==" spinCount="100000" sqref="B1:Q4 K6:Q15 L16:Q19 B54:Q62 G53:Q53 B20:Q22 B13:J15 C10:J12 B7:J9 C6:J6 B46:Q48 C44:Q45 C49:Q52 C23:Q23 B41:Q43 A1:A62 M24:Q40 C5:E5 G5:J5" name="Range1" securityDescriptor="O:WDG:WDD:(A;;CC;;;S-1-5-21-577582919-1435025626-1914702595-3758999)(A;;CC;;;S-1-5-21-577582919-1435025626-1914702595-4020469)(A;;CC;;;S-1-5-21-577582919-1435025626-1914702595-4023729)(A;;CC;;;S-1-5-21-577582919-1435025626-1914702595-3758875)(A;;CC;;;S-1-5-21-577582919-1435025626-1914702595-3758127)"/>
    <protectedRange algorithmName="SHA-512" hashValue="IbmNoH/XH9GZlitwFdFY+V3LGy1xQ3NuyVDz7GZtIth0KYgNC0Qiwte8wkicOU0jJryaYhOoqvkAD5QQLEfb1g==" saltValue="AzvUTwuISd6SY3rDKW9o1w==" spinCount="100000" sqref="C16:K18" name="Range1_4"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D19:K19" name="Range1_4_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C53:F53" name="Range1_5"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B10:B11" name="Range1_13"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98mvCEbsVTr0NrpZIc/15xCyc5XMAKIcQ32f6j26GlFJjqit7togokYXh1ezGpBBO38H70R7ZV7Kl2qfUZxfXQ==" saltValue="m/mfSvZWqLmC52Rm2aeRyw==" spinCount="100000" sqref="B12" name="Range1_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98mvCEbsVTr0NrpZIc/15xCyc5XMAKIcQ32f6j26GlFJjqit7togokYXh1ezGpBBO38H70R7ZV7Kl2qfUZxfXQ==" saltValue="m/mfSvZWqLmC52Rm2aeRyw==" spinCount="100000" sqref="B5:B6" name="Range1_2"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B16:B17" name="Range1_3"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B18" name="Range1_3_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B19:C19" name="Range1_3_2"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98mvCEbsVTr0NrpZIc/15xCyc5XMAKIcQ32f6j26GlFJjqit7togokYXh1ezGpBBO38H70R7ZV7Kl2qfUZxfXQ==" saltValue="m/mfSvZWqLmC52Rm2aeRyw==" spinCount="100000" sqref="B44:B45" name="Range1_7"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98mvCEbsVTr0NrpZIc/15xCyc5XMAKIcQ32f6j26GlFJjqit7togokYXh1ezGpBBO38H70R7ZV7Kl2qfUZxfXQ==" saltValue="m/mfSvZWqLmC52Rm2aeRyw==" spinCount="100000" sqref="B52:B53" name="Range1_8"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B50" name="Range1_9"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B51" name="Range1_10"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98mvCEbsVTr0NrpZIc/15xCyc5XMAKIcQ32f6j26GlFJjqit7togokYXh1ezGpBBO38H70R7ZV7Kl2qfUZxfXQ==" saltValue="m/mfSvZWqLmC52Rm2aeRyw==" spinCount="100000" sqref="B49" name="Range1_1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98mvCEbsVTr0NrpZIc/15xCyc5XMAKIcQ32f6j26GlFJjqit7togokYXh1ezGpBBO38H70R7ZV7Kl2qfUZxfXQ==" saltValue="m/mfSvZWqLmC52Rm2aeRyw==" spinCount="100000" sqref="B23" name="Range1_12"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KtQ2KrvyGVLFTjNS9pAt6BSlfOFIJMY5bpVPzkKFDJhhd0hQDVAFTmorXHTBpiilI/LCNI4biPDulfGP4xzcQ==" saltValue="M+cZ7LL5lsQA6SrS8KmdqA==" spinCount="100000" sqref="B34:B36 B39:B40 L39:L40 L24:L36" name="Range1_6" securityDescriptor="O:WDG:WDD:(A;;CC;;;S-1-5-21-577582919-1435025626-1914702595-3758999)(A;;CC;;;S-1-5-21-577582919-1435025626-1914702595-4020469)(A;;CC;;;S-1-5-21-577582919-1435025626-1914702595-4023729)(A;;CC;;;S-1-5-21-577582919-1435025626-1914702595-3758875)(A;;CC;;;S-1-5-21-577582919-1435025626-1914702595-3758127)"/>
    <protectedRange algorithmName="SHA-512" hashValue="b/W1Z7CpyamLclBLOEtRCtGodxrtaeliauQ3OUUHPm00YYsCNF8pTKSQiORYzJqUiQoLnhhRhce20619agOvZQ==" saltValue="xW25fNM3ubj+z+H1lkfzNA==" spinCount="100000" sqref="B37:B38 L37:L38" name="Range1_3_3" securityDescriptor="O:WDG:WDD:(A;;CC;;;S-1-5-21-577582919-1435025626-1914702595-3758999)(A;;CC;;;S-1-5-21-577582919-1435025626-1914702595-4020469)(A;;CC;;;S-1-5-21-577582919-1435025626-1914702595-4023729)(A;;CC;;;S-1-5-21-577582919-1435025626-1914702595-3758875)(A;;CC;;;S-1-5-21-577582919-1435025626-1914702595-3758127)"/>
    <protectedRange algorithmName="SHA-512" hashValue="b/W1Z7CpyamLclBLOEtRCtGodxrtaeliauQ3OUUHPm00YYsCNF8pTKSQiORYzJqUiQoLnhhRhce20619agOvZQ==" saltValue="xW25fNM3ubj+z+H1lkfzNA==" spinCount="100000" sqref="G24:K24 C37:K40 G27:K36" name="Range1_10_1" securityDescriptor="O:WDG:WDD:(A;;CC;;;S-1-5-21-577582919-1435025626-1914702595-3758999)(A;;CC;;;S-1-5-21-577582919-1435025626-1914702595-4020469)(A;;CC;;;S-1-5-21-577582919-1435025626-1914702595-4023729)(A;;CC;;;S-1-5-21-577582919-1435025626-1914702595-3758875)(A;;CC;;;S-1-5-21-577582919-1435025626-1914702595-3758127)"/>
    <protectedRange algorithmName="SHA-512" hashValue="b/W1Z7CpyamLclBLOEtRCtGodxrtaeliauQ3OUUHPm00YYsCNF8pTKSQiORYzJqUiQoLnhhRhce20619agOvZQ==" saltValue="xW25fNM3ubj+z+H1lkfzNA==" spinCount="100000" sqref="B24 B27:B33" name="Range1_12_1" securityDescriptor="O:WDG:WDD:(A;;CC;;;S-1-5-21-577582919-1435025626-1914702595-3758999)(A;;CC;;;S-1-5-21-577582919-1435025626-1914702595-4020469)(A;;CC;;;S-1-5-21-577582919-1435025626-1914702595-4023729)(A;;CC;;;S-1-5-21-577582919-1435025626-1914702595-3758875)(A;;CC;;;S-1-5-21-577582919-1435025626-1914702595-3758127)"/>
    <protectedRange algorithmName="SHA-512" hashValue="98mvCEbsVTr0NrpZIc/15xCyc5XMAKIcQ32f6j26GlFJjqit7togokYXh1ezGpBBO38H70R7ZV7Kl2qfUZxfXQ==" saltValue="m/mfSvZWqLmC52Rm2aeRyw==" spinCount="100000" sqref="B25:B26 G25:K25 G26:J26" name="Range1_12_1_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98mvCEbsVTr0NrpZIc/15xCyc5XMAKIcQ32f6j26GlFJjqit7togokYXh1ezGpBBO38H70R7ZV7Kl2qfUZxfXQ==" saltValue="m/mfSvZWqLmC52Rm2aeRyw==" spinCount="100000" sqref="K26" name="Range1_12_1_1_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F5" name="Range1_14"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b/W1Z7CpyamLclBLOEtRCtGodxrtaeliauQ3OUUHPm00YYsCNF8pTKSQiORYzJqUiQoLnhhRhce20619agOvZQ==" saltValue="xW25fNM3ubj+z+H1lkfzNA==" spinCount="100000" sqref="C24:F24 C27:F36" name="Range1_10_1_2" securityDescriptor="O:WDG:WDD:(A;;CC;;;S-1-5-21-577582919-1435025626-1914702595-3758999)(A;;CC;;;S-1-5-21-577582919-1435025626-1914702595-4020469)(A;;CC;;;S-1-5-21-577582919-1435025626-1914702595-4023729)(A;;CC;;;S-1-5-21-577582919-1435025626-1914702595-3758875)(A;;CC;;;S-1-5-21-577582919-1435025626-1914702595-3758127)"/>
    <protectedRange algorithmName="SHA-512" hashValue="98mvCEbsVTr0NrpZIc/15xCyc5XMAKIcQ32f6j26GlFJjqit7togokYXh1ezGpBBO38H70R7ZV7Kl2qfUZxfXQ==" saltValue="m/mfSvZWqLmC52Rm2aeRyw==" spinCount="100000" sqref="C25:F26" name="Range1_12_1_1_3" securityDescriptor="O:WDG:WDD:(A;;CC;;;S-1-5-21-577582919-1435025626-1914702595-4020469)(A;;CC;;;S-1-5-21-577582919-1435025626-1914702595-3758999)(A;;CC;;;S-1-5-21-577582919-1435025626-1914702595-3758875)(A;;CC;;;S-1-5-21-577582919-1435025626-1914702595-4023729)(A;;CC;;;S-1-5-21-577582919-1435025626-1914702595-3758127)"/>
  </protectedRanges>
  <mergeCells count="8">
    <mergeCell ref="C1:G1"/>
    <mergeCell ref="C2:G2"/>
    <mergeCell ref="K56:P56"/>
    <mergeCell ref="B57:C57"/>
    <mergeCell ref="B58:H58"/>
    <mergeCell ref="B55:H55"/>
    <mergeCell ref="K3:Q3"/>
    <mergeCell ref="K4:Q4"/>
  </mergeCells>
  <pageMargins left="0.7" right="0.7" top="0.75" bottom="0.75" header="0.3" footer="0.3"/>
  <pageSetup scale="63" fitToHeight="0" orientation="landscape" r:id="rId1"/>
  <headerFooter>
    <oddHeader>&amp;R&amp;"Times New Roman,Bold"&amp;10KyPSC Case No. 2025-00229
STAFF-DR-01-005(b) Attachment 3
Page &amp;P of &amp;N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01DF9-5E5C-4516-A6D2-AB98DCB098C1}">
  <sheetPr codeName="Sheet1"/>
  <dimension ref="A1:V32"/>
  <sheetViews>
    <sheetView view="pageLayout" topLeftCell="B1" zoomScaleNormal="100" workbookViewId="0">
      <selection activeCell="E24" sqref="E24"/>
    </sheetView>
  </sheetViews>
  <sheetFormatPr defaultRowHeight="15"/>
  <cols>
    <col min="1" max="1" width="23.5703125" bestFit="1" customWidth="1"/>
    <col min="2" max="2" width="25.85546875" bestFit="1" customWidth="1"/>
  </cols>
  <sheetData>
    <row r="1" spans="1:2" ht="15.75" thickBot="1">
      <c r="A1" s="248" t="s">
        <v>408</v>
      </c>
    </row>
    <row r="2" spans="1:2">
      <c r="A2" s="249" t="s">
        <v>409</v>
      </c>
      <c r="B2" s="250" t="s">
        <v>410</v>
      </c>
    </row>
    <row r="3" spans="1:2">
      <c r="A3" s="251"/>
      <c r="B3" s="27" t="s">
        <v>411</v>
      </c>
    </row>
    <row r="4" spans="1:2">
      <c r="A4" s="251"/>
      <c r="B4" s="252" t="s">
        <v>412</v>
      </c>
    </row>
    <row r="5" spans="1:2" ht="15.75" thickBot="1">
      <c r="A5" s="253"/>
      <c r="B5" s="145" t="s">
        <v>413</v>
      </c>
    </row>
    <row r="6" spans="1:2">
      <c r="A6" s="249" t="s">
        <v>414</v>
      </c>
      <c r="B6" s="250" t="s">
        <v>415</v>
      </c>
    </row>
    <row r="7" spans="1:2">
      <c r="A7" s="251"/>
      <c r="B7" s="27" t="s">
        <v>416</v>
      </c>
    </row>
    <row r="8" spans="1:2" ht="15.75" thickBot="1">
      <c r="A8" s="253"/>
      <c r="B8" s="145" t="s">
        <v>417</v>
      </c>
    </row>
    <row r="9" spans="1:2">
      <c r="A9" s="249" t="s">
        <v>418</v>
      </c>
      <c r="B9" s="250" t="s">
        <v>4</v>
      </c>
    </row>
    <row r="10" spans="1:2" ht="15.75" thickBot="1">
      <c r="A10" s="253"/>
      <c r="B10" s="145" t="s">
        <v>5</v>
      </c>
    </row>
    <row r="11" spans="1:2">
      <c r="A11" s="249" t="s">
        <v>310</v>
      </c>
      <c r="B11" s="250" t="s">
        <v>419</v>
      </c>
    </row>
    <row r="12" spans="1:2" ht="17.649999999999999" customHeight="1">
      <c r="A12" s="251"/>
      <c r="B12" s="27" t="s">
        <v>420</v>
      </c>
    </row>
    <row r="13" spans="1:2" ht="15.75" thickBot="1">
      <c r="A13" s="253"/>
      <c r="B13" s="145" t="s">
        <v>421</v>
      </c>
    </row>
    <row r="14" spans="1:2">
      <c r="A14" s="249" t="s">
        <v>422</v>
      </c>
      <c r="B14" s="250" t="s">
        <v>423</v>
      </c>
    </row>
    <row r="15" spans="1:2">
      <c r="A15" s="251"/>
      <c r="B15" s="27" t="s">
        <v>424</v>
      </c>
    </row>
    <row r="16" spans="1:2">
      <c r="A16" s="251"/>
      <c r="B16" s="27" t="s">
        <v>425</v>
      </c>
    </row>
    <row r="17" spans="1:22" ht="15.75" thickBot="1">
      <c r="A17" s="253"/>
      <c r="B17" s="145" t="s">
        <v>426</v>
      </c>
    </row>
    <row r="18" spans="1:22">
      <c r="A18" s="249" t="s">
        <v>427</v>
      </c>
      <c r="B18" s="250" t="s">
        <v>428</v>
      </c>
    </row>
    <row r="19" spans="1:22">
      <c r="A19" s="251"/>
      <c r="B19" s="27" t="s">
        <v>429</v>
      </c>
    </row>
    <row r="20" spans="1:22">
      <c r="A20" s="251"/>
      <c r="B20" s="27" t="s">
        <v>430</v>
      </c>
      <c r="U20">
        <v>6</v>
      </c>
      <c r="V20">
        <v>6</v>
      </c>
    </row>
    <row r="21" spans="1:22" ht="15.75" thickBot="1">
      <c r="A21" s="253"/>
      <c r="B21" s="145" t="s">
        <v>431</v>
      </c>
    </row>
    <row r="22" spans="1:22">
      <c r="A22" s="249" t="s">
        <v>432</v>
      </c>
      <c r="B22" s="250" t="s">
        <v>433</v>
      </c>
    </row>
    <row r="23" spans="1:22">
      <c r="A23" s="251"/>
      <c r="B23" s="27" t="s">
        <v>434</v>
      </c>
    </row>
    <row r="24" spans="1:22">
      <c r="A24" s="251"/>
      <c r="B24" s="27" t="s">
        <v>435</v>
      </c>
    </row>
    <row r="25" spans="1:22">
      <c r="A25" s="251"/>
      <c r="B25" s="27" t="s">
        <v>436</v>
      </c>
    </row>
    <row r="26" spans="1:22">
      <c r="A26" s="251"/>
      <c r="B26" s="27" t="s">
        <v>437</v>
      </c>
    </row>
    <row r="27" spans="1:22">
      <c r="A27" s="251"/>
      <c r="B27" s="27" t="s">
        <v>438</v>
      </c>
    </row>
    <row r="28" spans="1:22">
      <c r="A28" s="251"/>
      <c r="B28" s="27" t="s">
        <v>439</v>
      </c>
    </row>
    <row r="29" spans="1:22" ht="15.75" thickBot="1">
      <c r="A29" s="253"/>
      <c r="B29" s="145" t="s">
        <v>440</v>
      </c>
    </row>
    <row r="30" spans="1:22">
      <c r="A30" s="249" t="s">
        <v>441</v>
      </c>
      <c r="B30" s="250" t="s">
        <v>442</v>
      </c>
    </row>
    <row r="31" spans="1:22">
      <c r="A31" s="36"/>
      <c r="B31" s="27" t="s">
        <v>443</v>
      </c>
    </row>
    <row r="32" spans="1:22" ht="15.75" thickBot="1">
      <c r="A32" s="144"/>
      <c r="B32" s="145" t="s">
        <v>444</v>
      </c>
    </row>
  </sheetData>
  <pageMargins left="0.7" right="0.7" top="0.75" bottom="0.75" header="0.3" footer="0.3"/>
  <pageSetup scale="63" orientation="portrait" r:id="rId1"/>
  <headerFooter>
    <oddHeader>&amp;R&amp;"Times New Roman,Bold"&amp;10KyPSC Case No. 2025-00229
STAFF-DR-01-005(b) Attachment 3
Page &amp;P of &amp;N</oddHeader>
  </headerFooter>
  <colBreaks count="1" manualBreakCount="1">
    <brk id="4"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8ED5C-41CC-4F3B-B0B5-CD758CE3C361}">
  <sheetPr>
    <tabColor theme="4"/>
  </sheetPr>
  <dimension ref="A1:L36"/>
  <sheetViews>
    <sheetView view="pageLayout" zoomScaleNormal="100" workbookViewId="0">
      <selection activeCell="E24" sqref="E24"/>
    </sheetView>
  </sheetViews>
  <sheetFormatPr defaultRowHeight="15"/>
  <cols>
    <col min="1" max="1" width="22" bestFit="1" customWidth="1"/>
  </cols>
  <sheetData>
    <row r="1" spans="1:12" ht="15.75" thickBot="1"/>
    <row r="2" spans="1:12" ht="15" customHeight="1">
      <c r="A2" s="552" t="s">
        <v>818</v>
      </c>
      <c r="B2" s="553"/>
      <c r="C2" s="553"/>
      <c r="D2" s="553"/>
      <c r="E2" s="553"/>
      <c r="F2" s="553"/>
      <c r="G2" s="553"/>
      <c r="H2" s="553"/>
      <c r="I2" s="553"/>
      <c r="J2" s="553"/>
      <c r="K2" s="553"/>
      <c r="L2" s="554"/>
    </row>
    <row r="3" spans="1:12">
      <c r="A3" s="397"/>
      <c r="B3" s="398"/>
      <c r="C3" s="398"/>
      <c r="D3" s="398"/>
      <c r="E3" s="398"/>
      <c r="F3" s="398"/>
      <c r="G3" s="398"/>
      <c r="H3" s="398"/>
      <c r="I3" s="398"/>
      <c r="J3" s="398"/>
      <c r="K3" s="398"/>
      <c r="L3" s="399"/>
    </row>
    <row r="4" spans="1:12">
      <c r="A4" s="400" t="s">
        <v>16</v>
      </c>
      <c r="B4" s="401">
        <f>'Master Tab'!C9</f>
        <v>45427</v>
      </c>
      <c r="C4" s="398"/>
      <c r="D4" s="398"/>
      <c r="E4" s="398"/>
      <c r="F4" s="398"/>
      <c r="G4" s="398"/>
      <c r="H4" s="398"/>
      <c r="I4" s="398"/>
      <c r="J4" s="398"/>
      <c r="K4" s="398"/>
      <c r="L4" s="399"/>
    </row>
    <row r="5" spans="1:12">
      <c r="A5" s="402" t="s">
        <v>819</v>
      </c>
      <c r="B5" s="403" t="str">
        <f>'Master Tab'!C8</f>
        <v>Line AM07 Phase 3</v>
      </c>
      <c r="C5" s="398"/>
      <c r="D5" s="398"/>
      <c r="E5" s="398"/>
      <c r="F5" s="398"/>
      <c r="G5" s="398"/>
      <c r="H5" s="398"/>
      <c r="I5" s="398"/>
      <c r="J5" s="398"/>
      <c r="K5" s="398"/>
      <c r="L5" s="399"/>
    </row>
    <row r="6" spans="1:12">
      <c r="A6" s="402" t="s">
        <v>820</v>
      </c>
      <c r="B6" s="398" t="s">
        <v>823</v>
      </c>
      <c r="C6" s="398"/>
      <c r="D6" s="398"/>
      <c r="E6" s="398"/>
      <c r="F6" s="398"/>
      <c r="G6" s="398"/>
      <c r="H6" s="398"/>
      <c r="I6" s="398"/>
      <c r="J6" s="398"/>
      <c r="K6" s="398"/>
      <c r="L6" s="399"/>
    </row>
    <row r="7" spans="1:12">
      <c r="A7" s="402" t="s">
        <v>821</v>
      </c>
      <c r="B7" s="398" t="s">
        <v>824</v>
      </c>
      <c r="C7" s="398"/>
      <c r="D7" s="398"/>
      <c r="E7" s="398"/>
      <c r="F7" s="398"/>
      <c r="G7" s="398"/>
      <c r="H7" s="398"/>
      <c r="I7" s="398"/>
      <c r="J7" s="398"/>
      <c r="K7" s="398"/>
      <c r="L7" s="399"/>
    </row>
    <row r="8" spans="1:12">
      <c r="A8" s="397"/>
      <c r="B8" s="398"/>
      <c r="C8" s="398"/>
      <c r="D8" s="398"/>
      <c r="E8" s="398"/>
      <c r="F8" s="398"/>
      <c r="G8" s="398"/>
      <c r="H8" s="398"/>
      <c r="I8" s="398"/>
      <c r="J8" s="398"/>
      <c r="K8" s="398"/>
      <c r="L8" s="399"/>
    </row>
    <row r="9" spans="1:12">
      <c r="A9" s="539" t="s">
        <v>822</v>
      </c>
      <c r="B9" s="540"/>
      <c r="C9" s="540"/>
      <c r="D9" s="560" t="str">
        <f>Assumptions!A6</f>
        <v>1. Charter SOW:
Phase 3 (of 5 Phases) includes the following:
*Perform detailed engineering to support replacement of approximately 18,870 feet (3.6 miles) of 24" pipe designed for a pressure of 1000 psig.
*Install new 24" steel pipeline that starts in the vicinity of coordinates [39° 1'33.74"N,  84°30'29.44"W] and ends at the North side of the I-275 crossing near Licking Pk. and ties into the piping to utilize existing I-275 crossing.
*Abandon Line AM07 along this section. 
*Address remaining farm taps.
*Preliminary proposed pipeline route that was field reviewed by Implementation is included in attachment. Right of Way (ROW) reclamation will be required.
The following stations / branches have been identified as being impacted by the new line. Add isolation valves at each tap (as discussed with System Planning in 30/60/90 meetings) to assist in future upgrades of the regulator stations.  Any major upgrades needed for these assets (with exceptions noted below) to operate at a 1000 psig MAOP will be handled by separate charters to be submitted at a future date:
1. Station 713 - Reconnect station inlet
2. Station 734 - Reconnect station inlet (UL06)
3. Station 859 - Reconnect station inlet
4. Station 804 - Reconnect station inlet
5. UL26 tap - Reconnect branch or extend distribution main and transfer services off of UL26</v>
      </c>
      <c r="E9" s="561"/>
      <c r="F9" s="561"/>
      <c r="G9" s="561"/>
      <c r="H9" s="561"/>
      <c r="I9" s="561"/>
      <c r="J9" s="561"/>
      <c r="K9" s="561"/>
      <c r="L9" s="562"/>
    </row>
    <row r="10" spans="1:12">
      <c r="A10" s="541"/>
      <c r="B10" s="542"/>
      <c r="C10" s="542"/>
      <c r="D10" s="563"/>
      <c r="E10" s="563"/>
      <c r="F10" s="563"/>
      <c r="G10" s="563"/>
      <c r="H10" s="563"/>
      <c r="I10" s="563"/>
      <c r="J10" s="563"/>
      <c r="K10" s="563"/>
      <c r="L10" s="564"/>
    </row>
    <row r="11" spans="1:12">
      <c r="A11" s="541"/>
      <c r="B11" s="542"/>
      <c r="C11" s="542"/>
      <c r="D11" s="563"/>
      <c r="E11" s="563"/>
      <c r="F11" s="563"/>
      <c r="G11" s="563"/>
      <c r="H11" s="563"/>
      <c r="I11" s="563"/>
      <c r="J11" s="563"/>
      <c r="K11" s="563"/>
      <c r="L11" s="564"/>
    </row>
    <row r="12" spans="1:12">
      <c r="A12" s="541"/>
      <c r="B12" s="542"/>
      <c r="C12" s="542"/>
      <c r="D12" s="563"/>
      <c r="E12" s="563"/>
      <c r="F12" s="563"/>
      <c r="G12" s="563"/>
      <c r="H12" s="563"/>
      <c r="I12" s="563"/>
      <c r="J12" s="563"/>
      <c r="K12" s="563"/>
      <c r="L12" s="564"/>
    </row>
    <row r="13" spans="1:12">
      <c r="A13" s="543"/>
      <c r="B13" s="544"/>
      <c r="C13" s="544"/>
      <c r="D13" s="565"/>
      <c r="E13" s="565"/>
      <c r="F13" s="565"/>
      <c r="G13" s="565"/>
      <c r="H13" s="565"/>
      <c r="I13" s="565"/>
      <c r="J13" s="565"/>
      <c r="K13" s="565"/>
      <c r="L13" s="566"/>
    </row>
    <row r="14" spans="1:12">
      <c r="A14" s="397"/>
      <c r="B14" s="398"/>
      <c r="C14" s="398"/>
      <c r="D14" s="398"/>
      <c r="E14" s="398"/>
      <c r="F14" s="398"/>
      <c r="G14" s="398"/>
      <c r="H14" s="398"/>
      <c r="I14" s="398"/>
      <c r="J14" s="398"/>
      <c r="K14" s="398"/>
      <c r="L14" s="399"/>
    </row>
    <row r="15" spans="1:12" ht="15" customHeight="1">
      <c r="A15" s="545" t="s">
        <v>825</v>
      </c>
      <c r="B15" s="546"/>
      <c r="C15" s="546"/>
      <c r="D15" s="546"/>
      <c r="E15" s="546"/>
      <c r="F15" s="546"/>
      <c r="G15" s="546"/>
      <c r="H15" s="546"/>
      <c r="I15" s="546"/>
      <c r="J15" s="546"/>
      <c r="K15" s="546"/>
      <c r="L15" s="547"/>
    </row>
    <row r="16" spans="1:12">
      <c r="A16" s="545"/>
      <c r="B16" s="546"/>
      <c r="C16" s="546"/>
      <c r="D16" s="546"/>
      <c r="E16" s="546"/>
      <c r="F16" s="546"/>
      <c r="G16" s="546"/>
      <c r="H16" s="546"/>
      <c r="I16" s="546"/>
      <c r="J16" s="546"/>
      <c r="K16" s="546"/>
      <c r="L16" s="547"/>
    </row>
    <row r="17" spans="1:12">
      <c r="A17" s="545"/>
      <c r="B17" s="546"/>
      <c r="C17" s="546"/>
      <c r="D17" s="546"/>
      <c r="E17" s="546"/>
      <c r="F17" s="546"/>
      <c r="G17" s="546"/>
      <c r="H17" s="546"/>
      <c r="I17" s="546"/>
      <c r="J17" s="546"/>
      <c r="K17" s="546"/>
      <c r="L17" s="547"/>
    </row>
    <row r="18" spans="1:12">
      <c r="A18" s="404"/>
      <c r="B18" s="405"/>
      <c r="C18" s="405"/>
      <c r="D18" s="405"/>
      <c r="E18" s="405"/>
      <c r="F18" s="405"/>
      <c r="G18" s="405"/>
      <c r="H18" s="405"/>
      <c r="I18" s="405"/>
      <c r="J18" s="405"/>
      <c r="K18" s="405"/>
      <c r="L18" s="406"/>
    </row>
    <row r="19" spans="1:12">
      <c r="A19" s="555" t="s">
        <v>826</v>
      </c>
      <c r="B19" s="556"/>
      <c r="C19" s="556"/>
      <c r="D19" s="556"/>
      <c r="E19" s="556"/>
      <c r="F19" s="556"/>
      <c r="G19" s="556"/>
      <c r="H19" s="556"/>
      <c r="I19" s="556"/>
      <c r="J19" s="557" t="s">
        <v>827</v>
      </c>
      <c r="K19" s="558"/>
      <c r="L19" s="559"/>
    </row>
    <row r="20" spans="1:12" ht="15" customHeight="1">
      <c r="A20" s="548" t="s">
        <v>828</v>
      </c>
      <c r="B20" s="549"/>
      <c r="C20" s="549"/>
      <c r="D20" s="549"/>
      <c r="E20" s="549"/>
      <c r="F20" s="549"/>
      <c r="G20" s="549"/>
      <c r="H20" s="549"/>
      <c r="I20" s="549"/>
      <c r="J20" s="550"/>
      <c r="K20" s="550"/>
      <c r="L20" s="551"/>
    </row>
    <row r="21" spans="1:12">
      <c r="A21" s="548"/>
      <c r="B21" s="549"/>
      <c r="C21" s="549"/>
      <c r="D21" s="549"/>
      <c r="E21" s="549"/>
      <c r="F21" s="549"/>
      <c r="G21" s="549"/>
      <c r="H21" s="549"/>
      <c r="I21" s="549"/>
      <c r="J21" s="550"/>
      <c r="K21" s="550"/>
      <c r="L21" s="551"/>
    </row>
    <row r="22" spans="1:12">
      <c r="A22" s="548"/>
      <c r="B22" s="549"/>
      <c r="C22" s="549"/>
      <c r="D22" s="549"/>
      <c r="E22" s="549"/>
      <c r="F22" s="549"/>
      <c r="G22" s="549"/>
      <c r="H22" s="549"/>
      <c r="I22" s="549"/>
      <c r="J22" s="550"/>
      <c r="K22" s="550"/>
      <c r="L22" s="551"/>
    </row>
    <row r="23" spans="1:12" ht="15" customHeight="1">
      <c r="A23" s="548" t="s">
        <v>829</v>
      </c>
      <c r="B23" s="549"/>
      <c r="C23" s="549"/>
      <c r="D23" s="549"/>
      <c r="E23" s="549"/>
      <c r="F23" s="549"/>
      <c r="G23" s="549"/>
      <c r="H23" s="549"/>
      <c r="I23" s="549"/>
      <c r="J23" s="550"/>
      <c r="K23" s="550"/>
      <c r="L23" s="551"/>
    </row>
    <row r="24" spans="1:12">
      <c r="A24" s="548"/>
      <c r="B24" s="549"/>
      <c r="C24" s="549"/>
      <c r="D24" s="549"/>
      <c r="E24" s="549"/>
      <c r="F24" s="549"/>
      <c r="G24" s="549"/>
      <c r="H24" s="549"/>
      <c r="I24" s="549"/>
      <c r="J24" s="550"/>
      <c r="K24" s="550"/>
      <c r="L24" s="551"/>
    </row>
    <row r="25" spans="1:12">
      <c r="A25" s="548"/>
      <c r="B25" s="549"/>
      <c r="C25" s="549"/>
      <c r="D25" s="549"/>
      <c r="E25" s="549"/>
      <c r="F25" s="549"/>
      <c r="G25" s="549"/>
      <c r="H25" s="549"/>
      <c r="I25" s="549"/>
      <c r="J25" s="550"/>
      <c r="K25" s="550"/>
      <c r="L25" s="551"/>
    </row>
    <row r="26" spans="1:12">
      <c r="A26" s="548"/>
      <c r="B26" s="549"/>
      <c r="C26" s="549"/>
      <c r="D26" s="549"/>
      <c r="E26" s="549"/>
      <c r="F26" s="549"/>
      <c r="G26" s="549"/>
      <c r="H26" s="549"/>
      <c r="I26" s="549"/>
      <c r="J26" s="550"/>
      <c r="K26" s="550"/>
      <c r="L26" s="551"/>
    </row>
    <row r="27" spans="1:12">
      <c r="A27" s="548" t="s">
        <v>830</v>
      </c>
      <c r="B27" s="549"/>
      <c r="C27" s="549"/>
      <c r="D27" s="549"/>
      <c r="E27" s="549"/>
      <c r="F27" s="549"/>
      <c r="G27" s="549"/>
      <c r="H27" s="549"/>
      <c r="I27" s="549"/>
      <c r="J27" s="550"/>
      <c r="K27" s="550"/>
      <c r="L27" s="551"/>
    </row>
    <row r="28" spans="1:12">
      <c r="A28" s="548"/>
      <c r="B28" s="549"/>
      <c r="C28" s="549"/>
      <c r="D28" s="549"/>
      <c r="E28" s="549"/>
      <c r="F28" s="549"/>
      <c r="G28" s="549"/>
      <c r="H28" s="549"/>
      <c r="I28" s="549"/>
      <c r="J28" s="550"/>
      <c r="K28" s="550"/>
      <c r="L28" s="551"/>
    </row>
    <row r="29" spans="1:12">
      <c r="A29" s="548"/>
      <c r="B29" s="549"/>
      <c r="C29" s="549"/>
      <c r="D29" s="549"/>
      <c r="E29" s="549"/>
      <c r="F29" s="549"/>
      <c r="G29" s="549"/>
      <c r="H29" s="549"/>
      <c r="I29" s="549"/>
      <c r="J29" s="550"/>
      <c r="K29" s="550"/>
      <c r="L29" s="551"/>
    </row>
    <row r="30" spans="1:12">
      <c r="A30" s="548" t="s">
        <v>831</v>
      </c>
      <c r="B30" s="549"/>
      <c r="C30" s="549"/>
      <c r="D30" s="549"/>
      <c r="E30" s="549"/>
      <c r="F30" s="549"/>
      <c r="G30" s="549"/>
      <c r="H30" s="549"/>
      <c r="I30" s="549"/>
      <c r="J30" s="573"/>
      <c r="K30" s="573"/>
      <c r="L30" s="574"/>
    </row>
    <row r="31" spans="1:12">
      <c r="A31" s="548"/>
      <c r="B31" s="549"/>
      <c r="C31" s="549"/>
      <c r="D31" s="549"/>
      <c r="E31" s="549"/>
      <c r="F31" s="549"/>
      <c r="G31" s="549"/>
      <c r="H31" s="549"/>
      <c r="I31" s="549"/>
      <c r="J31" s="573"/>
      <c r="K31" s="573"/>
      <c r="L31" s="574"/>
    </row>
    <row r="32" spans="1:12">
      <c r="A32" s="548" t="s">
        <v>832</v>
      </c>
      <c r="B32" s="549"/>
      <c r="C32" s="549"/>
      <c r="D32" s="549"/>
      <c r="E32" s="549"/>
      <c r="F32" s="549"/>
      <c r="G32" s="549"/>
      <c r="H32" s="549"/>
      <c r="I32" s="549"/>
      <c r="J32" s="550"/>
      <c r="K32" s="550"/>
      <c r="L32" s="551"/>
    </row>
    <row r="33" spans="1:12">
      <c r="A33" s="548"/>
      <c r="B33" s="549"/>
      <c r="C33" s="549"/>
      <c r="D33" s="549"/>
      <c r="E33" s="549"/>
      <c r="F33" s="549"/>
      <c r="G33" s="549"/>
      <c r="H33" s="549"/>
      <c r="I33" s="549"/>
      <c r="J33" s="550"/>
      <c r="K33" s="550"/>
      <c r="L33" s="551"/>
    </row>
    <row r="34" spans="1:12" ht="15.75" thickBot="1">
      <c r="A34" s="397"/>
      <c r="B34" s="398"/>
      <c r="C34" s="398"/>
      <c r="D34" s="398"/>
      <c r="E34" s="398"/>
      <c r="F34" s="398"/>
      <c r="G34" s="398"/>
      <c r="H34" s="398"/>
      <c r="I34" s="398"/>
      <c r="J34" s="398"/>
      <c r="K34" s="398"/>
      <c r="L34" s="399"/>
    </row>
    <row r="35" spans="1:12">
      <c r="A35" s="567" t="s">
        <v>833</v>
      </c>
      <c r="B35" s="568"/>
      <c r="C35" s="568"/>
      <c r="D35" s="568"/>
      <c r="E35" s="568"/>
      <c r="F35" s="568"/>
      <c r="G35" s="568"/>
      <c r="H35" s="568"/>
      <c r="I35" s="568"/>
      <c r="J35" s="568"/>
      <c r="K35" s="568"/>
      <c r="L35" s="569"/>
    </row>
    <row r="36" spans="1:12" ht="15.75" thickBot="1">
      <c r="A36" s="570"/>
      <c r="B36" s="571"/>
      <c r="C36" s="571"/>
      <c r="D36" s="571"/>
      <c r="E36" s="571"/>
      <c r="F36" s="571"/>
      <c r="G36" s="571"/>
      <c r="H36" s="571"/>
      <c r="I36" s="571"/>
      <c r="J36" s="571"/>
      <c r="K36" s="571"/>
      <c r="L36" s="572"/>
    </row>
  </sheetData>
  <mergeCells count="17">
    <mergeCell ref="A35:L36"/>
    <mergeCell ref="A23:I26"/>
    <mergeCell ref="J23:L26"/>
    <mergeCell ref="A27:I29"/>
    <mergeCell ref="J27:L29"/>
    <mergeCell ref="A30:I31"/>
    <mergeCell ref="J30:L31"/>
    <mergeCell ref="A9:C13"/>
    <mergeCell ref="A15:L17"/>
    <mergeCell ref="A32:I33"/>
    <mergeCell ref="J32:L33"/>
    <mergeCell ref="A2:L2"/>
    <mergeCell ref="A19:I19"/>
    <mergeCell ref="J19:L19"/>
    <mergeCell ref="A20:I22"/>
    <mergeCell ref="J20:L22"/>
    <mergeCell ref="D9:L13"/>
  </mergeCells>
  <conditionalFormatting sqref="J20:L33">
    <cfRule type="cellIs" dxfId="2" priority="1" operator="equal">
      <formula>"No"</formula>
    </cfRule>
    <cfRule type="cellIs" dxfId="1" priority="2" operator="equal">
      <formula>"Unknown"</formula>
    </cfRule>
    <cfRule type="cellIs" dxfId="0" priority="3" operator="equal">
      <formula>"Yes"</formula>
    </cfRule>
  </conditionalFormatting>
  <dataValidations disablePrompts="1" count="1">
    <dataValidation type="list" showInputMessage="1" showErrorMessage="1" sqref="J20:L33" xr:uid="{57E8FAF4-147A-4372-9090-8F423450D57A}">
      <formula1>"Yes, No, Unknown"</formula1>
    </dataValidation>
  </dataValidations>
  <pageMargins left="0.7" right="0.7" top="0.75" bottom="0.75" header="0.3" footer="0.3"/>
  <pageSetup scale="63" fitToHeight="0" orientation="portrait" r:id="rId1"/>
  <headerFooter>
    <oddHeader>&amp;R&amp;"Times New Roman,Bold"&amp;10KyPSC Case No. 2025-00229
STAFF-DR-01-005(b) Attachment 3
Page &amp;P of &amp;N</oddHead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BBE47-3022-4482-8A08-F117B1CD183A}">
  <sheetPr codeName="Sheet2">
    <tabColor theme="4"/>
  </sheetPr>
  <dimension ref="A1:V71"/>
  <sheetViews>
    <sheetView view="pageLayout" topLeftCell="B1" zoomScale="80" zoomScaleNormal="70" zoomScalePageLayoutView="80" workbookViewId="0">
      <selection activeCell="E24" sqref="E24"/>
    </sheetView>
  </sheetViews>
  <sheetFormatPr defaultRowHeight="15"/>
  <cols>
    <col min="1" max="1" width="7" customWidth="1"/>
    <col min="2" max="2" width="93.5703125" customWidth="1"/>
    <col min="3" max="3" width="23.42578125" customWidth="1"/>
    <col min="4" max="4" width="15.42578125" customWidth="1"/>
    <col min="5" max="5" width="17" hidden="1" customWidth="1"/>
    <col min="6" max="6" width="15.5703125" hidden="1" customWidth="1"/>
    <col min="7" max="7" width="19.5703125" hidden="1" customWidth="1"/>
    <col min="8" max="8" width="16.42578125" customWidth="1"/>
    <col min="9" max="9" width="13.5703125" customWidth="1"/>
    <col min="10" max="10" width="34.7109375" hidden="1" customWidth="1"/>
    <col min="11" max="11" width="25.5703125" hidden="1" customWidth="1"/>
    <col min="15" max="15" width="16" customWidth="1"/>
    <col min="16" max="16" width="14.42578125" customWidth="1"/>
    <col min="17" max="17" width="16.28515625" customWidth="1"/>
    <col min="18" max="18" width="15.28515625" customWidth="1"/>
  </cols>
  <sheetData>
    <row r="1" spans="1:19" ht="29.25" customHeight="1">
      <c r="A1" s="577" t="s">
        <v>445</v>
      </c>
      <c r="B1" s="578"/>
      <c r="C1" s="578"/>
      <c r="D1" s="578"/>
      <c r="E1" s="578"/>
      <c r="F1" s="578"/>
      <c r="G1" s="578"/>
      <c r="H1" s="578"/>
      <c r="I1" s="579"/>
    </row>
    <row r="2" spans="1:19" ht="34.5" customHeight="1" thickBot="1">
      <c r="A2" s="580" t="s">
        <v>446</v>
      </c>
      <c r="B2" s="581"/>
      <c r="C2" s="254" t="s">
        <v>447</v>
      </c>
      <c r="D2" s="255"/>
      <c r="E2" s="255"/>
      <c r="F2" s="255"/>
      <c r="G2" s="255"/>
      <c r="H2" s="582"/>
      <c r="I2" s="583"/>
      <c r="J2" t="s">
        <v>448</v>
      </c>
      <c r="K2" t="s">
        <v>448</v>
      </c>
      <c r="M2" s="256" t="s">
        <v>449</v>
      </c>
    </row>
    <row r="3" spans="1:19" ht="20.100000000000001" customHeight="1" thickBot="1">
      <c r="A3" s="257" t="s">
        <v>450</v>
      </c>
      <c r="B3" s="258" t="s">
        <v>451</v>
      </c>
      <c r="C3" s="259" t="s">
        <v>452</v>
      </c>
      <c r="D3" s="260" t="s">
        <v>453</v>
      </c>
      <c r="E3" s="260"/>
      <c r="F3" s="260" t="s">
        <v>454</v>
      </c>
      <c r="G3" s="260"/>
      <c r="H3" s="260" t="s">
        <v>455</v>
      </c>
      <c r="I3" s="261" t="s">
        <v>456</v>
      </c>
      <c r="J3" s="262" t="s">
        <v>457</v>
      </c>
      <c r="K3" s="262" t="s">
        <v>456</v>
      </c>
      <c r="M3" s="256" t="s">
        <v>458</v>
      </c>
    </row>
    <row r="4" spans="1:19" ht="20.100000000000001" customHeight="1" thickBot="1">
      <c r="A4" s="584" t="s">
        <v>459</v>
      </c>
      <c r="B4" s="585"/>
      <c r="C4" s="263"/>
      <c r="D4" s="264"/>
      <c r="E4" s="264"/>
      <c r="F4" s="264"/>
      <c r="G4" s="264"/>
      <c r="H4" s="264"/>
      <c r="I4" s="265"/>
      <c r="M4" s="256"/>
    </row>
    <row r="5" spans="1:19" ht="20.100000000000001" customHeight="1" thickBot="1">
      <c r="A5" s="266">
        <v>1.1000000000000001</v>
      </c>
      <c r="B5" s="267" t="s">
        <v>460</v>
      </c>
      <c r="C5" s="268" t="s">
        <v>410</v>
      </c>
      <c r="D5" s="269"/>
      <c r="E5" s="270"/>
      <c r="F5" s="271"/>
      <c r="G5" s="272"/>
      <c r="H5" s="269">
        <f>IF(C5="&lt; 1 mile",1,IF(C5="1-5 miles",3,IF(C5="&gt; 5 miles",5,0)))</f>
        <v>0</v>
      </c>
      <c r="I5" s="273">
        <f>IF(C5="&lt; 1 mile",1,IF(C5="1-5 miles",3,IF(C5="&gt; 5 miles",5,0)))</f>
        <v>0</v>
      </c>
      <c r="J5" t="s">
        <v>461</v>
      </c>
      <c r="K5" t="s">
        <v>461</v>
      </c>
    </row>
    <row r="6" spans="1:19" ht="20.100000000000001" customHeight="1" thickBot="1">
      <c r="A6" s="266">
        <v>1.2</v>
      </c>
      <c r="B6" s="267" t="s">
        <v>462</v>
      </c>
      <c r="C6" s="268" t="s">
        <v>411</v>
      </c>
      <c r="D6" s="269"/>
      <c r="E6" s="38"/>
      <c r="F6" s="274"/>
      <c r="G6" s="275"/>
      <c r="H6" s="269">
        <f>IF(C6="&lt; 1 mile",0,IF(C6="1-5 miles",1,IF(C6="&gt; 5 miles",2,0)))</f>
        <v>0</v>
      </c>
      <c r="I6" s="269">
        <f>IF(C6="&lt; 1 mile",0,IF(C6="1-5 miles",1,IF(C6="&gt; 5 miles",1,0)))</f>
        <v>0</v>
      </c>
      <c r="J6" t="s">
        <v>463</v>
      </c>
      <c r="K6" t="s">
        <v>464</v>
      </c>
    </row>
    <row r="7" spans="1:19" ht="21.6" customHeight="1" thickBot="1">
      <c r="A7" s="266">
        <v>1.3</v>
      </c>
      <c r="B7" s="267" t="s">
        <v>465</v>
      </c>
      <c r="C7" s="268" t="s">
        <v>5</v>
      </c>
      <c r="D7" s="276"/>
      <c r="E7" s="277"/>
      <c r="F7" s="277"/>
      <c r="G7" s="277"/>
      <c r="H7" s="278">
        <f>IF(C7="YES",3,0)</f>
        <v>0</v>
      </c>
      <c r="I7" s="279">
        <f>IF(C7="YES",2,0)</f>
        <v>0</v>
      </c>
      <c r="J7" t="s">
        <v>466</v>
      </c>
      <c r="K7" t="s">
        <v>467</v>
      </c>
    </row>
    <row r="8" spans="1:19" ht="20.100000000000001" customHeight="1" thickBot="1">
      <c r="A8" s="266">
        <v>1.4</v>
      </c>
      <c r="B8" s="267" t="s">
        <v>468</v>
      </c>
      <c r="C8" s="280" t="s">
        <v>5</v>
      </c>
      <c r="D8" s="281"/>
      <c r="E8" s="281"/>
      <c r="F8" s="281"/>
      <c r="G8" s="281"/>
      <c r="H8" s="281">
        <f>IF(C8="YES",3,0)</f>
        <v>0</v>
      </c>
      <c r="I8" s="281">
        <f>IF(C8="YES",3,0)</f>
        <v>0</v>
      </c>
      <c r="J8" t="s">
        <v>466</v>
      </c>
      <c r="K8" t="s">
        <v>466</v>
      </c>
    </row>
    <row r="9" spans="1:19" ht="20.100000000000001" customHeight="1" thickBot="1">
      <c r="A9" s="266">
        <v>1.5</v>
      </c>
      <c r="B9" s="267" t="s">
        <v>469</v>
      </c>
      <c r="C9" s="280" t="s">
        <v>5</v>
      </c>
      <c r="D9" s="271"/>
      <c r="E9" s="271"/>
      <c r="F9" s="271"/>
      <c r="G9" s="271"/>
      <c r="H9" s="271">
        <f>IF(C9="YES",8,0)</f>
        <v>0</v>
      </c>
      <c r="I9" s="271">
        <f>IF(C9="YES",7,0)</f>
        <v>0</v>
      </c>
      <c r="J9" t="s">
        <v>470</v>
      </c>
      <c r="K9" t="s">
        <v>471</v>
      </c>
      <c r="N9" s="586" t="s">
        <v>472</v>
      </c>
      <c r="O9" s="587"/>
      <c r="P9" s="587"/>
      <c r="Q9" s="587"/>
      <c r="R9" s="587"/>
      <c r="S9" s="588"/>
    </row>
    <row r="10" spans="1:19" ht="20.100000000000001" customHeight="1" thickBot="1">
      <c r="A10" s="282">
        <v>1.6</v>
      </c>
      <c r="B10" s="283" t="s">
        <v>473</v>
      </c>
      <c r="C10" s="280" t="s">
        <v>5</v>
      </c>
      <c r="D10" s="271"/>
      <c r="E10" s="271"/>
      <c r="F10" s="271"/>
      <c r="G10" s="271"/>
      <c r="H10" s="271">
        <f>IF(C10="YES",3,0)</f>
        <v>0</v>
      </c>
      <c r="I10" s="271">
        <f>IF(C10="YES",3,0)</f>
        <v>0</v>
      </c>
      <c r="J10" t="s">
        <v>466</v>
      </c>
      <c r="K10" t="s">
        <v>466</v>
      </c>
      <c r="N10" s="589" t="s">
        <v>455</v>
      </c>
      <c r="O10" s="284" t="str">
        <f>IF($H$46&gt;45,IF($I$46&lt;=15,"X",""),"")</f>
        <v/>
      </c>
      <c r="P10" s="285" t="str">
        <f>IF($H$46&gt;45,IF(AND($I$46&gt;15,$I$46&lt;=28),"X",""),"")</f>
        <v/>
      </c>
      <c r="Q10" s="285" t="str">
        <f>IF($H$46&gt;45,IF(AND($I$46&gt;28,$I$46&lt;=41),"X",""),"")</f>
        <v/>
      </c>
      <c r="R10" s="285" t="str">
        <f>IF($H$46&gt;45,IF(AND($I$46&gt;41,$I$46&lt;=52),"X",""),"")</f>
        <v/>
      </c>
      <c r="S10" s="286" t="str">
        <f>IF($H$46&gt;45,IF($I$46&gt;52,"X",""),"")</f>
        <v/>
      </c>
    </row>
    <row r="11" spans="1:19" ht="20.100000000000001" customHeight="1" thickBot="1">
      <c r="A11" s="282">
        <v>1.7</v>
      </c>
      <c r="B11" s="283" t="s">
        <v>474</v>
      </c>
      <c r="C11" s="280" t="s">
        <v>5</v>
      </c>
      <c r="D11" s="271"/>
      <c r="E11" s="271"/>
      <c r="F11" s="271"/>
      <c r="G11" s="271"/>
      <c r="H11" s="271">
        <f>IF(C11="YES",2,0)</f>
        <v>0</v>
      </c>
      <c r="I11" s="271">
        <f>IF(C11="YES",5,0)</f>
        <v>0</v>
      </c>
      <c r="J11" t="s">
        <v>467</v>
      </c>
      <c r="K11" t="s">
        <v>475</v>
      </c>
      <c r="N11" s="590"/>
      <c r="O11" s="287" t="str">
        <f>IF(AND($H$46&gt;35,$H$46&lt;=45),IF($I$46&lt;=15,"X",""),"")</f>
        <v/>
      </c>
      <c r="P11" s="288" t="str">
        <f>IF(AND($H$46&gt;35,$H$46&lt;=45),IF(AND($I$46&gt;15,$I$46&lt;=28),"X",""),"")</f>
        <v/>
      </c>
      <c r="Q11" s="289" t="str">
        <f>IF(AND($H$46&gt;35,$H$46&lt;=45),IF(AND($I$46&gt;28,$I$46&lt;=41),"X",""),"")</f>
        <v/>
      </c>
      <c r="R11" s="289" t="str">
        <f>IF(AND($H$46&gt;35,$H$46&lt;=45),IF(AND($I$46&gt;41,$I$46&lt;=52),"X",""),"")</f>
        <v/>
      </c>
      <c r="S11" s="290" t="str">
        <f>IF(AND($H$46&gt;35,$H$46&lt;=45),IF($I$46&gt;52,"X",""),"")</f>
        <v/>
      </c>
    </row>
    <row r="12" spans="1:19" ht="20.100000000000001" customHeight="1" thickBot="1">
      <c r="A12" s="591" t="s">
        <v>476</v>
      </c>
      <c r="B12" s="592"/>
      <c r="C12" s="291"/>
      <c r="D12" s="292"/>
      <c r="E12" s="292"/>
      <c r="F12" s="292"/>
      <c r="G12" s="292"/>
      <c r="H12" s="292"/>
      <c r="I12" s="293"/>
      <c r="N12" s="590"/>
      <c r="O12" s="294" t="str">
        <f>IF(AND($H$46&gt;23,$H$46&lt;=34),IF($I$46&lt;=15,"X",""),"")</f>
        <v/>
      </c>
      <c r="P12" s="288" t="str">
        <f>IF(AND($H$46&gt;23,$H$46&lt;=35),IF(AND($I$46&gt;15,$I$46&lt;=28),"X",""),"")</f>
        <v/>
      </c>
      <c r="Q12" s="288" t="str">
        <f>IF(AND($H$46&gt;23,$H$46&lt;=35),IF(AND($I$46&gt;28,$I$46&lt;=41),"X",""),"")</f>
        <v/>
      </c>
      <c r="R12" s="289" t="str">
        <f>IF(AND($H$46&gt;23,$H$46&lt;=35),IF(AND($I$46&gt;41,$I$46&lt;=52),"X",""),"")</f>
        <v/>
      </c>
      <c r="S12" s="290" t="str">
        <f>IF(AND($H$46&gt;23,$H$46&lt;=35),IF($I$46&gt;52,"X",""),"")</f>
        <v/>
      </c>
    </row>
    <row r="13" spans="1:19" ht="20.100000000000001" customHeight="1" thickBot="1">
      <c r="A13" s="295">
        <v>2.1</v>
      </c>
      <c r="B13" s="267" t="s">
        <v>477</v>
      </c>
      <c r="C13" s="280" t="s">
        <v>420</v>
      </c>
      <c r="D13" s="271"/>
      <c r="E13" s="271"/>
      <c r="F13" s="271"/>
      <c r="G13" s="271"/>
      <c r="H13" s="271">
        <f>IF(C13="Urban",7,IF(C13="Suburban",6,IF(C13="Rural",0,0)))</f>
        <v>0</v>
      </c>
      <c r="I13" s="271">
        <f>IF(C13="Urban",7,IF(C13="Suburban",5,IF(C13="Rural",0,0)))</f>
        <v>0</v>
      </c>
      <c r="J13" t="s">
        <v>478</v>
      </c>
      <c r="K13" t="s">
        <v>479</v>
      </c>
      <c r="N13" s="590"/>
      <c r="O13" s="294" t="str">
        <f>IF(AND($H$46&gt;12,$H$46&lt;=23),IF($I$46&lt;=15,"X",""),"")</f>
        <v/>
      </c>
      <c r="P13" s="296" t="str">
        <f>IF(AND($H$46&gt;12,$H$46&lt;=23),IF(AND($I$46&gt;15,$I$46&lt;=28),"X",""),"")</f>
        <v/>
      </c>
      <c r="Q13" s="288" t="str">
        <f>IF(AND($H$46&gt;12,$H$46&lt;=23),IF(AND($I$46&gt;28,$I$46&lt;=41),"X",""),"")</f>
        <v/>
      </c>
      <c r="R13" s="297" t="str">
        <f>IF(AND($H$46&gt;12,$H$46&lt;=23),IF(AND($I$46&gt;41,$I$46&lt;=52),"X",""),"")</f>
        <v/>
      </c>
      <c r="S13" s="290" t="str">
        <f>IF(AND($H$46&gt;12,$H$46&lt;=23),IF($I$46&gt;52,"X",""),"")</f>
        <v/>
      </c>
    </row>
    <row r="14" spans="1:19" ht="20.100000000000001" customHeight="1" thickBot="1">
      <c r="A14" s="295">
        <v>2.2000000000000002</v>
      </c>
      <c r="B14" s="267" t="s">
        <v>480</v>
      </c>
      <c r="C14" s="280" t="s">
        <v>5</v>
      </c>
      <c r="D14" s="271"/>
      <c r="E14" s="271"/>
      <c r="F14" s="271"/>
      <c r="G14" s="271"/>
      <c r="H14" s="271">
        <f>IF(C14="YES",3,0)</f>
        <v>0</v>
      </c>
      <c r="I14" s="271">
        <f>IF(C14="YES",3,0)</f>
        <v>0</v>
      </c>
      <c r="J14" t="s">
        <v>466</v>
      </c>
      <c r="K14" t="s">
        <v>466</v>
      </c>
      <c r="N14" s="590"/>
      <c r="O14" s="298" t="str">
        <f>IF($H$46&lt;=12,IF($I$46&lt;=15,"X",""),"")</f>
        <v>X</v>
      </c>
      <c r="P14" s="299" t="str">
        <f>IF($H$46&lt;=12,IF(AND($I$46&gt;15, $I$46&lt;=28),"X",""),"")</f>
        <v/>
      </c>
      <c r="Q14" s="299" t="str">
        <f>IF($H$46&lt;=12,IF(AND($I$46&gt;28,$I$46&lt;=41),"X",""),"")</f>
        <v/>
      </c>
      <c r="R14" s="300" t="str">
        <f>IF($H$46&lt;=12,IF(AND($I$46&gt;41,$I$46&lt;=52),"X",""),"")</f>
        <v/>
      </c>
      <c r="S14" s="301" t="str">
        <f>IF($H$46&lt;=12,IF($I$46&gt;52,"X",""),"")</f>
        <v/>
      </c>
    </row>
    <row r="15" spans="1:19" ht="20.100000000000001" customHeight="1" thickBot="1">
      <c r="A15" s="295">
        <v>2.2999999999999998</v>
      </c>
      <c r="B15" s="267" t="s">
        <v>481</v>
      </c>
      <c r="C15" s="280" t="s">
        <v>5</v>
      </c>
      <c r="D15" s="271"/>
      <c r="E15" s="271"/>
      <c r="F15" s="271"/>
      <c r="G15" s="271"/>
      <c r="H15" s="271">
        <f>IF(C15="YES",4,0)</f>
        <v>0</v>
      </c>
      <c r="I15" s="302">
        <f>IF(C15="YES",4,0)</f>
        <v>0</v>
      </c>
      <c r="J15" t="s">
        <v>482</v>
      </c>
      <c r="K15" t="s">
        <v>482</v>
      </c>
      <c r="N15" s="303"/>
      <c r="O15" s="575" t="s">
        <v>456</v>
      </c>
      <c r="P15" s="575"/>
      <c r="Q15" s="575"/>
      <c r="R15" s="575"/>
      <c r="S15" s="576"/>
    </row>
    <row r="16" spans="1:19" ht="20.100000000000001" customHeight="1" thickBot="1">
      <c r="A16" s="295">
        <v>2.4</v>
      </c>
      <c r="B16" s="267" t="s">
        <v>483</v>
      </c>
      <c r="C16" s="280" t="s">
        <v>423</v>
      </c>
      <c r="D16" s="271"/>
      <c r="E16" s="271"/>
      <c r="F16" s="271"/>
      <c r="G16" s="271"/>
      <c r="H16" s="271">
        <f>IF(C16="&lt; 20 parcels",2,IF(C16="20 - 50 parcels",4,IF(C16="&gt; 50 parcels",6,0)))</f>
        <v>0</v>
      </c>
      <c r="I16" s="271">
        <f>IF(C16="&lt; 20 parcels",2,IF(C16="20 - 50 parcels",4,IF(C16="&gt; 50 parcels",6,0)))</f>
        <v>0</v>
      </c>
      <c r="J16" t="s">
        <v>484</v>
      </c>
      <c r="K16" t="s">
        <v>484</v>
      </c>
    </row>
    <row r="17" spans="1:15" ht="20.100000000000001" customHeight="1" thickBot="1">
      <c r="A17" s="295">
        <v>2.5</v>
      </c>
      <c r="B17" s="267" t="s">
        <v>485</v>
      </c>
      <c r="C17" s="280" t="s">
        <v>428</v>
      </c>
      <c r="D17" s="271"/>
      <c r="E17" s="271"/>
      <c r="F17" s="271"/>
      <c r="G17" s="271"/>
      <c r="H17" s="271">
        <f>IF(C17="6-33%",2,IF(C17="34%-66%",4,IF(C17="67%-100%",6,0)))</f>
        <v>0</v>
      </c>
      <c r="I17" s="271">
        <f>IF(C17="6-33%",2,IF(C17="34%-66%",4,IF(C17="67%-100%",6,0)))</f>
        <v>0</v>
      </c>
      <c r="J17" t="s">
        <v>484</v>
      </c>
      <c r="K17" t="s">
        <v>484</v>
      </c>
      <c r="N17" s="304">
        <v>1</v>
      </c>
      <c r="O17" t="s">
        <v>486</v>
      </c>
    </row>
    <row r="18" spans="1:15" ht="20.100000000000001" customHeight="1" thickBot="1">
      <c r="A18" s="593" t="s">
        <v>487</v>
      </c>
      <c r="B18" s="594"/>
      <c r="C18" s="305"/>
      <c r="D18" s="306"/>
      <c r="E18" s="306"/>
      <c r="F18" s="306"/>
      <c r="G18" s="306"/>
      <c r="H18" s="306"/>
      <c r="I18" s="307"/>
      <c r="N18" s="308">
        <v>2</v>
      </c>
      <c r="O18" t="s">
        <v>488</v>
      </c>
    </row>
    <row r="19" spans="1:15" ht="20.100000000000001" customHeight="1" thickBot="1">
      <c r="A19" s="309">
        <v>3.1</v>
      </c>
      <c r="B19" s="310" t="s">
        <v>489</v>
      </c>
      <c r="C19" s="280" t="s">
        <v>5</v>
      </c>
      <c r="D19" s="271"/>
      <c r="E19" s="271"/>
      <c r="F19" s="271"/>
      <c r="G19" s="271"/>
      <c r="H19" s="271">
        <f>IF(C19="YES",2,0)</f>
        <v>0</v>
      </c>
      <c r="I19" s="271">
        <f>IF(C19="YES",4,0)</f>
        <v>0</v>
      </c>
      <c r="J19" t="s">
        <v>467</v>
      </c>
      <c r="K19" t="s">
        <v>482</v>
      </c>
      <c r="N19" s="311">
        <v>3</v>
      </c>
      <c r="O19" t="s">
        <v>490</v>
      </c>
    </row>
    <row r="20" spans="1:15" ht="20.100000000000001" customHeight="1" thickBot="1">
      <c r="A20" s="309">
        <v>3.2</v>
      </c>
      <c r="B20" s="310" t="s">
        <v>491</v>
      </c>
      <c r="C20" s="280" t="s">
        <v>5</v>
      </c>
      <c r="D20" s="271"/>
      <c r="E20" s="271"/>
      <c r="F20" s="271"/>
      <c r="G20" s="271"/>
      <c r="H20" s="271">
        <f>IF(C20="YES",3,0)</f>
        <v>0</v>
      </c>
      <c r="I20" s="271">
        <f>IF(C20="YES",7,0)</f>
        <v>0</v>
      </c>
      <c r="J20" t="s">
        <v>466</v>
      </c>
      <c r="K20" t="s">
        <v>471</v>
      </c>
    </row>
    <row r="21" spans="1:15" ht="27.75" hidden="1" customHeight="1" thickBot="1">
      <c r="A21" s="312">
        <v>3.4</v>
      </c>
      <c r="B21" s="313" t="s">
        <v>492</v>
      </c>
      <c r="C21" s="314" t="s">
        <v>4</v>
      </c>
      <c r="D21" s="315"/>
      <c r="E21" s="315"/>
      <c r="F21" s="315"/>
      <c r="G21" s="315"/>
      <c r="H21" s="315">
        <f>IF(C17="YES",2,0)</f>
        <v>0</v>
      </c>
      <c r="I21" s="315">
        <f>IF(C17="YES",6,0)</f>
        <v>0</v>
      </c>
      <c r="J21" s="316"/>
      <c r="K21" s="316"/>
    </row>
    <row r="22" spans="1:15" s="316" customFormat="1" ht="20.100000000000001" customHeight="1" thickBot="1">
      <c r="A22" s="309">
        <v>3.4</v>
      </c>
      <c r="B22" s="310" t="s">
        <v>493</v>
      </c>
      <c r="C22" s="280" t="s">
        <v>5</v>
      </c>
      <c r="D22" s="271"/>
      <c r="E22" s="271"/>
      <c r="F22" s="271"/>
      <c r="G22" s="271"/>
      <c r="H22" s="271">
        <f>IF(C22="YES",3,0)</f>
        <v>0</v>
      </c>
      <c r="I22" s="271">
        <f>IF(C22="YES",5,0)</f>
        <v>0</v>
      </c>
      <c r="J22" t="s">
        <v>466</v>
      </c>
      <c r="K22" t="s">
        <v>475</v>
      </c>
    </row>
    <row r="23" spans="1:15" ht="20.100000000000001" customHeight="1" thickBot="1">
      <c r="A23" s="309">
        <v>3.5</v>
      </c>
      <c r="B23" s="310" t="s">
        <v>494</v>
      </c>
      <c r="C23" s="280" t="s">
        <v>434</v>
      </c>
      <c r="D23" s="271"/>
      <c r="E23" s="271"/>
      <c r="F23" s="271"/>
      <c r="G23" s="271"/>
      <c r="H23" s="271">
        <f>IF(C23="Farmlands",1,IF(C23="DOT Right of Way",1,IF(C23="Electric Right of Way",1,IF(C23="Commercial/Industrial",2,IF(C23="Parks &amp; Recreation",5,IF(C23="Residential",6,IF(C23="Nature Preserves",9,0)))))))</f>
        <v>0</v>
      </c>
      <c r="I23" s="271">
        <f>IF(C23="Farmlands",1,IF(C23="DOT Right of Way",1,IF(C23="Electric Right of Way",1,IF(C23="Commercial/Industrial",2,IF(C23="Parks &amp; Recreation",8,IF(C23="Residential",6,IF(C23="Nature Preserves",10,0)))))))</f>
        <v>0</v>
      </c>
      <c r="J23" t="s">
        <v>495</v>
      </c>
    </row>
    <row r="24" spans="1:15" ht="20.100000000000001" customHeight="1" thickBot="1">
      <c r="A24" s="593" t="s">
        <v>496</v>
      </c>
      <c r="B24" s="594"/>
      <c r="C24" s="305"/>
      <c r="D24" s="306"/>
      <c r="E24" s="271"/>
      <c r="F24" s="271"/>
      <c r="G24" s="271"/>
      <c r="H24" s="306"/>
      <c r="I24" s="307"/>
    </row>
    <row r="25" spans="1:15" ht="20.100000000000001" customHeight="1" thickBot="1">
      <c r="A25" s="309">
        <v>4.0999999999999996</v>
      </c>
      <c r="B25" s="310" t="s">
        <v>497</v>
      </c>
      <c r="C25" s="280" t="s">
        <v>5</v>
      </c>
      <c r="D25" s="271"/>
      <c r="E25" s="271"/>
      <c r="F25" s="271"/>
      <c r="G25" s="271"/>
      <c r="H25" s="271">
        <f>IF(C25="YES",8,0)</f>
        <v>0</v>
      </c>
      <c r="I25" s="271">
        <f>IF(C25="YES",8,0)</f>
        <v>0</v>
      </c>
      <c r="J25" t="s">
        <v>470</v>
      </c>
      <c r="K25" t="s">
        <v>470</v>
      </c>
    </row>
    <row r="26" spans="1:15" ht="23.65" customHeight="1" thickBot="1">
      <c r="A26" s="309">
        <v>4.2</v>
      </c>
      <c r="B26" s="310" t="s">
        <v>498</v>
      </c>
      <c r="C26" s="280" t="s">
        <v>444</v>
      </c>
      <c r="D26" s="271"/>
      <c r="E26" s="271"/>
      <c r="F26" s="271"/>
      <c r="G26" s="271"/>
      <c r="H26" s="271">
        <f>IF(C26="Open House",7,IF(C26="Public Notice",4,IF(C26="None of the Above",0,0)))</f>
        <v>0</v>
      </c>
      <c r="I26" s="271">
        <f>IF(C26="Open House",10,IF(C26="Public Notice",6,IF(C26="None of the Above",0,0)))</f>
        <v>0</v>
      </c>
      <c r="J26" t="s">
        <v>499</v>
      </c>
      <c r="K26" t="s">
        <v>500</v>
      </c>
    </row>
    <row r="27" spans="1:15" ht="18" hidden="1" customHeight="1" thickBot="1">
      <c r="A27" s="317">
        <v>1</v>
      </c>
      <c r="B27" s="318" t="s">
        <v>501</v>
      </c>
      <c r="C27" s="314" t="s">
        <v>502</v>
      </c>
      <c r="D27" s="315">
        <v>2</v>
      </c>
      <c r="E27" s="315"/>
      <c r="F27" s="315" t="s">
        <v>502</v>
      </c>
      <c r="G27" s="315"/>
      <c r="H27" s="315">
        <f>IF(C27="YES",5,0)</f>
        <v>5</v>
      </c>
      <c r="I27" s="319">
        <f>IF(C27="YES",7,0)</f>
        <v>7</v>
      </c>
      <c r="O27" t="str">
        <f t="shared" ref="O27:O45" si="0">LOOKUP("X",O11:S11)</f>
        <v/>
      </c>
    </row>
    <row r="28" spans="1:15" ht="36" hidden="1" customHeight="1" thickBot="1">
      <c r="A28" s="320">
        <f>1+A27</f>
        <v>2</v>
      </c>
      <c r="B28" s="321" t="s">
        <v>503</v>
      </c>
      <c r="C28" s="322" t="s">
        <v>504</v>
      </c>
      <c r="D28" s="323">
        <v>2</v>
      </c>
      <c r="E28" s="323"/>
      <c r="F28" s="323" t="s">
        <v>505</v>
      </c>
      <c r="G28" s="323"/>
      <c r="H28" s="323">
        <f>IF(C28="N/A",0,IF(C28="&lt;1",1,IF(C28="1-5",3,5)))</f>
        <v>1</v>
      </c>
      <c r="I28" s="324">
        <f>IF(C28="N/A",0,IF(C28="&lt;1",1,IF(C28="1-5",4,7)))</f>
        <v>1</v>
      </c>
      <c r="O28" t="str">
        <f t="shared" si="0"/>
        <v/>
      </c>
    </row>
    <row r="29" spans="1:15" ht="36" hidden="1" customHeight="1" thickBot="1">
      <c r="A29" s="320">
        <f t="shared" ref="A29:A45" si="1">1+A28</f>
        <v>3</v>
      </c>
      <c r="B29" s="321" t="s">
        <v>506</v>
      </c>
      <c r="C29" s="322" t="s">
        <v>507</v>
      </c>
      <c r="D29" s="323">
        <v>7</v>
      </c>
      <c r="E29" s="323"/>
      <c r="F29" s="323" t="s">
        <v>507</v>
      </c>
      <c r="G29" s="323"/>
      <c r="H29" s="323">
        <f>IF(C29="N/A",0,IF(C29="&lt;1",1,IF(C29="1-5",2,3)))</f>
        <v>0</v>
      </c>
      <c r="I29" s="324">
        <f>IF(C29="N/A",0,IF(C29="&lt;1",1,IF(C29="1-5",2,3)))</f>
        <v>0</v>
      </c>
      <c r="O29" t="str">
        <f t="shared" si="0"/>
        <v/>
      </c>
    </row>
    <row r="30" spans="1:15" ht="36" hidden="1" customHeight="1" thickBot="1">
      <c r="A30" s="320">
        <f t="shared" si="1"/>
        <v>4</v>
      </c>
      <c r="B30" s="321" t="s">
        <v>508</v>
      </c>
      <c r="C30" s="322" t="s">
        <v>509</v>
      </c>
      <c r="D30" s="323">
        <v>3</v>
      </c>
      <c r="E30" s="323"/>
      <c r="F30" s="323" t="s">
        <v>510</v>
      </c>
      <c r="G30" s="323"/>
      <c r="H30" s="323">
        <f>IF(C30="Rural Only",0,IF(C30="N/A",0,IF(C30="Commercial Only",1,IF(C30="2 of the Above",2,IF(C30="Residential Only",3,4)))))</f>
        <v>3</v>
      </c>
      <c r="I30" s="324">
        <f>IF(C30="Rural Only",0,IF(C30="N/A",0,IF(C30="Commercial Only",1,IF(C30="2 of the Above",2,IF(C30="Residential Only",3,4)))))</f>
        <v>3</v>
      </c>
      <c r="O30" t="str">
        <f t="shared" si="0"/>
        <v/>
      </c>
    </row>
    <row r="31" spans="1:15" ht="36" hidden="1" customHeight="1" thickBot="1">
      <c r="A31" s="320">
        <f t="shared" si="1"/>
        <v>5</v>
      </c>
      <c r="B31" s="321" t="s">
        <v>511</v>
      </c>
      <c r="C31" s="322" t="s">
        <v>505</v>
      </c>
      <c r="D31" s="323">
        <v>3</v>
      </c>
      <c r="E31" s="323"/>
      <c r="F31" s="325" t="s">
        <v>512</v>
      </c>
      <c r="G31" s="323"/>
      <c r="H31" s="323">
        <f>IF(C31="YES",3,0)</f>
        <v>0</v>
      </c>
      <c r="I31" s="324">
        <f>IF(C31="YES",10,0)</f>
        <v>0</v>
      </c>
      <c r="O31" t="str">
        <f t="shared" si="0"/>
        <v>Impact</v>
      </c>
    </row>
    <row r="32" spans="1:15" ht="15" hidden="1" customHeight="1" thickBot="1">
      <c r="A32" s="320">
        <f>1+A31</f>
        <v>6</v>
      </c>
      <c r="B32" s="321" t="s">
        <v>513</v>
      </c>
      <c r="C32" s="326" t="s">
        <v>505</v>
      </c>
      <c r="D32" s="323">
        <v>8</v>
      </c>
      <c r="E32" s="323"/>
      <c r="F32" s="327" t="s">
        <v>514</v>
      </c>
      <c r="G32" s="323"/>
      <c r="H32" s="323">
        <f>IF(C32="YES",1,0)</f>
        <v>0</v>
      </c>
      <c r="I32" s="324">
        <f>IF(C32="YES",1,0)</f>
        <v>0</v>
      </c>
      <c r="O32" t="e">
        <f t="shared" si="0"/>
        <v>#N/A</v>
      </c>
    </row>
    <row r="33" spans="1:15" ht="15.75" hidden="1" thickBot="1">
      <c r="A33" s="320">
        <f t="shared" si="1"/>
        <v>7</v>
      </c>
      <c r="B33" s="321" t="s">
        <v>515</v>
      </c>
      <c r="C33" s="322" t="s">
        <v>507</v>
      </c>
      <c r="D33" s="323">
        <v>7</v>
      </c>
      <c r="E33" s="323"/>
      <c r="F33" s="323"/>
      <c r="G33" s="323"/>
      <c r="H33" s="323">
        <f>IF(C33="High",2,IF(C33="Med",1,0))</f>
        <v>0</v>
      </c>
      <c r="I33" s="324">
        <f>IF(C33="High",4,IF(C33="Med",2,0))</f>
        <v>0</v>
      </c>
      <c r="O33" t="str">
        <f t="shared" si="0"/>
        <v>Notify Community Relations</v>
      </c>
    </row>
    <row r="34" spans="1:15" ht="15.75" hidden="1" thickBot="1">
      <c r="A34" s="320">
        <f t="shared" si="1"/>
        <v>8</v>
      </c>
      <c r="B34" s="321" t="s">
        <v>516</v>
      </c>
      <c r="C34" s="322" t="s">
        <v>505</v>
      </c>
      <c r="D34" s="323">
        <v>8</v>
      </c>
      <c r="E34" s="323"/>
      <c r="F34" s="323" t="s">
        <v>507</v>
      </c>
      <c r="G34" s="323"/>
      <c r="H34" s="323">
        <f>IF(C34="YES",1,0)</f>
        <v>0</v>
      </c>
      <c r="I34" s="324">
        <f>IF(C34="YES",1,0)</f>
        <v>0</v>
      </c>
      <c r="O34" t="str">
        <f t="shared" si="0"/>
        <v>Local Community Relations Engagenment at Project Initiation</v>
      </c>
    </row>
    <row r="35" spans="1:15" ht="15.75" hidden="1" thickBot="1">
      <c r="A35" s="320">
        <f t="shared" si="1"/>
        <v>9</v>
      </c>
      <c r="B35" s="321" t="s">
        <v>517</v>
      </c>
      <c r="C35" s="322" t="s">
        <v>505</v>
      </c>
      <c r="D35" s="323">
        <v>5</v>
      </c>
      <c r="E35" s="323"/>
      <c r="F35" s="323" t="s">
        <v>504</v>
      </c>
      <c r="G35" s="323"/>
      <c r="H35" s="323">
        <f>IF(C35="YES",4,0)</f>
        <v>0</v>
      </c>
      <c r="I35" s="324">
        <f>IF(C35="YES",4,0)</f>
        <v>0</v>
      </c>
      <c r="O35" t="str">
        <f t="shared" si="0"/>
        <v>Enable Strike Team 24 months prior to Project Kickoff</v>
      </c>
    </row>
    <row r="36" spans="1:15" ht="15.75" hidden="1" thickBot="1">
      <c r="A36" s="320">
        <f t="shared" si="1"/>
        <v>10</v>
      </c>
      <c r="B36" s="321" t="s">
        <v>518</v>
      </c>
      <c r="C36" s="326" t="s">
        <v>505</v>
      </c>
      <c r="D36" s="323">
        <v>7</v>
      </c>
      <c r="E36" s="323"/>
      <c r="F36" s="325" t="s">
        <v>519</v>
      </c>
      <c r="G36" s="323"/>
      <c r="H36" s="323">
        <f>IF(C36="YES",1,0)</f>
        <v>0</v>
      </c>
      <c r="I36" s="324">
        <f>IF(C36="YES",2,0)</f>
        <v>0</v>
      </c>
      <c r="O36" t="e">
        <f t="shared" si="0"/>
        <v>#N/A</v>
      </c>
    </row>
    <row r="37" spans="1:15" ht="15.75" hidden="1" thickBot="1">
      <c r="A37" s="320">
        <f t="shared" si="1"/>
        <v>11</v>
      </c>
      <c r="B37" s="321" t="s">
        <v>520</v>
      </c>
      <c r="C37" s="326" t="s">
        <v>505</v>
      </c>
      <c r="D37" s="323"/>
      <c r="E37" s="323"/>
      <c r="F37" s="323" t="s">
        <v>521</v>
      </c>
      <c r="G37" s="323"/>
      <c r="H37" s="323">
        <f>IF(C37="YES",1,0)</f>
        <v>0</v>
      </c>
      <c r="I37" s="324">
        <f>IF(C37="YES",2,0)</f>
        <v>0</v>
      </c>
      <c r="O37" t="e">
        <f t="shared" si="0"/>
        <v>#N/A</v>
      </c>
    </row>
    <row r="38" spans="1:15" ht="15.75" hidden="1" thickBot="1">
      <c r="A38" s="320">
        <f t="shared" si="1"/>
        <v>12</v>
      </c>
      <c r="B38" s="321" t="s">
        <v>522</v>
      </c>
      <c r="C38" s="326" t="s">
        <v>502</v>
      </c>
      <c r="D38" s="323">
        <v>4</v>
      </c>
      <c r="E38" s="323"/>
      <c r="F38" s="316"/>
      <c r="G38" s="323"/>
      <c r="H38" s="323">
        <f>IF(C38="YES",3,0)</f>
        <v>3</v>
      </c>
      <c r="I38" s="324">
        <f>IF(C38="YES",5,0)</f>
        <v>5</v>
      </c>
      <c r="O38" t="e">
        <f t="shared" si="0"/>
        <v>#N/A</v>
      </c>
    </row>
    <row r="39" spans="1:15" ht="15.75" hidden="1" thickBot="1">
      <c r="A39" s="320">
        <f t="shared" si="1"/>
        <v>13</v>
      </c>
      <c r="B39" s="321" t="s">
        <v>523</v>
      </c>
      <c r="C39" s="326" t="s">
        <v>502</v>
      </c>
      <c r="D39" s="323">
        <v>4</v>
      </c>
      <c r="E39" s="323"/>
      <c r="F39" s="323"/>
      <c r="G39" s="323"/>
      <c r="H39" s="323">
        <f>IF(C39="YES",5,0)</f>
        <v>5</v>
      </c>
      <c r="I39" s="324">
        <f>IF(C39="YES",5,0)</f>
        <v>5</v>
      </c>
      <c r="O39" t="e">
        <f t="shared" si="0"/>
        <v>#N/A</v>
      </c>
    </row>
    <row r="40" spans="1:15" ht="15.75" hidden="1" thickBot="1">
      <c r="A40" s="320">
        <f t="shared" si="1"/>
        <v>14</v>
      </c>
      <c r="B40" s="321" t="s">
        <v>524</v>
      </c>
      <c r="C40" s="326" t="s">
        <v>505</v>
      </c>
      <c r="D40" s="323">
        <v>5</v>
      </c>
      <c r="E40" s="323"/>
      <c r="F40" s="323" t="s">
        <v>507</v>
      </c>
      <c r="G40" s="323"/>
      <c r="H40" s="323">
        <f>IF(C40="YES",3,0)</f>
        <v>0</v>
      </c>
      <c r="I40" s="324">
        <f>IF(C40="YES",4,0)</f>
        <v>0</v>
      </c>
      <c r="O40" t="e">
        <f t="shared" si="0"/>
        <v>#N/A</v>
      </c>
    </row>
    <row r="41" spans="1:15" ht="15.75" hidden="1" thickBot="1">
      <c r="A41" s="320">
        <f t="shared" si="1"/>
        <v>15</v>
      </c>
      <c r="B41" s="321" t="s">
        <v>525</v>
      </c>
      <c r="C41" s="326" t="s">
        <v>505</v>
      </c>
      <c r="D41" s="323">
        <v>5</v>
      </c>
      <c r="E41" s="323"/>
      <c r="F41" s="323" t="s">
        <v>526</v>
      </c>
      <c r="G41" s="323"/>
      <c r="H41" s="323">
        <f>IF(C41="YES",4,0)</f>
        <v>0</v>
      </c>
      <c r="I41" s="324">
        <f>IF(C41="YES",5,0)</f>
        <v>0</v>
      </c>
      <c r="O41" t="e">
        <f t="shared" si="0"/>
        <v>#N/A</v>
      </c>
    </row>
    <row r="42" spans="1:15" ht="15.75" hidden="1" thickBot="1">
      <c r="A42" s="320">
        <f t="shared" si="1"/>
        <v>16</v>
      </c>
      <c r="B42" s="321" t="s">
        <v>527</v>
      </c>
      <c r="C42" s="326" t="s">
        <v>505</v>
      </c>
      <c r="D42" s="323">
        <v>5</v>
      </c>
      <c r="E42" s="323"/>
      <c r="F42" s="323" t="s">
        <v>528</v>
      </c>
      <c r="G42" s="323"/>
      <c r="H42" s="323">
        <f>IF(C42="YES",4,0)</f>
        <v>0</v>
      </c>
      <c r="I42" s="324">
        <f>IF(C42="YES",5,0)</f>
        <v>0</v>
      </c>
      <c r="O42" t="e">
        <f t="shared" si="0"/>
        <v>#N/A</v>
      </c>
    </row>
    <row r="43" spans="1:15" ht="15.75" hidden="1" thickBot="1">
      <c r="A43" s="320">
        <f t="shared" si="1"/>
        <v>17</v>
      </c>
      <c r="B43" s="321" t="s">
        <v>529</v>
      </c>
      <c r="C43" s="326" t="s">
        <v>505</v>
      </c>
      <c r="D43" s="323">
        <v>7</v>
      </c>
      <c r="E43" s="323"/>
      <c r="F43" s="323" t="s">
        <v>530</v>
      </c>
      <c r="G43" s="323"/>
      <c r="H43" s="323">
        <f>IF(C43="YES",2,0)</f>
        <v>0</v>
      </c>
      <c r="I43" s="324">
        <f>IF(C43="YES",2,0)</f>
        <v>0</v>
      </c>
      <c r="O43" t="str">
        <f t="shared" si="0"/>
        <v/>
      </c>
    </row>
    <row r="44" spans="1:15" ht="15.75" hidden="1" thickBot="1">
      <c r="A44" s="320">
        <f t="shared" si="1"/>
        <v>18</v>
      </c>
      <c r="B44" s="321" t="s">
        <v>531</v>
      </c>
      <c r="C44" s="326" t="s">
        <v>505</v>
      </c>
      <c r="D44" s="323">
        <v>7</v>
      </c>
      <c r="E44" s="323"/>
      <c r="F44" s="323"/>
      <c r="G44" s="323"/>
      <c r="H44" s="323">
        <f>IF(C44="YES",2,0)</f>
        <v>0</v>
      </c>
      <c r="I44" s="324">
        <f>IF(C44="YES",2,0)</f>
        <v>0</v>
      </c>
      <c r="O44" t="str">
        <f t="shared" si="0"/>
        <v/>
      </c>
    </row>
    <row r="45" spans="1:15" ht="20.100000000000001" hidden="1" customHeight="1">
      <c r="A45" s="328">
        <f t="shared" si="1"/>
        <v>19</v>
      </c>
      <c r="B45" s="329" t="s">
        <v>532</v>
      </c>
      <c r="C45" s="330" t="s">
        <v>510</v>
      </c>
      <c r="D45" s="331">
        <v>4</v>
      </c>
      <c r="E45" s="331"/>
      <c r="F45" s="331" t="s">
        <v>507</v>
      </c>
      <c r="G45" s="331"/>
      <c r="H45" s="331">
        <f>IF(C45="N/A",0,IF(C45="0-10",2,IF(C45="11-20",4,8)))</f>
        <v>2</v>
      </c>
      <c r="I45" s="332">
        <f>IF(C45="N/A",0,IF(C45="0-10",3,IF(C45="11-20",6,8)))</f>
        <v>3</v>
      </c>
      <c r="O45" t="str">
        <f t="shared" si="0"/>
        <v/>
      </c>
    </row>
    <row r="46" spans="1:15" ht="15.75" thickBot="1">
      <c r="A46" s="595"/>
      <c r="B46" s="596"/>
      <c r="C46" s="596"/>
      <c r="D46" s="333" t="s">
        <v>533</v>
      </c>
      <c r="E46" s="334"/>
      <c r="F46" s="334" t="s">
        <v>534</v>
      </c>
      <c r="G46" s="335"/>
      <c r="H46" s="336">
        <f>SUM(H5:H26)</f>
        <v>0</v>
      </c>
      <c r="I46" s="336">
        <f>SUM(I5:I26)</f>
        <v>0</v>
      </c>
    </row>
    <row r="47" spans="1:15" ht="20.100000000000001" customHeight="1">
      <c r="F47" t="s">
        <v>509</v>
      </c>
    </row>
    <row r="48" spans="1:15" ht="35.25" hidden="1" customHeight="1" thickBot="1">
      <c r="F48" t="s">
        <v>535</v>
      </c>
      <c r="K48" s="14" t="s">
        <v>472</v>
      </c>
    </row>
    <row r="49" spans="2:22" ht="35.25" hidden="1" customHeight="1" thickBot="1">
      <c r="F49" t="s">
        <v>536</v>
      </c>
      <c r="K49" s="589" t="s">
        <v>455</v>
      </c>
      <c r="L49" s="337"/>
      <c r="M49" s="337"/>
      <c r="N49" s="337"/>
      <c r="O49" s="337"/>
      <c r="P49" s="15"/>
    </row>
    <row r="50" spans="2:22" ht="35.25" hidden="1">
      <c r="F50" t="s">
        <v>537</v>
      </c>
      <c r="K50" s="590"/>
      <c r="L50" s="284"/>
      <c r="M50" s="285"/>
      <c r="N50" s="285"/>
      <c r="O50" s="285"/>
      <c r="P50" s="286"/>
    </row>
    <row r="51" spans="2:22" ht="35.25" hidden="1">
      <c r="K51" s="590"/>
      <c r="L51" s="287"/>
      <c r="M51" s="288"/>
      <c r="N51" s="289"/>
      <c r="O51" s="289"/>
      <c r="P51" s="290"/>
    </row>
    <row r="52" spans="2:22" ht="35.25" hidden="1">
      <c r="K52" s="590"/>
      <c r="L52" s="294"/>
      <c r="M52" s="288"/>
      <c r="N52" s="288"/>
      <c r="O52" s="289"/>
      <c r="P52" s="290"/>
    </row>
    <row r="53" spans="2:22" ht="35.25" hidden="1">
      <c r="K53" s="590"/>
      <c r="L53" s="294"/>
      <c r="M53" s="296"/>
      <c r="N53" s="288"/>
      <c r="O53" s="297"/>
      <c r="P53" s="290"/>
    </row>
    <row r="54" spans="2:22" ht="36" hidden="1" thickBot="1">
      <c r="K54" s="303"/>
      <c r="L54" s="298"/>
      <c r="M54" s="299"/>
      <c r="N54" s="299"/>
      <c r="O54" s="300"/>
      <c r="P54" s="301"/>
    </row>
    <row r="55" spans="2:22" ht="15.75" hidden="1" thickBot="1">
      <c r="L55" s="575"/>
      <c r="M55" s="575"/>
      <c r="N55" s="575"/>
      <c r="O55" s="575"/>
      <c r="P55" s="576"/>
    </row>
    <row r="56" spans="2:22" hidden="1">
      <c r="K56" s="304"/>
    </row>
    <row r="57" spans="2:22" hidden="1">
      <c r="K57" s="308"/>
      <c r="V57" t="s">
        <v>538</v>
      </c>
    </row>
    <row r="58" spans="2:22" hidden="1">
      <c r="K58" s="311"/>
      <c r="V58" t="s">
        <v>539</v>
      </c>
    </row>
    <row r="59" spans="2:22" hidden="1">
      <c r="V59" t="s">
        <v>540</v>
      </c>
    </row>
    <row r="60" spans="2:22" hidden="1"/>
    <row r="61" spans="2:22" ht="23.65" customHeight="1" thickBot="1">
      <c r="B61" s="338"/>
      <c r="Q61" t="s">
        <v>541</v>
      </c>
    </row>
    <row r="62" spans="2:22">
      <c r="K62" s="339"/>
      <c r="Q62" s="249" t="s">
        <v>542</v>
      </c>
      <c r="R62" s="340" t="s">
        <v>543</v>
      </c>
    </row>
    <row r="63" spans="2:22" ht="15.75" thickBot="1">
      <c r="Q63" s="253" t="str">
        <f ca="1">CELL("address",INDEX(O10:S14,IFERROR(MATCH("X",O10:O14,0),IFERROR(MATCH("X",P10:P14,0),IFERROR(MATCH("X",Q10:Q14,0),IFERROR(MATCH("X",R10:R14,0),IFERROR(MATCH("X",S10:S14,0)," "))))),IFERROR(MATCH("X",O10:S10,0),IFERROR(MATCH("X",O11:S11,0),IFERROR(MATCH("X",O12:S12,0),IFERROR(MATCH("X",O13:S13,0),IFERROR(MATCH("X",O14:S14,0)," ")))))))</f>
        <v>$O$14</v>
      </c>
      <c r="R63" s="341">
        <f ca="1">IF(OR(Q63="$P$10",Q63="$Q$10",Q63="$Q$11",Q63="$R$10",Q63="$R$11",Q63="$R$12",Q63="$s$10",Q63="$S$11",Q63="$S$12",Q63="$S$13"),3,IF(OR(Q63="$O$10",Q63="$O$11",Q63="$P$11",Q63="$P$12",Q63="$Q$12",Q63="$Q$13",Q63="R$13",Q63="$R$14",Q63="$S$14",Q63="$S$13"),2,1))</f>
        <v>1</v>
      </c>
    </row>
    <row r="66" spans="2:2" ht="15.75" thickBot="1"/>
    <row r="67" spans="2:2">
      <c r="B67" s="342" t="s">
        <v>544</v>
      </c>
    </row>
    <row r="68" spans="2:2">
      <c r="B68" s="343" t="s">
        <v>545</v>
      </c>
    </row>
    <row r="69" spans="2:2">
      <c r="B69" s="343" t="s">
        <v>546</v>
      </c>
    </row>
    <row r="70" spans="2:2">
      <c r="B70" s="343" t="s">
        <v>547</v>
      </c>
    </row>
    <row r="71" spans="2:2" ht="30.75" thickBot="1">
      <c r="B71" s="344" t="s">
        <v>548</v>
      </c>
    </row>
  </sheetData>
  <mergeCells count="13">
    <mergeCell ref="L55:P55"/>
    <mergeCell ref="A1:I1"/>
    <mergeCell ref="A2:B2"/>
    <mergeCell ref="H2:I2"/>
    <mergeCell ref="A4:B4"/>
    <mergeCell ref="N9:S9"/>
    <mergeCell ref="N10:N14"/>
    <mergeCell ref="A12:B12"/>
    <mergeCell ref="O15:S15"/>
    <mergeCell ref="A18:B18"/>
    <mergeCell ref="A24:B24"/>
    <mergeCell ref="A46:C46"/>
    <mergeCell ref="K49:K53"/>
  </mergeCells>
  <dataValidations disablePrompts="1" count="7">
    <dataValidation type="list" allowBlank="1" showInputMessage="1" showErrorMessage="1" sqref="C16" xr:uid="{19862D18-5999-4410-AE38-B228B2FEAEBB}">
      <formula1>Parcels</formula1>
    </dataValidation>
    <dataValidation type="list" allowBlank="1" showInputMessage="1" showErrorMessage="1" sqref="C45" xr:uid="{AC768EEC-5C6E-4C07-969E-541BCA8AFE53}">
      <formula1>$F$29:$F$32</formula1>
    </dataValidation>
    <dataValidation type="list" allowBlank="1" showInputMessage="1" showErrorMessage="1" sqref="C33" xr:uid="{4DAFF51C-6FB4-4744-855F-C2CE0AB3B97A}">
      <formula1>$F$40:$F$43</formula1>
    </dataValidation>
    <dataValidation type="list" allowBlank="1" showInputMessage="1" showErrorMessage="1" sqref="C30" xr:uid="{10B947DB-5830-49B2-986F-F6E51EC69ED2}">
      <formula1>$F$45:$F$50</formula1>
    </dataValidation>
    <dataValidation type="list" allowBlank="1" showInputMessage="1" showErrorMessage="1" sqref="C36:C44 C34" xr:uid="{8F7CD361-A96B-4F1C-B812-74B66C5475BA}">
      <formula1>$F$27:$F$28</formula1>
    </dataValidation>
    <dataValidation type="list" allowBlank="1" showInputMessage="1" showErrorMessage="1" sqref="C35 C27 C31:C32" xr:uid="{306D55FD-C3D0-4E28-9D88-55E0395B7497}">
      <formula1>$F$27:$F$29</formula1>
    </dataValidation>
    <dataValidation type="list" allowBlank="1" showInputMessage="1" showErrorMessage="1" sqref="C28:C29" xr:uid="{4C79389E-E432-4C9A-9802-EF587D2EC2E8}">
      <formula1>$F$34:$F$37</formula1>
    </dataValidation>
  </dataValidations>
  <pageMargins left="0.7" right="0.7" top="0.75" bottom="0.75" header="0.3" footer="0.3"/>
  <pageSetup scale="63" orientation="landscape" r:id="rId1"/>
  <headerFooter>
    <oddHeader>&amp;R&amp;"Times New Roman,Bold"&amp;10KyPSC Case No. 2025-00229
STAFF-DR-01-005(b) Attachment 3
Page &amp;P of &amp;N</oddHeader>
  </headerFooter>
  <drawing r:id="rId2"/>
  <legacyDrawing r:id="rId3"/>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BF3B0CDB-5FE7-4D90-815C-C3655C5DBEDF}">
          <x14:formula1>
            <xm:f>'Dropdown Values'!$B$2:$B$5</xm:f>
          </x14:formula1>
          <xm:sqref>C5</xm:sqref>
        </x14:dataValidation>
        <x14:dataValidation type="list" allowBlank="1" showInputMessage="1" showErrorMessage="1" xr:uid="{9C803AA6-62F2-4AA5-83FC-97C65CD44B8C}">
          <x14:formula1>
            <xm:f>'Dropdown Values'!$B$30:$B$32</xm:f>
          </x14:formula1>
          <xm:sqref>C26</xm:sqref>
        </x14:dataValidation>
        <x14:dataValidation type="list" allowBlank="1" showInputMessage="1" showErrorMessage="1" xr:uid="{4FB8B8F1-33BA-44F9-8061-F10ACB73F0AD}">
          <x14:formula1>
            <xm:f>'Dropdown Values'!$B$11:$B$13</xm:f>
          </x14:formula1>
          <xm:sqref>C13</xm:sqref>
        </x14:dataValidation>
        <x14:dataValidation type="list" allowBlank="1" showInputMessage="1" showErrorMessage="1" xr:uid="{AC7DE44B-345C-4903-A1A4-CBD05CC665AE}">
          <x14:formula1>
            <xm:f>'Dropdown Values'!$B$9:$B$10</xm:f>
          </x14:formula1>
          <xm:sqref>C7:C11 C25 C14:C15 C19:C22</xm:sqref>
        </x14:dataValidation>
        <x14:dataValidation type="list" allowBlank="1" showInputMessage="1" showErrorMessage="1" xr:uid="{74A47972-67ED-44CE-A69E-C7BAE5F3C573}">
          <x14:formula1>
            <xm:f>'Dropdown Values'!$B$22:$B$28</xm:f>
          </x14:formula1>
          <xm:sqref>C23</xm:sqref>
        </x14:dataValidation>
        <x14:dataValidation type="list" allowBlank="1" showInputMessage="1" showErrorMessage="1" xr:uid="{13E08F1C-0C24-40A0-B415-B1C04F761435}">
          <x14:formula1>
            <xm:f>'Dropdown Values'!$B$18:$B$21</xm:f>
          </x14:formula1>
          <xm:sqref>C17</xm:sqref>
        </x14:dataValidation>
        <x14:dataValidation type="list" allowBlank="1" showInputMessage="1" showErrorMessage="1" xr:uid="{F6616DA4-D8D1-473C-93D4-212CEDF22F08}">
          <x14:formula1>
            <xm:f>'Dropdown Values'!$B$3:$B$5</xm:f>
          </x14:formula1>
          <xm:sqref>C6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2C092-035B-4F5A-AAB1-1854DD8320DC}">
  <sheetPr>
    <tabColor rgb="FFFFC000"/>
  </sheetPr>
  <dimension ref="A1:J51"/>
  <sheetViews>
    <sheetView view="pageLayout" zoomScaleNormal="100" workbookViewId="0">
      <selection activeCell="E24" sqref="E24"/>
    </sheetView>
  </sheetViews>
  <sheetFormatPr defaultRowHeight="15"/>
  <cols>
    <col min="2" max="6" width="11.7109375" customWidth="1"/>
  </cols>
  <sheetData>
    <row r="1" spans="1:10">
      <c r="A1" s="376"/>
      <c r="B1" s="377" t="s">
        <v>559</v>
      </c>
      <c r="C1" s="377" t="s">
        <v>560</v>
      </c>
      <c r="D1" s="377" t="s">
        <v>561</v>
      </c>
      <c r="E1" s="377" t="s">
        <v>562</v>
      </c>
      <c r="F1" s="378" t="s">
        <v>560</v>
      </c>
    </row>
    <row r="2" spans="1:10" ht="15.75" thickBot="1">
      <c r="A2" s="379" t="s">
        <v>320</v>
      </c>
      <c r="B2" s="380" t="s">
        <v>563</v>
      </c>
      <c r="C2" s="380" t="s">
        <v>563</v>
      </c>
      <c r="D2" s="380" t="s">
        <v>564</v>
      </c>
      <c r="E2" s="380" t="s">
        <v>89</v>
      </c>
      <c r="F2" s="381" t="s">
        <v>89</v>
      </c>
    </row>
    <row r="3" spans="1:10">
      <c r="A3" s="374">
        <f>'Master Tab'!C32</f>
        <v>44927</v>
      </c>
      <c r="B3" s="375"/>
      <c r="C3" s="356">
        <v>0</v>
      </c>
      <c r="D3" s="356">
        <v>0</v>
      </c>
      <c r="E3" s="356">
        <v>0</v>
      </c>
      <c r="F3" s="357">
        <v>0</v>
      </c>
      <c r="G3" s="363"/>
      <c r="H3" s="364">
        <v>0</v>
      </c>
      <c r="I3" s="364">
        <v>0</v>
      </c>
      <c r="J3" s="364">
        <v>0</v>
      </c>
    </row>
    <row r="4" spans="1:10">
      <c r="A4" s="359">
        <f>DATE(YEAR(A3),MONTH(A3)+1,DAY(A3))</f>
        <v>44958</v>
      </c>
      <c r="B4" s="358">
        <f>'Cost Report'!$F$23*(IF('Master Tab'!$C$10=1,AFUDC!H4,(IF('Master Tab'!$C$10=2,AFUDC!I4,AFUDC!J4))))</f>
        <v>0</v>
      </c>
      <c r="C4" s="352">
        <f>C3+B4</f>
        <v>0</v>
      </c>
      <c r="D4" s="352">
        <f>(0.5*B4)+C3</f>
        <v>0</v>
      </c>
      <c r="E4" s="352">
        <f>('Cost Report'!$O$29/12)*D4</f>
        <v>0</v>
      </c>
      <c r="F4" s="353">
        <f>E4+F3</f>
        <v>0</v>
      </c>
      <c r="G4" s="365"/>
      <c r="H4" s="366">
        <v>0.03</v>
      </c>
      <c r="I4" s="366">
        <v>2.9999999999999997E-4</v>
      </c>
      <c r="J4" s="366">
        <v>0</v>
      </c>
    </row>
    <row r="5" spans="1:10">
      <c r="A5" s="359">
        <f t="shared" ref="A5:A48" si="0">DATE(YEAR(A4),MONTH(A4)+1,DAY(A4))</f>
        <v>44986</v>
      </c>
      <c r="B5" s="358">
        <f>'Cost Report'!$F$23*(IF('Master Tab'!$C$10=1,AFUDC!H5,(IF('Master Tab'!$C$10=2,AFUDC!I5,AFUDC!J5))))</f>
        <v>3756.6800000000003</v>
      </c>
      <c r="C5" s="352">
        <f t="shared" ref="C5:C48" si="1">C4+B5</f>
        <v>3756.6800000000003</v>
      </c>
      <c r="D5" s="352">
        <f t="shared" ref="D5:D48" si="2">(0.5*B5)+C4</f>
        <v>1878.3400000000001</v>
      </c>
      <c r="E5" s="352">
        <f>('Cost Report'!$O$29/12)*D5</f>
        <v>9.0003791666666686</v>
      </c>
      <c r="F5" s="353">
        <f t="shared" ref="F5:F48" si="3">E5+F4</f>
        <v>9.0003791666666686</v>
      </c>
      <c r="G5" s="365"/>
      <c r="H5" s="366">
        <v>0.04</v>
      </c>
      <c r="I5" s="366">
        <v>4.0000000000000002E-4</v>
      </c>
      <c r="J5" s="366">
        <v>1E-4</v>
      </c>
    </row>
    <row r="6" spans="1:10">
      <c r="A6" s="359">
        <f t="shared" si="0"/>
        <v>45017</v>
      </c>
      <c r="B6" s="358">
        <f>'Cost Report'!$F$23*(IF('Master Tab'!$C$10=1,AFUDC!H6,(IF('Master Tab'!$C$10=2,AFUDC!I6,AFUDC!J6))))</f>
        <v>3756.6800000000003</v>
      </c>
      <c r="C6" s="352">
        <f t="shared" si="1"/>
        <v>7513.3600000000006</v>
      </c>
      <c r="D6" s="352">
        <f t="shared" si="2"/>
        <v>5635.02</v>
      </c>
      <c r="E6" s="352">
        <f>('Cost Report'!$O$29/12)*D6</f>
        <v>27.001137500000006</v>
      </c>
      <c r="F6" s="353">
        <f t="shared" si="3"/>
        <v>36.001516666666674</v>
      </c>
      <c r="G6" s="365"/>
      <c r="H6" s="366">
        <v>4.4999999999999998E-2</v>
      </c>
      <c r="I6" s="366">
        <v>5.0000000000000001E-4</v>
      </c>
      <c r="J6" s="366">
        <v>1E-4</v>
      </c>
    </row>
    <row r="7" spans="1:10">
      <c r="A7" s="359">
        <f t="shared" si="0"/>
        <v>45047</v>
      </c>
      <c r="B7" s="358">
        <f>'Cost Report'!$F$23*(IF('Master Tab'!$C$10=1,AFUDC!H7,(IF('Master Tab'!$C$10=2,AFUDC!I7,AFUDC!J7))))</f>
        <v>3756.6800000000003</v>
      </c>
      <c r="C7" s="352">
        <f t="shared" si="1"/>
        <v>11270.04</v>
      </c>
      <c r="D7" s="352">
        <f t="shared" si="2"/>
        <v>9391.7000000000007</v>
      </c>
      <c r="E7" s="352">
        <f>('Cost Report'!$O$29/12)*D7</f>
        <v>45.001895833333343</v>
      </c>
      <c r="F7" s="353">
        <f t="shared" si="3"/>
        <v>81.003412500000024</v>
      </c>
      <c r="G7" s="365"/>
      <c r="H7" s="366">
        <v>0.03</v>
      </c>
      <c r="I7" s="366">
        <v>5.0000000000000001E-4</v>
      </c>
      <c r="J7" s="366">
        <v>1E-4</v>
      </c>
    </row>
    <row r="8" spans="1:10">
      <c r="A8" s="359">
        <f t="shared" si="0"/>
        <v>45078</v>
      </c>
      <c r="B8" s="358">
        <f>'Cost Report'!$F$23*(IF('Master Tab'!$C$10=1,AFUDC!H8,(IF('Master Tab'!$C$10=2,AFUDC!I8,AFUDC!J8))))</f>
        <v>7513.3600000000006</v>
      </c>
      <c r="C8" s="352">
        <f t="shared" si="1"/>
        <v>18783.400000000001</v>
      </c>
      <c r="D8" s="352">
        <f t="shared" si="2"/>
        <v>15026.720000000001</v>
      </c>
      <c r="E8" s="352">
        <f>('Cost Report'!$O$29/12)*D8</f>
        <v>72.003033333333349</v>
      </c>
      <c r="F8" s="353">
        <f t="shared" si="3"/>
        <v>153.00644583333337</v>
      </c>
      <c r="G8" s="365"/>
      <c r="H8" s="366">
        <v>3.7499999999999999E-2</v>
      </c>
      <c r="I8" s="366">
        <v>5.0000000000000001E-4</v>
      </c>
      <c r="J8" s="366">
        <v>2.0000000000000001E-4</v>
      </c>
    </row>
    <row r="9" spans="1:10">
      <c r="A9" s="359">
        <f t="shared" si="0"/>
        <v>45108</v>
      </c>
      <c r="B9" s="358">
        <f>'Cost Report'!$F$23*(IF('Master Tab'!$C$10=1,AFUDC!H9,(IF('Master Tab'!$C$10=2,AFUDC!I9,AFUDC!J9))))</f>
        <v>7513.3600000000006</v>
      </c>
      <c r="C9" s="352">
        <f t="shared" si="1"/>
        <v>26296.760000000002</v>
      </c>
      <c r="D9" s="352">
        <f t="shared" si="2"/>
        <v>22540.080000000002</v>
      </c>
      <c r="E9" s="352">
        <f>('Cost Report'!$O$29/12)*D9</f>
        <v>108.00455000000002</v>
      </c>
      <c r="F9" s="353">
        <f t="shared" si="3"/>
        <v>261.01099583333337</v>
      </c>
      <c r="G9" s="349"/>
      <c r="H9" s="367">
        <v>4.2500000000000003E-2</v>
      </c>
      <c r="I9" s="367">
        <v>5.1000000000000004E-3</v>
      </c>
      <c r="J9" s="367">
        <v>2.0000000000000001E-4</v>
      </c>
    </row>
    <row r="10" spans="1:10">
      <c r="A10" s="359">
        <f t="shared" si="0"/>
        <v>45139</v>
      </c>
      <c r="B10" s="358">
        <f>'Cost Report'!$F$23*(IF('Master Tab'!$C$10=1,AFUDC!H10,(IF('Master Tab'!$C$10=2,AFUDC!I10,AFUDC!J10))))</f>
        <v>22540.079999999998</v>
      </c>
      <c r="C10" s="352">
        <f t="shared" si="1"/>
        <v>48836.84</v>
      </c>
      <c r="D10" s="352">
        <f t="shared" si="2"/>
        <v>37566.800000000003</v>
      </c>
      <c r="E10" s="352">
        <f>('Cost Report'!$O$29/12)*D10</f>
        <v>180.00758333333337</v>
      </c>
      <c r="F10" s="353">
        <f t="shared" si="3"/>
        <v>441.01857916666677</v>
      </c>
      <c r="G10" s="349"/>
      <c r="H10" s="367">
        <v>0.04</v>
      </c>
      <c r="I10" s="367">
        <v>1.18E-2</v>
      </c>
      <c r="J10" s="367">
        <v>5.9999999999999995E-4</v>
      </c>
    </row>
    <row r="11" spans="1:10">
      <c r="A11" s="359">
        <f t="shared" si="0"/>
        <v>45170</v>
      </c>
      <c r="B11" s="358">
        <f>'Cost Report'!$F$23*(IF('Master Tab'!$C$10=1,AFUDC!H11,(IF('Master Tab'!$C$10=2,AFUDC!I11,AFUDC!J11))))</f>
        <v>137118.82</v>
      </c>
      <c r="C11" s="352">
        <f t="shared" si="1"/>
        <v>185955.66</v>
      </c>
      <c r="D11" s="352">
        <f t="shared" si="2"/>
        <v>117396.25</v>
      </c>
      <c r="E11" s="352">
        <f>('Cost Report'!$O$29/12)*D11</f>
        <v>562.52369791666672</v>
      </c>
      <c r="F11" s="353">
        <f t="shared" si="3"/>
        <v>1003.5422770833335</v>
      </c>
      <c r="G11" s="349"/>
      <c r="H11" s="367">
        <v>4.8750000000000002E-2</v>
      </c>
      <c r="I11" s="367">
        <v>4.5999999999999999E-3</v>
      </c>
      <c r="J11" s="367">
        <v>3.65E-3</v>
      </c>
    </row>
    <row r="12" spans="1:10">
      <c r="A12" s="359">
        <f t="shared" si="0"/>
        <v>45200</v>
      </c>
      <c r="B12" s="358">
        <f>'Cost Report'!$F$23*(IF('Master Tab'!$C$10=1,AFUDC!H12,(IF('Master Tab'!$C$10=2,AFUDC!I12,AFUDC!J12))))</f>
        <v>103308.7</v>
      </c>
      <c r="C12" s="352">
        <f t="shared" si="1"/>
        <v>289264.36</v>
      </c>
      <c r="D12" s="352">
        <f t="shared" si="2"/>
        <v>237610.01</v>
      </c>
      <c r="E12" s="352">
        <f>('Cost Report'!$O$29/12)*D12</f>
        <v>1138.5479645833334</v>
      </c>
      <c r="F12" s="353">
        <f t="shared" si="3"/>
        <v>2142.0902416666668</v>
      </c>
      <c r="G12" s="349"/>
      <c r="H12" s="367">
        <v>0.1525</v>
      </c>
      <c r="I12" s="367">
        <v>4.3E-3</v>
      </c>
      <c r="J12" s="367">
        <v>2.7499999999999998E-3</v>
      </c>
    </row>
    <row r="13" spans="1:10">
      <c r="A13" s="359">
        <f t="shared" si="0"/>
        <v>45231</v>
      </c>
      <c r="B13" s="358">
        <f>'Cost Report'!$F$23*(IF('Master Tab'!$C$10=1,AFUDC!H13,(IF('Master Tab'!$C$10=2,AFUDC!I13,AFUDC!J13))))</f>
        <v>229157.48</v>
      </c>
      <c r="C13" s="352">
        <f t="shared" si="1"/>
        <v>518421.83999999997</v>
      </c>
      <c r="D13" s="352">
        <f t="shared" si="2"/>
        <v>403843.1</v>
      </c>
      <c r="E13" s="352">
        <f>('Cost Report'!$O$29/12)*D13</f>
        <v>1935.0815208333333</v>
      </c>
      <c r="F13" s="353">
        <f t="shared" si="3"/>
        <v>4077.1717625000001</v>
      </c>
      <c r="G13" s="349"/>
      <c r="H13" s="367">
        <v>0.185</v>
      </c>
      <c r="I13" s="367">
        <v>6.7000000000000002E-3</v>
      </c>
      <c r="J13" s="367">
        <v>6.1000000000000004E-3</v>
      </c>
    </row>
    <row r="14" spans="1:10">
      <c r="A14" s="359">
        <f t="shared" si="0"/>
        <v>45261</v>
      </c>
      <c r="B14" s="358">
        <f>'Cost Report'!$F$23*(IF('Master Tab'!$C$10=1,AFUDC!H14,(IF('Master Tab'!$C$10=2,AFUDC!I14,AFUDC!J14))))</f>
        <v>225400.80000000002</v>
      </c>
      <c r="C14" s="352">
        <f t="shared" si="1"/>
        <v>743822.64</v>
      </c>
      <c r="D14" s="352">
        <f t="shared" si="2"/>
        <v>631122.24</v>
      </c>
      <c r="E14" s="352">
        <f>('Cost Report'!$O$29/12)*D14</f>
        <v>3024.1274000000003</v>
      </c>
      <c r="F14" s="353">
        <f t="shared" si="3"/>
        <v>7101.2991625000004</v>
      </c>
      <c r="G14" s="349"/>
      <c r="H14" s="367">
        <v>0.16</v>
      </c>
      <c r="I14" s="367">
        <v>3.7000000000000002E-3</v>
      </c>
      <c r="J14" s="367">
        <v>6.0000000000000001E-3</v>
      </c>
    </row>
    <row r="15" spans="1:10">
      <c r="A15" s="359">
        <f t="shared" si="0"/>
        <v>45292</v>
      </c>
      <c r="B15" s="358">
        <f>'Cost Report'!$F$23*(IF('Master Tab'!$C$10=1,AFUDC!H15,(IF('Master Tab'!$C$10=2,AFUDC!I15,AFUDC!J15))))</f>
        <v>1314838.0000000002</v>
      </c>
      <c r="C15" s="352">
        <f t="shared" si="1"/>
        <v>2058660.6400000001</v>
      </c>
      <c r="D15" s="352">
        <f t="shared" si="2"/>
        <v>1401241.6400000001</v>
      </c>
      <c r="E15" s="352">
        <f>('Cost Report'!$O$29/12)*D15</f>
        <v>6714.2828583333348</v>
      </c>
      <c r="F15" s="353">
        <f t="shared" si="3"/>
        <v>13815.582020833335</v>
      </c>
      <c r="G15" s="349"/>
      <c r="H15" s="367">
        <v>0.105</v>
      </c>
      <c r="I15" s="367">
        <v>8.3000000000000001E-3</v>
      </c>
      <c r="J15" s="367">
        <v>3.5000000000000003E-2</v>
      </c>
    </row>
    <row r="16" spans="1:10">
      <c r="A16" s="359">
        <f t="shared" si="0"/>
        <v>45323</v>
      </c>
      <c r="B16" s="358">
        <f>'Cost Report'!$F$23*(IF('Master Tab'!$C$10=1,AFUDC!H16,(IF('Master Tab'!$C$10=2,AFUDC!I16,AFUDC!J16))))</f>
        <v>1314838.0000000002</v>
      </c>
      <c r="C16" s="352">
        <f t="shared" si="1"/>
        <v>3373498.6400000006</v>
      </c>
      <c r="D16" s="352">
        <f t="shared" si="2"/>
        <v>2716079.64</v>
      </c>
      <c r="E16" s="352">
        <f>('Cost Report'!$O$29/12)*D16</f>
        <v>13014.548275000003</v>
      </c>
      <c r="F16" s="353">
        <f t="shared" si="3"/>
        <v>26830.13029583334</v>
      </c>
      <c r="G16" s="349"/>
      <c r="H16" s="367">
        <v>4.8750000000000002E-2</v>
      </c>
      <c r="I16" s="367">
        <v>5.4000000000000003E-3</v>
      </c>
      <c r="J16" s="367">
        <v>3.5000000000000003E-2</v>
      </c>
    </row>
    <row r="17" spans="1:10">
      <c r="A17" s="359">
        <f t="shared" si="0"/>
        <v>45352</v>
      </c>
      <c r="B17" s="358">
        <f>'Cost Report'!$F$23*(IF('Master Tab'!$C$10=1,AFUDC!H17,(IF('Master Tab'!$C$10=2,AFUDC!I17,AFUDC!J17))))</f>
        <v>939170</v>
      </c>
      <c r="C17" s="352">
        <f t="shared" si="1"/>
        <v>4312668.6400000006</v>
      </c>
      <c r="D17" s="352">
        <f t="shared" si="2"/>
        <v>3843083.6400000006</v>
      </c>
      <c r="E17" s="352">
        <f>('Cost Report'!$O$29/12)*D17</f>
        <v>18414.775775000006</v>
      </c>
      <c r="F17" s="353">
        <f t="shared" si="3"/>
        <v>45244.906070833342</v>
      </c>
      <c r="G17" s="349"/>
      <c r="H17" s="367">
        <v>1.4999999999999999E-2</v>
      </c>
      <c r="I17" s="367">
        <v>3.04E-2</v>
      </c>
      <c r="J17" s="367">
        <v>2.5000000000000001E-2</v>
      </c>
    </row>
    <row r="18" spans="1:10">
      <c r="A18" s="359">
        <f t="shared" si="0"/>
        <v>45383</v>
      </c>
      <c r="B18" s="358">
        <f>'Cost Report'!$F$23*(IF('Master Tab'!$C$10=1,AFUDC!H18,(IF('Master Tab'!$C$10=2,AFUDC!I18,AFUDC!J18))))</f>
        <v>2441842</v>
      </c>
      <c r="C18" s="352">
        <f t="shared" si="1"/>
        <v>6754510.6400000006</v>
      </c>
      <c r="D18" s="352">
        <f t="shared" si="2"/>
        <v>5533589.6400000006</v>
      </c>
      <c r="E18" s="352">
        <f>('Cost Report'!$O$29/12)*D18</f>
        <v>26515.117025000007</v>
      </c>
      <c r="F18" s="353">
        <f t="shared" si="3"/>
        <v>71760.023095833341</v>
      </c>
      <c r="G18" s="349"/>
      <c r="H18" s="367">
        <v>1.2500000000000001E-2</v>
      </c>
      <c r="I18" s="367">
        <v>2.7300000000000001E-2</v>
      </c>
      <c r="J18" s="367">
        <v>6.5000000000000002E-2</v>
      </c>
    </row>
    <row r="19" spans="1:10">
      <c r="A19" s="359">
        <f t="shared" si="0"/>
        <v>45413</v>
      </c>
      <c r="B19" s="358">
        <f>'Cost Report'!$F$23*(IF('Master Tab'!$C$10=1,AFUDC!H19,(IF('Master Tab'!$C$10=2,AFUDC!I19,AFUDC!J19))))</f>
        <v>751336</v>
      </c>
      <c r="C19" s="352">
        <f t="shared" si="1"/>
        <v>7505846.6400000006</v>
      </c>
      <c r="D19" s="352">
        <f t="shared" si="2"/>
        <v>7130178.6400000006</v>
      </c>
      <c r="E19" s="352">
        <f>('Cost Report'!$O$29/12)*D19</f>
        <v>34165.43931666667</v>
      </c>
      <c r="F19" s="353">
        <f t="shared" si="3"/>
        <v>105925.46241250001</v>
      </c>
      <c r="G19" s="349"/>
      <c r="H19" s="367">
        <v>5.0000000000000001E-3</v>
      </c>
      <c r="I19" s="367">
        <v>3.2300000000000002E-2</v>
      </c>
      <c r="J19" s="367">
        <v>0.02</v>
      </c>
    </row>
    <row r="20" spans="1:10" ht="15.75" thickBot="1">
      <c r="A20" s="360">
        <f t="shared" si="0"/>
        <v>45444</v>
      </c>
      <c r="B20" s="358">
        <f>'Cost Report'!$F$23*(IF('Master Tab'!$C$10=1,AFUDC!H20,(IF('Master Tab'!$C$10=2,AFUDC!I20,AFUDC!J20))))</f>
        <v>375668</v>
      </c>
      <c r="C20" s="354">
        <f t="shared" si="1"/>
        <v>7881514.6400000006</v>
      </c>
      <c r="D20" s="354">
        <f t="shared" si="2"/>
        <v>7693680.6400000006</v>
      </c>
      <c r="E20" s="354">
        <f>('Cost Report'!$O$29/12)*D20</f>
        <v>36865.553066666675</v>
      </c>
      <c r="F20" s="355">
        <f t="shared" si="3"/>
        <v>142791.0154791667</v>
      </c>
      <c r="G20" s="368"/>
      <c r="H20" s="369">
        <v>2.5000000000000001E-3</v>
      </c>
      <c r="I20" s="367">
        <v>4.4999999999999998E-2</v>
      </c>
      <c r="J20" s="367">
        <v>0.01</v>
      </c>
    </row>
    <row r="21" spans="1:10">
      <c r="A21" s="362">
        <f t="shared" si="0"/>
        <v>45474</v>
      </c>
      <c r="B21" s="358">
        <f>'Cost Report'!$F$23*(IF('Master Tab'!$C$10=1,AFUDC!H21,(IF('Master Tab'!$C$10=2,AFUDC!I21,AFUDC!J21))))</f>
        <v>589798.75999999989</v>
      </c>
      <c r="C21" s="356">
        <f t="shared" si="1"/>
        <v>8471313.4000000004</v>
      </c>
      <c r="D21" s="356">
        <f t="shared" si="2"/>
        <v>8176414.0200000005</v>
      </c>
      <c r="E21" s="356">
        <f>('Cost Report'!$O$29/12)*D21</f>
        <v>39178.650512500004</v>
      </c>
      <c r="F21" s="357">
        <f t="shared" si="3"/>
        <v>181969.6659916667</v>
      </c>
      <c r="G21" s="349"/>
      <c r="H21" s="370"/>
      <c r="I21" s="367">
        <v>5.2999999999999999E-2</v>
      </c>
      <c r="J21" s="367">
        <v>1.5699999999999999E-2</v>
      </c>
    </row>
    <row r="22" spans="1:10">
      <c r="A22" s="359">
        <f t="shared" si="0"/>
        <v>45505</v>
      </c>
      <c r="B22" s="358">
        <f>'Cost Report'!$F$23*(IF('Master Tab'!$C$10=1,AFUDC!H22,(IF('Master Tab'!$C$10=2,AFUDC!I22,AFUDC!J22))))</f>
        <v>131483.79999999999</v>
      </c>
      <c r="C22" s="352">
        <f t="shared" si="1"/>
        <v>8602797.2000000011</v>
      </c>
      <c r="D22" s="352">
        <f t="shared" si="2"/>
        <v>8537055.3000000007</v>
      </c>
      <c r="E22" s="352">
        <f>('Cost Report'!$O$29/12)*D22</f>
        <v>40906.723312500006</v>
      </c>
      <c r="F22" s="353">
        <f t="shared" si="3"/>
        <v>222876.38930416672</v>
      </c>
      <c r="G22" s="371"/>
      <c r="H22" s="370"/>
      <c r="I22" s="367">
        <v>4.65E-2</v>
      </c>
      <c r="J22" s="367">
        <v>3.5000000000000001E-3</v>
      </c>
    </row>
    <row r="23" spans="1:10">
      <c r="A23" s="359">
        <f t="shared" si="0"/>
        <v>45536</v>
      </c>
      <c r="B23" s="358">
        <f>'Cost Report'!$F$23*(IF('Master Tab'!$C$10=1,AFUDC!H23,(IF('Master Tab'!$C$10=2,AFUDC!I23,AFUDC!J23))))</f>
        <v>202860.72</v>
      </c>
      <c r="C23" s="352">
        <f t="shared" si="1"/>
        <v>8805657.9200000018</v>
      </c>
      <c r="D23" s="352">
        <f t="shared" si="2"/>
        <v>8704227.5600000005</v>
      </c>
      <c r="E23" s="352">
        <f>('Cost Report'!$O$29/12)*D23</f>
        <v>41707.757058333344</v>
      </c>
      <c r="F23" s="353">
        <f t="shared" si="3"/>
        <v>264584.14636250003</v>
      </c>
      <c r="G23" s="371"/>
      <c r="H23" s="370"/>
      <c r="I23" s="367">
        <v>8.0600000000000005E-2</v>
      </c>
      <c r="J23" s="367">
        <v>5.4000000000000003E-3</v>
      </c>
    </row>
    <row r="24" spans="1:10">
      <c r="A24" s="359">
        <f t="shared" si="0"/>
        <v>45566</v>
      </c>
      <c r="B24" s="358">
        <f>'Cost Report'!$F$23*(IF('Master Tab'!$C$10=1,AFUDC!H24,(IF('Master Tab'!$C$10=2,AFUDC!I24,AFUDC!J24))))</f>
        <v>202860.72</v>
      </c>
      <c r="C24" s="352">
        <f t="shared" si="1"/>
        <v>9008518.6400000025</v>
      </c>
      <c r="D24" s="352">
        <f t="shared" si="2"/>
        <v>8907088.2800000012</v>
      </c>
      <c r="E24" s="352">
        <f>('Cost Report'!$O$29/12)*D24</f>
        <v>42679.798008333346</v>
      </c>
      <c r="F24" s="353">
        <f t="shared" si="3"/>
        <v>307263.9443708334</v>
      </c>
      <c r="G24" s="349"/>
      <c r="H24" s="370"/>
      <c r="I24" s="367">
        <v>9.5200000000000007E-2</v>
      </c>
      <c r="J24" s="367">
        <v>5.4000000000000003E-3</v>
      </c>
    </row>
    <row r="25" spans="1:10">
      <c r="A25" s="359">
        <f t="shared" si="0"/>
        <v>45597</v>
      </c>
      <c r="B25" s="358">
        <f>'Cost Report'!$F$23*(IF('Master Tab'!$C$10=1,AFUDC!H25,(IF('Master Tab'!$C$10=2,AFUDC!I25,AFUDC!J25))))</f>
        <v>657419.00000000012</v>
      </c>
      <c r="C25" s="352">
        <f t="shared" si="1"/>
        <v>9665937.6400000025</v>
      </c>
      <c r="D25" s="352">
        <f t="shared" si="2"/>
        <v>9337228.1400000025</v>
      </c>
      <c r="E25" s="352">
        <f>('Cost Report'!$O$29/12)*D25</f>
        <v>44740.884837500016</v>
      </c>
      <c r="F25" s="353">
        <f t="shared" si="3"/>
        <v>352004.82920833339</v>
      </c>
      <c r="G25" s="349"/>
      <c r="H25" s="370"/>
      <c r="I25" s="367">
        <v>0.10050000000000001</v>
      </c>
      <c r="J25" s="367">
        <v>1.7500000000000002E-2</v>
      </c>
    </row>
    <row r="26" spans="1:10">
      <c r="A26" s="359">
        <f t="shared" si="0"/>
        <v>45627</v>
      </c>
      <c r="B26" s="358">
        <f>'Cost Report'!$F$23*(IF('Master Tab'!$C$10=1,AFUDC!H26,(IF('Master Tab'!$C$10=2,AFUDC!I26,AFUDC!J26))))</f>
        <v>563502</v>
      </c>
      <c r="C26" s="352">
        <f t="shared" si="1"/>
        <v>10229439.640000002</v>
      </c>
      <c r="D26" s="352">
        <f t="shared" si="2"/>
        <v>9947688.6400000025</v>
      </c>
      <c r="E26" s="352">
        <f>('Cost Report'!$O$29/12)*D26</f>
        <v>47666.008066666684</v>
      </c>
      <c r="F26" s="353">
        <f t="shared" si="3"/>
        <v>399670.83727500006</v>
      </c>
      <c r="G26" s="349"/>
      <c r="H26" s="370"/>
      <c r="I26" s="367">
        <v>0.12909999999999999</v>
      </c>
      <c r="J26" s="367">
        <v>1.4999999999999999E-2</v>
      </c>
    </row>
    <row r="27" spans="1:10">
      <c r="A27" s="359">
        <f t="shared" si="0"/>
        <v>45658</v>
      </c>
      <c r="B27" s="358">
        <f>'Cost Report'!$F$23*(IF('Master Tab'!$C$10=1,AFUDC!H27,(IF('Master Tab'!$C$10=2,AFUDC!I27,AFUDC!J27))))</f>
        <v>563502</v>
      </c>
      <c r="C27" s="352">
        <f t="shared" si="1"/>
        <v>10792941.640000002</v>
      </c>
      <c r="D27" s="352">
        <f t="shared" si="2"/>
        <v>10511190.640000002</v>
      </c>
      <c r="E27" s="352">
        <f>('Cost Report'!$O$29/12)*D27</f>
        <v>50366.12181666668</v>
      </c>
      <c r="F27" s="353">
        <f t="shared" si="3"/>
        <v>450036.95909166674</v>
      </c>
      <c r="G27" s="349"/>
      <c r="H27" s="370"/>
      <c r="I27" s="367">
        <v>0.14080000000000001</v>
      </c>
      <c r="J27" s="367">
        <v>1.4999999999999999E-2</v>
      </c>
    </row>
    <row r="28" spans="1:10">
      <c r="A28" s="359">
        <f t="shared" si="0"/>
        <v>45689</v>
      </c>
      <c r="B28" s="358">
        <f>'Cost Report'!$F$23*(IF('Master Tab'!$C$10=1,AFUDC!H28,(IF('Master Tab'!$C$10=2,AFUDC!I28,AFUDC!J28))))</f>
        <v>586042.07999999996</v>
      </c>
      <c r="C28" s="352">
        <f t="shared" si="1"/>
        <v>11378983.720000003</v>
      </c>
      <c r="D28" s="352">
        <f t="shared" si="2"/>
        <v>11085962.680000002</v>
      </c>
      <c r="E28" s="352">
        <f>('Cost Report'!$O$29/12)*D28</f>
        <v>53120.237841666676</v>
      </c>
      <c r="F28" s="353">
        <f t="shared" si="3"/>
        <v>503157.19693333341</v>
      </c>
      <c r="G28" s="349"/>
      <c r="H28" s="370"/>
      <c r="I28" s="367">
        <v>8.5199999999999998E-2</v>
      </c>
      <c r="J28" s="367">
        <v>1.5599999999999999E-2</v>
      </c>
    </row>
    <row r="29" spans="1:10">
      <c r="A29" s="359">
        <f t="shared" si="0"/>
        <v>45717</v>
      </c>
      <c r="B29" s="358">
        <f>'Cost Report'!$F$23*(IF('Master Tab'!$C$10=1,AFUDC!H29,(IF('Master Tab'!$C$10=2,AFUDC!I29,AFUDC!J29))))</f>
        <v>4883684</v>
      </c>
      <c r="C29" s="352">
        <f t="shared" si="1"/>
        <v>16262667.720000003</v>
      </c>
      <c r="D29" s="352">
        <f t="shared" si="2"/>
        <v>13820825.720000003</v>
      </c>
      <c r="E29" s="352">
        <f>('Cost Report'!$O$29/12)*D29</f>
        <v>66224.789908333347</v>
      </c>
      <c r="F29" s="353">
        <f t="shared" si="3"/>
        <v>569381.98684166675</v>
      </c>
      <c r="G29" s="349"/>
      <c r="H29" s="370"/>
      <c r="I29" s="367">
        <v>3.2199999999999999E-2</v>
      </c>
      <c r="J29" s="367">
        <v>0.13</v>
      </c>
    </row>
    <row r="30" spans="1:10">
      <c r="A30" s="359">
        <f t="shared" si="0"/>
        <v>45748</v>
      </c>
      <c r="B30" s="358">
        <f>'Cost Report'!$F$23*(IF('Master Tab'!$C$10=1,AFUDC!H30,(IF('Master Tab'!$C$10=2,AFUDC!I30,AFUDC!J30))))</f>
        <v>4883684</v>
      </c>
      <c r="C30" s="352">
        <f t="shared" si="1"/>
        <v>21146351.720000003</v>
      </c>
      <c r="D30" s="352">
        <f t="shared" si="2"/>
        <v>18704509.720000003</v>
      </c>
      <c r="E30" s="352">
        <f>('Cost Report'!$O$29/12)*D30</f>
        <v>89625.775741666686</v>
      </c>
      <c r="F30" s="353">
        <f t="shared" si="3"/>
        <v>659007.76258333342</v>
      </c>
      <c r="G30" s="349"/>
      <c r="H30" s="370"/>
      <c r="I30" s="367">
        <v>2.2499999999999999E-2</v>
      </c>
      <c r="J30" s="367">
        <v>0.13</v>
      </c>
    </row>
    <row r="31" spans="1:10">
      <c r="A31" s="359">
        <f t="shared" si="0"/>
        <v>45778</v>
      </c>
      <c r="B31" s="358">
        <f>'Cost Report'!$F$23*(IF('Master Tab'!$C$10=1,AFUDC!H31,(IF('Master Tab'!$C$10=2,AFUDC!I31,AFUDC!J31))))</f>
        <v>3756680</v>
      </c>
      <c r="C31" s="352">
        <f t="shared" si="1"/>
        <v>24903031.720000003</v>
      </c>
      <c r="D31" s="352">
        <f t="shared" si="2"/>
        <v>23024691.720000003</v>
      </c>
      <c r="E31" s="352">
        <f>('Cost Report'!$O$29/12)*D31</f>
        <v>110326.64782500002</v>
      </c>
      <c r="F31" s="353">
        <f t="shared" si="3"/>
        <v>769334.41040833341</v>
      </c>
      <c r="G31" s="349"/>
      <c r="H31" s="370"/>
      <c r="I31" s="367">
        <v>1.38E-2</v>
      </c>
      <c r="J31" s="367">
        <v>0.1</v>
      </c>
    </row>
    <row r="32" spans="1:10">
      <c r="A32" s="359">
        <f t="shared" si="0"/>
        <v>45809</v>
      </c>
      <c r="B32" s="358">
        <f>'Cost Report'!$F$23*(IF('Master Tab'!$C$10=1,AFUDC!H32,(IF('Master Tab'!$C$10=2,AFUDC!I32,AFUDC!J32))))</f>
        <v>3005344</v>
      </c>
      <c r="C32" s="352">
        <f t="shared" si="1"/>
        <v>27908375.720000003</v>
      </c>
      <c r="D32" s="352">
        <f t="shared" si="2"/>
        <v>26405703.720000003</v>
      </c>
      <c r="E32" s="352">
        <f>('Cost Report'!$O$29/12)*D32</f>
        <v>126527.33032500003</v>
      </c>
      <c r="F32" s="353">
        <f t="shared" si="3"/>
        <v>895861.7407333334</v>
      </c>
      <c r="G32" s="349"/>
      <c r="H32" s="370"/>
      <c r="I32" s="367">
        <v>2.3E-3</v>
      </c>
      <c r="J32" s="367">
        <v>0.08</v>
      </c>
    </row>
    <row r="33" spans="1:10">
      <c r="A33" s="359">
        <f t="shared" si="0"/>
        <v>45839</v>
      </c>
      <c r="B33" s="358">
        <f>'Cost Report'!$F$23*(IF('Master Tab'!$C$10=1,AFUDC!H33,(IF('Master Tab'!$C$10=2,AFUDC!I33,AFUDC!J33))))</f>
        <v>3005344</v>
      </c>
      <c r="C33" s="352">
        <f t="shared" si="1"/>
        <v>30913719.720000003</v>
      </c>
      <c r="D33" s="352">
        <f t="shared" si="2"/>
        <v>29411047.720000003</v>
      </c>
      <c r="E33" s="352">
        <f>('Cost Report'!$O$29/12)*D33</f>
        <v>140927.93699166671</v>
      </c>
      <c r="F33" s="353">
        <f t="shared" si="3"/>
        <v>1036789.6777250001</v>
      </c>
      <c r="G33" s="349"/>
      <c r="H33" s="370"/>
      <c r="I33" s="367">
        <v>1.1999999999999999E-3</v>
      </c>
      <c r="J33" s="367">
        <v>0.08</v>
      </c>
    </row>
    <row r="34" spans="1:10" ht="15.75" thickBot="1">
      <c r="A34" s="360">
        <f t="shared" si="0"/>
        <v>45870</v>
      </c>
      <c r="B34" s="358">
        <f>'Cost Report'!$F$23*(IF('Master Tab'!$C$10=1,AFUDC!H34,(IF('Master Tab'!$C$10=2,AFUDC!I34,AFUDC!J34))))</f>
        <v>2254008</v>
      </c>
      <c r="C34" s="354">
        <f t="shared" si="1"/>
        <v>33167727.720000003</v>
      </c>
      <c r="D34" s="354">
        <f t="shared" si="2"/>
        <v>32040723.720000003</v>
      </c>
      <c r="E34" s="354">
        <f>('Cost Report'!$O$29/12)*D34</f>
        <v>153528.46782500003</v>
      </c>
      <c r="F34" s="355">
        <f t="shared" si="3"/>
        <v>1190318.14555</v>
      </c>
      <c r="G34" s="368"/>
      <c r="H34" s="372"/>
      <c r="I34" s="369">
        <v>0.01</v>
      </c>
      <c r="J34" s="367">
        <v>0.06</v>
      </c>
    </row>
    <row r="35" spans="1:10">
      <c r="A35" s="362">
        <f t="shared" si="0"/>
        <v>45901</v>
      </c>
      <c r="B35" s="358">
        <f>'Cost Report'!$F$23*(IF('Master Tab'!$C$10=1,AFUDC!H35,(IF('Master Tab'!$C$10=2,AFUDC!I35,AFUDC!J35))))</f>
        <v>2629676.0000000005</v>
      </c>
      <c r="C35" s="356">
        <f t="shared" si="1"/>
        <v>35797403.720000006</v>
      </c>
      <c r="D35" s="356">
        <f t="shared" si="2"/>
        <v>34482565.720000006</v>
      </c>
      <c r="E35" s="356">
        <f>('Cost Report'!$O$29/12)*D35</f>
        <v>165228.96074166673</v>
      </c>
      <c r="F35" s="357">
        <f t="shared" si="3"/>
        <v>1355547.1062916666</v>
      </c>
      <c r="G35" s="349"/>
      <c r="H35" s="370"/>
      <c r="I35" s="370"/>
      <c r="J35" s="367">
        <v>7.0000000000000007E-2</v>
      </c>
    </row>
    <row r="36" spans="1:10">
      <c r="A36" s="359">
        <f t="shared" si="0"/>
        <v>45931</v>
      </c>
      <c r="B36" s="358">
        <f>'Cost Report'!$F$23*(IF('Master Tab'!$C$10=1,AFUDC!H36,(IF('Master Tab'!$C$10=2,AFUDC!I36,AFUDC!J36))))</f>
        <v>751336</v>
      </c>
      <c r="C36" s="352">
        <f t="shared" si="1"/>
        <v>36548739.720000006</v>
      </c>
      <c r="D36" s="352">
        <f t="shared" si="2"/>
        <v>36173071.720000006</v>
      </c>
      <c r="E36" s="352">
        <f>('Cost Report'!$O$29/12)*D36</f>
        <v>173329.30199166673</v>
      </c>
      <c r="F36" s="353">
        <f t="shared" si="3"/>
        <v>1528876.4082833333</v>
      </c>
      <c r="G36" s="349"/>
      <c r="H36" s="370"/>
      <c r="I36" s="370"/>
      <c r="J36" s="367">
        <v>0.02</v>
      </c>
    </row>
    <row r="37" spans="1:10">
      <c r="A37" s="359">
        <f t="shared" si="0"/>
        <v>45962</v>
      </c>
      <c r="B37" s="358">
        <f>'Cost Report'!$F$23*(IF('Master Tab'!$C$10=1,AFUDC!H37,(IF('Master Tab'!$C$10=2,AFUDC!I37,AFUDC!J37))))</f>
        <v>375668</v>
      </c>
      <c r="C37" s="352">
        <f t="shared" si="1"/>
        <v>36924407.720000006</v>
      </c>
      <c r="D37" s="352">
        <f t="shared" si="2"/>
        <v>36736573.720000006</v>
      </c>
      <c r="E37" s="352">
        <f>('Cost Report'!$O$29/12)*D37</f>
        <v>176029.41574166671</v>
      </c>
      <c r="F37" s="353">
        <f t="shared" si="3"/>
        <v>1704905.824025</v>
      </c>
      <c r="G37" s="349"/>
      <c r="H37" s="370"/>
      <c r="I37" s="370"/>
      <c r="J37" s="367">
        <v>0.01</v>
      </c>
    </row>
    <row r="38" spans="1:10">
      <c r="A38" s="359">
        <f t="shared" si="0"/>
        <v>45992</v>
      </c>
      <c r="B38" s="358">
        <f>'Cost Report'!$F$23*(IF('Master Tab'!$C$10=1,AFUDC!H38,(IF('Master Tab'!$C$10=2,AFUDC!I38,AFUDC!J38))))</f>
        <v>187834</v>
      </c>
      <c r="C38" s="352">
        <f t="shared" si="1"/>
        <v>37112241.720000006</v>
      </c>
      <c r="D38" s="352">
        <f t="shared" si="2"/>
        <v>37018324.720000006</v>
      </c>
      <c r="E38" s="352">
        <f>('Cost Report'!$O$29/12)*D38</f>
        <v>177379.47261666672</v>
      </c>
      <c r="F38" s="353">
        <f t="shared" si="3"/>
        <v>1882285.2966416667</v>
      </c>
      <c r="G38" s="349"/>
      <c r="H38" s="370"/>
      <c r="I38" s="370"/>
      <c r="J38" s="367">
        <v>5.0000000000000001E-3</v>
      </c>
    </row>
    <row r="39" spans="1:10">
      <c r="A39" s="359">
        <f t="shared" si="0"/>
        <v>46023</v>
      </c>
      <c r="B39" s="358">
        <f>'Cost Report'!$F$23*(IF('Master Tab'!$C$10=1,AFUDC!H39,(IF('Master Tab'!$C$10=2,AFUDC!I39,AFUDC!J39))))</f>
        <v>18783.400000000001</v>
      </c>
      <c r="C39" s="352">
        <f t="shared" si="1"/>
        <v>37131025.120000005</v>
      </c>
      <c r="D39" s="352">
        <f t="shared" si="2"/>
        <v>37121633.420000009</v>
      </c>
      <c r="E39" s="352">
        <f>('Cost Report'!$O$29/12)*D39</f>
        <v>177874.4934708334</v>
      </c>
      <c r="F39" s="353">
        <f t="shared" si="3"/>
        <v>2060159.7901125001</v>
      </c>
      <c r="G39" s="349"/>
      <c r="H39" s="370"/>
      <c r="I39" s="370"/>
      <c r="J39" s="367">
        <v>5.0000000000000001E-4</v>
      </c>
    </row>
    <row r="40" spans="1:10">
      <c r="A40" s="359">
        <f t="shared" si="0"/>
        <v>46054</v>
      </c>
      <c r="B40" s="358">
        <f>'Cost Report'!$F$23*(IF('Master Tab'!$C$10=1,AFUDC!H40,(IF('Master Tab'!$C$10=2,AFUDC!I40,AFUDC!J40))))</f>
        <v>18783.400000000001</v>
      </c>
      <c r="C40" s="352">
        <f t="shared" si="1"/>
        <v>37149808.520000003</v>
      </c>
      <c r="D40" s="352">
        <f t="shared" si="2"/>
        <v>37140416.820000008</v>
      </c>
      <c r="E40" s="352">
        <f>('Cost Report'!$O$29/12)*D40</f>
        <v>177964.49726250005</v>
      </c>
      <c r="F40" s="353">
        <f t="shared" si="3"/>
        <v>2238124.2873750003</v>
      </c>
      <c r="G40" s="349"/>
      <c r="H40" s="370"/>
      <c r="I40" s="370"/>
      <c r="J40" s="367">
        <v>5.0000000000000001E-4</v>
      </c>
    </row>
    <row r="41" spans="1:10">
      <c r="A41" s="359">
        <f t="shared" si="0"/>
        <v>46082</v>
      </c>
      <c r="B41" s="358">
        <f>'Cost Report'!$F$23*(IF('Master Tab'!$C$10=1,AFUDC!H41,(IF('Master Tab'!$C$10=2,AFUDC!I41,AFUDC!J41))))</f>
        <v>11270.039999999999</v>
      </c>
      <c r="C41" s="352">
        <f t="shared" si="1"/>
        <v>37161078.560000002</v>
      </c>
      <c r="D41" s="352">
        <f t="shared" si="2"/>
        <v>37155443.540000007</v>
      </c>
      <c r="E41" s="352">
        <f>('Cost Report'!$O$29/12)*D41</f>
        <v>178036.50029583339</v>
      </c>
      <c r="F41" s="353">
        <f t="shared" si="3"/>
        <v>2416160.7876708335</v>
      </c>
      <c r="G41" s="349"/>
      <c r="H41" s="370"/>
      <c r="I41" s="370"/>
      <c r="J41" s="367">
        <v>2.9999999999999997E-4</v>
      </c>
    </row>
    <row r="42" spans="1:10">
      <c r="A42" s="359">
        <f t="shared" si="0"/>
        <v>46113</v>
      </c>
      <c r="B42" s="358">
        <f>'Cost Report'!$F$23*(IF('Master Tab'!$C$10=1,AFUDC!H42,(IF('Master Tab'!$C$10=2,AFUDC!I42,AFUDC!J42))))</f>
        <v>11270.039999999999</v>
      </c>
      <c r="C42" s="352">
        <f t="shared" si="1"/>
        <v>37172348.600000001</v>
      </c>
      <c r="D42" s="352">
        <f t="shared" si="2"/>
        <v>37166713.580000006</v>
      </c>
      <c r="E42" s="352">
        <f>('Cost Report'!$O$29/12)*D42</f>
        <v>178090.50257083337</v>
      </c>
      <c r="F42" s="353">
        <f t="shared" si="3"/>
        <v>2594251.2902416671</v>
      </c>
      <c r="G42" s="349"/>
      <c r="H42" s="370"/>
      <c r="I42" s="370"/>
      <c r="J42" s="367">
        <v>2.9999999999999997E-4</v>
      </c>
    </row>
    <row r="43" spans="1:10">
      <c r="A43" s="359">
        <f t="shared" si="0"/>
        <v>46143</v>
      </c>
      <c r="B43" s="358">
        <f>'Cost Report'!$F$23*(IF('Master Tab'!$C$10=1,AFUDC!H43,(IF('Master Tab'!$C$10=2,AFUDC!I43,AFUDC!J43))))</f>
        <v>3756.6800000000003</v>
      </c>
      <c r="C43" s="352">
        <f t="shared" si="1"/>
        <v>37176105.280000001</v>
      </c>
      <c r="D43" s="352">
        <f t="shared" si="2"/>
        <v>37174226.940000005</v>
      </c>
      <c r="E43" s="352">
        <f>('Cost Report'!$O$29/12)*D43</f>
        <v>178126.50408750004</v>
      </c>
      <c r="F43" s="353">
        <f t="shared" si="3"/>
        <v>2772377.7943291673</v>
      </c>
      <c r="G43" s="349"/>
      <c r="H43" s="370"/>
      <c r="I43" s="370"/>
      <c r="J43" s="367">
        <v>1E-4</v>
      </c>
    </row>
    <row r="44" spans="1:10">
      <c r="A44" s="359">
        <f t="shared" si="0"/>
        <v>46174</v>
      </c>
      <c r="B44" s="358">
        <f>'Cost Report'!$F$23*(IF('Master Tab'!$C$10=1,AFUDC!H44,(IF('Master Tab'!$C$10=2,AFUDC!I44,AFUDC!J44))))</f>
        <v>3756.6800000000003</v>
      </c>
      <c r="C44" s="352">
        <f t="shared" si="1"/>
        <v>37179861.960000001</v>
      </c>
      <c r="D44" s="352">
        <f t="shared" si="2"/>
        <v>37177983.620000005</v>
      </c>
      <c r="E44" s="352">
        <f>('Cost Report'!$O$29/12)*D44</f>
        <v>178144.50484583338</v>
      </c>
      <c r="F44" s="353">
        <f t="shared" si="3"/>
        <v>2950522.2991750007</v>
      </c>
      <c r="G44" s="349"/>
      <c r="H44" s="370"/>
      <c r="I44" s="370"/>
      <c r="J44" s="367">
        <v>1E-4</v>
      </c>
    </row>
    <row r="45" spans="1:10">
      <c r="A45" s="359">
        <f t="shared" si="0"/>
        <v>46204</v>
      </c>
      <c r="B45" s="358">
        <f>'Cost Report'!$F$23*(IF('Master Tab'!$C$10=1,AFUDC!H45,(IF('Master Tab'!$C$10=2,AFUDC!I45,AFUDC!J45))))</f>
        <v>3756.6800000000003</v>
      </c>
      <c r="C45" s="352">
        <f t="shared" si="1"/>
        <v>37183618.640000001</v>
      </c>
      <c r="D45" s="352">
        <f t="shared" si="2"/>
        <v>37181740.300000004</v>
      </c>
      <c r="E45" s="352">
        <f>('Cost Report'!$O$29/12)*D45</f>
        <v>178162.50560416671</v>
      </c>
      <c r="F45" s="353">
        <f t="shared" si="3"/>
        <v>3128684.8047791673</v>
      </c>
      <c r="G45" s="349"/>
      <c r="H45" s="370"/>
      <c r="I45" s="370"/>
      <c r="J45" s="367">
        <v>1E-4</v>
      </c>
    </row>
    <row r="46" spans="1:10">
      <c r="A46" s="359">
        <f t="shared" si="0"/>
        <v>46235</v>
      </c>
      <c r="B46" s="358">
        <f>'Cost Report'!$F$23*(IF('Master Tab'!$C$10=1,AFUDC!H46,(IF('Master Tab'!$C$10=2,AFUDC!I46,AFUDC!J46))))</f>
        <v>3756.6800000000003</v>
      </c>
      <c r="C46" s="352">
        <f t="shared" si="1"/>
        <v>37187375.32</v>
      </c>
      <c r="D46" s="352">
        <f t="shared" si="2"/>
        <v>37185496.980000004</v>
      </c>
      <c r="E46" s="352">
        <f>('Cost Report'!$O$29/12)*D46</f>
        <v>178180.50636250005</v>
      </c>
      <c r="F46" s="353">
        <f t="shared" si="3"/>
        <v>3306865.3111416674</v>
      </c>
      <c r="G46" s="349"/>
      <c r="H46" s="370"/>
      <c r="I46" s="370"/>
      <c r="J46" s="367">
        <v>1E-4</v>
      </c>
    </row>
    <row r="47" spans="1:10">
      <c r="A47" s="359">
        <f t="shared" si="0"/>
        <v>46266</v>
      </c>
      <c r="B47" s="358">
        <f>'Cost Report'!$F$23*(IF('Master Tab'!$C$10=1,AFUDC!H47,(IF('Master Tab'!$C$10=2,AFUDC!I47,AFUDC!J47))))</f>
        <v>3756.6800000000003</v>
      </c>
      <c r="C47" s="352">
        <f t="shared" si="1"/>
        <v>37191132</v>
      </c>
      <c r="D47" s="352">
        <f t="shared" si="2"/>
        <v>37189253.660000004</v>
      </c>
      <c r="E47" s="352">
        <f>('Cost Report'!$O$29/12)*D47</f>
        <v>178198.50712083338</v>
      </c>
      <c r="F47" s="353">
        <f t="shared" si="3"/>
        <v>3485063.8182625007</v>
      </c>
      <c r="G47" s="349"/>
      <c r="H47" s="370"/>
      <c r="I47" s="370"/>
      <c r="J47" s="367">
        <v>1E-4</v>
      </c>
    </row>
    <row r="48" spans="1:10" ht="15.75" thickBot="1">
      <c r="A48" s="360">
        <f t="shared" si="0"/>
        <v>46296</v>
      </c>
      <c r="B48" s="358">
        <f>'Cost Report'!$F$23*(IF('Master Tab'!$C$10=1,AFUDC!H48,(IF('Master Tab'!$C$10=2,AFUDC!I48,AFUDC!J48))))</f>
        <v>375668</v>
      </c>
      <c r="C48" s="354">
        <f t="shared" si="1"/>
        <v>37566800</v>
      </c>
      <c r="D48" s="354">
        <f t="shared" si="2"/>
        <v>37378966</v>
      </c>
      <c r="E48" s="354">
        <f>('Cost Report'!$O$29/12)*D48</f>
        <v>179107.54541666669</v>
      </c>
      <c r="F48" s="355">
        <f t="shared" si="3"/>
        <v>3664171.3636791673</v>
      </c>
      <c r="G48" s="368"/>
      <c r="H48" s="372"/>
      <c r="I48" s="372"/>
      <c r="J48" s="369">
        <v>0.01</v>
      </c>
    </row>
    <row r="49" spans="1:10" ht="15.75" thickBot="1">
      <c r="A49" s="349"/>
      <c r="B49" s="349"/>
      <c r="C49" s="349"/>
      <c r="D49" s="597" t="s">
        <v>684</v>
      </c>
      <c r="E49" s="598"/>
      <c r="F49" s="373">
        <f>F20</f>
        <v>142791.0154791667</v>
      </c>
      <c r="G49" s="349"/>
      <c r="H49" s="349"/>
      <c r="I49" s="349"/>
      <c r="J49" s="349"/>
    </row>
    <row r="50" spans="1:10" ht="15.75" thickBot="1">
      <c r="A50" s="349"/>
      <c r="B50" s="349"/>
      <c r="C50" s="349"/>
      <c r="D50" s="599" t="s">
        <v>685</v>
      </c>
      <c r="E50" s="600"/>
      <c r="F50" s="361">
        <f>F34</f>
        <v>1190318.14555</v>
      </c>
      <c r="G50" s="349"/>
      <c r="H50" s="349"/>
      <c r="I50" s="349"/>
      <c r="J50" s="349"/>
    </row>
    <row r="51" spans="1:10" ht="15.75" thickBot="1">
      <c r="A51" s="349"/>
      <c r="B51" s="349"/>
      <c r="C51" s="349"/>
      <c r="D51" s="601" t="s">
        <v>686</v>
      </c>
      <c r="E51" s="602"/>
      <c r="F51" s="361">
        <f>F48</f>
        <v>3664171.3636791673</v>
      </c>
      <c r="G51" s="349"/>
      <c r="H51" s="349"/>
      <c r="I51" s="349"/>
      <c r="J51" s="349"/>
    </row>
  </sheetData>
  <mergeCells count="3">
    <mergeCell ref="D49:E49"/>
    <mergeCell ref="D50:E50"/>
    <mergeCell ref="D51:E51"/>
  </mergeCells>
  <dataValidations disablePrompts="1" count="1">
    <dataValidation allowBlank="1" showInputMessage="1" showErrorMessage="1" errorTitle="Invalid Date" sqref="I15" xr:uid="{B3262B8B-FA08-484A-80D2-BC06D5039F5D}"/>
  </dataValidations>
  <pageMargins left="0.7" right="0.7" top="0.75" bottom="0.75" header="0.3" footer="0.3"/>
  <pageSetup scale="63" fitToHeight="0" orientation="portrait" r:id="rId1"/>
  <headerFooter>
    <oddHeader>&amp;R&amp;"Times New Roman,Bold"&amp;10KyPSC Case No. 2025-00229
STAFF-DR-01-005(b) Attachment 3
Page &amp;P of &amp;N</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2BBE-CCF1-427F-B0AD-174C0A9E1027}">
  <sheetPr>
    <tabColor rgb="FF0070C0"/>
  </sheetPr>
  <dimension ref="A1:AE524"/>
  <sheetViews>
    <sheetView view="pageLayout" zoomScaleNormal="100" workbookViewId="0">
      <selection activeCell="E24" sqref="E24"/>
    </sheetView>
  </sheetViews>
  <sheetFormatPr defaultRowHeight="15"/>
  <cols>
    <col min="1" max="1" width="2.140625" customWidth="1"/>
    <col min="2" max="2" width="53.85546875" customWidth="1"/>
    <col min="3" max="3" width="34.42578125" customWidth="1"/>
    <col min="4" max="4" width="90.5703125" bestFit="1" customWidth="1"/>
    <col min="5" max="5" width="13.42578125" customWidth="1"/>
    <col min="25" max="25" width="10" bestFit="1" customWidth="1"/>
    <col min="26" max="26" width="11.5703125" bestFit="1" customWidth="1"/>
  </cols>
  <sheetData>
    <row r="1" spans="2:4" ht="9.75" customHeight="1"/>
    <row r="2" spans="2:4">
      <c r="B2" s="16" t="s">
        <v>9</v>
      </c>
    </row>
    <row r="3" spans="2:4" ht="15.75" thickBot="1"/>
    <row r="4" spans="2:4" ht="21">
      <c r="B4" s="430" t="s">
        <v>10</v>
      </c>
      <c r="C4" s="431"/>
      <c r="D4" s="432"/>
    </row>
    <row r="5" spans="2:4" ht="19.5" thickBot="1">
      <c r="B5" s="24" t="s">
        <v>11</v>
      </c>
      <c r="C5" s="25" t="s">
        <v>12</v>
      </c>
      <c r="D5" s="26" t="s">
        <v>13</v>
      </c>
    </row>
    <row r="6" spans="2:4">
      <c r="B6" s="5" t="s">
        <v>14</v>
      </c>
      <c r="C6" s="18" t="s">
        <v>925</v>
      </c>
      <c r="D6" s="230" t="s">
        <v>15</v>
      </c>
    </row>
    <row r="7" spans="2:4">
      <c r="B7" s="6" t="s">
        <v>341</v>
      </c>
      <c r="C7" s="19" t="s">
        <v>342</v>
      </c>
      <c r="D7" s="231" t="s">
        <v>343</v>
      </c>
    </row>
    <row r="8" spans="2:4">
      <c r="B8" s="6" t="s">
        <v>0</v>
      </c>
      <c r="C8" s="19" t="s">
        <v>848</v>
      </c>
      <c r="D8" s="231"/>
    </row>
    <row r="9" spans="2:4">
      <c r="B9" s="6" t="s">
        <v>16</v>
      </c>
      <c r="C9" s="142">
        <v>45427</v>
      </c>
      <c r="D9" s="231" t="s">
        <v>17</v>
      </c>
    </row>
    <row r="10" spans="2:4">
      <c r="B10" s="6" t="s">
        <v>397</v>
      </c>
      <c r="C10" s="19">
        <v>3</v>
      </c>
      <c r="D10" s="231" t="s">
        <v>398</v>
      </c>
    </row>
    <row r="11" spans="2:4">
      <c r="B11" s="6" t="s">
        <v>18</v>
      </c>
      <c r="C11" s="19" t="s">
        <v>837</v>
      </c>
      <c r="D11" s="231"/>
    </row>
    <row r="12" spans="2:4">
      <c r="B12" s="6" t="s">
        <v>839</v>
      </c>
      <c r="C12" s="19" t="s">
        <v>722</v>
      </c>
      <c r="D12" s="231"/>
    </row>
    <row r="13" spans="2:4">
      <c r="B13" s="6" t="s">
        <v>840</v>
      </c>
      <c r="C13" s="19" t="s">
        <v>845</v>
      </c>
      <c r="D13" s="231"/>
    </row>
    <row r="14" spans="2:4">
      <c r="B14" s="6" t="s">
        <v>19</v>
      </c>
      <c r="C14" s="19" t="s">
        <v>926</v>
      </c>
      <c r="D14" s="231"/>
    </row>
    <row r="15" spans="2:4">
      <c r="B15" s="6" t="s">
        <v>21</v>
      </c>
      <c r="C15" s="19" t="s">
        <v>22</v>
      </c>
      <c r="D15" s="231"/>
    </row>
    <row r="16" spans="2:4">
      <c r="B16" s="6" t="s">
        <v>23</v>
      </c>
      <c r="C16" s="19" t="s">
        <v>911</v>
      </c>
      <c r="D16" s="231" t="s">
        <v>24</v>
      </c>
    </row>
    <row r="17" spans="2:11" ht="15" customHeight="1">
      <c r="B17" s="6" t="s">
        <v>314</v>
      </c>
      <c r="C17" s="19">
        <v>40</v>
      </c>
      <c r="D17" s="231" t="s">
        <v>834</v>
      </c>
      <c r="E17" s="382" t="s">
        <v>716</v>
      </c>
      <c r="F17" s="224"/>
      <c r="G17" s="224"/>
      <c r="H17" s="224"/>
      <c r="I17" s="224"/>
      <c r="J17" s="224"/>
      <c r="K17" s="224"/>
    </row>
    <row r="18" spans="2:11">
      <c r="B18" s="6" t="s">
        <v>315</v>
      </c>
      <c r="C18" s="19">
        <v>22</v>
      </c>
      <c r="D18" s="231" t="s">
        <v>835</v>
      </c>
      <c r="E18" s="241"/>
      <c r="F18" s="224"/>
      <c r="G18" s="224"/>
      <c r="H18" s="224"/>
      <c r="I18" s="224"/>
      <c r="J18" s="224"/>
      <c r="K18" s="224"/>
    </row>
    <row r="19" spans="2:11">
      <c r="B19" s="6" t="s">
        <v>316</v>
      </c>
      <c r="C19" s="19">
        <v>10</v>
      </c>
      <c r="D19" s="231" t="s">
        <v>836</v>
      </c>
      <c r="E19" s="241"/>
      <c r="F19" s="224"/>
      <c r="G19" s="224"/>
      <c r="H19" s="224"/>
      <c r="I19" s="224"/>
      <c r="J19" s="224"/>
      <c r="K19" s="224"/>
    </row>
    <row r="20" spans="2:11">
      <c r="B20" s="6" t="s">
        <v>25</v>
      </c>
      <c r="C20" s="19" t="s">
        <v>20</v>
      </c>
      <c r="D20" s="231"/>
    </row>
    <row r="21" spans="2:11">
      <c r="B21" s="6" t="s">
        <v>26</v>
      </c>
      <c r="C21" s="19"/>
      <c r="D21" s="231" t="s">
        <v>27</v>
      </c>
    </row>
    <row r="22" spans="2:11">
      <c r="B22" s="6" t="s">
        <v>40</v>
      </c>
      <c r="C22" s="19"/>
      <c r="D22" s="231" t="s">
        <v>28</v>
      </c>
    </row>
    <row r="23" spans="2:11">
      <c r="B23" s="6" t="s">
        <v>39</v>
      </c>
      <c r="C23" s="19"/>
      <c r="D23" s="231"/>
    </row>
    <row r="24" spans="2:11">
      <c r="B24" s="6" t="s">
        <v>29</v>
      </c>
      <c r="C24" s="19" t="s">
        <v>913</v>
      </c>
      <c r="D24" s="247" t="s">
        <v>838</v>
      </c>
    </row>
    <row r="25" spans="2:11">
      <c r="B25" s="6" t="s">
        <v>30</v>
      </c>
      <c r="C25" s="19" t="s">
        <v>265</v>
      </c>
      <c r="D25" s="231"/>
    </row>
    <row r="26" spans="2:11">
      <c r="B26" s="6" t="s">
        <v>31</v>
      </c>
      <c r="C26" s="19" t="s">
        <v>849</v>
      </c>
      <c r="D26" s="231" t="s">
        <v>323</v>
      </c>
      <c r="E26" s="223" t="s">
        <v>324</v>
      </c>
    </row>
    <row r="27" spans="2:11" hidden="1">
      <c r="B27" s="6" t="s">
        <v>32</v>
      </c>
      <c r="C27" s="20">
        <v>7.7499999999999999E-2</v>
      </c>
      <c r="D27" s="231" t="s">
        <v>33</v>
      </c>
    </row>
    <row r="28" spans="2:11">
      <c r="B28" s="6" t="s">
        <v>34</v>
      </c>
      <c r="C28" s="19" t="s">
        <v>850</v>
      </c>
      <c r="D28" s="231"/>
    </row>
    <row r="29" spans="2:11">
      <c r="B29" s="6" t="s">
        <v>199</v>
      </c>
      <c r="C29" s="19">
        <v>0</v>
      </c>
      <c r="D29" s="247" t="s">
        <v>396</v>
      </c>
    </row>
    <row r="30" spans="2:11">
      <c r="B30" s="6" t="s">
        <v>200</v>
      </c>
      <c r="C30" s="229">
        <v>2.5000000000000001E-2</v>
      </c>
      <c r="D30" s="231" t="s">
        <v>212</v>
      </c>
    </row>
    <row r="31" spans="2:11">
      <c r="B31" s="6" t="s">
        <v>202</v>
      </c>
      <c r="C31" s="157">
        <v>0.15</v>
      </c>
      <c r="D31" s="231" t="s">
        <v>201</v>
      </c>
    </row>
    <row r="32" spans="2:11">
      <c r="B32" s="6" t="s">
        <v>184</v>
      </c>
      <c r="C32" s="142">
        <v>44927</v>
      </c>
      <c r="D32" s="231" t="s">
        <v>319</v>
      </c>
    </row>
    <row r="33" spans="1:31">
      <c r="B33" s="6" t="s">
        <v>185</v>
      </c>
      <c r="C33" s="236">
        <f>C34-(5*30.4)</f>
        <v>45991</v>
      </c>
      <c r="D33" s="231" t="s">
        <v>318</v>
      </c>
      <c r="E33" s="223" t="s">
        <v>317</v>
      </c>
    </row>
    <row r="34" spans="1:31">
      <c r="B34" s="6" t="s">
        <v>607</v>
      </c>
      <c r="C34" s="236">
        <f>$C$32+(30.4*$C$17)</f>
        <v>46143</v>
      </c>
      <c r="D34" s="231" t="s">
        <v>318</v>
      </c>
    </row>
    <row r="35" spans="1:31" ht="15.75" thickBot="1">
      <c r="B35" s="237" t="s">
        <v>347</v>
      </c>
      <c r="C35" s="238">
        <v>46054</v>
      </c>
      <c r="D35" s="239" t="s">
        <v>335</v>
      </c>
      <c r="E35" s="223" t="s">
        <v>317</v>
      </c>
    </row>
    <row r="37" spans="1:31">
      <c r="B37" t="s">
        <v>35</v>
      </c>
    </row>
    <row r="38" spans="1:31">
      <c r="A38">
        <v>1</v>
      </c>
      <c r="B38" t="s">
        <v>36</v>
      </c>
    </row>
    <row r="39" spans="1:31">
      <c r="A39">
        <v>2</v>
      </c>
      <c r="B39" t="s">
        <v>37</v>
      </c>
    </row>
    <row r="40" spans="1:31">
      <c r="A40">
        <v>3</v>
      </c>
      <c r="B40" t="s">
        <v>38</v>
      </c>
    </row>
    <row r="41" spans="1:31">
      <c r="B41" s="407"/>
      <c r="C41" s="407"/>
      <c r="D41" s="407"/>
      <c r="E41" s="407"/>
      <c r="F41" s="407"/>
      <c r="G41" s="407"/>
      <c r="H41" s="407"/>
      <c r="I41" s="407"/>
      <c r="J41" s="407"/>
      <c r="K41" s="407"/>
      <c r="L41" s="407"/>
      <c r="M41" s="407"/>
      <c r="N41" s="407"/>
      <c r="O41" s="407"/>
      <c r="P41" s="407"/>
      <c r="Q41" s="407"/>
      <c r="R41" s="407"/>
      <c r="S41" s="407"/>
      <c r="T41" s="407"/>
      <c r="U41" s="407"/>
      <c r="V41" s="407"/>
      <c r="W41" s="407"/>
      <c r="X41" s="407"/>
      <c r="Y41" s="407"/>
      <c r="Z41" s="407"/>
      <c r="AA41" s="407"/>
      <c r="AB41" s="407"/>
      <c r="AC41" s="407"/>
      <c r="AD41" s="407"/>
      <c r="AE41" s="407"/>
    </row>
    <row r="42" spans="1:31">
      <c r="B42" s="407"/>
      <c r="C42" s="407"/>
      <c r="D42" s="407"/>
      <c r="E42" s="407"/>
      <c r="F42" s="407"/>
      <c r="G42" s="407"/>
      <c r="H42" s="407"/>
      <c r="I42" s="407"/>
      <c r="J42" s="407"/>
      <c r="K42" s="407"/>
      <c r="L42" s="407"/>
      <c r="M42" s="407"/>
      <c r="N42" s="407"/>
      <c r="O42" s="407"/>
      <c r="P42" s="407"/>
      <c r="Q42" s="407"/>
      <c r="R42" s="407"/>
      <c r="S42" s="407"/>
      <c r="T42" s="407"/>
      <c r="U42" s="407"/>
      <c r="V42" s="407"/>
      <c r="W42" s="407"/>
      <c r="X42" s="407"/>
      <c r="Y42" s="407"/>
      <c r="Z42" s="407"/>
      <c r="AA42" s="407"/>
      <c r="AB42" s="407"/>
      <c r="AC42" s="407"/>
      <c r="AD42" s="407"/>
      <c r="AE42" s="407"/>
    </row>
    <row r="43" spans="1:31">
      <c r="B43" s="407"/>
      <c r="C43" s="407"/>
      <c r="D43" s="407"/>
      <c r="E43" s="407"/>
      <c r="F43" s="407"/>
      <c r="G43" s="407"/>
      <c r="H43" s="407"/>
      <c r="I43" s="407"/>
      <c r="J43" s="407"/>
      <c r="K43" s="407"/>
      <c r="L43" s="407"/>
      <c r="M43" s="407"/>
      <c r="N43" s="407"/>
      <c r="O43" s="407"/>
      <c r="P43" s="407"/>
      <c r="Q43" s="407"/>
      <c r="R43" s="407"/>
      <c r="S43" s="407"/>
      <c r="T43" s="407"/>
      <c r="U43" s="407"/>
      <c r="V43" s="407"/>
      <c r="W43" s="407"/>
      <c r="X43" s="407"/>
      <c r="Y43" s="407"/>
      <c r="Z43" s="407"/>
      <c r="AA43" s="407"/>
      <c r="AB43" s="407"/>
      <c r="AC43" s="407"/>
      <c r="AD43" s="407"/>
      <c r="AE43" s="407"/>
    </row>
    <row r="44" spans="1:31">
      <c r="B44" s="407"/>
      <c r="C44" s="407"/>
      <c r="D44" s="407"/>
      <c r="E44" s="407"/>
      <c r="F44" s="407"/>
      <c r="G44" s="407"/>
      <c r="H44" s="407"/>
      <c r="I44" s="407"/>
      <c r="J44" s="407"/>
      <c r="K44" s="407"/>
      <c r="L44" s="407"/>
      <c r="M44" s="407"/>
      <c r="N44" s="407"/>
      <c r="O44" s="407"/>
      <c r="P44" s="407"/>
      <c r="Q44" s="407"/>
      <c r="R44" s="407"/>
      <c r="S44" s="407"/>
      <c r="T44" s="407"/>
      <c r="U44" s="407"/>
      <c r="V44" s="407"/>
      <c r="W44" s="407"/>
      <c r="X44" s="407"/>
      <c r="Y44" s="407"/>
      <c r="Z44" s="407"/>
      <c r="AA44" s="407"/>
      <c r="AB44" s="407"/>
      <c r="AC44" s="407"/>
      <c r="AD44" s="407"/>
      <c r="AE44" s="407"/>
    </row>
    <row r="45" spans="1:31">
      <c r="B45" s="407"/>
      <c r="C45" s="407"/>
      <c r="D45" s="407"/>
      <c r="E45" s="407"/>
      <c r="F45" s="407"/>
      <c r="G45" s="407"/>
      <c r="H45" s="407"/>
      <c r="I45" s="407"/>
      <c r="J45" s="407"/>
      <c r="K45" s="407"/>
      <c r="L45" s="407"/>
      <c r="M45" s="407"/>
      <c r="N45" s="407"/>
      <c r="O45" s="407"/>
      <c r="P45" s="407"/>
      <c r="Q45" s="407"/>
      <c r="R45" s="407"/>
      <c r="S45" s="407"/>
      <c r="T45" s="407"/>
      <c r="U45" s="407"/>
      <c r="V45" s="407"/>
      <c r="W45" s="407"/>
      <c r="X45" s="407"/>
      <c r="Y45" s="407"/>
      <c r="Z45" s="407"/>
      <c r="AA45" s="407"/>
      <c r="AB45" s="407"/>
      <c r="AC45" s="407"/>
      <c r="AD45" s="407"/>
      <c r="AE45" s="407"/>
    </row>
    <row r="46" spans="1:31">
      <c r="B46" s="407"/>
      <c r="C46" s="407"/>
      <c r="D46" s="407"/>
      <c r="E46" s="407"/>
      <c r="F46" s="407"/>
      <c r="G46" s="407"/>
      <c r="H46" s="407"/>
      <c r="I46" s="407"/>
      <c r="J46" s="407"/>
      <c r="K46" s="407"/>
      <c r="L46" s="407"/>
      <c r="M46" s="407"/>
      <c r="N46" s="407"/>
      <c r="O46" s="407"/>
      <c r="P46" s="407"/>
      <c r="Q46" s="407"/>
      <c r="R46" s="407"/>
      <c r="S46" s="407"/>
      <c r="T46" s="407"/>
      <c r="U46" s="407"/>
      <c r="V46" s="407"/>
      <c r="W46" s="407"/>
      <c r="X46" s="407"/>
      <c r="Y46" s="407"/>
      <c r="Z46" s="407"/>
      <c r="AA46" s="407"/>
      <c r="AB46" s="407"/>
      <c r="AC46" s="407"/>
      <c r="AD46" s="407"/>
      <c r="AE46" s="407"/>
    </row>
    <row r="47" spans="1:31">
      <c r="B47" s="407"/>
      <c r="C47" s="407"/>
      <c r="D47" s="407"/>
      <c r="E47" s="407"/>
      <c r="F47" s="407"/>
      <c r="G47" s="407"/>
      <c r="H47" s="407"/>
      <c r="I47" s="407"/>
      <c r="J47" s="407"/>
      <c r="K47" s="407"/>
      <c r="L47" s="407"/>
      <c r="M47" s="407"/>
      <c r="N47" s="407"/>
      <c r="O47" s="407"/>
      <c r="P47" s="407"/>
      <c r="Q47" s="407"/>
      <c r="R47" s="407"/>
      <c r="S47" s="407"/>
      <c r="T47" s="407"/>
      <c r="U47" s="407"/>
      <c r="V47" s="407"/>
      <c r="W47" s="407"/>
      <c r="X47" s="407"/>
      <c r="Y47" s="407"/>
      <c r="Z47" s="407"/>
      <c r="AA47" s="407"/>
      <c r="AB47" s="407"/>
      <c r="AC47" s="407"/>
      <c r="AD47" s="407"/>
      <c r="AE47" s="407"/>
    </row>
    <row r="48" spans="1:31">
      <c r="B48" s="407"/>
      <c r="C48" s="407"/>
      <c r="D48" s="407"/>
      <c r="E48" s="407"/>
      <c r="F48" s="407"/>
      <c r="G48" s="407"/>
      <c r="H48" s="407"/>
      <c r="I48" s="407"/>
      <c r="J48" s="407"/>
      <c r="K48" s="407"/>
      <c r="L48" s="407"/>
      <c r="M48" s="407"/>
      <c r="N48" s="407"/>
      <c r="O48" s="407"/>
      <c r="P48" s="407"/>
      <c r="Q48" s="407"/>
      <c r="R48" s="407"/>
      <c r="S48" s="407"/>
      <c r="T48" s="407"/>
      <c r="U48" s="407"/>
      <c r="V48" s="407"/>
      <c r="W48" s="407"/>
      <c r="X48" s="407"/>
      <c r="Y48" s="407"/>
      <c r="Z48" s="407"/>
      <c r="AA48" s="407"/>
      <c r="AB48" s="407"/>
      <c r="AC48" s="407"/>
      <c r="AD48" s="407"/>
      <c r="AE48" s="407"/>
    </row>
    <row r="49" spans="2:31">
      <c r="B49" s="407"/>
      <c r="C49" s="407"/>
      <c r="D49" s="407"/>
      <c r="E49" s="407"/>
      <c r="F49" s="407"/>
      <c r="G49" s="407"/>
      <c r="H49" s="407"/>
      <c r="I49" s="407"/>
      <c r="J49" s="407"/>
      <c r="K49" s="407"/>
      <c r="L49" s="407"/>
      <c r="M49" s="407"/>
      <c r="N49" s="407"/>
      <c r="O49" s="407"/>
      <c r="P49" s="407"/>
      <c r="Q49" s="407"/>
      <c r="R49" s="407"/>
      <c r="S49" s="407"/>
      <c r="T49" s="407"/>
      <c r="U49" s="407"/>
      <c r="V49" s="407"/>
      <c r="W49" s="407"/>
      <c r="X49" s="407"/>
      <c r="Y49" s="407"/>
      <c r="Z49" s="407"/>
      <c r="AA49" s="407"/>
      <c r="AB49" s="407"/>
      <c r="AC49" s="407"/>
      <c r="AD49" s="407"/>
      <c r="AE49" s="407"/>
    </row>
    <row r="50" spans="2:31">
      <c r="B50" s="407"/>
      <c r="C50" s="407"/>
      <c r="D50" s="407"/>
      <c r="E50" s="407"/>
      <c r="F50" s="407"/>
      <c r="G50" s="407"/>
      <c r="H50" s="407"/>
      <c r="I50" s="407"/>
      <c r="J50" s="407"/>
      <c r="K50" s="407"/>
      <c r="L50" s="407"/>
      <c r="M50" s="407"/>
      <c r="N50" s="407"/>
      <c r="O50" s="407"/>
      <c r="P50" s="407"/>
      <c r="Q50" s="407"/>
      <c r="R50" s="407"/>
      <c r="S50" s="407"/>
      <c r="T50" s="407"/>
      <c r="U50" s="407"/>
      <c r="V50" s="407"/>
      <c r="W50" s="407"/>
      <c r="X50" s="407"/>
      <c r="Y50" s="407"/>
      <c r="Z50" s="407"/>
      <c r="AA50" s="407"/>
      <c r="AB50" s="407"/>
      <c r="AC50" s="407"/>
      <c r="AD50" s="407"/>
      <c r="AE50" s="407"/>
    </row>
    <row r="51" spans="2:31">
      <c r="B51" s="407"/>
      <c r="C51" s="407"/>
      <c r="D51" s="407"/>
      <c r="E51" s="407"/>
      <c r="F51" s="407"/>
      <c r="G51" s="407"/>
      <c r="H51" s="407"/>
      <c r="I51" s="407"/>
      <c r="J51" s="407"/>
      <c r="K51" s="407"/>
      <c r="L51" s="407"/>
      <c r="M51" s="407"/>
      <c r="N51" s="407"/>
      <c r="O51" s="407"/>
      <c r="P51" s="407"/>
      <c r="Q51" s="407"/>
      <c r="R51" s="407"/>
      <c r="S51" s="407"/>
      <c r="T51" s="407"/>
      <c r="U51" s="407"/>
      <c r="V51" s="407"/>
      <c r="W51" s="407"/>
      <c r="X51" s="407"/>
      <c r="Y51" s="407"/>
      <c r="Z51" s="407"/>
      <c r="AA51" s="407"/>
      <c r="AB51" s="407"/>
      <c r="AC51" s="407"/>
      <c r="AD51" s="407"/>
      <c r="AE51" s="407"/>
    </row>
    <row r="52" spans="2:31">
      <c r="B52" s="407"/>
      <c r="C52" s="407"/>
      <c r="D52" s="407"/>
      <c r="E52" s="407"/>
      <c r="F52" s="407"/>
      <c r="G52" s="407"/>
      <c r="H52" s="407"/>
      <c r="I52" s="407"/>
      <c r="J52" s="407"/>
      <c r="K52" s="407"/>
      <c r="L52" s="407"/>
      <c r="M52" s="407"/>
      <c r="N52" s="407"/>
      <c r="O52" s="407"/>
      <c r="P52" s="407"/>
      <c r="Q52" s="407"/>
      <c r="R52" s="407"/>
      <c r="S52" s="407"/>
      <c r="T52" s="407"/>
      <c r="U52" s="407"/>
      <c r="V52" s="407"/>
      <c r="W52" s="407"/>
      <c r="X52" s="407"/>
      <c r="Y52" s="407"/>
      <c r="Z52" s="407"/>
      <c r="AA52" s="407"/>
      <c r="AB52" s="407"/>
      <c r="AC52" s="407"/>
      <c r="AD52" s="407"/>
      <c r="AE52" s="407"/>
    </row>
    <row r="53" spans="2:31">
      <c r="B53" s="407"/>
      <c r="C53" s="407"/>
      <c r="D53" s="407"/>
      <c r="E53" s="407"/>
      <c r="F53" s="407"/>
      <c r="G53" s="407"/>
      <c r="H53" s="407"/>
      <c r="I53" s="407"/>
      <c r="J53" s="407"/>
      <c r="K53" s="407"/>
      <c r="L53" s="407"/>
      <c r="M53" s="407"/>
      <c r="N53" s="407"/>
      <c r="O53" s="407"/>
      <c r="P53" s="407"/>
      <c r="Q53" s="407"/>
      <c r="R53" s="407"/>
      <c r="S53" s="407"/>
      <c r="T53" s="407"/>
      <c r="U53" s="407"/>
      <c r="V53" s="407"/>
      <c r="W53" s="407"/>
      <c r="X53" s="407"/>
      <c r="Y53" s="407"/>
      <c r="Z53" s="407"/>
      <c r="AA53" s="407"/>
      <c r="AB53" s="407"/>
      <c r="AC53" s="407"/>
      <c r="AD53" s="407"/>
      <c r="AE53" s="407"/>
    </row>
    <row r="54" spans="2:31">
      <c r="B54" s="407"/>
      <c r="C54" s="407"/>
      <c r="D54" s="407"/>
      <c r="E54" s="407"/>
      <c r="F54" s="407"/>
      <c r="G54" s="407"/>
      <c r="H54" s="407"/>
      <c r="I54" s="407"/>
      <c r="J54" s="407"/>
      <c r="K54" s="407"/>
      <c r="L54" s="407"/>
      <c r="M54" s="407"/>
      <c r="N54" s="407"/>
      <c r="O54" s="407"/>
      <c r="P54" s="407"/>
      <c r="Q54" s="407"/>
      <c r="R54" s="407"/>
      <c r="S54" s="407"/>
      <c r="T54" s="407"/>
      <c r="U54" s="407"/>
      <c r="V54" s="407"/>
      <c r="W54" s="407"/>
      <c r="X54" s="407"/>
      <c r="Y54" s="407"/>
      <c r="Z54" s="407"/>
      <c r="AA54" s="407"/>
      <c r="AB54" s="407"/>
      <c r="AC54" s="407"/>
      <c r="AD54" s="407"/>
      <c r="AE54" s="407"/>
    </row>
    <row r="55" spans="2:31">
      <c r="B55" s="407"/>
      <c r="C55" s="407"/>
      <c r="D55" s="407"/>
      <c r="E55" s="407"/>
      <c r="F55" s="407"/>
      <c r="G55" s="407"/>
      <c r="H55" s="407"/>
      <c r="I55" s="407"/>
      <c r="J55" s="407"/>
      <c r="K55" s="407"/>
      <c r="L55" s="407"/>
      <c r="M55" s="407"/>
      <c r="N55" s="407"/>
      <c r="O55" s="407"/>
      <c r="P55" s="407"/>
      <c r="Q55" s="407"/>
      <c r="R55" s="407"/>
      <c r="S55" s="407"/>
      <c r="T55" s="407"/>
      <c r="U55" s="407"/>
      <c r="V55" s="407"/>
      <c r="W55" s="407"/>
      <c r="X55" s="407"/>
      <c r="Y55" s="407"/>
      <c r="Z55" s="407"/>
      <c r="AA55" s="407"/>
      <c r="AB55" s="407"/>
      <c r="AC55" s="407"/>
      <c r="AD55" s="407"/>
      <c r="AE55" s="407"/>
    </row>
    <row r="56" spans="2:31">
      <c r="B56" s="407"/>
      <c r="C56" s="407"/>
      <c r="D56" s="407"/>
      <c r="E56" s="407"/>
      <c r="F56" s="407"/>
      <c r="G56" s="407"/>
      <c r="H56" s="407"/>
      <c r="I56" s="407"/>
      <c r="J56" s="407"/>
      <c r="K56" s="407"/>
      <c r="L56" s="407"/>
      <c r="M56" s="407"/>
      <c r="N56" s="407"/>
      <c r="O56" s="407"/>
      <c r="P56" s="407"/>
      <c r="Q56" s="407"/>
      <c r="R56" s="407"/>
      <c r="S56" s="407"/>
      <c r="T56" s="407"/>
      <c r="U56" s="407"/>
      <c r="V56" s="407"/>
      <c r="W56" s="407"/>
      <c r="X56" s="407"/>
      <c r="Y56" s="407"/>
      <c r="Z56" s="407"/>
      <c r="AA56" s="407"/>
      <c r="AB56" s="407"/>
      <c r="AC56" s="407"/>
      <c r="AD56" s="407"/>
      <c r="AE56" s="407"/>
    </row>
    <row r="57" spans="2:31">
      <c r="B57" s="407"/>
      <c r="C57" s="407"/>
      <c r="D57" s="407"/>
      <c r="E57" s="407"/>
      <c r="F57" s="407"/>
      <c r="G57" s="407"/>
      <c r="H57" s="407"/>
      <c r="I57" s="407"/>
      <c r="J57" s="407"/>
      <c r="K57" s="407"/>
      <c r="L57" s="407"/>
      <c r="M57" s="407"/>
      <c r="N57" s="407"/>
      <c r="O57" s="407"/>
      <c r="P57" s="407"/>
      <c r="Q57" s="407"/>
      <c r="R57" s="407"/>
      <c r="S57" s="407"/>
      <c r="T57" s="407"/>
      <c r="U57" s="407"/>
      <c r="V57" s="407"/>
      <c r="W57" s="407"/>
      <c r="X57" s="407"/>
      <c r="Y57" s="407"/>
      <c r="Z57" s="407"/>
      <c r="AA57" s="407"/>
      <c r="AB57" s="407"/>
      <c r="AC57" s="407"/>
      <c r="AD57" s="407"/>
      <c r="AE57" s="407"/>
    </row>
    <row r="58" spans="2:31">
      <c r="B58" s="407"/>
      <c r="C58" s="407"/>
      <c r="D58" s="407"/>
      <c r="E58" s="407"/>
      <c r="F58" s="407"/>
      <c r="G58" s="407"/>
      <c r="H58" s="407"/>
      <c r="I58" s="407"/>
      <c r="J58" s="407"/>
      <c r="K58" s="407"/>
      <c r="L58" s="407"/>
      <c r="M58" s="407"/>
      <c r="N58" s="407"/>
      <c r="O58" s="407"/>
      <c r="P58" s="407"/>
      <c r="Q58" s="407"/>
      <c r="R58" s="407"/>
      <c r="S58" s="407"/>
      <c r="T58" s="407"/>
      <c r="U58" s="407"/>
      <c r="V58" s="407"/>
      <c r="W58" s="407"/>
      <c r="X58" s="407"/>
      <c r="Y58" s="407"/>
      <c r="Z58" s="407"/>
      <c r="AA58" s="407"/>
      <c r="AB58" s="407"/>
      <c r="AC58" s="407"/>
      <c r="AD58" s="407"/>
      <c r="AE58" s="407"/>
    </row>
    <row r="59" spans="2:31">
      <c r="B59" s="407"/>
      <c r="C59" s="407"/>
      <c r="D59" s="407"/>
      <c r="E59" s="407"/>
      <c r="F59" s="407"/>
      <c r="G59" s="407"/>
      <c r="H59" s="407"/>
      <c r="I59" s="407"/>
      <c r="J59" s="407"/>
      <c r="K59" s="407"/>
      <c r="L59" s="407"/>
      <c r="M59" s="407"/>
      <c r="N59" s="407"/>
      <c r="O59" s="407"/>
      <c r="P59" s="407"/>
      <c r="Q59" s="407"/>
      <c r="R59" s="407"/>
      <c r="S59" s="407"/>
      <c r="T59" s="407"/>
      <c r="U59" s="407"/>
      <c r="V59" s="407"/>
      <c r="W59" s="407"/>
      <c r="X59" s="407"/>
      <c r="Y59" s="407"/>
      <c r="Z59" s="407"/>
      <c r="AA59" s="407"/>
      <c r="AB59" s="407"/>
      <c r="AC59" s="407"/>
      <c r="AD59" s="407"/>
      <c r="AE59" s="407"/>
    </row>
    <row r="60" spans="2:31">
      <c r="B60" s="407"/>
      <c r="C60" s="407"/>
      <c r="D60" s="407"/>
      <c r="E60" s="407"/>
      <c r="F60" s="407"/>
      <c r="G60" s="407"/>
      <c r="H60" s="407"/>
      <c r="I60" s="407"/>
      <c r="J60" s="407"/>
      <c r="K60" s="407"/>
      <c r="L60" s="407"/>
      <c r="M60" s="407"/>
      <c r="N60" s="407"/>
      <c r="O60" s="407"/>
      <c r="P60" s="407"/>
      <c r="Q60" s="407"/>
      <c r="R60" s="407"/>
      <c r="S60" s="407"/>
      <c r="T60" s="407"/>
      <c r="U60" s="407"/>
      <c r="V60" s="407"/>
      <c r="W60" s="407"/>
      <c r="X60" s="407"/>
      <c r="Y60" s="407"/>
      <c r="Z60" s="407"/>
      <c r="AA60" s="407"/>
      <c r="AB60" s="407"/>
      <c r="AC60" s="407"/>
      <c r="AD60" s="407"/>
      <c r="AE60" s="407"/>
    </row>
    <row r="61" spans="2:31">
      <c r="B61" s="407"/>
      <c r="C61" s="407"/>
      <c r="D61" s="407"/>
      <c r="E61" s="407"/>
      <c r="F61" s="407"/>
      <c r="G61" s="407"/>
      <c r="H61" s="407"/>
      <c r="I61" s="407"/>
      <c r="J61" s="407"/>
      <c r="K61" s="407"/>
      <c r="L61" s="407"/>
      <c r="M61" s="407"/>
      <c r="N61" s="407"/>
      <c r="O61" s="407"/>
      <c r="P61" s="407"/>
      <c r="Q61" s="407"/>
      <c r="R61" s="407"/>
      <c r="S61" s="407"/>
      <c r="T61" s="407"/>
      <c r="U61" s="407"/>
      <c r="V61" s="407"/>
      <c r="W61" s="407"/>
      <c r="X61" s="407"/>
      <c r="Y61" s="407"/>
      <c r="Z61" s="407"/>
      <c r="AA61" s="407"/>
      <c r="AB61" s="407"/>
      <c r="AC61" s="407"/>
      <c r="AD61" s="407"/>
      <c r="AE61" s="407"/>
    </row>
    <row r="62" spans="2:31">
      <c r="B62" s="407"/>
      <c r="C62" s="407"/>
      <c r="D62" s="407"/>
      <c r="E62" s="407"/>
      <c r="F62" s="407"/>
      <c r="G62" s="407"/>
      <c r="H62" s="407"/>
      <c r="I62" s="407"/>
      <c r="J62" s="407"/>
      <c r="K62" s="407"/>
      <c r="L62" s="407"/>
      <c r="M62" s="407"/>
      <c r="N62" s="407"/>
      <c r="O62" s="407"/>
      <c r="P62" s="407"/>
      <c r="Q62" s="407"/>
      <c r="R62" s="407"/>
      <c r="S62" s="407"/>
      <c r="T62" s="407"/>
      <c r="U62" s="407"/>
      <c r="V62" s="407"/>
      <c r="W62" s="407"/>
      <c r="X62" s="407"/>
      <c r="Y62" s="407"/>
      <c r="Z62" s="407"/>
      <c r="AA62" s="407"/>
      <c r="AB62" s="407"/>
      <c r="AC62" s="407"/>
      <c r="AD62" s="407"/>
      <c r="AE62" s="407"/>
    </row>
    <row r="63" spans="2:31">
      <c r="B63" s="407"/>
      <c r="C63" s="407"/>
      <c r="D63" s="407"/>
      <c r="E63" s="407"/>
      <c r="F63" s="407"/>
      <c r="G63" s="407"/>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c r="AE63" s="407"/>
    </row>
    <row r="64" spans="2:31">
      <c r="B64" s="407"/>
      <c r="C64" s="407"/>
      <c r="D64" s="407"/>
      <c r="E64" s="407"/>
      <c r="F64" s="407"/>
      <c r="G64" s="407"/>
      <c r="H64" s="407"/>
      <c r="I64" s="407"/>
      <c r="J64" s="407"/>
      <c r="K64" s="407"/>
      <c r="L64" s="407"/>
      <c r="M64" s="407"/>
      <c r="N64" s="407"/>
      <c r="O64" s="407"/>
      <c r="P64" s="407"/>
      <c r="Q64" s="407"/>
      <c r="R64" s="407"/>
      <c r="S64" s="407"/>
      <c r="T64" s="407"/>
      <c r="U64" s="407"/>
      <c r="V64" s="407"/>
      <c r="W64" s="407"/>
      <c r="X64" s="407"/>
      <c r="Y64" s="407"/>
      <c r="Z64" s="407"/>
      <c r="AA64" s="407"/>
      <c r="AB64" s="407"/>
      <c r="AC64" s="407"/>
      <c r="AD64" s="407"/>
      <c r="AE64" s="407"/>
    </row>
    <row r="65" spans="2:31">
      <c r="B65" s="407"/>
      <c r="C65" s="407"/>
      <c r="D65" s="407"/>
      <c r="E65" s="407"/>
      <c r="F65" s="407"/>
      <c r="G65" s="407"/>
      <c r="H65" s="407"/>
      <c r="I65" s="407"/>
      <c r="J65" s="407"/>
      <c r="K65" s="407"/>
      <c r="L65" s="407"/>
      <c r="M65" s="407"/>
      <c r="N65" s="407"/>
      <c r="O65" s="407"/>
      <c r="P65" s="407"/>
      <c r="Q65" s="407"/>
      <c r="R65" s="407"/>
      <c r="S65" s="407"/>
      <c r="T65" s="407"/>
      <c r="U65" s="407"/>
      <c r="V65" s="407"/>
      <c r="W65" s="407"/>
      <c r="X65" s="407"/>
      <c r="Y65" s="407"/>
      <c r="Z65" s="407"/>
      <c r="AA65" s="407"/>
      <c r="AB65" s="407"/>
      <c r="AC65" s="407"/>
      <c r="AD65" s="407"/>
      <c r="AE65" s="407"/>
    </row>
    <row r="66" spans="2:31">
      <c r="B66" s="407"/>
      <c r="C66" s="407"/>
      <c r="D66" s="407"/>
      <c r="E66" s="407"/>
      <c r="F66" s="407"/>
      <c r="G66" s="407"/>
      <c r="H66" s="407"/>
      <c r="I66" s="407"/>
      <c r="J66" s="407"/>
      <c r="K66" s="407"/>
      <c r="L66" s="407"/>
      <c r="M66" s="407"/>
      <c r="N66" s="407"/>
      <c r="O66" s="407"/>
      <c r="P66" s="407"/>
      <c r="Q66" s="407"/>
      <c r="R66" s="407"/>
      <c r="S66" s="407"/>
      <c r="T66" s="407"/>
      <c r="U66" s="407"/>
      <c r="V66" s="407"/>
      <c r="W66" s="407"/>
      <c r="X66" s="407"/>
      <c r="Y66" s="407"/>
      <c r="Z66" s="407"/>
      <c r="AA66" s="407"/>
      <c r="AB66" s="407"/>
      <c r="AC66" s="407"/>
      <c r="AD66" s="407"/>
      <c r="AE66" s="407"/>
    </row>
    <row r="67" spans="2:31">
      <c r="B67" s="407"/>
      <c r="C67" s="407"/>
      <c r="D67" s="407"/>
      <c r="E67" s="407"/>
      <c r="F67" s="407"/>
      <c r="G67" s="407"/>
      <c r="H67" s="407"/>
      <c r="I67" s="407"/>
      <c r="J67" s="407"/>
      <c r="K67" s="407"/>
      <c r="L67" s="407"/>
      <c r="M67" s="407"/>
      <c r="N67" s="407"/>
      <c r="O67" s="407"/>
      <c r="P67" s="407"/>
      <c r="Q67" s="407"/>
      <c r="R67" s="407"/>
      <c r="S67" s="407"/>
      <c r="T67" s="407"/>
      <c r="U67" s="407"/>
      <c r="V67" s="407"/>
      <c r="W67" s="407"/>
      <c r="X67" s="407"/>
      <c r="Y67" s="407"/>
      <c r="Z67" s="407"/>
      <c r="AA67" s="407"/>
      <c r="AB67" s="407"/>
      <c r="AC67" s="407"/>
      <c r="AD67" s="407"/>
      <c r="AE67" s="407"/>
    </row>
    <row r="68" spans="2:31" hidden="1">
      <c r="B68" s="407"/>
      <c r="C68" s="407"/>
      <c r="D68" s="407"/>
      <c r="E68" s="407" t="s">
        <v>847</v>
      </c>
      <c r="F68" s="407"/>
      <c r="G68" s="407"/>
      <c r="H68" s="407"/>
      <c r="I68" s="407"/>
      <c r="J68" s="407"/>
      <c r="K68" s="407"/>
      <c r="L68" s="407"/>
      <c r="M68" s="407"/>
      <c r="N68" s="407"/>
      <c r="O68" s="407"/>
      <c r="P68" s="407"/>
      <c r="Q68" s="407"/>
      <c r="R68" s="407"/>
      <c r="S68" s="407"/>
      <c r="T68" s="407"/>
      <c r="U68" s="407"/>
      <c r="V68" s="407"/>
      <c r="W68" s="407"/>
      <c r="X68" s="407"/>
      <c r="Y68" s="407"/>
      <c r="Z68" s="407"/>
      <c r="AA68" s="407"/>
      <c r="AB68" s="407"/>
      <c r="AC68" s="407"/>
      <c r="AD68" s="407"/>
      <c r="AE68" s="407"/>
    </row>
    <row r="69" spans="2:31" hidden="1">
      <c r="B69" s="407"/>
      <c r="C69" s="407"/>
      <c r="D69" s="407"/>
      <c r="E69" s="407" t="s">
        <v>841</v>
      </c>
      <c r="F69" s="409">
        <v>2500</v>
      </c>
      <c r="G69" s="409">
        <v>2000</v>
      </c>
      <c r="H69" s="407"/>
      <c r="I69" s="407"/>
      <c r="J69" s="407"/>
      <c r="K69" s="407"/>
      <c r="L69" s="407"/>
      <c r="M69" s="407"/>
      <c r="N69" s="407"/>
      <c r="O69" s="407"/>
      <c r="P69" s="407"/>
      <c r="Q69" s="407"/>
      <c r="R69" s="407"/>
      <c r="S69" s="407"/>
      <c r="T69" s="407"/>
      <c r="U69" s="407"/>
      <c r="V69" s="407"/>
      <c r="W69" s="407"/>
      <c r="X69" s="407"/>
      <c r="Y69" s="407"/>
      <c r="Z69" s="407"/>
      <c r="AA69" s="407"/>
      <c r="AB69" s="407"/>
      <c r="AC69" s="407"/>
      <c r="AD69" s="407"/>
      <c r="AE69" s="407"/>
    </row>
    <row r="70" spans="2:31" hidden="1">
      <c r="B70" s="407"/>
      <c r="C70" s="407"/>
      <c r="D70" s="407"/>
      <c r="E70" s="407" t="s">
        <v>842</v>
      </c>
      <c r="F70" s="409">
        <v>2000</v>
      </c>
      <c r="G70" s="409">
        <v>1500</v>
      </c>
      <c r="H70" s="407"/>
      <c r="I70" s="407"/>
      <c r="J70" s="407"/>
      <c r="K70" s="407"/>
      <c r="L70" s="407"/>
      <c r="M70" s="407"/>
      <c r="N70" s="407"/>
      <c r="O70" s="407"/>
      <c r="P70" s="407"/>
      <c r="Q70" s="407"/>
      <c r="R70" s="407"/>
      <c r="S70" s="407"/>
      <c r="T70" s="407"/>
      <c r="U70" s="407"/>
      <c r="V70" s="407"/>
      <c r="W70" s="407"/>
      <c r="X70" s="407"/>
      <c r="Y70" s="407"/>
      <c r="Z70" s="407"/>
      <c r="AA70" s="407"/>
      <c r="AB70" s="407"/>
      <c r="AC70" s="407"/>
      <c r="AD70" s="407"/>
      <c r="AE70" s="407"/>
    </row>
    <row r="71" spans="2:31" hidden="1">
      <c r="B71" s="407"/>
      <c r="C71" s="407"/>
      <c r="D71" s="407"/>
      <c r="E71" s="407" t="s">
        <v>843</v>
      </c>
      <c r="F71" s="409">
        <v>4100</v>
      </c>
      <c r="G71" s="409">
        <v>3500</v>
      </c>
      <c r="H71" s="407"/>
      <c r="I71" s="407"/>
      <c r="J71" s="407"/>
      <c r="K71" s="407"/>
      <c r="L71" s="407"/>
      <c r="M71" s="407"/>
      <c r="N71" s="407"/>
      <c r="O71" s="407"/>
      <c r="P71" s="407"/>
      <c r="Q71" s="407"/>
      <c r="R71" s="407"/>
      <c r="S71" s="407"/>
      <c r="T71" s="407"/>
      <c r="U71" s="407"/>
      <c r="V71" s="407"/>
      <c r="W71" s="407"/>
      <c r="X71" s="407"/>
      <c r="Y71" s="407"/>
      <c r="Z71" s="407"/>
      <c r="AA71" s="407"/>
      <c r="AB71" s="407"/>
      <c r="AC71" s="407"/>
      <c r="AD71" s="407"/>
      <c r="AE71" s="407"/>
    </row>
    <row r="72" spans="2:31" hidden="1">
      <c r="B72" s="407"/>
      <c r="C72" s="407"/>
      <c r="D72" s="407"/>
      <c r="E72" s="407" t="s">
        <v>844</v>
      </c>
      <c r="F72" s="409">
        <v>4700</v>
      </c>
      <c r="G72" s="409">
        <v>4000</v>
      </c>
      <c r="H72" s="407"/>
      <c r="I72" s="407"/>
      <c r="J72" s="407"/>
      <c r="K72" s="407"/>
      <c r="L72" s="407"/>
      <c r="M72" s="407"/>
      <c r="N72" s="407"/>
      <c r="O72" s="407"/>
      <c r="P72" s="407"/>
      <c r="Q72" s="407"/>
      <c r="R72" s="407"/>
      <c r="S72" s="407"/>
      <c r="T72" s="407"/>
      <c r="U72" s="407"/>
      <c r="V72" s="407"/>
      <c r="W72" s="407"/>
      <c r="X72" s="407"/>
      <c r="Y72" s="407"/>
      <c r="Z72" s="407"/>
      <c r="AA72" s="407"/>
      <c r="AB72" s="407"/>
      <c r="AC72" s="407"/>
      <c r="AD72" s="407"/>
      <c r="AE72" s="407"/>
    </row>
    <row r="73" spans="2:31" hidden="1">
      <c r="B73" s="407"/>
      <c r="C73" s="407"/>
      <c r="D73" s="407"/>
      <c r="E73" s="407" t="s">
        <v>845</v>
      </c>
      <c r="F73" s="409">
        <v>3500</v>
      </c>
      <c r="G73" s="409">
        <v>3000</v>
      </c>
      <c r="H73" s="407"/>
      <c r="I73" s="407"/>
      <c r="J73" s="407"/>
      <c r="K73" s="407"/>
      <c r="L73" s="407"/>
      <c r="M73" s="407"/>
      <c r="N73" s="407"/>
      <c r="O73" s="407"/>
      <c r="P73" s="407"/>
      <c r="Q73" s="407"/>
      <c r="R73" s="407"/>
      <c r="S73" s="407"/>
      <c r="T73" s="407"/>
      <c r="U73" s="407"/>
      <c r="V73" s="407"/>
      <c r="W73" s="407"/>
      <c r="X73" s="407"/>
      <c r="Y73" s="407"/>
      <c r="Z73" s="407"/>
      <c r="AA73" s="407"/>
      <c r="AB73" s="407"/>
      <c r="AC73" s="407"/>
      <c r="AD73" s="407"/>
      <c r="AE73" s="407"/>
    </row>
    <row r="74" spans="2:31" hidden="1">
      <c r="B74" s="407"/>
      <c r="C74" s="407"/>
      <c r="D74" s="407"/>
      <c r="E74" s="407" t="s">
        <v>846</v>
      </c>
      <c r="F74" s="409">
        <v>5200</v>
      </c>
      <c r="G74" s="409">
        <v>4500</v>
      </c>
      <c r="H74" s="407"/>
      <c r="I74" s="407"/>
      <c r="J74" s="407"/>
      <c r="K74" s="407"/>
      <c r="L74" s="407"/>
      <c r="M74" s="407"/>
      <c r="N74" s="407"/>
      <c r="O74" s="407"/>
      <c r="P74" s="407"/>
      <c r="Q74" s="407"/>
      <c r="R74" s="407"/>
      <c r="S74" s="407"/>
      <c r="T74" s="407"/>
      <c r="U74" s="407"/>
      <c r="V74" s="407"/>
      <c r="W74" s="407"/>
      <c r="X74" s="407"/>
      <c r="Y74" s="407"/>
      <c r="Z74" s="407"/>
      <c r="AA74" s="407"/>
      <c r="AB74" s="407"/>
      <c r="AC74" s="407"/>
      <c r="AD74" s="407"/>
      <c r="AE74" s="407"/>
    </row>
    <row r="75" spans="2:31">
      <c r="B75" s="407"/>
      <c r="C75" s="407"/>
      <c r="D75" s="407"/>
      <c r="E75" s="407"/>
      <c r="F75" s="407"/>
      <c r="G75" s="407"/>
      <c r="H75" s="407"/>
      <c r="I75" s="407"/>
      <c r="J75" s="407"/>
      <c r="K75" s="407"/>
      <c r="L75" s="407"/>
      <c r="M75" s="407"/>
      <c r="N75" s="407"/>
      <c r="O75" s="407"/>
      <c r="P75" s="407"/>
      <c r="Q75" s="407"/>
      <c r="R75" s="407"/>
      <c r="S75" s="407"/>
      <c r="T75" s="407"/>
      <c r="U75" s="407"/>
      <c r="V75" s="407"/>
      <c r="W75" s="407"/>
      <c r="X75" s="407"/>
      <c r="Y75" s="407"/>
      <c r="Z75" s="407"/>
      <c r="AA75" s="407"/>
      <c r="AB75" s="407"/>
      <c r="AC75" s="407"/>
      <c r="AD75" s="407"/>
      <c r="AE75" s="407"/>
    </row>
    <row r="76" spans="2:31">
      <c r="B76" s="407"/>
      <c r="C76" s="407"/>
      <c r="D76" s="407"/>
      <c r="E76" s="407"/>
      <c r="F76" s="407"/>
      <c r="G76" s="407"/>
      <c r="H76" s="407"/>
      <c r="I76" s="407"/>
      <c r="J76" s="407"/>
      <c r="K76" s="407"/>
      <c r="L76" s="407"/>
      <c r="M76" s="407"/>
      <c r="N76" s="407"/>
      <c r="O76" s="407"/>
      <c r="P76" s="407"/>
      <c r="Q76" s="407"/>
      <c r="R76" s="407"/>
      <c r="S76" s="407"/>
      <c r="T76" s="407"/>
      <c r="U76" s="407"/>
      <c r="V76" s="407"/>
      <c r="W76" s="407"/>
      <c r="X76" s="407"/>
      <c r="Y76" s="407"/>
      <c r="Z76" s="407"/>
      <c r="AA76" s="407"/>
      <c r="AB76" s="407"/>
      <c r="AC76" s="407"/>
      <c r="AD76" s="407"/>
      <c r="AE76" s="407"/>
    </row>
    <row r="77" spans="2:31">
      <c r="B77" s="407"/>
      <c r="C77" s="407"/>
      <c r="D77" s="407"/>
      <c r="E77" s="407"/>
      <c r="F77" s="407"/>
      <c r="G77" s="407"/>
      <c r="H77" s="407"/>
      <c r="I77" s="407"/>
      <c r="J77" s="407"/>
      <c r="K77" s="407"/>
      <c r="L77" s="407"/>
      <c r="M77" s="407"/>
      <c r="N77" s="407"/>
      <c r="O77" s="407"/>
      <c r="P77" s="407"/>
      <c r="Q77" s="407"/>
      <c r="R77" s="407"/>
      <c r="S77" s="407"/>
      <c r="T77" s="407"/>
      <c r="U77" s="407"/>
      <c r="V77" s="407"/>
      <c r="W77" s="407"/>
      <c r="X77" s="407"/>
      <c r="Y77" s="407"/>
      <c r="Z77" s="407"/>
      <c r="AA77" s="407"/>
      <c r="AB77" s="407"/>
      <c r="AC77" s="407"/>
      <c r="AD77" s="407"/>
      <c r="AE77" s="407"/>
    </row>
    <row r="78" spans="2:31">
      <c r="B78" s="407"/>
      <c r="C78" s="407"/>
      <c r="D78" s="407"/>
      <c r="E78" s="407"/>
      <c r="F78" s="407"/>
      <c r="G78" s="407"/>
      <c r="H78" s="407"/>
      <c r="I78" s="407"/>
      <c r="J78" s="407"/>
      <c r="K78" s="407"/>
      <c r="L78" s="407"/>
      <c r="M78" s="407"/>
      <c r="N78" s="407"/>
      <c r="O78" s="407"/>
      <c r="P78" s="407"/>
      <c r="Q78" s="407"/>
      <c r="R78" s="407"/>
      <c r="S78" s="407"/>
      <c r="T78" s="407"/>
      <c r="U78" s="407"/>
      <c r="V78" s="407"/>
      <c r="W78" s="407"/>
      <c r="X78" s="407"/>
      <c r="Y78" s="407"/>
      <c r="Z78" s="407"/>
      <c r="AA78" s="407"/>
      <c r="AB78" s="407"/>
      <c r="AC78" s="407"/>
      <c r="AD78" s="407"/>
      <c r="AE78" s="407"/>
    </row>
    <row r="79" spans="2:31">
      <c r="B79" s="407"/>
      <c r="C79" s="407"/>
      <c r="D79" s="407"/>
      <c r="E79" s="407"/>
      <c r="F79" s="407"/>
      <c r="G79" s="407"/>
      <c r="H79" s="407"/>
      <c r="I79" s="407"/>
      <c r="J79" s="407"/>
      <c r="K79" s="407"/>
      <c r="L79" s="407"/>
      <c r="M79" s="407"/>
      <c r="N79" s="407"/>
      <c r="O79" s="407"/>
      <c r="P79" s="407"/>
      <c r="Q79" s="407"/>
      <c r="R79" s="407"/>
      <c r="S79" s="407"/>
      <c r="T79" s="407"/>
      <c r="U79" s="407"/>
      <c r="V79" s="407"/>
      <c r="W79" s="407"/>
      <c r="X79" s="407"/>
      <c r="Y79" s="407"/>
      <c r="Z79" s="407"/>
      <c r="AA79" s="407"/>
      <c r="AB79" s="407"/>
      <c r="AC79" s="407"/>
      <c r="AD79" s="407"/>
      <c r="AE79" s="407"/>
    </row>
    <row r="80" spans="2:31">
      <c r="B80" s="407"/>
      <c r="C80" s="407"/>
      <c r="D80" s="407"/>
      <c r="E80" s="407"/>
      <c r="F80" s="407"/>
      <c r="G80" s="407"/>
      <c r="H80" s="407"/>
      <c r="I80" s="407"/>
      <c r="J80" s="407"/>
      <c r="K80" s="407"/>
      <c r="L80" s="407"/>
      <c r="M80" s="407"/>
      <c r="N80" s="407"/>
      <c r="O80" s="407"/>
      <c r="P80" s="407"/>
      <c r="Q80" s="407"/>
      <c r="R80" s="407"/>
      <c r="S80" s="407"/>
      <c r="T80" s="407"/>
      <c r="U80" s="407"/>
      <c r="V80" s="407"/>
      <c r="W80" s="407"/>
      <c r="X80" s="407"/>
      <c r="Y80" s="407"/>
      <c r="Z80" s="407"/>
      <c r="AA80" s="407"/>
      <c r="AB80" s="407"/>
      <c r="AC80" s="407"/>
      <c r="AD80" s="407"/>
      <c r="AE80" s="407"/>
    </row>
    <row r="81" spans="2:31">
      <c r="B81" s="407"/>
      <c r="C81" s="407"/>
      <c r="D81" s="407"/>
      <c r="E81" s="407"/>
      <c r="F81" s="407"/>
      <c r="G81" s="407"/>
      <c r="H81" s="407"/>
      <c r="I81" s="407"/>
      <c r="J81" s="407"/>
      <c r="K81" s="407"/>
      <c r="L81" s="407"/>
      <c r="M81" s="407"/>
      <c r="N81" s="407"/>
      <c r="O81" s="407"/>
      <c r="P81" s="407"/>
      <c r="Q81" s="407"/>
      <c r="R81" s="407"/>
      <c r="S81" s="407"/>
      <c r="T81" s="407"/>
      <c r="U81" s="407"/>
      <c r="V81" s="407"/>
      <c r="W81" s="407"/>
      <c r="X81" s="407"/>
      <c r="Y81" s="407"/>
      <c r="Z81" s="407"/>
      <c r="AA81" s="407"/>
      <c r="AB81" s="407"/>
      <c r="AC81" s="407"/>
      <c r="AD81" s="407"/>
      <c r="AE81" s="407"/>
    </row>
    <row r="82" spans="2:31">
      <c r="B82" s="407"/>
      <c r="C82" s="407"/>
      <c r="D82" s="407"/>
      <c r="E82" s="407"/>
      <c r="F82" s="407"/>
      <c r="G82" s="407"/>
      <c r="H82" s="407"/>
      <c r="I82" s="407"/>
      <c r="J82" s="407"/>
      <c r="K82" s="407"/>
      <c r="L82" s="407"/>
      <c r="M82" s="407"/>
      <c r="N82" s="407"/>
      <c r="O82" s="407"/>
      <c r="P82" s="407"/>
      <c r="Q82" s="407"/>
      <c r="R82" s="407"/>
      <c r="S82" s="407"/>
      <c r="T82" s="407"/>
      <c r="U82" s="407"/>
      <c r="V82" s="407"/>
      <c r="W82" s="407"/>
      <c r="X82" s="407"/>
      <c r="Y82" s="407"/>
      <c r="Z82" s="407"/>
      <c r="AA82" s="407"/>
      <c r="AB82" s="407"/>
      <c r="AC82" s="407"/>
      <c r="AD82" s="407"/>
      <c r="AE82" s="407"/>
    </row>
    <row r="83" spans="2:31">
      <c r="B83" s="407"/>
      <c r="C83" s="407"/>
      <c r="D83" s="407"/>
      <c r="E83" s="407"/>
      <c r="F83" s="407"/>
      <c r="G83" s="407"/>
      <c r="H83" s="407"/>
      <c r="I83" s="407"/>
      <c r="J83" s="407"/>
      <c r="K83" s="407"/>
      <c r="L83" s="407"/>
      <c r="M83" s="407"/>
      <c r="N83" s="407"/>
      <c r="O83" s="407"/>
      <c r="P83" s="407"/>
      <c r="Q83" s="407"/>
      <c r="R83" s="407"/>
      <c r="S83" s="407"/>
      <c r="T83" s="407"/>
      <c r="U83" s="407"/>
      <c r="V83" s="407"/>
      <c r="W83" s="407"/>
      <c r="X83" s="407"/>
      <c r="Y83" s="407"/>
      <c r="Z83" s="407"/>
      <c r="AA83" s="407"/>
      <c r="AB83" s="407"/>
      <c r="AC83" s="407"/>
      <c r="AD83" s="407"/>
      <c r="AE83" s="407"/>
    </row>
    <row r="84" spans="2:31">
      <c r="B84" s="407"/>
      <c r="C84" s="407"/>
      <c r="D84" s="407"/>
      <c r="E84" s="407"/>
      <c r="F84" s="407"/>
      <c r="G84" s="407"/>
      <c r="H84" s="407"/>
      <c r="I84" s="407"/>
      <c r="J84" s="407"/>
      <c r="K84" s="407"/>
      <c r="L84" s="407"/>
      <c r="M84" s="407"/>
      <c r="N84" s="407"/>
      <c r="O84" s="407"/>
      <c r="P84" s="407"/>
      <c r="Q84" s="407"/>
      <c r="R84" s="407"/>
      <c r="S84" s="407"/>
      <c r="T84" s="407"/>
      <c r="U84" s="407"/>
      <c r="V84" s="407"/>
      <c r="W84" s="407"/>
      <c r="X84" s="407"/>
      <c r="Y84" s="407"/>
      <c r="Z84" s="407"/>
      <c r="AA84" s="407"/>
      <c r="AB84" s="407"/>
      <c r="AC84" s="407"/>
      <c r="AD84" s="407"/>
      <c r="AE84" s="407"/>
    </row>
    <row r="85" spans="2:31">
      <c r="B85" s="407"/>
      <c r="C85" s="407"/>
      <c r="D85" s="407"/>
      <c r="E85" s="407"/>
      <c r="F85" s="407"/>
      <c r="G85" s="407"/>
      <c r="H85" s="407"/>
      <c r="I85" s="407"/>
      <c r="J85" s="407"/>
      <c r="K85" s="407"/>
      <c r="L85" s="407"/>
      <c r="M85" s="407"/>
      <c r="N85" s="407"/>
      <c r="O85" s="407"/>
      <c r="P85" s="407"/>
      <c r="Q85" s="407"/>
      <c r="R85" s="407"/>
      <c r="S85" s="407"/>
      <c r="T85" s="407"/>
      <c r="U85" s="407"/>
      <c r="V85" s="407"/>
      <c r="W85" s="407"/>
      <c r="X85" s="407"/>
      <c r="Y85" s="407"/>
      <c r="Z85" s="407"/>
      <c r="AA85" s="407"/>
      <c r="AB85" s="407"/>
      <c r="AC85" s="407"/>
      <c r="AD85" s="407"/>
      <c r="AE85" s="407"/>
    </row>
    <row r="86" spans="2:31">
      <c r="B86" s="407"/>
      <c r="C86" s="407"/>
      <c r="D86" s="407"/>
      <c r="E86" s="407"/>
      <c r="F86" s="407"/>
      <c r="G86" s="407"/>
      <c r="H86" s="407"/>
      <c r="I86" s="407"/>
      <c r="J86" s="407"/>
      <c r="K86" s="407"/>
      <c r="L86" s="407"/>
      <c r="M86" s="407"/>
      <c r="N86" s="407"/>
      <c r="O86" s="407"/>
      <c r="P86" s="407"/>
      <c r="Q86" s="407"/>
      <c r="R86" s="407"/>
      <c r="S86" s="407"/>
      <c r="T86" s="407"/>
      <c r="U86" s="407"/>
      <c r="V86" s="407"/>
      <c r="W86" s="407"/>
      <c r="X86" s="407"/>
      <c r="Y86" s="407"/>
      <c r="Z86" s="407"/>
      <c r="AA86" s="407"/>
      <c r="AB86" s="407"/>
      <c r="AC86" s="407"/>
      <c r="AD86" s="407"/>
      <c r="AE86" s="407"/>
    </row>
    <row r="87" spans="2:31">
      <c r="B87" s="407"/>
      <c r="C87" s="407"/>
      <c r="D87" s="407"/>
      <c r="E87" s="407"/>
      <c r="F87" s="407"/>
      <c r="G87" s="407"/>
      <c r="H87" s="407"/>
      <c r="I87" s="407"/>
      <c r="J87" s="407"/>
      <c r="K87" s="407"/>
      <c r="L87" s="407"/>
      <c r="M87" s="407"/>
      <c r="N87" s="407"/>
      <c r="O87" s="407"/>
      <c r="P87" s="407"/>
      <c r="Q87" s="407"/>
      <c r="R87" s="407"/>
      <c r="S87" s="407"/>
      <c r="T87" s="407"/>
      <c r="U87" s="407"/>
      <c r="V87" s="407"/>
      <c r="W87" s="407"/>
      <c r="X87" s="407"/>
      <c r="Y87" s="407"/>
      <c r="Z87" s="407"/>
      <c r="AA87" s="407"/>
      <c r="AB87" s="407"/>
      <c r="AC87" s="407"/>
      <c r="AD87" s="407"/>
      <c r="AE87" s="407"/>
    </row>
    <row r="88" spans="2:31">
      <c r="B88" s="407"/>
      <c r="C88" s="407"/>
      <c r="D88" s="407"/>
      <c r="E88" s="407"/>
      <c r="F88" s="407"/>
      <c r="G88" s="407"/>
      <c r="H88" s="407"/>
      <c r="I88" s="407"/>
      <c r="J88" s="407"/>
      <c r="K88" s="407"/>
      <c r="L88" s="407"/>
      <c r="M88" s="407"/>
      <c r="N88" s="407"/>
      <c r="O88" s="407"/>
      <c r="P88" s="407"/>
      <c r="Q88" s="407"/>
      <c r="R88" s="407"/>
      <c r="S88" s="407"/>
      <c r="T88" s="407"/>
      <c r="U88" s="407"/>
      <c r="V88" s="407"/>
      <c r="W88" s="407"/>
      <c r="X88" s="407"/>
      <c r="Y88" s="407"/>
      <c r="Z88" s="407"/>
      <c r="AA88" s="407"/>
      <c r="AB88" s="407"/>
      <c r="AC88" s="407"/>
      <c r="AD88" s="407"/>
      <c r="AE88" s="407"/>
    </row>
    <row r="89" spans="2:31">
      <c r="B89" s="407"/>
      <c r="C89" s="407"/>
      <c r="D89" s="407"/>
      <c r="E89" s="407"/>
      <c r="F89" s="407"/>
      <c r="G89" s="407"/>
      <c r="H89" s="407"/>
      <c r="I89" s="407"/>
      <c r="J89" s="407"/>
      <c r="K89" s="407"/>
      <c r="L89" s="407"/>
      <c r="M89" s="407"/>
      <c r="N89" s="407"/>
      <c r="O89" s="407"/>
      <c r="P89" s="407"/>
      <c r="Q89" s="407"/>
      <c r="R89" s="407"/>
      <c r="S89" s="407"/>
      <c r="T89" s="407"/>
      <c r="U89" s="407"/>
      <c r="V89" s="407"/>
      <c r="W89" s="407"/>
      <c r="X89" s="407"/>
      <c r="Y89" s="407"/>
      <c r="Z89" s="407"/>
      <c r="AA89" s="407"/>
      <c r="AB89" s="407"/>
      <c r="AC89" s="407"/>
      <c r="AD89" s="407"/>
      <c r="AE89" s="407"/>
    </row>
    <row r="90" spans="2:31">
      <c r="B90" s="407"/>
      <c r="C90" s="407"/>
      <c r="D90" s="407"/>
      <c r="E90" s="407"/>
      <c r="F90" s="407"/>
      <c r="G90" s="407"/>
      <c r="H90" s="407"/>
      <c r="I90" s="407"/>
      <c r="J90" s="407"/>
      <c r="K90" s="407"/>
      <c r="L90" s="407"/>
      <c r="M90" s="407"/>
      <c r="N90" s="407"/>
      <c r="O90" s="407"/>
      <c r="P90" s="407"/>
      <c r="Q90" s="407"/>
      <c r="R90" s="407"/>
      <c r="S90" s="407"/>
      <c r="T90" s="407"/>
      <c r="U90" s="407"/>
      <c r="V90" s="407"/>
      <c r="W90" s="407"/>
      <c r="X90" s="407"/>
      <c r="Y90" s="407"/>
      <c r="Z90" s="407"/>
      <c r="AA90" s="407"/>
      <c r="AB90" s="407"/>
      <c r="AC90" s="407"/>
      <c r="AD90" s="407"/>
      <c r="AE90" s="407"/>
    </row>
    <row r="91" spans="2:31">
      <c r="B91" s="407"/>
      <c r="C91" s="407"/>
      <c r="D91" s="407"/>
      <c r="E91" s="407"/>
      <c r="F91" s="407"/>
      <c r="G91" s="407"/>
      <c r="H91" s="407"/>
      <c r="I91" s="407"/>
      <c r="J91" s="407"/>
      <c r="K91" s="407"/>
      <c r="L91" s="407"/>
      <c r="M91" s="407"/>
      <c r="N91" s="407"/>
      <c r="O91" s="407"/>
      <c r="P91" s="407"/>
      <c r="Q91" s="407"/>
      <c r="R91" s="407"/>
      <c r="S91" s="407"/>
      <c r="T91" s="407"/>
      <c r="U91" s="407"/>
      <c r="V91" s="407"/>
      <c r="W91" s="407"/>
      <c r="X91" s="407"/>
      <c r="Y91" s="407"/>
      <c r="Z91" s="407"/>
      <c r="AA91" s="407"/>
      <c r="AB91" s="407"/>
      <c r="AC91" s="407"/>
      <c r="AD91" s="407"/>
      <c r="AE91" s="407"/>
    </row>
    <row r="92" spans="2:31">
      <c r="B92" s="407"/>
      <c r="C92" s="407"/>
      <c r="D92" s="407"/>
      <c r="E92" s="407"/>
      <c r="F92" s="407"/>
      <c r="G92" s="407"/>
      <c r="H92" s="407"/>
      <c r="I92" s="407"/>
      <c r="J92" s="407"/>
      <c r="K92" s="407"/>
      <c r="L92" s="407"/>
      <c r="M92" s="407"/>
      <c r="N92" s="407"/>
      <c r="O92" s="407"/>
      <c r="P92" s="407"/>
      <c r="Q92" s="407"/>
      <c r="R92" s="407"/>
      <c r="S92" s="407"/>
      <c r="T92" s="407"/>
      <c r="U92" s="407"/>
      <c r="V92" s="407"/>
      <c r="W92" s="407"/>
      <c r="X92" s="407"/>
      <c r="Y92" s="407"/>
      <c r="Z92" s="407"/>
      <c r="AA92" s="407"/>
      <c r="AB92" s="407"/>
      <c r="AC92" s="407"/>
      <c r="AD92" s="407"/>
      <c r="AE92" s="407"/>
    </row>
    <row r="93" spans="2:31">
      <c r="B93" s="407"/>
      <c r="C93" s="407"/>
      <c r="D93" s="407"/>
      <c r="E93" s="407"/>
      <c r="F93" s="407"/>
      <c r="G93" s="407"/>
      <c r="H93" s="407"/>
      <c r="I93" s="407"/>
      <c r="J93" s="407"/>
      <c r="K93" s="407"/>
      <c r="L93" s="407"/>
      <c r="M93" s="407"/>
      <c r="N93" s="407"/>
      <c r="O93" s="407"/>
      <c r="P93" s="407"/>
      <c r="Q93" s="407"/>
      <c r="R93" s="407"/>
      <c r="S93" s="407"/>
      <c r="T93" s="407"/>
      <c r="U93" s="407"/>
      <c r="V93" s="407"/>
      <c r="W93" s="407"/>
      <c r="X93" s="407"/>
      <c r="Y93" s="407"/>
      <c r="Z93" s="407"/>
      <c r="AA93" s="407"/>
      <c r="AB93" s="407"/>
      <c r="AC93" s="407"/>
      <c r="AD93" s="407"/>
      <c r="AE93" s="407"/>
    </row>
    <row r="94" spans="2:31">
      <c r="B94" s="407"/>
      <c r="C94" s="407"/>
      <c r="D94" s="407"/>
      <c r="E94" s="407"/>
      <c r="F94" s="407"/>
      <c r="G94" s="407"/>
      <c r="H94" s="407"/>
      <c r="I94" s="407"/>
      <c r="J94" s="407"/>
      <c r="K94" s="407"/>
      <c r="L94" s="407"/>
      <c r="M94" s="407"/>
      <c r="N94" s="407"/>
      <c r="O94" s="407"/>
      <c r="P94" s="407"/>
      <c r="Q94" s="407"/>
      <c r="R94" s="407"/>
      <c r="S94" s="407"/>
      <c r="T94" s="407"/>
      <c r="U94" s="407"/>
      <c r="V94" s="407"/>
      <c r="W94" s="407"/>
      <c r="X94" s="407"/>
      <c r="Y94" s="407"/>
      <c r="Z94" s="407"/>
      <c r="AA94" s="407"/>
      <c r="AB94" s="407"/>
      <c r="AC94" s="407"/>
      <c r="AD94" s="407"/>
      <c r="AE94" s="407"/>
    </row>
    <row r="95" spans="2:31">
      <c r="B95" s="407"/>
      <c r="C95" s="407"/>
      <c r="D95" s="407"/>
      <c r="E95" s="407"/>
      <c r="F95" s="407"/>
      <c r="G95" s="407"/>
      <c r="H95" s="407"/>
      <c r="I95" s="407"/>
      <c r="J95" s="407"/>
      <c r="K95" s="407"/>
      <c r="L95" s="407"/>
      <c r="M95" s="407"/>
      <c r="N95" s="407"/>
      <c r="O95" s="407"/>
      <c r="P95" s="407"/>
      <c r="Q95" s="407"/>
      <c r="R95" s="407"/>
      <c r="S95" s="407"/>
      <c r="T95" s="407"/>
      <c r="U95" s="407"/>
      <c r="V95" s="407"/>
      <c r="W95" s="407"/>
      <c r="X95" s="407"/>
      <c r="Y95" s="407"/>
      <c r="Z95" s="407"/>
      <c r="AA95" s="407"/>
      <c r="AB95" s="407"/>
      <c r="AC95" s="407"/>
      <c r="AD95" s="407"/>
      <c r="AE95" s="407"/>
    </row>
    <row r="96" spans="2:31">
      <c r="B96" s="407"/>
      <c r="C96" s="407"/>
      <c r="D96" s="407"/>
      <c r="E96" s="407"/>
      <c r="F96" s="407"/>
      <c r="G96" s="407"/>
      <c r="H96" s="407"/>
      <c r="I96" s="407"/>
      <c r="J96" s="407"/>
      <c r="K96" s="407"/>
      <c r="L96" s="407"/>
      <c r="M96" s="407"/>
      <c r="N96" s="407"/>
      <c r="O96" s="407"/>
      <c r="P96" s="407"/>
      <c r="Q96" s="407"/>
      <c r="R96" s="407"/>
      <c r="S96" s="407"/>
      <c r="T96" s="407"/>
      <c r="U96" s="407"/>
      <c r="V96" s="407"/>
      <c r="W96" s="407"/>
      <c r="X96" s="407"/>
      <c r="Y96" s="407"/>
      <c r="Z96" s="407"/>
      <c r="AA96" s="407"/>
      <c r="AB96" s="407"/>
      <c r="AC96" s="407"/>
      <c r="AD96" s="407"/>
      <c r="AE96" s="407"/>
    </row>
    <row r="97" spans="2:31">
      <c r="B97" s="407"/>
      <c r="C97" s="407"/>
      <c r="D97" s="407"/>
      <c r="E97" s="407"/>
      <c r="F97" s="407"/>
      <c r="G97" s="407"/>
      <c r="H97" s="407"/>
      <c r="I97" s="407"/>
      <c r="J97" s="407"/>
      <c r="K97" s="407"/>
      <c r="L97" s="407"/>
      <c r="M97" s="407"/>
      <c r="N97" s="407"/>
      <c r="O97" s="407"/>
      <c r="P97" s="407"/>
      <c r="Q97" s="407"/>
      <c r="R97" s="407"/>
      <c r="S97" s="407"/>
      <c r="T97" s="407"/>
      <c r="U97" s="407"/>
      <c r="V97" s="407"/>
      <c r="W97" s="407"/>
      <c r="X97" s="407"/>
      <c r="Y97" s="407"/>
      <c r="Z97" s="407"/>
      <c r="AA97" s="407"/>
      <c r="AB97" s="407"/>
      <c r="AC97" s="407"/>
      <c r="AD97" s="407"/>
      <c r="AE97" s="407"/>
    </row>
    <row r="98" spans="2:31">
      <c r="B98" s="407"/>
      <c r="C98" s="407"/>
      <c r="D98" s="407"/>
      <c r="E98" s="407"/>
      <c r="F98" s="407"/>
      <c r="G98" s="407"/>
      <c r="H98" s="407"/>
      <c r="I98" s="407"/>
      <c r="J98" s="407"/>
      <c r="K98" s="407"/>
      <c r="L98" s="407"/>
      <c r="M98" s="407"/>
      <c r="N98" s="407"/>
      <c r="O98" s="407"/>
      <c r="P98" s="407"/>
      <c r="Q98" s="407"/>
      <c r="R98" s="407"/>
      <c r="S98" s="407"/>
      <c r="T98" s="407"/>
      <c r="U98" s="407"/>
      <c r="V98" s="407"/>
      <c r="W98" s="407"/>
      <c r="X98" s="407"/>
      <c r="Y98" s="407"/>
      <c r="Z98" s="407"/>
      <c r="AA98" s="407"/>
      <c r="AB98" s="407"/>
      <c r="AC98" s="407"/>
      <c r="AD98" s="407"/>
      <c r="AE98" s="407"/>
    </row>
    <row r="99" spans="2:31">
      <c r="B99" s="407"/>
      <c r="C99" s="407"/>
      <c r="D99" s="407"/>
      <c r="E99" s="407"/>
      <c r="F99" s="407"/>
      <c r="G99" s="407"/>
      <c r="H99" s="407"/>
      <c r="I99" s="407"/>
      <c r="J99" s="407"/>
      <c r="K99" s="407"/>
      <c r="L99" s="407"/>
      <c r="M99" s="407"/>
      <c r="N99" s="407"/>
      <c r="O99" s="407"/>
      <c r="P99" s="407"/>
      <c r="Q99" s="407"/>
      <c r="R99" s="407"/>
      <c r="S99" s="407"/>
      <c r="T99" s="407"/>
      <c r="U99" s="407"/>
      <c r="V99" s="407"/>
      <c r="W99" s="407"/>
      <c r="X99" s="407"/>
      <c r="Y99" s="407"/>
      <c r="Z99" s="407"/>
      <c r="AA99" s="407"/>
      <c r="AB99" s="407"/>
      <c r="AC99" s="407"/>
      <c r="AD99" s="407"/>
      <c r="AE99" s="407"/>
    </row>
    <row r="100" spans="2:31">
      <c r="B100" s="407"/>
      <c r="C100" s="407"/>
      <c r="D100" s="407"/>
      <c r="E100" s="407"/>
      <c r="F100" s="407"/>
      <c r="G100" s="407"/>
      <c r="H100" s="407"/>
      <c r="I100" s="407"/>
      <c r="J100" s="407"/>
      <c r="K100" s="407"/>
      <c r="L100" s="407"/>
      <c r="M100" s="407"/>
      <c r="N100" s="407"/>
      <c r="O100" s="407"/>
      <c r="P100" s="407"/>
      <c r="Q100" s="407"/>
      <c r="R100" s="407"/>
      <c r="S100" s="407"/>
      <c r="T100" s="407"/>
      <c r="U100" s="407"/>
      <c r="V100" s="407"/>
      <c r="W100" s="407"/>
      <c r="X100" s="407"/>
      <c r="Y100" s="407"/>
      <c r="Z100" s="407"/>
      <c r="AA100" s="407"/>
      <c r="AB100" s="407"/>
      <c r="AC100" s="407"/>
      <c r="AD100" s="407"/>
      <c r="AE100" s="407"/>
    </row>
    <row r="101" spans="2:31">
      <c r="B101" s="407"/>
      <c r="C101" s="407"/>
      <c r="D101" s="407"/>
      <c r="E101" s="407"/>
      <c r="F101" s="407"/>
      <c r="G101" s="407"/>
      <c r="H101" s="407"/>
      <c r="I101" s="407"/>
      <c r="J101" s="407"/>
      <c r="K101" s="407"/>
      <c r="L101" s="407"/>
      <c r="M101" s="407"/>
      <c r="N101" s="407"/>
      <c r="O101" s="407"/>
      <c r="P101" s="407"/>
      <c r="Q101" s="407"/>
      <c r="R101" s="407"/>
      <c r="S101" s="407"/>
      <c r="T101" s="407"/>
      <c r="U101" s="407"/>
      <c r="V101" s="407"/>
      <c r="W101" s="407"/>
      <c r="X101" s="407"/>
      <c r="Y101" s="407"/>
      <c r="Z101" s="407"/>
      <c r="AA101" s="407"/>
      <c r="AB101" s="407"/>
      <c r="AC101" s="407"/>
      <c r="AD101" s="407"/>
      <c r="AE101" s="407"/>
    </row>
    <row r="102" spans="2:31">
      <c r="B102" s="407"/>
      <c r="C102" s="407"/>
      <c r="D102" s="407"/>
      <c r="E102" s="407"/>
      <c r="F102" s="407"/>
      <c r="G102" s="407"/>
      <c r="H102" s="407"/>
      <c r="I102" s="407"/>
      <c r="J102" s="407"/>
      <c r="K102" s="407"/>
      <c r="L102" s="407"/>
      <c r="M102" s="407"/>
      <c r="N102" s="407"/>
      <c r="O102" s="407"/>
      <c r="P102" s="407"/>
      <c r="Q102" s="407"/>
      <c r="R102" s="407"/>
      <c r="S102" s="407"/>
      <c r="T102" s="407"/>
      <c r="U102" s="407"/>
      <c r="V102" s="407"/>
      <c r="W102" s="407"/>
      <c r="X102" s="407"/>
      <c r="Y102" s="407"/>
      <c r="Z102" s="407"/>
      <c r="AA102" s="407"/>
      <c r="AB102" s="407"/>
      <c r="AC102" s="407"/>
      <c r="AD102" s="407"/>
      <c r="AE102" s="407"/>
    </row>
    <row r="103" spans="2:31">
      <c r="B103" s="407"/>
      <c r="C103" s="407"/>
      <c r="D103" s="407"/>
      <c r="E103" s="407"/>
      <c r="F103" s="407"/>
      <c r="G103" s="407"/>
      <c r="H103" s="407"/>
      <c r="I103" s="407"/>
      <c r="J103" s="407"/>
      <c r="K103" s="407"/>
      <c r="L103" s="407"/>
      <c r="M103" s="407"/>
      <c r="N103" s="407"/>
      <c r="O103" s="407"/>
      <c r="P103" s="407"/>
      <c r="Q103" s="407"/>
      <c r="R103" s="407"/>
      <c r="S103" s="407"/>
      <c r="T103" s="407"/>
      <c r="U103" s="407"/>
      <c r="V103" s="407"/>
      <c r="W103" s="407"/>
      <c r="X103" s="407"/>
      <c r="Y103" s="407"/>
      <c r="Z103" s="407"/>
      <c r="AA103" s="407"/>
      <c r="AB103" s="407"/>
      <c r="AC103" s="407"/>
      <c r="AD103" s="407"/>
      <c r="AE103" s="407"/>
    </row>
    <row r="104" spans="2:31">
      <c r="B104" s="407"/>
      <c r="C104" s="407"/>
      <c r="D104" s="407"/>
      <c r="E104" s="407"/>
      <c r="F104" s="407"/>
      <c r="G104" s="407"/>
      <c r="H104" s="407"/>
      <c r="I104" s="407"/>
      <c r="J104" s="407"/>
      <c r="K104" s="407"/>
      <c r="L104" s="407"/>
      <c r="M104" s="407"/>
      <c r="N104" s="407"/>
      <c r="O104" s="407"/>
      <c r="P104" s="407"/>
      <c r="Q104" s="407"/>
      <c r="R104" s="407"/>
      <c r="S104" s="407"/>
      <c r="T104" s="407"/>
      <c r="U104" s="407"/>
      <c r="V104" s="407"/>
      <c r="W104" s="407"/>
      <c r="X104" s="407"/>
      <c r="Y104" s="407"/>
      <c r="Z104" s="407"/>
      <c r="AA104" s="407"/>
      <c r="AB104" s="407"/>
      <c r="AC104" s="407"/>
      <c r="AD104" s="407"/>
      <c r="AE104" s="407"/>
    </row>
    <row r="105" spans="2:31" hidden="1">
      <c r="B105" s="407"/>
      <c r="C105" s="407"/>
      <c r="D105" s="407"/>
      <c r="E105" s="407"/>
      <c r="F105" s="407"/>
      <c r="G105" s="407"/>
      <c r="H105" s="407"/>
      <c r="I105" s="407"/>
      <c r="J105" s="407"/>
      <c r="K105" s="407"/>
      <c r="L105" s="407"/>
      <c r="M105" s="407"/>
      <c r="N105" s="407"/>
      <c r="O105" s="407"/>
      <c r="P105" s="407"/>
      <c r="Q105" s="407"/>
      <c r="R105" s="407"/>
      <c r="S105" s="407"/>
      <c r="T105" s="407"/>
      <c r="U105" s="407"/>
      <c r="V105" s="407"/>
      <c r="W105" s="407"/>
      <c r="X105" s="407" t="s">
        <v>344</v>
      </c>
      <c r="Y105" s="407" t="s">
        <v>69</v>
      </c>
      <c r="Z105" s="407" t="s">
        <v>399</v>
      </c>
      <c r="AA105" s="407"/>
      <c r="AB105" s="407"/>
      <c r="AC105" s="407"/>
      <c r="AD105" s="407"/>
      <c r="AE105" s="407"/>
    </row>
    <row r="106" spans="2:31" hidden="1">
      <c r="B106" s="407"/>
      <c r="C106" s="407"/>
      <c r="D106" s="407"/>
      <c r="E106" s="407"/>
      <c r="F106" s="407"/>
      <c r="G106" s="407"/>
      <c r="H106" s="407"/>
      <c r="I106" s="407"/>
      <c r="J106" s="407"/>
      <c r="K106" s="407"/>
      <c r="L106" s="407"/>
      <c r="M106" s="407"/>
      <c r="N106" s="407"/>
      <c r="O106" s="407"/>
      <c r="P106" s="407"/>
      <c r="Q106" s="407"/>
      <c r="R106" s="407"/>
      <c r="S106" s="407"/>
      <c r="T106" s="407"/>
      <c r="U106" s="407"/>
      <c r="V106" s="407"/>
      <c r="W106" s="407"/>
      <c r="X106" s="407"/>
      <c r="Y106" s="407" t="s">
        <v>67</v>
      </c>
      <c r="Z106" s="407"/>
      <c r="AA106" s="407"/>
      <c r="AB106" s="407"/>
      <c r="AC106" s="407"/>
      <c r="AD106" s="407"/>
      <c r="AE106" s="407"/>
    </row>
    <row r="107" spans="2:31" hidden="1">
      <c r="B107" s="407"/>
      <c r="C107" s="407"/>
      <c r="D107" s="407"/>
      <c r="E107" s="407"/>
      <c r="F107" s="407"/>
      <c r="G107" s="407"/>
      <c r="H107" s="407"/>
      <c r="I107" s="407"/>
      <c r="J107" s="407"/>
      <c r="K107" s="407"/>
      <c r="L107" s="407"/>
      <c r="M107" s="407"/>
      <c r="N107" s="407"/>
      <c r="O107" s="407"/>
      <c r="P107" s="407"/>
      <c r="Q107" s="407"/>
      <c r="R107" s="407"/>
      <c r="S107" s="407"/>
      <c r="T107" s="407"/>
      <c r="U107" s="407"/>
      <c r="V107" s="407"/>
      <c r="W107" s="407"/>
      <c r="X107" s="407"/>
      <c r="Y107" s="407" t="s">
        <v>345</v>
      </c>
      <c r="Z107" s="407"/>
      <c r="AA107" s="407"/>
      <c r="AB107" s="407"/>
      <c r="AC107" s="407"/>
      <c r="AD107" s="407"/>
      <c r="AE107" s="407"/>
    </row>
    <row r="108" spans="2:31" hidden="1">
      <c r="B108" s="407"/>
      <c r="C108" s="407"/>
      <c r="D108" s="407"/>
      <c r="E108" s="407"/>
      <c r="F108" s="407"/>
      <c r="G108" s="407"/>
      <c r="H108" s="407"/>
      <c r="I108" s="407"/>
      <c r="J108" s="407"/>
      <c r="K108" s="407"/>
      <c r="L108" s="407"/>
      <c r="M108" s="407"/>
      <c r="N108" s="407"/>
      <c r="O108" s="407"/>
      <c r="P108" s="407"/>
      <c r="Q108" s="407"/>
      <c r="R108" s="407"/>
      <c r="S108" s="407"/>
      <c r="T108" s="407"/>
      <c r="U108" s="407"/>
      <c r="V108" s="407"/>
      <c r="W108" s="407"/>
      <c r="X108" s="407"/>
      <c r="Y108" s="407" t="s">
        <v>61</v>
      </c>
      <c r="Z108" s="407"/>
      <c r="AA108" s="407"/>
      <c r="AB108" s="407"/>
      <c r="AC108" s="407"/>
      <c r="AD108" s="407"/>
      <c r="AE108" s="407"/>
    </row>
    <row r="109" spans="2:31" hidden="1">
      <c r="B109" s="407"/>
      <c r="C109" s="407"/>
      <c r="D109" s="407"/>
      <c r="E109" s="407"/>
      <c r="F109" s="407"/>
      <c r="G109" s="407"/>
      <c r="H109" s="407"/>
      <c r="I109" s="407"/>
      <c r="J109" s="407"/>
      <c r="K109" s="407"/>
      <c r="L109" s="407"/>
      <c r="M109" s="407"/>
      <c r="N109" s="407"/>
      <c r="O109" s="407"/>
      <c r="P109" s="407"/>
      <c r="Q109" s="407"/>
      <c r="R109" s="407"/>
      <c r="S109" s="407"/>
      <c r="T109" s="407"/>
      <c r="U109" s="407"/>
      <c r="V109" s="407"/>
      <c r="W109" s="407"/>
      <c r="X109" s="407"/>
      <c r="Y109" s="407" t="s">
        <v>204</v>
      </c>
      <c r="Z109" s="407"/>
      <c r="AA109" s="407"/>
      <c r="AB109" s="407"/>
      <c r="AC109" s="407"/>
      <c r="AD109" s="407"/>
      <c r="AE109" s="407"/>
    </row>
    <row r="110" spans="2:31" hidden="1">
      <c r="B110" s="407"/>
      <c r="C110" s="407"/>
      <c r="D110" s="407"/>
      <c r="E110" s="407"/>
      <c r="F110" s="407"/>
      <c r="G110" s="407"/>
      <c r="H110" s="407"/>
      <c r="I110" s="407"/>
      <c r="J110" s="407"/>
      <c r="K110" s="407"/>
      <c r="L110" s="407"/>
      <c r="M110" s="407"/>
      <c r="N110" s="407"/>
      <c r="O110" s="407"/>
      <c r="P110" s="407"/>
      <c r="Q110" s="407"/>
      <c r="R110" s="407"/>
      <c r="S110" s="407"/>
      <c r="T110" s="407"/>
      <c r="U110" s="407"/>
      <c r="V110" s="407"/>
      <c r="W110" s="407"/>
      <c r="X110" s="407"/>
      <c r="Y110" s="407" t="s">
        <v>62</v>
      </c>
      <c r="Z110" s="407"/>
      <c r="AA110" s="407"/>
      <c r="AB110" s="407"/>
      <c r="AC110" s="407"/>
      <c r="AD110" s="407"/>
      <c r="AE110" s="407"/>
    </row>
    <row r="111" spans="2:31" hidden="1">
      <c r="B111" s="407"/>
      <c r="C111" s="407"/>
      <c r="D111" s="407"/>
      <c r="E111" s="407"/>
      <c r="F111" s="407"/>
      <c r="G111" s="407"/>
      <c r="H111" s="407"/>
      <c r="I111" s="407"/>
      <c r="J111" s="407"/>
      <c r="K111" s="407"/>
      <c r="L111" s="407"/>
      <c r="M111" s="407"/>
      <c r="N111" s="407"/>
      <c r="O111" s="407"/>
      <c r="P111" s="407"/>
      <c r="Q111" s="407"/>
      <c r="R111" s="407"/>
      <c r="S111" s="407"/>
      <c r="T111" s="407"/>
      <c r="U111" s="407"/>
      <c r="V111" s="407"/>
      <c r="W111" s="407"/>
      <c r="X111" s="407"/>
      <c r="Y111" s="407" t="s">
        <v>346</v>
      </c>
      <c r="Z111" s="407"/>
      <c r="AA111" s="407"/>
      <c r="AB111" s="407"/>
      <c r="AC111" s="407"/>
      <c r="AD111" s="407"/>
      <c r="AE111" s="407"/>
    </row>
    <row r="112" spans="2:31" hidden="1">
      <c r="B112" s="407"/>
      <c r="C112" s="407"/>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t="s">
        <v>65</v>
      </c>
      <c r="Z112" s="407"/>
      <c r="AA112" s="407"/>
      <c r="AB112" s="407"/>
      <c r="AC112" s="407"/>
      <c r="AD112" s="407"/>
      <c r="AE112" s="407"/>
    </row>
    <row r="113" spans="2:31" hidden="1">
      <c r="B113" s="407"/>
      <c r="C113" s="407"/>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t="s">
        <v>74</v>
      </c>
      <c r="Z113" s="407"/>
      <c r="AA113" s="407"/>
      <c r="AB113" s="407"/>
      <c r="AC113" s="407"/>
      <c r="AD113" s="407"/>
      <c r="AE113" s="407"/>
    </row>
    <row r="114" spans="2:31" hidden="1">
      <c r="B114" s="407"/>
      <c r="C114" s="407"/>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t="s">
        <v>82</v>
      </c>
      <c r="Z114" s="407"/>
      <c r="AA114" s="407"/>
      <c r="AB114" s="407"/>
      <c r="AC114" s="407"/>
      <c r="AD114" s="407"/>
      <c r="AE114" s="407"/>
    </row>
    <row r="115" spans="2:31" hidden="1">
      <c r="B115" s="407"/>
      <c r="C115" s="407"/>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t="s">
        <v>72</v>
      </c>
      <c r="Z115" s="407"/>
      <c r="AA115" s="407"/>
      <c r="AB115" s="407"/>
      <c r="AC115" s="407"/>
      <c r="AD115" s="407"/>
      <c r="AE115" s="407"/>
    </row>
    <row r="116" spans="2:31">
      <c r="B116" s="407"/>
      <c r="C116" s="407"/>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07"/>
      <c r="AD116" s="407"/>
      <c r="AE116" s="407"/>
    </row>
    <row r="117" spans="2:31">
      <c r="B117" s="407"/>
      <c r="C117" s="407"/>
      <c r="D117" s="407"/>
      <c r="E117" s="407"/>
      <c r="F117" s="407"/>
      <c r="G117" s="407"/>
      <c r="H117" s="407"/>
      <c r="I117" s="407"/>
      <c r="J117" s="407"/>
      <c r="K117" s="407"/>
      <c r="L117" s="407"/>
      <c r="M117" s="407"/>
      <c r="N117" s="407"/>
      <c r="O117" s="407"/>
      <c r="P117" s="407"/>
      <c r="Q117" s="407"/>
      <c r="R117" s="407"/>
      <c r="S117" s="407"/>
      <c r="T117" s="407"/>
      <c r="U117" s="407"/>
      <c r="V117" s="407"/>
      <c r="W117" s="407"/>
      <c r="X117" s="407"/>
      <c r="Y117" s="407"/>
      <c r="Z117" s="407"/>
      <c r="AA117" s="407"/>
      <c r="AB117" s="407"/>
      <c r="AC117" s="407"/>
      <c r="AD117" s="407"/>
      <c r="AE117" s="407"/>
    </row>
    <row r="118" spans="2:31">
      <c r="B118" s="407"/>
      <c r="C118" s="407"/>
      <c r="D118" s="407"/>
      <c r="E118" s="407"/>
      <c r="F118" s="407"/>
      <c r="G118" s="407"/>
      <c r="H118" s="407"/>
      <c r="I118" s="407"/>
      <c r="J118" s="407"/>
      <c r="K118" s="407"/>
      <c r="L118" s="407"/>
      <c r="M118" s="407"/>
      <c r="N118" s="407"/>
      <c r="O118" s="407"/>
      <c r="P118" s="407"/>
      <c r="Q118" s="407"/>
      <c r="R118" s="407"/>
      <c r="S118" s="407"/>
      <c r="T118" s="407"/>
      <c r="U118" s="407"/>
      <c r="V118" s="407"/>
      <c r="W118" s="407"/>
      <c r="X118" s="407"/>
      <c r="Y118" s="407"/>
      <c r="Z118" s="407"/>
      <c r="AA118" s="407"/>
      <c r="AB118" s="407"/>
      <c r="AC118" s="407"/>
      <c r="AD118" s="407"/>
      <c r="AE118" s="407"/>
    </row>
    <row r="119" spans="2:31">
      <c r="B119" s="407"/>
      <c r="C119" s="407"/>
      <c r="D119" s="407"/>
      <c r="E119" s="407"/>
      <c r="F119" s="407"/>
      <c r="G119" s="407"/>
      <c r="H119" s="407"/>
      <c r="I119" s="407"/>
      <c r="J119" s="407"/>
      <c r="K119" s="407"/>
      <c r="L119" s="407"/>
      <c r="M119" s="407"/>
      <c r="N119" s="407"/>
      <c r="O119" s="407"/>
      <c r="P119" s="407"/>
      <c r="Q119" s="407"/>
      <c r="R119" s="407"/>
      <c r="S119" s="407"/>
      <c r="T119" s="407"/>
      <c r="U119" s="407"/>
      <c r="V119" s="407"/>
      <c r="W119" s="407"/>
      <c r="X119" s="407"/>
      <c r="Y119" s="407"/>
      <c r="Z119" s="407"/>
      <c r="AA119" s="407"/>
      <c r="AB119" s="407"/>
      <c r="AC119" s="407"/>
      <c r="AD119" s="407"/>
      <c r="AE119" s="407"/>
    </row>
    <row r="120" spans="2:31">
      <c r="B120" s="407"/>
      <c r="C120" s="407"/>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07"/>
      <c r="AE120" s="407"/>
    </row>
    <row r="121" spans="2:31">
      <c r="B121" s="407"/>
      <c r="C121" s="407"/>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07"/>
      <c r="AE121" s="407"/>
    </row>
    <row r="122" spans="2:31">
      <c r="B122" s="407"/>
      <c r="C122" s="407"/>
      <c r="D122" s="407"/>
      <c r="E122" s="407"/>
      <c r="F122" s="407"/>
      <c r="G122" s="407"/>
      <c r="H122" s="407"/>
      <c r="I122" s="407"/>
      <c r="J122" s="407"/>
      <c r="K122" s="407"/>
      <c r="L122" s="407"/>
      <c r="M122" s="407"/>
      <c r="N122" s="407"/>
      <c r="O122" s="407"/>
      <c r="P122" s="407"/>
      <c r="Q122" s="407"/>
      <c r="R122" s="407"/>
      <c r="S122" s="407"/>
      <c r="T122" s="407"/>
      <c r="U122" s="407"/>
      <c r="V122" s="407"/>
      <c r="W122" s="407"/>
      <c r="X122" s="407"/>
      <c r="Y122" s="407"/>
      <c r="Z122" s="407"/>
      <c r="AA122" s="407"/>
      <c r="AB122" s="407"/>
      <c r="AC122" s="407"/>
      <c r="AD122" s="407"/>
      <c r="AE122" s="407"/>
    </row>
    <row r="123" spans="2:31">
      <c r="B123" s="407"/>
      <c r="C123" s="407"/>
      <c r="D123" s="407"/>
      <c r="E123" s="407"/>
      <c r="F123" s="407"/>
      <c r="G123" s="407"/>
      <c r="H123" s="407"/>
      <c r="I123" s="407"/>
      <c r="J123" s="407"/>
      <c r="K123" s="407"/>
      <c r="L123" s="407"/>
      <c r="M123" s="407"/>
      <c r="N123" s="407"/>
      <c r="O123" s="407"/>
      <c r="P123" s="407"/>
      <c r="Q123" s="407"/>
      <c r="R123" s="407"/>
      <c r="S123" s="407"/>
      <c r="T123" s="407"/>
      <c r="U123" s="407"/>
      <c r="V123" s="407"/>
      <c r="W123" s="407"/>
      <c r="X123" s="407"/>
      <c r="Y123" s="407"/>
      <c r="Z123" s="407"/>
      <c r="AA123" s="407"/>
      <c r="AB123" s="407"/>
      <c r="AC123" s="407"/>
      <c r="AD123" s="407"/>
      <c r="AE123" s="407"/>
    </row>
    <row r="124" spans="2:31">
      <c r="B124" s="407"/>
      <c r="C124" s="407"/>
      <c r="D124" s="407"/>
      <c r="E124" s="407"/>
      <c r="F124" s="407"/>
      <c r="G124" s="407"/>
      <c r="H124" s="407"/>
      <c r="I124" s="407"/>
      <c r="J124" s="407"/>
      <c r="K124" s="407"/>
      <c r="L124" s="407"/>
      <c r="M124" s="407"/>
      <c r="N124" s="407"/>
      <c r="O124" s="407"/>
      <c r="P124" s="407"/>
      <c r="Q124" s="407"/>
      <c r="R124" s="407"/>
      <c r="S124" s="407"/>
      <c r="T124" s="407"/>
      <c r="U124" s="407"/>
      <c r="V124" s="407"/>
      <c r="W124" s="407"/>
      <c r="X124" s="407"/>
      <c r="Y124" s="407"/>
      <c r="Z124" s="407"/>
      <c r="AA124" s="407"/>
      <c r="AB124" s="407"/>
      <c r="AC124" s="407"/>
      <c r="AD124" s="407"/>
      <c r="AE124" s="407"/>
    </row>
    <row r="125" spans="2:31">
      <c r="B125" s="407"/>
      <c r="C125" s="407"/>
      <c r="D125" s="407"/>
      <c r="E125" s="407"/>
      <c r="F125" s="407"/>
      <c r="G125" s="407"/>
      <c r="H125" s="407"/>
      <c r="I125" s="407"/>
      <c r="J125" s="407"/>
      <c r="K125" s="407"/>
      <c r="L125" s="407"/>
      <c r="M125" s="407"/>
      <c r="N125" s="407"/>
      <c r="O125" s="407"/>
      <c r="P125" s="407"/>
      <c r="Q125" s="407"/>
      <c r="R125" s="407"/>
      <c r="S125" s="407"/>
      <c r="T125" s="407"/>
      <c r="U125" s="407"/>
      <c r="V125" s="407"/>
      <c r="W125" s="407"/>
      <c r="X125" s="407"/>
      <c r="Y125" s="407"/>
      <c r="Z125" s="407"/>
      <c r="AA125" s="407"/>
      <c r="AB125" s="407"/>
      <c r="AC125" s="407"/>
      <c r="AD125" s="407"/>
      <c r="AE125" s="407"/>
    </row>
    <row r="126" spans="2:31">
      <c r="B126" s="407"/>
      <c r="C126" s="407"/>
      <c r="D126" s="407"/>
      <c r="E126" s="407"/>
      <c r="F126" s="407"/>
      <c r="G126" s="407"/>
      <c r="H126" s="407"/>
      <c r="I126" s="407"/>
      <c r="J126" s="407"/>
      <c r="K126" s="407"/>
      <c r="L126" s="407"/>
      <c r="M126" s="407"/>
      <c r="N126" s="407"/>
      <c r="O126" s="407"/>
      <c r="P126" s="407"/>
      <c r="Q126" s="407"/>
      <c r="R126" s="407"/>
      <c r="S126" s="407"/>
      <c r="T126" s="407"/>
      <c r="U126" s="407"/>
      <c r="V126" s="407"/>
      <c r="W126" s="407"/>
      <c r="X126" s="407"/>
      <c r="Y126" s="407"/>
      <c r="Z126" s="407"/>
      <c r="AA126" s="407"/>
      <c r="AB126" s="407"/>
      <c r="AC126" s="407"/>
      <c r="AD126" s="407"/>
      <c r="AE126" s="407"/>
    </row>
    <row r="127" spans="2:31">
      <c r="B127" s="407"/>
      <c r="C127" s="407"/>
      <c r="D127" s="407"/>
      <c r="E127" s="407"/>
      <c r="F127" s="407"/>
      <c r="G127" s="407"/>
      <c r="H127" s="407"/>
      <c r="I127" s="407"/>
      <c r="J127" s="407"/>
      <c r="K127" s="407"/>
      <c r="L127" s="407"/>
      <c r="M127" s="407"/>
      <c r="N127" s="407"/>
      <c r="O127" s="407"/>
      <c r="P127" s="407"/>
      <c r="Q127" s="407"/>
      <c r="R127" s="407"/>
      <c r="S127" s="407"/>
      <c r="T127" s="407"/>
      <c r="U127" s="407"/>
      <c r="V127" s="407"/>
      <c r="W127" s="407"/>
      <c r="X127" s="407"/>
      <c r="Y127" s="407"/>
      <c r="Z127" s="407"/>
      <c r="AA127" s="407"/>
      <c r="AB127" s="407"/>
      <c r="AC127" s="407"/>
      <c r="AD127" s="407"/>
      <c r="AE127" s="407"/>
    </row>
    <row r="128" spans="2:31">
      <c r="B128" s="407"/>
      <c r="C128" s="407"/>
      <c r="D128" s="407"/>
      <c r="E128" s="407"/>
      <c r="F128" s="407"/>
      <c r="G128" s="407"/>
      <c r="H128" s="407"/>
      <c r="I128" s="407"/>
      <c r="J128" s="407"/>
      <c r="K128" s="407"/>
      <c r="L128" s="407"/>
      <c r="M128" s="407"/>
      <c r="N128" s="407"/>
      <c r="O128" s="407"/>
      <c r="P128" s="407"/>
      <c r="Q128" s="407"/>
      <c r="R128" s="407"/>
      <c r="S128" s="407"/>
      <c r="T128" s="407"/>
      <c r="U128" s="407"/>
      <c r="V128" s="407"/>
      <c r="W128" s="407"/>
      <c r="X128" s="407"/>
      <c r="Y128" s="407"/>
      <c r="Z128" s="407"/>
      <c r="AA128" s="407"/>
      <c r="AB128" s="407"/>
      <c r="AC128" s="407"/>
      <c r="AD128" s="407"/>
      <c r="AE128" s="407"/>
    </row>
    <row r="129" spans="2:31">
      <c r="B129" s="407"/>
      <c r="C129" s="407"/>
      <c r="D129" s="407"/>
      <c r="E129" s="407"/>
      <c r="F129" s="407"/>
      <c r="G129" s="407"/>
      <c r="H129" s="407"/>
      <c r="I129" s="407"/>
      <c r="J129" s="407"/>
      <c r="K129" s="407"/>
      <c r="L129" s="407"/>
      <c r="M129" s="407"/>
      <c r="N129" s="407"/>
      <c r="O129" s="407"/>
      <c r="P129" s="407"/>
      <c r="Q129" s="407"/>
      <c r="R129" s="407"/>
      <c r="S129" s="407"/>
      <c r="T129" s="407"/>
      <c r="U129" s="407"/>
      <c r="V129" s="407"/>
      <c r="W129" s="407"/>
      <c r="X129" s="407"/>
      <c r="Y129" s="407"/>
      <c r="Z129" s="407"/>
      <c r="AA129" s="407"/>
      <c r="AB129" s="407"/>
      <c r="AC129" s="407"/>
      <c r="AD129" s="407"/>
      <c r="AE129" s="407"/>
    </row>
    <row r="130" spans="2:31">
      <c r="B130" s="407"/>
      <c r="C130" s="407"/>
      <c r="D130" s="407"/>
      <c r="E130" s="407"/>
      <c r="F130" s="407"/>
      <c r="G130" s="407"/>
      <c r="H130" s="407"/>
      <c r="I130" s="407"/>
      <c r="J130" s="407"/>
      <c r="K130" s="407"/>
      <c r="L130" s="407"/>
      <c r="M130" s="407"/>
      <c r="N130" s="407"/>
      <c r="O130" s="407"/>
      <c r="P130" s="407"/>
      <c r="Q130" s="407"/>
      <c r="R130" s="407"/>
      <c r="S130" s="407"/>
      <c r="T130" s="407"/>
      <c r="U130" s="407"/>
      <c r="V130" s="407"/>
      <c r="W130" s="407"/>
      <c r="X130" s="407"/>
      <c r="Y130" s="407"/>
      <c r="Z130" s="407"/>
      <c r="AA130" s="407"/>
      <c r="AB130" s="407"/>
      <c r="AC130" s="407"/>
      <c r="AD130" s="407"/>
      <c r="AE130" s="407"/>
    </row>
    <row r="131" spans="2:31">
      <c r="B131" s="407"/>
      <c r="C131" s="407"/>
      <c r="D131" s="407"/>
      <c r="E131" s="407"/>
      <c r="F131" s="407"/>
      <c r="G131" s="407"/>
      <c r="H131" s="407"/>
      <c r="I131" s="407"/>
      <c r="J131" s="407"/>
      <c r="K131" s="407"/>
      <c r="L131" s="407"/>
      <c r="M131" s="407"/>
      <c r="N131" s="407"/>
      <c r="O131" s="407"/>
      <c r="P131" s="407"/>
      <c r="Q131" s="407"/>
      <c r="R131" s="407"/>
      <c r="S131" s="407"/>
      <c r="T131" s="407"/>
      <c r="U131" s="407"/>
      <c r="V131" s="407"/>
      <c r="W131" s="407"/>
      <c r="X131" s="407"/>
      <c r="Y131" s="407"/>
      <c r="Z131" s="407"/>
      <c r="AA131" s="407"/>
      <c r="AB131" s="407"/>
      <c r="AC131" s="407"/>
      <c r="AD131" s="407"/>
      <c r="AE131" s="407"/>
    </row>
    <row r="132" spans="2:31">
      <c r="B132" s="407"/>
      <c r="C132" s="407"/>
      <c r="D132" s="407"/>
      <c r="E132" s="407"/>
      <c r="F132" s="407"/>
      <c r="G132" s="407"/>
      <c r="H132" s="407"/>
      <c r="I132" s="407"/>
      <c r="J132" s="407"/>
      <c r="K132" s="407"/>
      <c r="L132" s="407"/>
      <c r="M132" s="407"/>
      <c r="N132" s="407"/>
      <c r="O132" s="407"/>
      <c r="P132" s="407"/>
      <c r="Q132" s="407"/>
      <c r="R132" s="407"/>
      <c r="S132" s="407"/>
      <c r="T132" s="407"/>
      <c r="U132" s="407"/>
      <c r="V132" s="407"/>
      <c r="W132" s="407"/>
      <c r="X132" s="407"/>
      <c r="Y132" s="407"/>
      <c r="Z132" s="407"/>
      <c r="AA132" s="407"/>
      <c r="AB132" s="407"/>
      <c r="AC132" s="407"/>
      <c r="AD132" s="407"/>
      <c r="AE132" s="407"/>
    </row>
    <row r="133" spans="2:31">
      <c r="B133" s="407"/>
      <c r="C133" s="407"/>
      <c r="D133" s="407"/>
      <c r="E133" s="407"/>
      <c r="F133" s="407"/>
      <c r="G133" s="407"/>
      <c r="H133" s="407"/>
      <c r="I133" s="407"/>
      <c r="J133" s="407"/>
      <c r="K133" s="407"/>
      <c r="L133" s="407"/>
      <c r="M133" s="407"/>
      <c r="N133" s="407"/>
      <c r="O133" s="407"/>
      <c r="P133" s="407"/>
      <c r="Q133" s="407"/>
      <c r="R133" s="407"/>
      <c r="S133" s="407"/>
      <c r="T133" s="407"/>
      <c r="U133" s="407"/>
      <c r="V133" s="407"/>
      <c r="W133" s="407"/>
      <c r="X133" s="407"/>
      <c r="Y133" s="407"/>
      <c r="Z133" s="407"/>
      <c r="AA133" s="407"/>
      <c r="AB133" s="407"/>
      <c r="AC133" s="407"/>
      <c r="AD133" s="407"/>
      <c r="AE133" s="407"/>
    </row>
    <row r="134" spans="2:31">
      <c r="B134" s="407"/>
      <c r="C134" s="407"/>
      <c r="D134" s="407"/>
      <c r="E134" s="407"/>
      <c r="F134" s="407"/>
      <c r="G134" s="407"/>
      <c r="H134" s="407"/>
      <c r="I134" s="407"/>
      <c r="J134" s="407"/>
      <c r="K134" s="407"/>
      <c r="L134" s="407"/>
      <c r="M134" s="407"/>
      <c r="N134" s="407"/>
      <c r="O134" s="407"/>
      <c r="P134" s="407"/>
      <c r="Q134" s="407"/>
      <c r="R134" s="407"/>
      <c r="S134" s="407"/>
      <c r="T134" s="407"/>
      <c r="U134" s="407"/>
      <c r="V134" s="407"/>
      <c r="W134" s="407"/>
      <c r="X134" s="407"/>
      <c r="Y134" s="407"/>
      <c r="Z134" s="407"/>
      <c r="AA134" s="407"/>
      <c r="AB134" s="407"/>
      <c r="AC134" s="407"/>
      <c r="AD134" s="407"/>
      <c r="AE134" s="407"/>
    </row>
    <row r="135" spans="2:31">
      <c r="B135" s="407"/>
      <c r="C135" s="407"/>
      <c r="D135" s="407"/>
      <c r="E135" s="407"/>
      <c r="F135" s="407"/>
      <c r="G135" s="407"/>
      <c r="H135" s="407"/>
      <c r="I135" s="407"/>
      <c r="J135" s="407"/>
      <c r="K135" s="407"/>
      <c r="L135" s="407"/>
      <c r="M135" s="407"/>
      <c r="N135" s="407"/>
      <c r="O135" s="407"/>
      <c r="P135" s="407"/>
      <c r="Q135" s="407"/>
      <c r="R135" s="407"/>
      <c r="S135" s="407"/>
      <c r="T135" s="407"/>
      <c r="U135" s="407"/>
      <c r="V135" s="407"/>
      <c r="W135" s="407"/>
      <c r="X135" s="407"/>
      <c r="Y135" s="407"/>
      <c r="Z135" s="407"/>
      <c r="AA135" s="407"/>
      <c r="AB135" s="407"/>
      <c r="AC135" s="407"/>
      <c r="AD135" s="407"/>
      <c r="AE135" s="407"/>
    </row>
    <row r="136" spans="2:31">
      <c r="B136" s="407"/>
      <c r="C136" s="407"/>
      <c r="D136" s="407"/>
      <c r="E136" s="407"/>
      <c r="F136" s="407"/>
      <c r="G136" s="407"/>
      <c r="H136" s="407"/>
      <c r="I136" s="407"/>
      <c r="J136" s="407"/>
      <c r="K136" s="407"/>
      <c r="L136" s="407"/>
      <c r="M136" s="407"/>
      <c r="N136" s="407"/>
      <c r="O136" s="407"/>
      <c r="P136" s="407"/>
      <c r="Q136" s="407"/>
      <c r="R136" s="407"/>
      <c r="S136" s="407"/>
      <c r="T136" s="407"/>
      <c r="U136" s="407"/>
      <c r="V136" s="407"/>
      <c r="W136" s="407"/>
      <c r="X136" s="407"/>
      <c r="Y136" s="407"/>
      <c r="Z136" s="407"/>
      <c r="AA136" s="407"/>
      <c r="AB136" s="407"/>
      <c r="AC136" s="407"/>
      <c r="AD136" s="407"/>
      <c r="AE136" s="407"/>
    </row>
    <row r="137" spans="2:31">
      <c r="B137" s="407"/>
      <c r="C137" s="407"/>
      <c r="D137" s="407"/>
      <c r="E137" s="407"/>
      <c r="F137" s="407"/>
      <c r="G137" s="407"/>
      <c r="H137" s="407"/>
      <c r="I137" s="407"/>
      <c r="J137" s="407"/>
      <c r="K137" s="407"/>
      <c r="L137" s="407"/>
      <c r="M137" s="407"/>
      <c r="N137" s="407"/>
      <c r="O137" s="407"/>
      <c r="P137" s="407"/>
      <c r="Q137" s="407"/>
      <c r="R137" s="407"/>
      <c r="S137" s="407"/>
      <c r="T137" s="407"/>
      <c r="U137" s="407"/>
      <c r="V137" s="407"/>
      <c r="W137" s="407"/>
      <c r="X137" s="407"/>
      <c r="Y137" s="407"/>
      <c r="Z137" s="407"/>
      <c r="AA137" s="407"/>
      <c r="AB137" s="407"/>
      <c r="AC137" s="407"/>
      <c r="AD137" s="407"/>
      <c r="AE137" s="407"/>
    </row>
    <row r="138" spans="2:31">
      <c r="B138" s="407"/>
      <c r="C138" s="407"/>
      <c r="D138" s="407"/>
      <c r="E138" s="407"/>
      <c r="F138" s="407"/>
      <c r="G138" s="407"/>
      <c r="H138" s="407"/>
      <c r="I138" s="407"/>
      <c r="J138" s="407"/>
      <c r="K138" s="407"/>
      <c r="L138" s="407"/>
      <c r="M138" s="407"/>
      <c r="N138" s="407"/>
      <c r="O138" s="407"/>
      <c r="P138" s="407"/>
      <c r="Q138" s="407"/>
      <c r="R138" s="407"/>
      <c r="S138" s="407"/>
      <c r="T138" s="407"/>
      <c r="U138" s="407"/>
      <c r="V138" s="407"/>
      <c r="W138" s="407"/>
      <c r="X138" s="407"/>
      <c r="Y138" s="407"/>
      <c r="Z138" s="407"/>
      <c r="AA138" s="407"/>
      <c r="AB138" s="407"/>
      <c r="AC138" s="407"/>
      <c r="AD138" s="407"/>
      <c r="AE138" s="407"/>
    </row>
    <row r="139" spans="2:31">
      <c r="B139" s="407"/>
      <c r="C139" s="407"/>
      <c r="D139" s="407"/>
      <c r="E139" s="407"/>
      <c r="F139" s="407"/>
      <c r="G139" s="407"/>
      <c r="H139" s="407"/>
      <c r="I139" s="407"/>
      <c r="J139" s="407"/>
      <c r="K139" s="407"/>
      <c r="L139" s="407"/>
      <c r="M139" s="407"/>
      <c r="N139" s="407"/>
      <c r="O139" s="407"/>
      <c r="P139" s="407"/>
      <c r="Q139" s="407"/>
      <c r="R139" s="407"/>
      <c r="S139" s="407"/>
      <c r="T139" s="407"/>
      <c r="U139" s="407"/>
      <c r="V139" s="407"/>
      <c r="W139" s="407"/>
      <c r="X139" s="407"/>
      <c r="Y139" s="407"/>
      <c r="Z139" s="407"/>
      <c r="AA139" s="407"/>
      <c r="AB139" s="407"/>
      <c r="AC139" s="407"/>
      <c r="AD139" s="407"/>
      <c r="AE139" s="407"/>
    </row>
    <row r="140" spans="2:31">
      <c r="B140" s="407"/>
      <c r="C140" s="407"/>
      <c r="D140" s="407"/>
      <c r="E140" s="407"/>
      <c r="F140" s="407"/>
      <c r="G140" s="407"/>
      <c r="H140" s="407"/>
      <c r="I140" s="407"/>
      <c r="J140" s="407"/>
      <c r="K140" s="407"/>
      <c r="L140" s="407"/>
      <c r="M140" s="407"/>
      <c r="N140" s="407"/>
      <c r="O140" s="407"/>
      <c r="P140" s="407"/>
      <c r="Q140" s="407"/>
      <c r="R140" s="407"/>
      <c r="S140" s="407"/>
      <c r="T140" s="407"/>
      <c r="U140" s="407"/>
      <c r="V140" s="407"/>
      <c r="W140" s="407"/>
      <c r="X140" s="407"/>
      <c r="Y140" s="407"/>
      <c r="Z140" s="407"/>
      <c r="AA140" s="407"/>
      <c r="AB140" s="407"/>
      <c r="AC140" s="407"/>
      <c r="AD140" s="407"/>
      <c r="AE140" s="407"/>
    </row>
    <row r="141" spans="2:31">
      <c r="B141" s="407"/>
      <c r="C141" s="407"/>
      <c r="D141" s="407"/>
      <c r="E141" s="407"/>
      <c r="F141" s="407"/>
      <c r="G141" s="407"/>
      <c r="H141" s="407"/>
      <c r="I141" s="407"/>
      <c r="J141" s="407"/>
      <c r="K141" s="407"/>
      <c r="L141" s="407"/>
      <c r="M141" s="407"/>
      <c r="N141" s="407"/>
      <c r="O141" s="407"/>
      <c r="P141" s="407"/>
      <c r="Q141" s="407"/>
      <c r="R141" s="407"/>
      <c r="S141" s="407"/>
      <c r="T141" s="407"/>
      <c r="U141" s="407"/>
      <c r="V141" s="407"/>
      <c r="W141" s="407"/>
      <c r="X141" s="407"/>
      <c r="Y141" s="407"/>
      <c r="Z141" s="407"/>
      <c r="AA141" s="407"/>
      <c r="AB141" s="407"/>
      <c r="AC141" s="407"/>
      <c r="AD141" s="407"/>
      <c r="AE141" s="407"/>
    </row>
    <row r="142" spans="2:31">
      <c r="B142" s="407"/>
      <c r="C142" s="407"/>
      <c r="D142" s="407"/>
      <c r="E142" s="407"/>
      <c r="F142" s="407"/>
      <c r="G142" s="407"/>
      <c r="H142" s="407"/>
      <c r="I142" s="407"/>
      <c r="J142" s="407"/>
      <c r="K142" s="407"/>
      <c r="L142" s="407"/>
      <c r="M142" s="407"/>
      <c r="N142" s="407"/>
      <c r="O142" s="407"/>
      <c r="P142" s="407"/>
      <c r="Q142" s="407"/>
      <c r="R142" s="407"/>
      <c r="S142" s="407"/>
      <c r="T142" s="407"/>
      <c r="U142" s="407"/>
      <c r="V142" s="407"/>
      <c r="W142" s="407"/>
      <c r="X142" s="407"/>
      <c r="Y142" s="407"/>
      <c r="Z142" s="407"/>
      <c r="AA142" s="407"/>
      <c r="AB142" s="407"/>
      <c r="AC142" s="407"/>
      <c r="AD142" s="407"/>
      <c r="AE142" s="407"/>
    </row>
    <row r="143" spans="2:31">
      <c r="B143" s="407"/>
      <c r="C143" s="407"/>
      <c r="D143" s="407"/>
      <c r="E143" s="407"/>
      <c r="F143" s="407"/>
      <c r="G143" s="407"/>
      <c r="H143" s="407"/>
      <c r="I143" s="407"/>
      <c r="J143" s="407"/>
      <c r="K143" s="407"/>
      <c r="L143" s="407"/>
      <c r="M143" s="407"/>
      <c r="N143" s="407"/>
      <c r="O143" s="407"/>
      <c r="P143" s="407"/>
      <c r="Q143" s="407"/>
      <c r="R143" s="407"/>
      <c r="S143" s="407"/>
      <c r="T143" s="407"/>
      <c r="U143" s="407"/>
      <c r="V143" s="407"/>
      <c r="W143" s="407"/>
      <c r="X143" s="407"/>
      <c r="Y143" s="407"/>
      <c r="Z143" s="407"/>
      <c r="AA143" s="407"/>
      <c r="AB143" s="407"/>
      <c r="AC143" s="407"/>
      <c r="AD143" s="407"/>
      <c r="AE143" s="407"/>
    </row>
    <row r="144" spans="2:31">
      <c r="B144" s="407"/>
      <c r="C144" s="407"/>
      <c r="D144" s="407"/>
      <c r="E144" s="407"/>
      <c r="F144" s="407"/>
      <c r="G144" s="407"/>
      <c r="H144" s="407"/>
      <c r="I144" s="407"/>
      <c r="J144" s="407"/>
      <c r="K144" s="407"/>
      <c r="L144" s="407"/>
      <c r="M144" s="407"/>
      <c r="N144" s="407"/>
      <c r="O144" s="407"/>
      <c r="P144" s="407"/>
      <c r="Q144" s="407"/>
      <c r="R144" s="407"/>
      <c r="S144" s="407"/>
      <c r="T144" s="407"/>
      <c r="U144" s="407"/>
      <c r="V144" s="407"/>
      <c r="W144" s="407"/>
      <c r="X144" s="407"/>
      <c r="Y144" s="407"/>
      <c r="Z144" s="407"/>
      <c r="AA144" s="407"/>
      <c r="AB144" s="407"/>
      <c r="AC144" s="407"/>
      <c r="AD144" s="407"/>
      <c r="AE144" s="407"/>
    </row>
    <row r="145" spans="2:31">
      <c r="B145" s="407"/>
      <c r="C145" s="407"/>
      <c r="D145" s="407"/>
      <c r="E145" s="407"/>
      <c r="F145" s="407"/>
      <c r="G145" s="407"/>
      <c r="H145" s="407"/>
      <c r="I145" s="407"/>
      <c r="J145" s="407"/>
      <c r="K145" s="407"/>
      <c r="L145" s="407"/>
      <c r="M145" s="407"/>
      <c r="N145" s="407"/>
      <c r="O145" s="407"/>
      <c r="P145" s="407"/>
      <c r="Q145" s="407"/>
      <c r="R145" s="407"/>
      <c r="S145" s="407"/>
      <c r="T145" s="407"/>
      <c r="U145" s="407"/>
      <c r="V145" s="407"/>
      <c r="W145" s="407"/>
      <c r="X145" s="407"/>
      <c r="Y145" s="407"/>
      <c r="Z145" s="407"/>
      <c r="AA145" s="407"/>
      <c r="AB145" s="407"/>
      <c r="AC145" s="407"/>
      <c r="AD145" s="407"/>
      <c r="AE145" s="407"/>
    </row>
    <row r="146" spans="2:31">
      <c r="B146" s="407"/>
      <c r="C146" s="407"/>
      <c r="D146" s="407"/>
      <c r="E146" s="407"/>
      <c r="F146" s="407"/>
      <c r="G146" s="407"/>
      <c r="H146" s="407"/>
      <c r="I146" s="407"/>
      <c r="J146" s="407"/>
      <c r="K146" s="407"/>
      <c r="L146" s="407"/>
      <c r="M146" s="407"/>
      <c r="N146" s="407"/>
      <c r="O146" s="407"/>
      <c r="P146" s="407"/>
      <c r="Q146" s="407"/>
      <c r="R146" s="407"/>
      <c r="S146" s="407"/>
      <c r="T146" s="407"/>
      <c r="U146" s="407"/>
      <c r="V146" s="407"/>
      <c r="W146" s="407"/>
      <c r="X146" s="407"/>
      <c r="Y146" s="407"/>
      <c r="Z146" s="407"/>
      <c r="AA146" s="407"/>
      <c r="AB146" s="407"/>
      <c r="AC146" s="407"/>
      <c r="AD146" s="407"/>
      <c r="AE146" s="407"/>
    </row>
    <row r="147" spans="2:31">
      <c r="B147" s="407"/>
      <c r="C147" s="407"/>
      <c r="D147" s="407"/>
      <c r="E147" s="407"/>
      <c r="F147" s="407"/>
      <c r="G147" s="407"/>
      <c r="H147" s="407"/>
      <c r="I147" s="407"/>
      <c r="J147" s="407"/>
      <c r="K147" s="407"/>
      <c r="L147" s="407"/>
      <c r="M147" s="407"/>
      <c r="N147" s="407"/>
      <c r="O147" s="407"/>
      <c r="P147" s="407"/>
      <c r="Q147" s="407"/>
      <c r="R147" s="407"/>
      <c r="S147" s="407"/>
      <c r="T147" s="407"/>
      <c r="U147" s="407"/>
      <c r="V147" s="407"/>
      <c r="W147" s="407"/>
      <c r="X147" s="407"/>
      <c r="Y147" s="407"/>
      <c r="Z147" s="407"/>
      <c r="AA147" s="407"/>
      <c r="AB147" s="407"/>
      <c r="AC147" s="407"/>
      <c r="AD147" s="407"/>
      <c r="AE147" s="407"/>
    </row>
    <row r="148" spans="2:31">
      <c r="B148" s="407"/>
      <c r="C148" s="407"/>
      <c r="D148" s="407"/>
      <c r="E148" s="407"/>
      <c r="F148" s="407"/>
      <c r="G148" s="407"/>
      <c r="H148" s="407"/>
      <c r="I148" s="407"/>
      <c r="J148" s="407"/>
      <c r="K148" s="407"/>
      <c r="L148" s="407"/>
      <c r="M148" s="407"/>
      <c r="N148" s="407"/>
      <c r="O148" s="407"/>
      <c r="P148" s="407"/>
      <c r="Q148" s="407"/>
      <c r="R148" s="407"/>
      <c r="S148" s="407"/>
      <c r="T148" s="407"/>
      <c r="U148" s="407"/>
      <c r="V148" s="407"/>
      <c r="W148" s="407"/>
      <c r="X148" s="407"/>
      <c r="Y148" s="407"/>
      <c r="Z148" s="407"/>
      <c r="AA148" s="407"/>
      <c r="AB148" s="407"/>
      <c r="AC148" s="407"/>
      <c r="AD148" s="407"/>
      <c r="AE148" s="407"/>
    </row>
    <row r="149" spans="2:31">
      <c r="B149" s="407"/>
      <c r="C149" s="407"/>
      <c r="D149" s="407"/>
      <c r="E149" s="407"/>
      <c r="F149" s="407"/>
      <c r="G149" s="407"/>
      <c r="H149" s="407"/>
      <c r="I149" s="407"/>
      <c r="J149" s="407"/>
      <c r="K149" s="407"/>
      <c r="L149" s="407"/>
      <c r="M149" s="407"/>
      <c r="N149" s="407"/>
      <c r="O149" s="407"/>
      <c r="P149" s="407"/>
      <c r="Q149" s="407"/>
      <c r="R149" s="407"/>
      <c r="S149" s="407"/>
      <c r="T149" s="407"/>
      <c r="U149" s="407"/>
      <c r="V149" s="407"/>
      <c r="W149" s="407"/>
      <c r="X149" s="407"/>
      <c r="Y149" s="407"/>
      <c r="Z149" s="407"/>
      <c r="AA149" s="407"/>
      <c r="AB149" s="407"/>
      <c r="AC149" s="407"/>
      <c r="AD149" s="407"/>
      <c r="AE149" s="407"/>
    </row>
    <row r="150" spans="2:31">
      <c r="B150" s="407"/>
      <c r="C150" s="407"/>
      <c r="D150" s="407"/>
      <c r="E150" s="407"/>
      <c r="F150" s="407"/>
      <c r="G150" s="407"/>
      <c r="H150" s="407"/>
      <c r="I150" s="407"/>
      <c r="J150" s="407"/>
      <c r="K150" s="407"/>
      <c r="L150" s="407"/>
      <c r="M150" s="407"/>
      <c r="N150" s="407"/>
      <c r="O150" s="407"/>
      <c r="P150" s="407"/>
      <c r="Q150" s="407"/>
      <c r="R150" s="407"/>
      <c r="S150" s="407"/>
      <c r="T150" s="407"/>
      <c r="U150" s="407"/>
      <c r="V150" s="407"/>
      <c r="W150" s="407"/>
      <c r="X150" s="407"/>
      <c r="Y150" s="407"/>
      <c r="Z150" s="407"/>
      <c r="AA150" s="407"/>
      <c r="AB150" s="407"/>
      <c r="AC150" s="407"/>
      <c r="AD150" s="407"/>
      <c r="AE150" s="407"/>
    </row>
    <row r="151" spans="2:31">
      <c r="B151" s="407"/>
      <c r="C151" s="407"/>
      <c r="D151" s="407"/>
      <c r="E151" s="407"/>
      <c r="F151" s="407"/>
      <c r="G151" s="407"/>
      <c r="H151" s="407"/>
      <c r="I151" s="407"/>
      <c r="J151" s="407"/>
      <c r="K151" s="407"/>
      <c r="L151" s="407"/>
      <c r="M151" s="407"/>
      <c r="N151" s="407"/>
      <c r="O151" s="407"/>
      <c r="P151" s="407"/>
      <c r="Q151" s="407"/>
      <c r="R151" s="407"/>
      <c r="S151" s="407"/>
      <c r="T151" s="407"/>
      <c r="U151" s="407"/>
      <c r="V151" s="407"/>
      <c r="W151" s="407"/>
      <c r="X151" s="407"/>
      <c r="Y151" s="407"/>
      <c r="Z151" s="407"/>
      <c r="AA151" s="407"/>
      <c r="AB151" s="407"/>
      <c r="AC151" s="407"/>
      <c r="AD151" s="407"/>
      <c r="AE151" s="407"/>
    </row>
    <row r="152" spans="2:31">
      <c r="B152" s="407"/>
      <c r="C152" s="407"/>
      <c r="D152" s="407"/>
      <c r="E152" s="407"/>
      <c r="F152" s="407"/>
      <c r="G152" s="407"/>
      <c r="H152" s="407"/>
      <c r="I152" s="407"/>
      <c r="J152" s="407"/>
      <c r="K152" s="407"/>
      <c r="L152" s="407"/>
      <c r="M152" s="407"/>
      <c r="N152" s="407"/>
      <c r="O152" s="407"/>
      <c r="P152" s="407"/>
      <c r="Q152" s="407"/>
      <c r="R152" s="407"/>
      <c r="S152" s="407"/>
      <c r="T152" s="407"/>
      <c r="U152" s="407"/>
      <c r="V152" s="407"/>
      <c r="W152" s="407"/>
      <c r="X152" s="407"/>
      <c r="Y152" s="407"/>
      <c r="Z152" s="407"/>
      <c r="AA152" s="407"/>
      <c r="AB152" s="407"/>
      <c r="AC152" s="407"/>
      <c r="AD152" s="407"/>
      <c r="AE152" s="407"/>
    </row>
    <row r="153" spans="2:31">
      <c r="B153" s="407"/>
      <c r="C153" s="407"/>
      <c r="D153" s="407"/>
      <c r="E153" s="407"/>
      <c r="F153" s="407"/>
      <c r="G153" s="407"/>
      <c r="H153" s="407"/>
      <c r="I153" s="407"/>
      <c r="J153" s="407"/>
      <c r="K153" s="407"/>
      <c r="L153" s="407"/>
      <c r="M153" s="407"/>
      <c r="N153" s="407"/>
      <c r="O153" s="407"/>
      <c r="P153" s="407"/>
      <c r="Q153" s="407"/>
      <c r="R153" s="407"/>
      <c r="S153" s="407"/>
      <c r="T153" s="407"/>
      <c r="U153" s="407"/>
      <c r="V153" s="407"/>
      <c r="W153" s="407"/>
      <c r="X153" s="407"/>
      <c r="Y153" s="407"/>
      <c r="Z153" s="407"/>
      <c r="AA153" s="407"/>
      <c r="AB153" s="407"/>
      <c r="AC153" s="407"/>
      <c r="AD153" s="407"/>
      <c r="AE153" s="407"/>
    </row>
    <row r="154" spans="2:31">
      <c r="B154" s="407"/>
      <c r="C154" s="407"/>
      <c r="D154" s="407"/>
      <c r="E154" s="407"/>
      <c r="F154" s="407"/>
      <c r="G154" s="407"/>
      <c r="H154" s="407"/>
      <c r="I154" s="407"/>
      <c r="J154" s="407"/>
      <c r="K154" s="407"/>
      <c r="L154" s="407"/>
      <c r="M154" s="407"/>
      <c r="N154" s="407"/>
      <c r="O154" s="407"/>
      <c r="P154" s="407"/>
      <c r="Q154" s="407"/>
      <c r="R154" s="407"/>
      <c r="S154" s="407"/>
      <c r="T154" s="407"/>
      <c r="U154" s="407"/>
      <c r="V154" s="407"/>
      <c r="W154" s="407"/>
      <c r="X154" s="407"/>
      <c r="Y154" s="407"/>
      <c r="Z154" s="407"/>
      <c r="AA154" s="407"/>
      <c r="AB154" s="407"/>
      <c r="AC154" s="407"/>
      <c r="AD154" s="407"/>
      <c r="AE154" s="407"/>
    </row>
    <row r="155" spans="2:31">
      <c r="B155" s="407"/>
      <c r="C155" s="407"/>
      <c r="D155" s="407"/>
      <c r="E155" s="407"/>
      <c r="F155" s="407"/>
      <c r="G155" s="407"/>
      <c r="H155" s="407"/>
      <c r="I155" s="407"/>
      <c r="J155" s="407"/>
      <c r="K155" s="407"/>
      <c r="L155" s="407"/>
      <c r="M155" s="407"/>
      <c r="N155" s="407"/>
      <c r="O155" s="407"/>
      <c r="P155" s="407"/>
      <c r="Q155" s="407"/>
      <c r="R155" s="407"/>
      <c r="S155" s="407"/>
      <c r="T155" s="407"/>
      <c r="U155" s="407"/>
      <c r="V155" s="407"/>
      <c r="W155" s="407"/>
      <c r="X155" s="407"/>
      <c r="Y155" s="407"/>
      <c r="Z155" s="407"/>
      <c r="AA155" s="407"/>
      <c r="AB155" s="407"/>
      <c r="AC155" s="407"/>
      <c r="AD155" s="407"/>
      <c r="AE155" s="407"/>
    </row>
    <row r="156" spans="2:31">
      <c r="B156" s="407"/>
      <c r="C156" s="407"/>
      <c r="D156" s="407"/>
      <c r="E156" s="407"/>
      <c r="F156" s="407"/>
      <c r="G156" s="407"/>
      <c r="H156" s="407"/>
      <c r="I156" s="407"/>
      <c r="J156" s="407"/>
      <c r="K156" s="407"/>
      <c r="L156" s="407"/>
      <c r="M156" s="407"/>
      <c r="N156" s="407"/>
      <c r="O156" s="407"/>
      <c r="P156" s="407"/>
      <c r="Q156" s="407"/>
      <c r="R156" s="407"/>
      <c r="S156" s="407"/>
      <c r="T156" s="407"/>
      <c r="U156" s="407"/>
      <c r="V156" s="407"/>
      <c r="W156" s="407"/>
      <c r="X156" s="407"/>
      <c r="Y156" s="407"/>
      <c r="Z156" s="407"/>
      <c r="AA156" s="407"/>
      <c r="AB156" s="407"/>
      <c r="AC156" s="407"/>
      <c r="AD156" s="407"/>
      <c r="AE156" s="407"/>
    </row>
    <row r="157" spans="2:31">
      <c r="B157" s="407"/>
      <c r="C157" s="407"/>
      <c r="D157" s="407"/>
      <c r="E157" s="407"/>
      <c r="F157" s="407"/>
      <c r="G157" s="407"/>
      <c r="H157" s="407"/>
      <c r="I157" s="407"/>
      <c r="J157" s="407"/>
      <c r="K157" s="407"/>
      <c r="L157" s="407"/>
      <c r="M157" s="407"/>
      <c r="N157" s="407"/>
      <c r="O157" s="407"/>
      <c r="P157" s="407"/>
      <c r="Q157" s="407"/>
      <c r="R157" s="407"/>
      <c r="S157" s="407"/>
      <c r="T157" s="407"/>
      <c r="U157" s="407"/>
      <c r="V157" s="407"/>
      <c r="W157" s="407"/>
      <c r="X157" s="407"/>
      <c r="Y157" s="407"/>
      <c r="Z157" s="407"/>
      <c r="AA157" s="407"/>
      <c r="AB157" s="407"/>
      <c r="AC157" s="407"/>
      <c r="AD157" s="407"/>
      <c r="AE157" s="407"/>
    </row>
    <row r="158" spans="2:31">
      <c r="B158" s="407"/>
      <c r="C158" s="407"/>
      <c r="D158" s="407"/>
      <c r="E158" s="407"/>
      <c r="F158" s="407"/>
      <c r="G158" s="407"/>
      <c r="H158" s="407"/>
      <c r="I158" s="407"/>
      <c r="J158" s="407"/>
      <c r="K158" s="407"/>
      <c r="L158" s="407"/>
      <c r="M158" s="407"/>
      <c r="N158" s="407"/>
      <c r="O158" s="407"/>
      <c r="P158" s="407"/>
      <c r="Q158" s="407"/>
      <c r="R158" s="407"/>
      <c r="S158" s="407"/>
      <c r="T158" s="407"/>
      <c r="U158" s="407"/>
      <c r="V158" s="407"/>
      <c r="W158" s="407"/>
      <c r="X158" s="407"/>
      <c r="Y158" s="407"/>
      <c r="Z158" s="407"/>
      <c r="AA158" s="407"/>
      <c r="AB158" s="407"/>
      <c r="AC158" s="407"/>
      <c r="AD158" s="407"/>
      <c r="AE158" s="407"/>
    </row>
    <row r="159" spans="2:31">
      <c r="B159" s="407"/>
      <c r="C159" s="407"/>
      <c r="D159" s="407"/>
      <c r="E159" s="407"/>
      <c r="F159" s="407"/>
      <c r="G159" s="407"/>
      <c r="H159" s="407"/>
      <c r="I159" s="407"/>
      <c r="J159" s="407"/>
      <c r="K159" s="407"/>
      <c r="L159" s="407"/>
      <c r="M159" s="407"/>
      <c r="N159" s="407"/>
      <c r="O159" s="407"/>
      <c r="P159" s="407"/>
      <c r="Q159" s="407"/>
      <c r="R159" s="407"/>
      <c r="S159" s="407"/>
      <c r="T159" s="407"/>
      <c r="U159" s="407"/>
      <c r="V159" s="407"/>
      <c r="W159" s="407"/>
      <c r="X159" s="407"/>
      <c r="Y159" s="407"/>
      <c r="Z159" s="407"/>
      <c r="AA159" s="407"/>
      <c r="AB159" s="407"/>
      <c r="AC159" s="407"/>
      <c r="AD159" s="407"/>
      <c r="AE159" s="407"/>
    </row>
    <row r="160" spans="2:31">
      <c r="B160" s="407"/>
      <c r="C160" s="407"/>
      <c r="D160" s="407"/>
      <c r="E160" s="407"/>
      <c r="F160" s="407"/>
      <c r="G160" s="407"/>
      <c r="H160" s="407"/>
      <c r="I160" s="407"/>
      <c r="J160" s="407"/>
      <c r="K160" s="407"/>
      <c r="L160" s="407"/>
      <c r="M160" s="407"/>
      <c r="N160" s="407"/>
      <c r="O160" s="407"/>
      <c r="P160" s="407"/>
      <c r="Q160" s="407"/>
      <c r="R160" s="407"/>
      <c r="S160" s="407"/>
      <c r="T160" s="407"/>
      <c r="U160" s="407"/>
      <c r="V160" s="407"/>
      <c r="W160" s="407"/>
      <c r="X160" s="407"/>
      <c r="Y160" s="407"/>
      <c r="Z160" s="407"/>
      <c r="AA160" s="407"/>
      <c r="AB160" s="407"/>
      <c r="AC160" s="407"/>
      <c r="AD160" s="407"/>
      <c r="AE160" s="407"/>
    </row>
    <row r="161" spans="2:31">
      <c r="B161" s="407"/>
      <c r="C161" s="407"/>
      <c r="D161" s="407"/>
      <c r="E161" s="407"/>
      <c r="F161" s="407"/>
      <c r="G161" s="407"/>
      <c r="H161" s="407"/>
      <c r="I161" s="407"/>
      <c r="J161" s="407"/>
      <c r="K161" s="407"/>
      <c r="L161" s="407"/>
      <c r="M161" s="407"/>
      <c r="N161" s="407"/>
      <c r="O161" s="407"/>
      <c r="P161" s="407"/>
      <c r="Q161" s="407"/>
      <c r="R161" s="407"/>
      <c r="S161" s="407"/>
      <c r="T161" s="407"/>
      <c r="U161" s="407"/>
      <c r="V161" s="407"/>
      <c r="W161" s="407"/>
      <c r="X161" s="407"/>
      <c r="Y161" s="407"/>
      <c r="Z161" s="407"/>
      <c r="AA161" s="407"/>
      <c r="AB161" s="407"/>
      <c r="AC161" s="407"/>
      <c r="AD161" s="407"/>
      <c r="AE161" s="407"/>
    </row>
    <row r="162" spans="2:31">
      <c r="B162" s="407"/>
      <c r="C162" s="407"/>
      <c r="D162" s="407"/>
      <c r="E162" s="407"/>
      <c r="F162" s="407"/>
      <c r="G162" s="407"/>
      <c r="H162" s="407"/>
      <c r="I162" s="407"/>
      <c r="J162" s="407"/>
      <c r="K162" s="407"/>
      <c r="L162" s="407"/>
      <c r="M162" s="407"/>
      <c r="N162" s="407"/>
      <c r="O162" s="407"/>
      <c r="P162" s="407"/>
      <c r="Q162" s="407"/>
      <c r="R162" s="407"/>
      <c r="S162" s="407"/>
      <c r="T162" s="407"/>
      <c r="U162" s="407"/>
      <c r="V162" s="407"/>
      <c r="W162" s="407"/>
      <c r="X162" s="407"/>
      <c r="Y162" s="407"/>
      <c r="Z162" s="407"/>
      <c r="AA162" s="407"/>
      <c r="AB162" s="407"/>
      <c r="AC162" s="407"/>
      <c r="AD162" s="407"/>
      <c r="AE162" s="407"/>
    </row>
    <row r="163" spans="2:31">
      <c r="B163" s="407"/>
      <c r="C163" s="407"/>
      <c r="D163" s="407"/>
      <c r="E163" s="407"/>
      <c r="F163" s="407"/>
      <c r="G163" s="407"/>
      <c r="H163" s="407"/>
      <c r="I163" s="407"/>
      <c r="J163" s="407"/>
      <c r="K163" s="407"/>
      <c r="L163" s="407"/>
      <c r="M163" s="407"/>
      <c r="N163" s="407"/>
      <c r="O163" s="407"/>
      <c r="P163" s="407"/>
      <c r="Q163" s="407"/>
      <c r="R163" s="407"/>
      <c r="S163" s="407"/>
      <c r="T163" s="407"/>
      <c r="U163" s="407"/>
      <c r="V163" s="407"/>
      <c r="W163" s="407"/>
      <c r="X163" s="407"/>
      <c r="Y163" s="407"/>
      <c r="Z163" s="407"/>
      <c r="AA163" s="407"/>
      <c r="AB163" s="407"/>
      <c r="AC163" s="407"/>
      <c r="AD163" s="407"/>
      <c r="AE163" s="407"/>
    </row>
    <row r="164" spans="2:31">
      <c r="B164" s="407"/>
      <c r="C164" s="407"/>
      <c r="D164" s="407"/>
      <c r="E164" s="407"/>
      <c r="F164" s="407"/>
      <c r="G164" s="407"/>
      <c r="H164" s="407"/>
      <c r="I164" s="407"/>
      <c r="J164" s="407"/>
      <c r="K164" s="407"/>
      <c r="L164" s="407"/>
      <c r="M164" s="407"/>
      <c r="N164" s="407"/>
      <c r="O164" s="407"/>
      <c r="P164" s="407"/>
      <c r="Q164" s="407"/>
      <c r="R164" s="407"/>
      <c r="S164" s="407"/>
      <c r="T164" s="407"/>
      <c r="U164" s="407"/>
      <c r="V164" s="407"/>
      <c r="W164" s="407"/>
      <c r="X164" s="407"/>
      <c r="Y164" s="407"/>
      <c r="Z164" s="407"/>
      <c r="AA164" s="407"/>
      <c r="AB164" s="407"/>
      <c r="AC164" s="407"/>
      <c r="AD164" s="407"/>
      <c r="AE164" s="407"/>
    </row>
    <row r="165" spans="2:31">
      <c r="B165" s="407"/>
      <c r="C165" s="407"/>
      <c r="D165" s="407"/>
      <c r="E165" s="407"/>
      <c r="F165" s="407"/>
      <c r="G165" s="407"/>
      <c r="H165" s="407"/>
      <c r="I165" s="407"/>
      <c r="J165" s="407"/>
      <c r="K165" s="407"/>
      <c r="L165" s="407"/>
      <c r="M165" s="407"/>
      <c r="N165" s="407"/>
      <c r="O165" s="407"/>
      <c r="P165" s="407"/>
      <c r="Q165" s="407"/>
      <c r="R165" s="407"/>
      <c r="S165" s="407"/>
      <c r="T165" s="407"/>
      <c r="U165" s="407"/>
      <c r="V165" s="407"/>
      <c r="W165" s="407"/>
      <c r="X165" s="407"/>
      <c r="Y165" s="407"/>
      <c r="Z165" s="407"/>
      <c r="AA165" s="407"/>
      <c r="AB165" s="407"/>
      <c r="AC165" s="407"/>
      <c r="AD165" s="407"/>
      <c r="AE165" s="407"/>
    </row>
    <row r="166" spans="2:31">
      <c r="B166" s="407"/>
      <c r="C166" s="407"/>
      <c r="D166" s="407"/>
      <c r="E166" s="407"/>
      <c r="F166" s="407"/>
      <c r="G166" s="407"/>
      <c r="H166" s="407"/>
      <c r="I166" s="407"/>
      <c r="J166" s="407"/>
      <c r="K166" s="407"/>
      <c r="L166" s="407"/>
      <c r="M166" s="407"/>
      <c r="N166" s="407"/>
      <c r="O166" s="407"/>
      <c r="P166" s="407"/>
      <c r="Q166" s="407"/>
      <c r="R166" s="407"/>
      <c r="S166" s="407"/>
      <c r="T166" s="407"/>
      <c r="U166" s="407"/>
      <c r="V166" s="407"/>
      <c r="W166" s="407"/>
      <c r="X166" s="407"/>
      <c r="Y166" s="407"/>
      <c r="Z166" s="407"/>
      <c r="AA166" s="407"/>
      <c r="AB166" s="407"/>
      <c r="AC166" s="407"/>
      <c r="AD166" s="407"/>
      <c r="AE166" s="407"/>
    </row>
    <row r="167" spans="2:31">
      <c r="B167" s="407"/>
      <c r="C167" s="407"/>
      <c r="D167" s="407"/>
      <c r="E167" s="407"/>
      <c r="F167" s="407"/>
      <c r="G167" s="407"/>
      <c r="H167" s="407"/>
      <c r="I167" s="407"/>
      <c r="J167" s="407"/>
      <c r="K167" s="407"/>
      <c r="L167" s="407"/>
      <c r="M167" s="407"/>
      <c r="N167" s="407"/>
      <c r="O167" s="407"/>
      <c r="P167" s="407"/>
      <c r="Q167" s="407"/>
      <c r="R167" s="407"/>
      <c r="S167" s="407"/>
      <c r="T167" s="407"/>
      <c r="U167" s="407"/>
      <c r="V167" s="407"/>
      <c r="W167" s="407"/>
      <c r="X167" s="407"/>
      <c r="Y167" s="407"/>
      <c r="Z167" s="407"/>
      <c r="AA167" s="407"/>
      <c r="AB167" s="407"/>
      <c r="AC167" s="407"/>
      <c r="AD167" s="407"/>
      <c r="AE167" s="407"/>
    </row>
    <row r="168" spans="2:31">
      <c r="B168" s="407"/>
      <c r="C168" s="407"/>
      <c r="D168" s="407"/>
      <c r="E168" s="407"/>
      <c r="F168" s="407"/>
      <c r="G168" s="407"/>
      <c r="H168" s="407"/>
      <c r="I168" s="407"/>
      <c r="J168" s="407"/>
      <c r="K168" s="407"/>
      <c r="L168" s="407"/>
      <c r="M168" s="407"/>
      <c r="N168" s="407"/>
      <c r="O168" s="407"/>
      <c r="P168" s="407"/>
      <c r="Q168" s="407"/>
      <c r="R168" s="407"/>
      <c r="S168" s="407"/>
      <c r="T168" s="407"/>
      <c r="U168" s="407"/>
      <c r="V168" s="407"/>
      <c r="W168" s="407"/>
      <c r="X168" s="407"/>
      <c r="Y168" s="407"/>
      <c r="Z168" s="407"/>
      <c r="AA168" s="407"/>
      <c r="AB168" s="407"/>
      <c r="AC168" s="407"/>
      <c r="AD168" s="407"/>
      <c r="AE168" s="407"/>
    </row>
    <row r="169" spans="2:31">
      <c r="B169" s="407"/>
      <c r="C169" s="407"/>
      <c r="D169" s="407"/>
      <c r="E169" s="407"/>
      <c r="F169" s="407"/>
      <c r="G169" s="407"/>
      <c r="H169" s="407"/>
      <c r="I169" s="407"/>
      <c r="J169" s="407"/>
      <c r="K169" s="407"/>
      <c r="L169" s="407"/>
      <c r="M169" s="407"/>
      <c r="N169" s="407"/>
      <c r="O169" s="407"/>
      <c r="P169" s="407"/>
      <c r="Q169" s="407"/>
      <c r="R169" s="407"/>
      <c r="S169" s="407"/>
      <c r="T169" s="407"/>
      <c r="U169" s="407"/>
      <c r="V169" s="407"/>
      <c r="W169" s="407"/>
      <c r="X169" s="407"/>
      <c r="Y169" s="407"/>
      <c r="Z169" s="407"/>
      <c r="AA169" s="407"/>
      <c r="AB169" s="407"/>
      <c r="AC169" s="407"/>
      <c r="AD169" s="407"/>
      <c r="AE169" s="407"/>
    </row>
    <row r="170" spans="2:31">
      <c r="B170" s="407"/>
      <c r="C170" s="407"/>
      <c r="D170" s="407"/>
      <c r="E170" s="407"/>
      <c r="F170" s="407"/>
      <c r="G170" s="407"/>
      <c r="H170" s="407"/>
      <c r="I170" s="407"/>
      <c r="J170" s="407"/>
      <c r="K170" s="407"/>
      <c r="L170" s="407"/>
      <c r="M170" s="407"/>
      <c r="N170" s="407"/>
      <c r="O170" s="407"/>
      <c r="P170" s="407"/>
      <c r="Q170" s="407"/>
      <c r="R170" s="407"/>
      <c r="S170" s="407"/>
      <c r="T170" s="407"/>
      <c r="U170" s="407"/>
      <c r="V170" s="407"/>
      <c r="W170" s="407"/>
      <c r="X170" s="407"/>
      <c r="Y170" s="407"/>
      <c r="Z170" s="407"/>
      <c r="AA170" s="407"/>
      <c r="AB170" s="407"/>
      <c r="AC170" s="407"/>
      <c r="AD170" s="407"/>
      <c r="AE170" s="407"/>
    </row>
    <row r="171" spans="2:31">
      <c r="B171" s="407"/>
      <c r="C171" s="407"/>
      <c r="D171" s="407"/>
      <c r="E171" s="407"/>
      <c r="F171" s="407"/>
      <c r="G171" s="407"/>
      <c r="H171" s="407"/>
      <c r="I171" s="407"/>
      <c r="J171" s="407"/>
      <c r="K171" s="407"/>
      <c r="L171" s="407"/>
      <c r="M171" s="407"/>
      <c r="N171" s="407"/>
      <c r="O171" s="407"/>
      <c r="P171" s="407"/>
      <c r="Q171" s="407"/>
      <c r="R171" s="407"/>
      <c r="S171" s="407"/>
      <c r="T171" s="407"/>
      <c r="U171" s="407"/>
      <c r="V171" s="407"/>
      <c r="W171" s="407"/>
      <c r="X171" s="407"/>
      <c r="Y171" s="407"/>
      <c r="Z171" s="407"/>
      <c r="AA171" s="407"/>
      <c r="AB171" s="407"/>
      <c r="AC171" s="407"/>
      <c r="AD171" s="407"/>
      <c r="AE171" s="407"/>
    </row>
    <row r="172" spans="2:31">
      <c r="B172" s="407"/>
      <c r="C172" s="407"/>
      <c r="D172" s="407"/>
      <c r="E172" s="407"/>
      <c r="F172" s="407"/>
      <c r="G172" s="407"/>
      <c r="H172" s="407"/>
      <c r="I172" s="407"/>
      <c r="J172" s="407"/>
      <c r="K172" s="407"/>
      <c r="L172" s="407"/>
      <c r="M172" s="407"/>
      <c r="N172" s="407"/>
      <c r="O172" s="407"/>
      <c r="P172" s="407"/>
      <c r="Q172" s="407"/>
      <c r="R172" s="407"/>
      <c r="S172" s="407"/>
      <c r="T172" s="407"/>
      <c r="U172" s="407"/>
      <c r="V172" s="407"/>
      <c r="W172" s="407"/>
      <c r="X172" s="407"/>
      <c r="Y172" s="407"/>
      <c r="Z172" s="407"/>
      <c r="AA172" s="407"/>
      <c r="AB172" s="407"/>
      <c r="AC172" s="407"/>
      <c r="AD172" s="407"/>
      <c r="AE172" s="407"/>
    </row>
    <row r="173" spans="2:31">
      <c r="B173" s="407"/>
      <c r="C173" s="407"/>
      <c r="D173" s="407"/>
      <c r="E173" s="407"/>
      <c r="F173" s="407"/>
      <c r="G173" s="407"/>
      <c r="H173" s="407"/>
      <c r="I173" s="407"/>
      <c r="J173" s="407"/>
      <c r="K173" s="407"/>
      <c r="L173" s="407"/>
      <c r="M173" s="407"/>
      <c r="N173" s="407"/>
      <c r="O173" s="407"/>
      <c r="P173" s="407"/>
      <c r="Q173" s="407"/>
      <c r="R173" s="407"/>
      <c r="S173" s="407"/>
      <c r="T173" s="407"/>
      <c r="U173" s="407"/>
      <c r="V173" s="407"/>
      <c r="W173" s="407"/>
      <c r="X173" s="407"/>
      <c r="Y173" s="407"/>
      <c r="Z173" s="407"/>
      <c r="AA173" s="407"/>
      <c r="AB173" s="407"/>
      <c r="AC173" s="407"/>
      <c r="AD173" s="407"/>
      <c r="AE173" s="407"/>
    </row>
    <row r="174" spans="2:31">
      <c r="B174" s="407"/>
      <c r="C174" s="407"/>
      <c r="D174" s="407"/>
      <c r="E174" s="407"/>
      <c r="F174" s="407"/>
      <c r="G174" s="407"/>
      <c r="H174" s="407"/>
      <c r="I174" s="407"/>
      <c r="J174" s="407"/>
      <c r="K174" s="407"/>
      <c r="L174" s="407"/>
      <c r="M174" s="407"/>
      <c r="N174" s="407"/>
      <c r="O174" s="407"/>
      <c r="P174" s="407"/>
      <c r="Q174" s="407"/>
      <c r="R174" s="407"/>
      <c r="S174" s="407"/>
      <c r="T174" s="407"/>
      <c r="U174" s="407"/>
      <c r="V174" s="407"/>
      <c r="W174" s="407"/>
      <c r="X174" s="407"/>
      <c r="Y174" s="407"/>
      <c r="Z174" s="407"/>
      <c r="AA174" s="407"/>
      <c r="AB174" s="407"/>
      <c r="AC174" s="407"/>
      <c r="AD174" s="407"/>
      <c r="AE174" s="407"/>
    </row>
    <row r="175" spans="2:31">
      <c r="B175" s="407"/>
      <c r="C175" s="407"/>
      <c r="D175" s="407"/>
      <c r="E175" s="407"/>
      <c r="F175" s="407"/>
      <c r="G175" s="407"/>
      <c r="H175" s="407"/>
      <c r="I175" s="407"/>
      <c r="J175" s="407"/>
      <c r="K175" s="407"/>
      <c r="L175" s="407"/>
      <c r="M175" s="407"/>
      <c r="N175" s="407"/>
      <c r="O175" s="407"/>
      <c r="P175" s="407"/>
      <c r="Q175" s="407"/>
      <c r="R175" s="407"/>
      <c r="S175" s="407"/>
      <c r="T175" s="407"/>
      <c r="U175" s="407"/>
      <c r="V175" s="407"/>
      <c r="W175" s="407"/>
      <c r="X175" s="407"/>
      <c r="Y175" s="407"/>
      <c r="Z175" s="407"/>
      <c r="AA175" s="407"/>
      <c r="AB175" s="407"/>
      <c r="AC175" s="407"/>
      <c r="AD175" s="407"/>
      <c r="AE175" s="407"/>
    </row>
    <row r="176" spans="2:31">
      <c r="B176" s="407"/>
      <c r="C176" s="407"/>
      <c r="D176" s="407"/>
      <c r="E176" s="407"/>
      <c r="F176" s="407"/>
      <c r="G176" s="407"/>
      <c r="H176" s="407"/>
      <c r="I176" s="407"/>
      <c r="J176" s="407"/>
      <c r="K176" s="407"/>
      <c r="L176" s="407"/>
      <c r="M176" s="407"/>
      <c r="N176" s="407"/>
      <c r="O176" s="407"/>
      <c r="P176" s="407"/>
      <c r="Q176" s="407"/>
      <c r="R176" s="407"/>
      <c r="S176" s="407"/>
      <c r="T176" s="407"/>
      <c r="U176" s="407"/>
      <c r="V176" s="407"/>
      <c r="W176" s="407"/>
      <c r="X176" s="407"/>
      <c r="Y176" s="407"/>
      <c r="Z176" s="407"/>
      <c r="AA176" s="407"/>
      <c r="AB176" s="407"/>
      <c r="AC176" s="407"/>
      <c r="AD176" s="407"/>
      <c r="AE176" s="407"/>
    </row>
    <row r="177" spans="2:31">
      <c r="B177" s="407"/>
      <c r="C177" s="407"/>
      <c r="D177" s="407"/>
      <c r="E177" s="407"/>
      <c r="F177" s="407"/>
      <c r="G177" s="407"/>
      <c r="H177" s="407"/>
      <c r="I177" s="407"/>
      <c r="J177" s="407"/>
      <c r="K177" s="407"/>
      <c r="L177" s="407"/>
      <c r="M177" s="407"/>
      <c r="N177" s="407"/>
      <c r="O177" s="407"/>
      <c r="P177" s="407"/>
      <c r="Q177" s="407"/>
      <c r="R177" s="407"/>
      <c r="S177" s="407"/>
      <c r="T177" s="407"/>
      <c r="U177" s="407"/>
      <c r="V177" s="407"/>
      <c r="W177" s="407"/>
      <c r="X177" s="407"/>
      <c r="Y177" s="407"/>
      <c r="Z177" s="407"/>
      <c r="AA177" s="407"/>
      <c r="AB177" s="407"/>
      <c r="AC177" s="407"/>
      <c r="AD177" s="407"/>
      <c r="AE177" s="407"/>
    </row>
    <row r="178" spans="2:31">
      <c r="B178" s="407"/>
      <c r="C178" s="407"/>
      <c r="D178" s="407"/>
      <c r="E178" s="407"/>
      <c r="F178" s="407"/>
      <c r="G178" s="407"/>
      <c r="H178" s="407"/>
      <c r="I178" s="407"/>
      <c r="J178" s="407"/>
      <c r="K178" s="407"/>
      <c r="L178" s="407"/>
      <c r="M178" s="407"/>
      <c r="N178" s="407"/>
      <c r="O178" s="407"/>
      <c r="P178" s="407"/>
      <c r="Q178" s="407"/>
      <c r="R178" s="407"/>
      <c r="S178" s="407"/>
      <c r="T178" s="407"/>
      <c r="U178" s="407"/>
      <c r="V178" s="407"/>
      <c r="W178" s="407"/>
      <c r="X178" s="407"/>
      <c r="Y178" s="407"/>
      <c r="Z178" s="407"/>
      <c r="AA178" s="407"/>
      <c r="AB178" s="407"/>
      <c r="AC178" s="407"/>
      <c r="AD178" s="407"/>
      <c r="AE178" s="407"/>
    </row>
    <row r="179" spans="2:31">
      <c r="B179" s="407"/>
      <c r="C179" s="407"/>
      <c r="D179" s="407"/>
      <c r="E179" s="407"/>
      <c r="F179" s="407"/>
      <c r="G179" s="407"/>
      <c r="H179" s="407"/>
      <c r="I179" s="407"/>
      <c r="J179" s="407"/>
      <c r="K179" s="407"/>
      <c r="L179" s="407"/>
      <c r="M179" s="407"/>
      <c r="N179" s="407"/>
      <c r="O179" s="407"/>
      <c r="P179" s="407"/>
      <c r="Q179" s="407"/>
      <c r="R179" s="407"/>
      <c r="S179" s="407"/>
      <c r="T179" s="407"/>
      <c r="U179" s="407"/>
      <c r="V179" s="407"/>
      <c r="W179" s="407"/>
      <c r="X179" s="407"/>
      <c r="Y179" s="407"/>
      <c r="Z179" s="407"/>
      <c r="AA179" s="407"/>
      <c r="AB179" s="407"/>
      <c r="AC179" s="407"/>
      <c r="AD179" s="407"/>
      <c r="AE179" s="407"/>
    </row>
    <row r="180" spans="2:31">
      <c r="B180" s="407"/>
      <c r="C180" s="407"/>
      <c r="D180" s="407"/>
      <c r="E180" s="407"/>
      <c r="F180" s="407"/>
      <c r="G180" s="407"/>
      <c r="H180" s="407"/>
      <c r="I180" s="407"/>
      <c r="J180" s="407"/>
      <c r="K180" s="407"/>
      <c r="L180" s="407"/>
      <c r="M180" s="407"/>
      <c r="N180" s="407"/>
      <c r="O180" s="407"/>
      <c r="P180" s="407"/>
      <c r="Q180" s="407"/>
      <c r="R180" s="407"/>
      <c r="S180" s="407"/>
      <c r="T180" s="407"/>
      <c r="U180" s="407"/>
      <c r="V180" s="407"/>
      <c r="W180" s="407"/>
      <c r="X180" s="407"/>
      <c r="Y180" s="407"/>
      <c r="Z180" s="407"/>
      <c r="AA180" s="407"/>
      <c r="AB180" s="407"/>
      <c r="AC180" s="407"/>
      <c r="AD180" s="407"/>
      <c r="AE180" s="407"/>
    </row>
    <row r="181" spans="2:31">
      <c r="B181" s="407"/>
      <c r="C181" s="407"/>
      <c r="D181" s="407"/>
      <c r="E181" s="407"/>
      <c r="F181" s="407"/>
      <c r="G181" s="407"/>
      <c r="H181" s="407"/>
      <c r="I181" s="407"/>
      <c r="J181" s="407"/>
      <c r="K181" s="407"/>
      <c r="L181" s="407"/>
      <c r="M181" s="407"/>
      <c r="N181" s="407"/>
      <c r="O181" s="407"/>
      <c r="P181" s="407"/>
      <c r="Q181" s="407"/>
      <c r="R181" s="407"/>
      <c r="S181" s="407"/>
      <c r="T181" s="407"/>
      <c r="U181" s="407"/>
      <c r="V181" s="407"/>
      <c r="W181" s="407"/>
      <c r="X181" s="407"/>
      <c r="Y181" s="407"/>
      <c r="Z181" s="407"/>
      <c r="AA181" s="407"/>
      <c r="AB181" s="407"/>
      <c r="AC181" s="407"/>
      <c r="AD181" s="407"/>
      <c r="AE181" s="407"/>
    </row>
    <row r="182" spans="2:31">
      <c r="B182" s="407"/>
      <c r="C182" s="407"/>
      <c r="D182" s="407"/>
      <c r="E182" s="407"/>
      <c r="F182" s="407"/>
      <c r="G182" s="407"/>
      <c r="H182" s="407"/>
      <c r="I182" s="407"/>
      <c r="J182" s="407"/>
      <c r="K182" s="407"/>
      <c r="L182" s="407"/>
      <c r="M182" s="407"/>
      <c r="N182" s="407"/>
      <c r="O182" s="407"/>
      <c r="P182" s="407"/>
      <c r="Q182" s="407"/>
      <c r="R182" s="407"/>
      <c r="S182" s="407"/>
      <c r="T182" s="407"/>
      <c r="U182" s="407"/>
      <c r="V182" s="407"/>
      <c r="W182" s="407"/>
      <c r="X182" s="407"/>
      <c r="Y182" s="407"/>
      <c r="Z182" s="407"/>
      <c r="AA182" s="407"/>
      <c r="AB182" s="407"/>
      <c r="AC182" s="407"/>
      <c r="AD182" s="407"/>
      <c r="AE182" s="407"/>
    </row>
    <row r="183" spans="2:31">
      <c r="B183" s="407"/>
      <c r="C183" s="407"/>
      <c r="D183" s="407"/>
      <c r="E183" s="407"/>
      <c r="F183" s="407"/>
      <c r="G183" s="407"/>
      <c r="H183" s="407"/>
      <c r="I183" s="407"/>
      <c r="J183" s="407"/>
      <c r="K183" s="407"/>
      <c r="L183" s="407"/>
      <c r="M183" s="407"/>
      <c r="N183" s="407"/>
      <c r="O183" s="407"/>
      <c r="P183" s="407"/>
      <c r="Q183" s="407"/>
      <c r="R183" s="407"/>
      <c r="S183" s="407"/>
      <c r="T183" s="407"/>
      <c r="U183" s="407"/>
      <c r="V183" s="407"/>
      <c r="W183" s="407"/>
      <c r="X183" s="407"/>
      <c r="Y183" s="407"/>
      <c r="Z183" s="407"/>
      <c r="AA183" s="407"/>
      <c r="AB183" s="407"/>
      <c r="AC183" s="407"/>
      <c r="AD183" s="407"/>
      <c r="AE183" s="407"/>
    </row>
    <row r="184" spans="2:31">
      <c r="B184" s="407"/>
      <c r="C184" s="407"/>
      <c r="D184" s="407"/>
      <c r="E184" s="407"/>
      <c r="F184" s="407"/>
      <c r="G184" s="407"/>
      <c r="H184" s="407"/>
      <c r="I184" s="407"/>
      <c r="J184" s="407"/>
      <c r="K184" s="407"/>
      <c r="L184" s="407"/>
      <c r="M184" s="407"/>
      <c r="N184" s="407"/>
      <c r="O184" s="407"/>
      <c r="P184" s="407"/>
      <c r="Q184" s="407"/>
      <c r="R184" s="407"/>
      <c r="S184" s="407"/>
      <c r="T184" s="407"/>
      <c r="U184" s="407"/>
      <c r="V184" s="407"/>
      <c r="W184" s="407"/>
      <c r="X184" s="407"/>
      <c r="Y184" s="407"/>
      <c r="Z184" s="407"/>
      <c r="AA184" s="407"/>
      <c r="AB184" s="407"/>
      <c r="AC184" s="407"/>
      <c r="AD184" s="407"/>
      <c r="AE184" s="407"/>
    </row>
    <row r="185" spans="2:31">
      <c r="B185" s="407"/>
      <c r="C185" s="407"/>
      <c r="D185" s="407"/>
      <c r="E185" s="407"/>
      <c r="F185" s="407"/>
      <c r="G185" s="407"/>
      <c r="H185" s="407"/>
      <c r="I185" s="407"/>
      <c r="J185" s="407"/>
      <c r="K185" s="407"/>
      <c r="L185" s="407"/>
      <c r="M185" s="407"/>
      <c r="N185" s="407"/>
      <c r="O185" s="407"/>
      <c r="P185" s="407"/>
      <c r="Q185" s="407"/>
      <c r="R185" s="407"/>
      <c r="S185" s="407"/>
      <c r="T185" s="407"/>
      <c r="U185" s="407"/>
      <c r="V185" s="407"/>
      <c r="W185" s="407"/>
      <c r="X185" s="407"/>
      <c r="Y185" s="407"/>
      <c r="Z185" s="407"/>
      <c r="AA185" s="407"/>
      <c r="AB185" s="407"/>
      <c r="AC185" s="407"/>
      <c r="AD185" s="407"/>
      <c r="AE185" s="407"/>
    </row>
    <row r="186" spans="2:31">
      <c r="B186" s="407"/>
      <c r="C186" s="407"/>
      <c r="D186" s="407"/>
      <c r="E186" s="407"/>
      <c r="F186" s="407"/>
      <c r="G186" s="407"/>
      <c r="H186" s="407"/>
      <c r="I186" s="407"/>
      <c r="J186" s="407"/>
      <c r="K186" s="407"/>
      <c r="L186" s="407"/>
      <c r="M186" s="407"/>
      <c r="N186" s="407"/>
      <c r="O186" s="407"/>
      <c r="P186" s="407"/>
      <c r="Q186" s="407"/>
      <c r="R186" s="407"/>
      <c r="S186" s="407"/>
      <c r="T186" s="407"/>
      <c r="U186" s="407"/>
      <c r="V186" s="407"/>
      <c r="W186" s="407"/>
      <c r="X186" s="407"/>
      <c r="Y186" s="407"/>
      <c r="Z186" s="407"/>
      <c r="AA186" s="407"/>
      <c r="AB186" s="407"/>
      <c r="AC186" s="407"/>
      <c r="AD186" s="407"/>
      <c r="AE186" s="407"/>
    </row>
    <row r="187" spans="2:31">
      <c r="B187" s="407"/>
      <c r="C187" s="407"/>
      <c r="D187" s="407"/>
      <c r="E187" s="407"/>
      <c r="F187" s="407"/>
      <c r="G187" s="407"/>
      <c r="H187" s="407"/>
      <c r="I187" s="407"/>
      <c r="J187" s="407"/>
      <c r="K187" s="407"/>
      <c r="L187" s="407"/>
      <c r="M187" s="407"/>
      <c r="N187" s="407"/>
      <c r="O187" s="407"/>
      <c r="P187" s="407"/>
      <c r="Q187" s="407"/>
      <c r="R187" s="407"/>
      <c r="S187" s="407"/>
      <c r="T187" s="407"/>
      <c r="U187" s="407"/>
      <c r="V187" s="407"/>
      <c r="W187" s="407"/>
      <c r="X187" s="407"/>
      <c r="Y187" s="407"/>
      <c r="Z187" s="407"/>
      <c r="AA187" s="407"/>
      <c r="AB187" s="407"/>
      <c r="AC187" s="407"/>
      <c r="AD187" s="407"/>
      <c r="AE187" s="407"/>
    </row>
    <row r="188" spans="2:31">
      <c r="B188" s="407"/>
      <c r="C188" s="407"/>
      <c r="D188" s="407"/>
      <c r="E188" s="407"/>
      <c r="F188" s="407"/>
      <c r="G188" s="407"/>
      <c r="H188" s="407"/>
      <c r="I188" s="407"/>
      <c r="J188" s="407"/>
      <c r="K188" s="407"/>
      <c r="L188" s="407"/>
      <c r="M188" s="407"/>
      <c r="N188" s="407"/>
      <c r="O188" s="407"/>
      <c r="P188" s="407"/>
      <c r="Q188" s="407"/>
      <c r="R188" s="407"/>
      <c r="S188" s="407"/>
      <c r="T188" s="407"/>
      <c r="U188" s="407"/>
      <c r="V188" s="407"/>
      <c r="W188" s="407"/>
      <c r="X188" s="407"/>
      <c r="Y188" s="407"/>
      <c r="Z188" s="407"/>
      <c r="AA188" s="407"/>
      <c r="AB188" s="407"/>
      <c r="AC188" s="407"/>
      <c r="AD188" s="407"/>
      <c r="AE188" s="407"/>
    </row>
    <row r="189" spans="2:31">
      <c r="B189" s="407"/>
      <c r="C189" s="407"/>
      <c r="D189" s="407"/>
      <c r="E189" s="407"/>
      <c r="F189" s="407"/>
      <c r="G189" s="407"/>
      <c r="H189" s="407"/>
      <c r="I189" s="407"/>
      <c r="J189" s="407"/>
      <c r="K189" s="407"/>
      <c r="L189" s="407"/>
      <c r="M189" s="407"/>
      <c r="N189" s="407"/>
      <c r="O189" s="407"/>
      <c r="P189" s="407"/>
      <c r="Q189" s="407"/>
      <c r="R189" s="407"/>
      <c r="S189" s="407"/>
      <c r="T189" s="407"/>
      <c r="U189" s="407"/>
      <c r="V189" s="407"/>
      <c r="W189" s="407"/>
      <c r="X189" s="407"/>
      <c r="Y189" s="407"/>
      <c r="Z189" s="407"/>
      <c r="AA189" s="407"/>
      <c r="AB189" s="407"/>
      <c r="AC189" s="407"/>
      <c r="AD189" s="407"/>
      <c r="AE189" s="407"/>
    </row>
    <row r="190" spans="2:31">
      <c r="B190" s="407"/>
      <c r="C190" s="407"/>
      <c r="D190" s="407"/>
      <c r="E190" s="407"/>
      <c r="F190" s="407"/>
      <c r="G190" s="407"/>
      <c r="H190" s="407"/>
      <c r="I190" s="407"/>
      <c r="J190" s="407"/>
      <c r="K190" s="407"/>
      <c r="L190" s="407"/>
      <c r="M190" s="407"/>
      <c r="N190" s="407"/>
      <c r="O190" s="407"/>
      <c r="P190" s="407"/>
      <c r="Q190" s="407"/>
      <c r="R190" s="407"/>
      <c r="S190" s="407"/>
      <c r="T190" s="407"/>
      <c r="U190" s="407"/>
      <c r="V190" s="407"/>
      <c r="W190" s="407"/>
      <c r="X190" s="407"/>
      <c r="Y190" s="407"/>
      <c r="Z190" s="407"/>
      <c r="AA190" s="407"/>
      <c r="AB190" s="407"/>
      <c r="AC190" s="407"/>
      <c r="AD190" s="407"/>
      <c r="AE190" s="407"/>
    </row>
    <row r="191" spans="2:31">
      <c r="B191" s="407"/>
      <c r="C191" s="407"/>
      <c r="D191" s="407"/>
      <c r="E191" s="407"/>
      <c r="F191" s="407"/>
      <c r="G191" s="407"/>
      <c r="H191" s="407"/>
      <c r="I191" s="407"/>
      <c r="J191" s="407"/>
      <c r="K191" s="407"/>
      <c r="L191" s="407"/>
      <c r="M191" s="407"/>
      <c r="N191" s="407"/>
      <c r="O191" s="407"/>
      <c r="P191" s="407"/>
      <c r="Q191" s="407"/>
      <c r="R191" s="407"/>
      <c r="S191" s="407"/>
      <c r="T191" s="407"/>
      <c r="U191" s="407"/>
      <c r="V191" s="407"/>
      <c r="W191" s="407"/>
      <c r="X191" s="407"/>
      <c r="Y191" s="407"/>
      <c r="Z191" s="407"/>
      <c r="AA191" s="407"/>
      <c r="AB191" s="407"/>
      <c r="AC191" s="407"/>
      <c r="AD191" s="407"/>
      <c r="AE191" s="407"/>
    </row>
    <row r="192" spans="2:31">
      <c r="B192" s="407"/>
      <c r="C192" s="407"/>
      <c r="D192" s="407"/>
      <c r="E192" s="407"/>
      <c r="F192" s="407"/>
      <c r="G192" s="407"/>
      <c r="H192" s="407"/>
      <c r="I192" s="407"/>
      <c r="J192" s="407"/>
      <c r="K192" s="407"/>
      <c r="L192" s="407"/>
      <c r="M192" s="407"/>
      <c r="N192" s="407"/>
      <c r="O192" s="407"/>
      <c r="P192" s="407"/>
      <c r="Q192" s="407"/>
      <c r="R192" s="407"/>
      <c r="S192" s="407"/>
      <c r="T192" s="407"/>
      <c r="U192" s="407"/>
      <c r="V192" s="407"/>
      <c r="W192" s="407"/>
      <c r="X192" s="407"/>
      <c r="Y192" s="407"/>
      <c r="Z192" s="407"/>
      <c r="AA192" s="407"/>
      <c r="AB192" s="407"/>
      <c r="AC192" s="407"/>
      <c r="AD192" s="407"/>
      <c r="AE192" s="407"/>
    </row>
    <row r="193" spans="2:31">
      <c r="B193" s="407"/>
      <c r="C193" s="407"/>
      <c r="D193" s="407"/>
      <c r="E193" s="407"/>
      <c r="F193" s="407"/>
      <c r="G193" s="407"/>
      <c r="H193" s="407"/>
      <c r="I193" s="407"/>
      <c r="J193" s="407"/>
      <c r="K193" s="407"/>
      <c r="L193" s="407"/>
      <c r="M193" s="407"/>
      <c r="N193" s="407"/>
      <c r="O193" s="407"/>
      <c r="P193" s="407"/>
      <c r="Q193" s="407"/>
      <c r="R193" s="407"/>
      <c r="S193" s="407"/>
      <c r="T193" s="407"/>
      <c r="U193" s="407"/>
      <c r="V193" s="407"/>
      <c r="W193" s="407"/>
      <c r="X193" s="407"/>
      <c r="Y193" s="407"/>
      <c r="Z193" s="407"/>
      <c r="AA193" s="407"/>
      <c r="AB193" s="407"/>
      <c r="AC193" s="407"/>
      <c r="AD193" s="407"/>
      <c r="AE193" s="407"/>
    </row>
    <row r="194" spans="2:31">
      <c r="B194" s="407"/>
      <c r="C194" s="407"/>
      <c r="D194" s="407"/>
      <c r="E194" s="407"/>
      <c r="F194" s="407"/>
      <c r="G194" s="407"/>
      <c r="H194" s="407"/>
      <c r="I194" s="407"/>
      <c r="J194" s="407"/>
      <c r="K194" s="407"/>
      <c r="L194" s="407"/>
      <c r="M194" s="407"/>
      <c r="N194" s="407"/>
      <c r="O194" s="407"/>
      <c r="P194" s="407"/>
      <c r="Q194" s="407"/>
      <c r="R194" s="407"/>
      <c r="S194" s="407"/>
      <c r="T194" s="407"/>
      <c r="U194" s="407"/>
      <c r="V194" s="407"/>
      <c r="W194" s="407"/>
      <c r="X194" s="407"/>
      <c r="Y194" s="407"/>
      <c r="Z194" s="407"/>
      <c r="AA194" s="407"/>
      <c r="AB194" s="407"/>
      <c r="AC194" s="407"/>
      <c r="AD194" s="407"/>
      <c r="AE194" s="407"/>
    </row>
    <row r="195" spans="2:31">
      <c r="B195" s="407"/>
      <c r="C195" s="407"/>
      <c r="D195" s="407"/>
      <c r="E195" s="407"/>
      <c r="F195" s="407"/>
      <c r="G195" s="407"/>
      <c r="H195" s="407"/>
      <c r="I195" s="407"/>
      <c r="J195" s="407"/>
      <c r="K195" s="407"/>
      <c r="L195" s="407"/>
      <c r="M195" s="407"/>
      <c r="N195" s="407"/>
      <c r="O195" s="407"/>
      <c r="P195" s="407"/>
      <c r="Q195" s="407"/>
      <c r="R195" s="407"/>
      <c r="S195" s="407"/>
      <c r="T195" s="407"/>
      <c r="U195" s="407"/>
      <c r="V195" s="407"/>
      <c r="W195" s="407"/>
      <c r="X195" s="407"/>
      <c r="Y195" s="407"/>
      <c r="Z195" s="407"/>
      <c r="AA195" s="407"/>
      <c r="AB195" s="407"/>
      <c r="AC195" s="407"/>
      <c r="AD195" s="407"/>
      <c r="AE195" s="407"/>
    </row>
    <row r="196" spans="2:31">
      <c r="B196" s="407"/>
      <c r="C196" s="407"/>
      <c r="D196" s="407"/>
      <c r="E196" s="407"/>
      <c r="F196" s="407"/>
      <c r="G196" s="407"/>
      <c r="H196" s="407"/>
      <c r="I196" s="407"/>
      <c r="J196" s="407"/>
      <c r="K196" s="407"/>
      <c r="L196" s="407"/>
      <c r="M196" s="407"/>
      <c r="N196" s="407"/>
      <c r="O196" s="407"/>
      <c r="P196" s="407"/>
      <c r="Q196" s="407"/>
      <c r="R196" s="407"/>
      <c r="S196" s="407"/>
      <c r="T196" s="407"/>
      <c r="U196" s="407"/>
      <c r="V196" s="407"/>
      <c r="W196" s="407"/>
      <c r="X196" s="407"/>
      <c r="Y196" s="407"/>
      <c r="Z196" s="407"/>
      <c r="AA196" s="407"/>
      <c r="AB196" s="407"/>
      <c r="AC196" s="407"/>
      <c r="AD196" s="407"/>
      <c r="AE196" s="407"/>
    </row>
    <row r="197" spans="2:31">
      <c r="B197" s="407"/>
      <c r="C197" s="407"/>
      <c r="D197" s="407"/>
      <c r="E197" s="407"/>
      <c r="F197" s="407"/>
      <c r="G197" s="407"/>
      <c r="H197" s="407"/>
      <c r="I197" s="407"/>
      <c r="J197" s="407"/>
      <c r="K197" s="407"/>
      <c r="L197" s="407"/>
      <c r="M197" s="407"/>
      <c r="N197" s="407"/>
      <c r="O197" s="407"/>
      <c r="P197" s="407"/>
      <c r="Q197" s="407"/>
      <c r="R197" s="407"/>
      <c r="S197" s="407"/>
      <c r="T197" s="407"/>
      <c r="U197" s="407"/>
      <c r="V197" s="407"/>
      <c r="W197" s="407"/>
      <c r="X197" s="407"/>
      <c r="Y197" s="407"/>
      <c r="Z197" s="407"/>
      <c r="AA197" s="407"/>
      <c r="AB197" s="407"/>
      <c r="AC197" s="407"/>
      <c r="AD197" s="407"/>
      <c r="AE197" s="407"/>
    </row>
    <row r="198" spans="2:31">
      <c r="B198" s="407"/>
      <c r="C198" s="407"/>
      <c r="D198" s="407"/>
      <c r="E198" s="407"/>
      <c r="F198" s="407"/>
      <c r="G198" s="407"/>
      <c r="H198" s="407"/>
      <c r="I198" s="407"/>
      <c r="J198" s="407"/>
      <c r="K198" s="407"/>
      <c r="L198" s="407"/>
      <c r="M198" s="407"/>
      <c r="N198" s="407"/>
      <c r="O198" s="407"/>
      <c r="P198" s="407"/>
      <c r="Q198" s="407"/>
      <c r="R198" s="407"/>
      <c r="S198" s="407"/>
      <c r="T198" s="407"/>
      <c r="U198" s="407"/>
      <c r="V198" s="407"/>
      <c r="W198" s="407"/>
      <c r="X198" s="407"/>
      <c r="Y198" s="407"/>
      <c r="Z198" s="407"/>
      <c r="AA198" s="407"/>
      <c r="AB198" s="407"/>
      <c r="AC198" s="407"/>
      <c r="AD198" s="407"/>
      <c r="AE198" s="407"/>
    </row>
    <row r="199" spans="2:31">
      <c r="B199" s="407"/>
      <c r="C199" s="407"/>
      <c r="D199" s="407"/>
      <c r="E199" s="407"/>
      <c r="F199" s="407"/>
      <c r="G199" s="407"/>
      <c r="H199" s="407"/>
      <c r="I199" s="407"/>
      <c r="J199" s="407"/>
      <c r="K199" s="407"/>
      <c r="L199" s="407"/>
      <c r="M199" s="407"/>
      <c r="N199" s="407"/>
      <c r="O199" s="407"/>
      <c r="P199" s="407"/>
      <c r="Q199" s="407"/>
      <c r="R199" s="407"/>
      <c r="S199" s="407"/>
      <c r="T199" s="407"/>
      <c r="U199" s="407"/>
      <c r="V199" s="407"/>
      <c r="W199" s="407"/>
      <c r="X199" s="407"/>
      <c r="Y199" s="407"/>
      <c r="Z199" s="407"/>
      <c r="AA199" s="407"/>
      <c r="AB199" s="407"/>
      <c r="AC199" s="407"/>
      <c r="AD199" s="407"/>
      <c r="AE199" s="407"/>
    </row>
    <row r="200" spans="2:31">
      <c r="B200" s="407"/>
      <c r="C200" s="407"/>
      <c r="D200" s="407"/>
      <c r="E200" s="407"/>
      <c r="F200" s="407"/>
      <c r="G200" s="407"/>
      <c r="H200" s="407"/>
      <c r="I200" s="407"/>
      <c r="J200" s="407"/>
      <c r="K200" s="407"/>
      <c r="L200" s="407"/>
      <c r="M200" s="407"/>
      <c r="N200" s="407"/>
      <c r="O200" s="407"/>
      <c r="P200" s="407"/>
      <c r="Q200" s="407"/>
      <c r="R200" s="407"/>
      <c r="S200" s="407"/>
      <c r="T200" s="407"/>
      <c r="U200" s="407"/>
      <c r="V200" s="407"/>
      <c r="W200" s="407"/>
      <c r="X200" s="407"/>
      <c r="Y200" s="407"/>
      <c r="Z200" s="407"/>
      <c r="AA200" s="407"/>
      <c r="AB200" s="407"/>
      <c r="AC200" s="407"/>
      <c r="AD200" s="407"/>
      <c r="AE200" s="407"/>
    </row>
    <row r="201" spans="2:31">
      <c r="B201" s="407"/>
      <c r="C201" s="407"/>
      <c r="D201" s="407"/>
      <c r="E201" s="407"/>
      <c r="F201" s="407"/>
      <c r="G201" s="407"/>
      <c r="H201" s="407"/>
      <c r="I201" s="407"/>
      <c r="J201" s="407"/>
      <c r="K201" s="407"/>
      <c r="L201" s="407"/>
      <c r="M201" s="407"/>
      <c r="N201" s="407"/>
      <c r="O201" s="407"/>
      <c r="P201" s="407"/>
      <c r="Q201" s="407"/>
      <c r="R201" s="407"/>
      <c r="S201" s="407"/>
      <c r="T201" s="407"/>
      <c r="U201" s="407"/>
      <c r="V201" s="407"/>
      <c r="W201" s="407"/>
      <c r="X201" s="407"/>
      <c r="Y201" s="407"/>
      <c r="Z201" s="407"/>
      <c r="AA201" s="407"/>
      <c r="AB201" s="407"/>
      <c r="AC201" s="407"/>
      <c r="AD201" s="407"/>
      <c r="AE201" s="407"/>
    </row>
    <row r="202" spans="2:31">
      <c r="B202" s="407"/>
      <c r="C202" s="407"/>
      <c r="D202" s="407"/>
      <c r="E202" s="407"/>
      <c r="F202" s="407"/>
      <c r="G202" s="407"/>
      <c r="H202" s="407"/>
      <c r="I202" s="407"/>
      <c r="J202" s="407"/>
      <c r="K202" s="407"/>
      <c r="L202" s="407"/>
      <c r="M202" s="407"/>
      <c r="N202" s="407"/>
      <c r="O202" s="407"/>
      <c r="P202" s="407"/>
      <c r="Q202" s="407"/>
      <c r="R202" s="407"/>
      <c r="S202" s="407"/>
      <c r="T202" s="407"/>
      <c r="U202" s="407"/>
      <c r="V202" s="407"/>
      <c r="W202" s="407"/>
      <c r="X202" s="407"/>
      <c r="Y202" s="407"/>
      <c r="Z202" s="407"/>
      <c r="AA202" s="407"/>
      <c r="AB202" s="407"/>
      <c r="AC202" s="407"/>
      <c r="AD202" s="407"/>
      <c r="AE202" s="407"/>
    </row>
    <row r="203" spans="2:31">
      <c r="B203" s="407"/>
      <c r="C203" s="407"/>
      <c r="D203" s="407"/>
      <c r="E203" s="407"/>
      <c r="F203" s="407"/>
      <c r="G203" s="407"/>
      <c r="H203" s="407"/>
      <c r="I203" s="407"/>
      <c r="J203" s="407"/>
      <c r="K203" s="407"/>
      <c r="L203" s="407"/>
      <c r="M203" s="407"/>
      <c r="N203" s="407"/>
      <c r="O203" s="407"/>
      <c r="P203" s="407"/>
      <c r="Q203" s="407"/>
      <c r="R203" s="407"/>
      <c r="S203" s="407"/>
      <c r="T203" s="407"/>
      <c r="U203" s="407"/>
      <c r="V203" s="407"/>
      <c r="W203" s="407"/>
      <c r="X203" s="407"/>
      <c r="Y203" s="407"/>
      <c r="Z203" s="407"/>
      <c r="AA203" s="407"/>
      <c r="AB203" s="407"/>
      <c r="AC203" s="407"/>
      <c r="AD203" s="407"/>
      <c r="AE203" s="407"/>
    </row>
    <row r="204" spans="2:31">
      <c r="B204" s="407"/>
      <c r="C204" s="407"/>
      <c r="D204" s="407"/>
      <c r="E204" s="407"/>
      <c r="F204" s="407"/>
      <c r="G204" s="407"/>
      <c r="H204" s="407"/>
      <c r="I204" s="407"/>
      <c r="J204" s="407"/>
      <c r="K204" s="407"/>
      <c r="L204" s="407"/>
      <c r="M204" s="407"/>
      <c r="N204" s="407"/>
      <c r="O204" s="407"/>
      <c r="P204" s="407"/>
      <c r="Q204" s="407"/>
      <c r="R204" s="407"/>
      <c r="S204" s="407"/>
      <c r="T204" s="407"/>
      <c r="U204" s="407"/>
      <c r="V204" s="407"/>
      <c r="W204" s="407"/>
      <c r="X204" s="407"/>
      <c r="Y204" s="407"/>
      <c r="Z204" s="407"/>
      <c r="AA204" s="407"/>
      <c r="AB204" s="407"/>
      <c r="AC204" s="407"/>
      <c r="AD204" s="407"/>
      <c r="AE204" s="407"/>
    </row>
    <row r="205" spans="2:31">
      <c r="B205" s="407"/>
      <c r="C205" s="407"/>
      <c r="D205" s="407"/>
      <c r="E205" s="407"/>
      <c r="F205" s="407"/>
      <c r="G205" s="407"/>
      <c r="H205" s="407"/>
      <c r="I205" s="407"/>
      <c r="J205" s="407"/>
      <c r="K205" s="407"/>
      <c r="L205" s="407"/>
      <c r="M205" s="407"/>
      <c r="N205" s="407"/>
      <c r="O205" s="407"/>
      <c r="P205" s="407"/>
      <c r="Q205" s="407"/>
      <c r="R205" s="407"/>
      <c r="S205" s="407"/>
      <c r="T205" s="407"/>
      <c r="U205" s="407"/>
      <c r="V205" s="407"/>
      <c r="W205" s="407"/>
      <c r="X205" s="407"/>
      <c r="Y205" s="407"/>
      <c r="Z205" s="407"/>
      <c r="AA205" s="407"/>
      <c r="AB205" s="407"/>
      <c r="AC205" s="407"/>
      <c r="AD205" s="407"/>
      <c r="AE205" s="407"/>
    </row>
    <row r="206" spans="2:31">
      <c r="B206" s="407"/>
      <c r="C206" s="407"/>
      <c r="D206" s="407"/>
      <c r="E206" s="407"/>
      <c r="F206" s="407"/>
      <c r="G206" s="407"/>
      <c r="H206" s="407"/>
      <c r="I206" s="407"/>
      <c r="J206" s="407"/>
      <c r="K206" s="407"/>
      <c r="L206" s="407"/>
      <c r="M206" s="407"/>
      <c r="N206" s="407"/>
      <c r="O206" s="407"/>
      <c r="P206" s="407"/>
      <c r="Q206" s="407"/>
      <c r="R206" s="407"/>
      <c r="S206" s="407"/>
      <c r="T206" s="407"/>
      <c r="U206" s="407"/>
      <c r="V206" s="407"/>
      <c r="W206" s="407"/>
      <c r="X206" s="407"/>
      <c r="Y206" s="407"/>
      <c r="Z206" s="407"/>
      <c r="AA206" s="407"/>
      <c r="AB206" s="407"/>
      <c r="AC206" s="407"/>
      <c r="AD206" s="407"/>
      <c r="AE206" s="407"/>
    </row>
    <row r="207" spans="2:31">
      <c r="B207" s="407"/>
      <c r="C207" s="407"/>
      <c r="D207" s="407"/>
      <c r="E207" s="407"/>
      <c r="F207" s="407"/>
      <c r="G207" s="407"/>
      <c r="H207" s="407"/>
      <c r="I207" s="407"/>
      <c r="J207" s="407"/>
      <c r="K207" s="407"/>
      <c r="L207" s="407"/>
      <c r="M207" s="407"/>
      <c r="N207" s="407"/>
      <c r="O207" s="407"/>
      <c r="P207" s="407"/>
      <c r="Q207" s="407"/>
      <c r="R207" s="407"/>
      <c r="S207" s="407"/>
      <c r="T207" s="407"/>
      <c r="U207" s="407"/>
      <c r="V207" s="407"/>
      <c r="W207" s="407"/>
      <c r="X207" s="407"/>
      <c r="Y207" s="407"/>
      <c r="Z207" s="407"/>
      <c r="AA207" s="407"/>
      <c r="AB207" s="407"/>
      <c r="AC207" s="407"/>
      <c r="AD207" s="407"/>
      <c r="AE207" s="407"/>
    </row>
    <row r="208" spans="2:31">
      <c r="B208" s="407"/>
      <c r="C208" s="407"/>
      <c r="D208" s="407"/>
      <c r="E208" s="407"/>
      <c r="F208" s="407"/>
      <c r="G208" s="407"/>
      <c r="H208" s="407"/>
      <c r="I208" s="407"/>
      <c r="J208" s="407"/>
      <c r="K208" s="407"/>
      <c r="L208" s="407"/>
      <c r="M208" s="407"/>
      <c r="N208" s="407"/>
      <c r="O208" s="407"/>
      <c r="P208" s="407"/>
      <c r="Q208" s="407"/>
      <c r="R208" s="407"/>
      <c r="S208" s="407"/>
      <c r="T208" s="407"/>
      <c r="U208" s="407"/>
      <c r="V208" s="407"/>
      <c r="W208" s="407"/>
      <c r="X208" s="407"/>
      <c r="Y208" s="407"/>
      <c r="Z208" s="407"/>
      <c r="AA208" s="407"/>
      <c r="AB208" s="407"/>
      <c r="AC208" s="407"/>
      <c r="AD208" s="407"/>
      <c r="AE208" s="407"/>
    </row>
    <row r="209" spans="2:31">
      <c r="B209" s="407"/>
      <c r="C209" s="407"/>
      <c r="D209" s="407"/>
      <c r="E209" s="407"/>
      <c r="F209" s="407"/>
      <c r="G209" s="407"/>
      <c r="H209" s="407"/>
      <c r="I209" s="407"/>
      <c r="J209" s="407"/>
      <c r="K209" s="407"/>
      <c r="L209" s="407"/>
      <c r="M209" s="407"/>
      <c r="N209" s="407"/>
      <c r="O209" s="407"/>
      <c r="P209" s="407"/>
      <c r="Q209" s="407"/>
      <c r="R209" s="407"/>
      <c r="S209" s="407"/>
      <c r="T209" s="407"/>
      <c r="U209" s="407"/>
      <c r="V209" s="407"/>
      <c r="W209" s="407"/>
      <c r="X209" s="407"/>
      <c r="Y209" s="407"/>
      <c r="Z209" s="407"/>
      <c r="AA209" s="407"/>
      <c r="AB209" s="407"/>
      <c r="AC209" s="407"/>
      <c r="AD209" s="407"/>
      <c r="AE209" s="407"/>
    </row>
    <row r="210" spans="2:31">
      <c r="B210" s="407"/>
      <c r="C210" s="407"/>
      <c r="D210" s="407"/>
      <c r="E210" s="407"/>
      <c r="F210" s="407"/>
      <c r="G210" s="407"/>
      <c r="H210" s="407"/>
      <c r="I210" s="407"/>
      <c r="J210" s="407"/>
      <c r="K210" s="407"/>
      <c r="L210" s="407"/>
      <c r="M210" s="407"/>
      <c r="N210" s="407"/>
      <c r="O210" s="407"/>
      <c r="P210" s="407"/>
      <c r="Q210" s="407"/>
      <c r="R210" s="407"/>
      <c r="S210" s="407"/>
      <c r="T210" s="407"/>
      <c r="U210" s="407"/>
      <c r="V210" s="407"/>
      <c r="W210" s="407"/>
      <c r="X210" s="407"/>
      <c r="Y210" s="407"/>
      <c r="Z210" s="407"/>
      <c r="AA210" s="407"/>
      <c r="AB210" s="407"/>
      <c r="AC210" s="407"/>
      <c r="AD210" s="407"/>
      <c r="AE210" s="407"/>
    </row>
    <row r="211" spans="2:31">
      <c r="B211" s="407"/>
      <c r="C211" s="407"/>
      <c r="D211" s="407"/>
      <c r="E211" s="407"/>
      <c r="F211" s="407"/>
      <c r="G211" s="407"/>
      <c r="H211" s="407"/>
      <c r="I211" s="407"/>
      <c r="J211" s="407"/>
      <c r="K211" s="407"/>
      <c r="L211" s="407"/>
      <c r="M211" s="407"/>
      <c r="N211" s="407"/>
      <c r="O211" s="407"/>
      <c r="P211" s="407"/>
      <c r="Q211" s="407"/>
      <c r="R211" s="407"/>
      <c r="S211" s="407"/>
      <c r="T211" s="407"/>
      <c r="U211" s="407"/>
      <c r="V211" s="407"/>
      <c r="W211" s="407"/>
      <c r="X211" s="407"/>
      <c r="Y211" s="407"/>
      <c r="Z211" s="407"/>
      <c r="AA211" s="407"/>
      <c r="AB211" s="407"/>
      <c r="AC211" s="407"/>
      <c r="AD211" s="407"/>
      <c r="AE211" s="407"/>
    </row>
    <row r="212" spans="2:31">
      <c r="B212" s="407"/>
      <c r="C212" s="407"/>
      <c r="D212" s="407"/>
      <c r="E212" s="407"/>
      <c r="F212" s="407"/>
      <c r="G212" s="407"/>
      <c r="H212" s="407"/>
      <c r="I212" s="407"/>
      <c r="J212" s="407"/>
      <c r="K212" s="407"/>
      <c r="L212" s="407"/>
      <c r="M212" s="407"/>
      <c r="N212" s="407"/>
      <c r="O212" s="407"/>
      <c r="P212" s="407"/>
      <c r="Q212" s="407"/>
      <c r="R212" s="407"/>
      <c r="S212" s="407"/>
      <c r="T212" s="407"/>
      <c r="U212" s="407"/>
      <c r="V212" s="407"/>
      <c r="W212" s="407"/>
      <c r="X212" s="407"/>
      <c r="Y212" s="407"/>
      <c r="Z212" s="407"/>
      <c r="AA212" s="407"/>
      <c r="AB212" s="407"/>
      <c r="AC212" s="407"/>
      <c r="AD212" s="407"/>
      <c r="AE212" s="407"/>
    </row>
    <row r="213" spans="2:31">
      <c r="B213" s="407"/>
      <c r="C213" s="407"/>
      <c r="D213" s="407"/>
      <c r="E213" s="407"/>
      <c r="F213" s="407"/>
      <c r="G213" s="407"/>
      <c r="H213" s="407"/>
      <c r="I213" s="407"/>
      <c r="J213" s="407"/>
      <c r="K213" s="407"/>
      <c r="L213" s="407"/>
      <c r="M213" s="407"/>
      <c r="N213" s="407"/>
      <c r="O213" s="407"/>
      <c r="P213" s="407"/>
      <c r="Q213" s="407"/>
      <c r="R213" s="407"/>
      <c r="S213" s="407"/>
      <c r="T213" s="407"/>
      <c r="U213" s="407"/>
      <c r="V213" s="407"/>
      <c r="W213" s="407"/>
      <c r="X213" s="407"/>
      <c r="Y213" s="407"/>
      <c r="Z213" s="407"/>
      <c r="AA213" s="407"/>
      <c r="AB213" s="407"/>
      <c r="AC213" s="407"/>
      <c r="AD213" s="407"/>
      <c r="AE213" s="407"/>
    </row>
    <row r="214" spans="2:31">
      <c r="B214" s="407"/>
      <c r="C214" s="407"/>
      <c r="D214" s="407"/>
      <c r="E214" s="407"/>
      <c r="F214" s="407"/>
      <c r="G214" s="407"/>
      <c r="H214" s="407"/>
      <c r="I214" s="407"/>
      <c r="J214" s="407"/>
      <c r="K214" s="407"/>
      <c r="L214" s="407"/>
      <c r="M214" s="407"/>
      <c r="N214" s="407"/>
      <c r="O214" s="407"/>
      <c r="P214" s="407"/>
      <c r="Q214" s="407"/>
      <c r="R214" s="407"/>
      <c r="S214" s="407"/>
      <c r="T214" s="407"/>
      <c r="U214" s="407"/>
      <c r="V214" s="407"/>
      <c r="W214" s="407"/>
      <c r="X214" s="407"/>
      <c r="Y214" s="407"/>
      <c r="Z214" s="407"/>
      <c r="AA214" s="407"/>
      <c r="AB214" s="407"/>
      <c r="AC214" s="407"/>
      <c r="AD214" s="407"/>
      <c r="AE214" s="407"/>
    </row>
    <row r="215" spans="2:31">
      <c r="B215" s="407"/>
      <c r="C215" s="407"/>
      <c r="D215" s="407"/>
      <c r="E215" s="407"/>
      <c r="F215" s="407"/>
      <c r="G215" s="407"/>
      <c r="H215" s="407"/>
      <c r="I215" s="407"/>
      <c r="J215" s="407"/>
      <c r="K215" s="407"/>
      <c r="L215" s="407"/>
      <c r="M215" s="407"/>
      <c r="N215" s="407"/>
      <c r="O215" s="407"/>
      <c r="P215" s="407"/>
      <c r="Q215" s="407"/>
      <c r="R215" s="407"/>
      <c r="S215" s="407"/>
      <c r="T215" s="407"/>
      <c r="U215" s="407"/>
      <c r="V215" s="407"/>
      <c r="W215" s="407"/>
      <c r="X215" s="407"/>
      <c r="Y215" s="407"/>
      <c r="Z215" s="407"/>
      <c r="AA215" s="407"/>
      <c r="AB215" s="407"/>
      <c r="AC215" s="407"/>
      <c r="AD215" s="407"/>
      <c r="AE215" s="407"/>
    </row>
    <row r="216" spans="2:31">
      <c r="B216" s="407"/>
      <c r="C216" s="407"/>
      <c r="D216" s="407"/>
      <c r="E216" s="407"/>
      <c r="F216" s="407"/>
      <c r="G216" s="407"/>
      <c r="H216" s="407"/>
      <c r="I216" s="407"/>
      <c r="J216" s="407"/>
      <c r="K216" s="407"/>
      <c r="L216" s="407"/>
      <c r="M216" s="407"/>
      <c r="N216" s="407"/>
      <c r="O216" s="407"/>
      <c r="P216" s="407"/>
      <c r="Q216" s="407"/>
      <c r="R216" s="407"/>
      <c r="S216" s="407"/>
      <c r="T216" s="407"/>
      <c r="U216" s="407"/>
      <c r="V216" s="407"/>
      <c r="W216" s="407"/>
      <c r="X216" s="407"/>
      <c r="Y216" s="407"/>
      <c r="Z216" s="407"/>
      <c r="AA216" s="407"/>
      <c r="AB216" s="407"/>
      <c r="AC216" s="407"/>
      <c r="AD216" s="407"/>
      <c r="AE216" s="407"/>
    </row>
    <row r="217" spans="2:31">
      <c r="B217" s="407"/>
      <c r="C217" s="407"/>
      <c r="D217" s="407"/>
      <c r="E217" s="407"/>
      <c r="F217" s="407"/>
      <c r="G217" s="407"/>
      <c r="H217" s="407"/>
      <c r="I217" s="407"/>
      <c r="J217" s="407"/>
      <c r="K217" s="407"/>
      <c r="L217" s="407"/>
      <c r="M217" s="407"/>
      <c r="N217" s="407"/>
      <c r="O217" s="407"/>
      <c r="P217" s="407"/>
      <c r="Q217" s="407"/>
      <c r="R217" s="407"/>
      <c r="S217" s="407"/>
      <c r="T217" s="407"/>
      <c r="U217" s="407"/>
      <c r="V217" s="407"/>
      <c r="W217" s="407"/>
      <c r="X217" s="407"/>
      <c r="Y217" s="407"/>
      <c r="Z217" s="407"/>
      <c r="AA217" s="407"/>
      <c r="AB217" s="407"/>
      <c r="AC217" s="407"/>
      <c r="AD217" s="407"/>
      <c r="AE217" s="407"/>
    </row>
    <row r="218" spans="2:31">
      <c r="B218" s="407"/>
      <c r="C218" s="407"/>
      <c r="D218" s="407"/>
      <c r="E218" s="407"/>
      <c r="F218" s="407"/>
      <c r="G218" s="407"/>
      <c r="H218" s="407"/>
      <c r="I218" s="407"/>
      <c r="J218" s="407"/>
      <c r="K218" s="407"/>
      <c r="L218" s="407"/>
      <c r="M218" s="407"/>
      <c r="N218" s="407"/>
      <c r="O218" s="407"/>
      <c r="P218" s="407"/>
      <c r="Q218" s="407"/>
      <c r="R218" s="407"/>
      <c r="S218" s="407"/>
      <c r="T218" s="407"/>
      <c r="U218" s="407"/>
      <c r="V218" s="407"/>
      <c r="W218" s="407"/>
      <c r="X218" s="407"/>
      <c r="Y218" s="407"/>
      <c r="Z218" s="407"/>
      <c r="AA218" s="407"/>
      <c r="AB218" s="407"/>
      <c r="AC218" s="407"/>
      <c r="AD218" s="407"/>
      <c r="AE218" s="407"/>
    </row>
    <row r="219" spans="2:31">
      <c r="B219" s="407"/>
      <c r="C219" s="407"/>
      <c r="D219" s="407"/>
      <c r="E219" s="407"/>
      <c r="F219" s="407"/>
      <c r="G219" s="407"/>
      <c r="H219" s="407"/>
      <c r="I219" s="407"/>
      <c r="J219" s="407"/>
      <c r="K219" s="407"/>
      <c r="L219" s="407"/>
      <c r="M219" s="407"/>
      <c r="N219" s="407"/>
      <c r="O219" s="407"/>
      <c r="P219" s="407"/>
      <c r="Q219" s="407"/>
      <c r="R219" s="407"/>
      <c r="S219" s="407"/>
      <c r="T219" s="407"/>
      <c r="U219" s="407"/>
      <c r="V219" s="407"/>
      <c r="W219" s="407"/>
      <c r="X219" s="407"/>
      <c r="Y219" s="407"/>
      <c r="Z219" s="407"/>
      <c r="AA219" s="407"/>
      <c r="AB219" s="407"/>
      <c r="AC219" s="407"/>
      <c r="AD219" s="407"/>
      <c r="AE219" s="407"/>
    </row>
    <row r="220" spans="2:31">
      <c r="B220" s="407"/>
      <c r="C220" s="407"/>
      <c r="D220" s="407"/>
      <c r="E220" s="407"/>
      <c r="F220" s="407"/>
      <c r="G220" s="407"/>
      <c r="H220" s="407"/>
      <c r="I220" s="407"/>
      <c r="J220" s="407"/>
      <c r="K220" s="407"/>
      <c r="L220" s="407"/>
      <c r="M220" s="407"/>
      <c r="N220" s="407"/>
      <c r="O220" s="407"/>
      <c r="P220" s="407"/>
      <c r="Q220" s="407"/>
      <c r="R220" s="407"/>
      <c r="S220" s="407"/>
      <c r="T220" s="407"/>
      <c r="U220" s="407"/>
      <c r="V220" s="407"/>
      <c r="W220" s="407"/>
      <c r="X220" s="407"/>
      <c r="Y220" s="407"/>
      <c r="Z220" s="407"/>
      <c r="AA220" s="407"/>
      <c r="AB220" s="407"/>
      <c r="AC220" s="407"/>
      <c r="AD220" s="407"/>
      <c r="AE220" s="407"/>
    </row>
    <row r="221" spans="2:31">
      <c r="B221" s="407"/>
      <c r="C221" s="407"/>
      <c r="D221" s="407"/>
      <c r="E221" s="407"/>
      <c r="F221" s="407"/>
      <c r="G221" s="407"/>
      <c r="H221" s="407"/>
      <c r="I221" s="407"/>
      <c r="J221" s="407"/>
      <c r="K221" s="407"/>
      <c r="L221" s="407"/>
      <c r="M221" s="407"/>
      <c r="N221" s="407"/>
      <c r="O221" s="407"/>
      <c r="P221" s="407"/>
      <c r="Q221" s="407"/>
      <c r="R221" s="407"/>
      <c r="S221" s="407"/>
      <c r="T221" s="407"/>
      <c r="U221" s="407"/>
      <c r="V221" s="407"/>
      <c r="W221" s="407"/>
      <c r="X221" s="407"/>
      <c r="Y221" s="407"/>
      <c r="Z221" s="407"/>
      <c r="AA221" s="407"/>
      <c r="AB221" s="407"/>
      <c r="AC221" s="407"/>
      <c r="AD221" s="407"/>
      <c r="AE221" s="407"/>
    </row>
    <row r="222" spans="2:31">
      <c r="B222" s="407"/>
      <c r="C222" s="407"/>
      <c r="D222" s="407"/>
      <c r="E222" s="407"/>
      <c r="F222" s="407"/>
      <c r="G222" s="407"/>
      <c r="H222" s="407"/>
      <c r="I222" s="407"/>
      <c r="J222" s="407"/>
      <c r="K222" s="407"/>
      <c r="L222" s="407"/>
      <c r="M222" s="407"/>
      <c r="N222" s="407"/>
      <c r="O222" s="407"/>
      <c r="P222" s="407"/>
      <c r="Q222" s="407"/>
      <c r="R222" s="407"/>
      <c r="S222" s="407"/>
      <c r="T222" s="407"/>
      <c r="U222" s="407"/>
      <c r="V222" s="407"/>
      <c r="W222" s="407"/>
      <c r="X222" s="407"/>
      <c r="Y222" s="407"/>
      <c r="Z222" s="407"/>
      <c r="AA222" s="407"/>
      <c r="AB222" s="407"/>
      <c r="AC222" s="407"/>
      <c r="AD222" s="407"/>
      <c r="AE222" s="407"/>
    </row>
    <row r="223" spans="2:31">
      <c r="B223" s="407"/>
      <c r="C223" s="407"/>
      <c r="D223" s="407"/>
      <c r="E223" s="407"/>
      <c r="F223" s="407"/>
      <c r="G223" s="407"/>
      <c r="H223" s="407"/>
      <c r="I223" s="407"/>
      <c r="J223" s="407"/>
      <c r="K223" s="407"/>
      <c r="L223" s="407"/>
      <c r="M223" s="407"/>
      <c r="N223" s="407"/>
      <c r="O223" s="407"/>
      <c r="P223" s="407"/>
      <c r="Q223" s="407"/>
      <c r="R223" s="407"/>
      <c r="S223" s="407"/>
      <c r="T223" s="407"/>
      <c r="U223" s="407"/>
      <c r="V223" s="407"/>
      <c r="W223" s="407"/>
      <c r="X223" s="407"/>
      <c r="Y223" s="407"/>
      <c r="Z223" s="407"/>
      <c r="AA223" s="407"/>
      <c r="AB223" s="407"/>
      <c r="AC223" s="407"/>
      <c r="AD223" s="407"/>
      <c r="AE223" s="407"/>
    </row>
    <row r="224" spans="2:31">
      <c r="B224" s="407"/>
      <c r="C224" s="407"/>
      <c r="D224" s="407"/>
      <c r="E224" s="407"/>
      <c r="F224" s="407"/>
      <c r="G224" s="407"/>
      <c r="H224" s="407"/>
      <c r="I224" s="407"/>
      <c r="J224" s="407"/>
      <c r="K224" s="407"/>
      <c r="L224" s="407"/>
      <c r="M224" s="407"/>
      <c r="N224" s="407"/>
      <c r="O224" s="407"/>
      <c r="P224" s="407"/>
      <c r="Q224" s="407"/>
      <c r="R224" s="407"/>
      <c r="S224" s="407"/>
      <c r="T224" s="407"/>
      <c r="U224" s="407"/>
      <c r="V224" s="407"/>
      <c r="W224" s="407"/>
      <c r="X224" s="407"/>
      <c r="Y224" s="407"/>
      <c r="Z224" s="407"/>
      <c r="AA224" s="407"/>
      <c r="AB224" s="407"/>
      <c r="AC224" s="407"/>
      <c r="AD224" s="407"/>
      <c r="AE224" s="407"/>
    </row>
    <row r="225" spans="2:31">
      <c r="B225" s="407"/>
      <c r="C225" s="407"/>
      <c r="D225" s="407"/>
      <c r="E225" s="407"/>
      <c r="F225" s="407"/>
      <c r="G225" s="407"/>
      <c r="H225" s="407"/>
      <c r="I225" s="407"/>
      <c r="J225" s="407"/>
      <c r="K225" s="407"/>
      <c r="L225" s="407"/>
      <c r="M225" s="407"/>
      <c r="N225" s="407"/>
      <c r="O225" s="407"/>
      <c r="P225" s="407"/>
      <c r="Q225" s="407"/>
      <c r="R225" s="407"/>
      <c r="S225" s="407"/>
      <c r="T225" s="407"/>
      <c r="U225" s="407"/>
      <c r="V225" s="407"/>
      <c r="W225" s="407"/>
      <c r="X225" s="407"/>
      <c r="Y225" s="407"/>
      <c r="Z225" s="407"/>
      <c r="AA225" s="407"/>
      <c r="AB225" s="407"/>
      <c r="AC225" s="407"/>
      <c r="AD225" s="407"/>
      <c r="AE225" s="407"/>
    </row>
    <row r="226" spans="2:31">
      <c r="B226" s="407"/>
      <c r="C226" s="407"/>
      <c r="D226" s="407"/>
      <c r="E226" s="407"/>
      <c r="F226" s="407"/>
      <c r="G226" s="407"/>
      <c r="H226" s="407"/>
      <c r="I226" s="407"/>
      <c r="J226" s="407"/>
      <c r="K226" s="407"/>
      <c r="L226" s="407"/>
      <c r="M226" s="407"/>
      <c r="N226" s="407"/>
      <c r="O226" s="407"/>
      <c r="P226" s="407"/>
      <c r="Q226" s="407"/>
      <c r="R226" s="407"/>
      <c r="S226" s="407"/>
      <c r="T226" s="407"/>
      <c r="U226" s="407"/>
      <c r="V226" s="407"/>
      <c r="W226" s="407"/>
      <c r="X226" s="407"/>
      <c r="Y226" s="407"/>
      <c r="Z226" s="407"/>
      <c r="AA226" s="407"/>
      <c r="AB226" s="407"/>
      <c r="AC226" s="407"/>
      <c r="AD226" s="407"/>
      <c r="AE226" s="407"/>
    </row>
    <row r="227" spans="2:31">
      <c r="B227" s="407"/>
      <c r="C227" s="407"/>
      <c r="D227" s="407"/>
      <c r="E227" s="407"/>
      <c r="F227" s="407"/>
      <c r="G227" s="407"/>
      <c r="H227" s="407"/>
      <c r="I227" s="407"/>
      <c r="J227" s="407"/>
      <c r="K227" s="407"/>
      <c r="L227" s="407"/>
      <c r="M227" s="407"/>
      <c r="N227" s="407"/>
      <c r="O227" s="407"/>
      <c r="P227" s="407"/>
      <c r="Q227" s="407"/>
      <c r="R227" s="407"/>
      <c r="S227" s="407"/>
      <c r="T227" s="407"/>
      <c r="U227" s="407"/>
      <c r="V227" s="407"/>
      <c r="W227" s="407"/>
      <c r="X227" s="407"/>
      <c r="Y227" s="407"/>
      <c r="Z227" s="407"/>
      <c r="AA227" s="407"/>
      <c r="AB227" s="407"/>
      <c r="AC227" s="407"/>
      <c r="AD227" s="407"/>
      <c r="AE227" s="407"/>
    </row>
    <row r="228" spans="2:31">
      <c r="B228" s="407"/>
      <c r="C228" s="407"/>
      <c r="D228" s="407"/>
      <c r="E228" s="407"/>
      <c r="F228" s="407"/>
      <c r="G228" s="407"/>
      <c r="H228" s="407"/>
      <c r="I228" s="407"/>
      <c r="J228" s="407"/>
      <c r="K228" s="407"/>
      <c r="L228" s="407"/>
      <c r="M228" s="407"/>
      <c r="N228" s="407"/>
      <c r="O228" s="407"/>
      <c r="P228" s="407"/>
      <c r="Q228" s="407"/>
      <c r="R228" s="407"/>
      <c r="S228" s="407"/>
      <c r="T228" s="407"/>
      <c r="U228" s="407"/>
      <c r="V228" s="407"/>
      <c r="W228" s="407"/>
      <c r="X228" s="407"/>
      <c r="Y228" s="407"/>
      <c r="Z228" s="407"/>
      <c r="AA228" s="407"/>
      <c r="AB228" s="407"/>
      <c r="AC228" s="407"/>
      <c r="AD228" s="407"/>
      <c r="AE228" s="407"/>
    </row>
    <row r="229" spans="2:31">
      <c r="B229" s="407"/>
      <c r="C229" s="407"/>
      <c r="D229" s="407"/>
      <c r="E229" s="407"/>
      <c r="F229" s="407"/>
      <c r="G229" s="407"/>
      <c r="H229" s="407"/>
      <c r="I229" s="407"/>
      <c r="J229" s="407"/>
      <c r="K229" s="407"/>
      <c r="L229" s="407"/>
      <c r="M229" s="407"/>
      <c r="N229" s="407"/>
      <c r="O229" s="407"/>
      <c r="P229" s="407"/>
      <c r="Q229" s="407"/>
      <c r="R229" s="407"/>
      <c r="S229" s="407"/>
      <c r="T229" s="407"/>
      <c r="U229" s="407"/>
      <c r="V229" s="407"/>
      <c r="W229" s="407"/>
      <c r="X229" s="407"/>
      <c r="Y229" s="407"/>
      <c r="Z229" s="407"/>
      <c r="AA229" s="407"/>
      <c r="AB229" s="407"/>
      <c r="AC229" s="407"/>
      <c r="AD229" s="407"/>
      <c r="AE229" s="407"/>
    </row>
    <row r="230" spans="2:31">
      <c r="B230" s="407"/>
      <c r="C230" s="407"/>
      <c r="D230" s="407"/>
      <c r="E230" s="407"/>
      <c r="F230" s="407"/>
      <c r="G230" s="407"/>
      <c r="H230" s="407"/>
      <c r="I230" s="407"/>
      <c r="J230" s="407"/>
      <c r="K230" s="407"/>
      <c r="L230" s="407"/>
      <c r="M230" s="407"/>
      <c r="N230" s="407"/>
      <c r="O230" s="407"/>
      <c r="P230" s="407"/>
      <c r="Q230" s="407"/>
      <c r="R230" s="407"/>
      <c r="S230" s="407"/>
      <c r="T230" s="407"/>
      <c r="U230" s="407"/>
      <c r="V230" s="407"/>
      <c r="W230" s="407"/>
      <c r="X230" s="407"/>
      <c r="Y230" s="407"/>
      <c r="Z230" s="407"/>
      <c r="AA230" s="407"/>
      <c r="AB230" s="407"/>
      <c r="AC230" s="407"/>
      <c r="AD230" s="407"/>
      <c r="AE230" s="407"/>
    </row>
    <row r="231" spans="2:31">
      <c r="B231" s="407"/>
      <c r="C231" s="407"/>
      <c r="D231" s="407"/>
      <c r="E231" s="407"/>
      <c r="F231" s="407"/>
      <c r="G231" s="407"/>
      <c r="H231" s="407"/>
      <c r="I231" s="407"/>
      <c r="J231" s="407"/>
      <c r="K231" s="407"/>
      <c r="L231" s="407"/>
      <c r="M231" s="407"/>
      <c r="N231" s="407"/>
      <c r="O231" s="407"/>
      <c r="P231" s="407"/>
      <c r="Q231" s="407"/>
      <c r="R231" s="407"/>
      <c r="S231" s="407"/>
      <c r="T231" s="407"/>
      <c r="U231" s="407"/>
      <c r="V231" s="407"/>
      <c r="W231" s="407"/>
      <c r="X231" s="407"/>
      <c r="Y231" s="407"/>
      <c r="Z231" s="407"/>
      <c r="AA231" s="407"/>
      <c r="AB231" s="407"/>
      <c r="AC231" s="407"/>
      <c r="AD231" s="407"/>
      <c r="AE231" s="407"/>
    </row>
    <row r="232" spans="2:31">
      <c r="B232" s="407"/>
      <c r="C232" s="407"/>
      <c r="D232" s="407"/>
      <c r="E232" s="407"/>
      <c r="F232" s="407"/>
      <c r="G232" s="407"/>
      <c r="H232" s="407"/>
      <c r="I232" s="407"/>
      <c r="J232" s="407"/>
      <c r="K232" s="407"/>
      <c r="L232" s="407"/>
      <c r="M232" s="407"/>
      <c r="N232" s="407"/>
      <c r="O232" s="407"/>
      <c r="P232" s="407"/>
      <c r="Q232" s="407"/>
      <c r="R232" s="407"/>
      <c r="S232" s="407"/>
      <c r="T232" s="407"/>
      <c r="U232" s="407"/>
      <c r="V232" s="407"/>
      <c r="W232" s="407"/>
      <c r="X232" s="407"/>
      <c r="Y232" s="407"/>
      <c r="Z232" s="407"/>
      <c r="AA232" s="407"/>
      <c r="AB232" s="407"/>
      <c r="AC232" s="407"/>
      <c r="AD232" s="407"/>
      <c r="AE232" s="407"/>
    </row>
    <row r="233" spans="2:31">
      <c r="B233" s="407"/>
      <c r="C233" s="407"/>
      <c r="D233" s="407"/>
      <c r="E233" s="407"/>
      <c r="F233" s="407"/>
      <c r="G233" s="407"/>
      <c r="H233" s="407"/>
      <c r="I233" s="407"/>
      <c r="J233" s="407"/>
      <c r="K233" s="407"/>
      <c r="L233" s="407"/>
      <c r="M233" s="407"/>
      <c r="N233" s="407"/>
      <c r="O233" s="407"/>
      <c r="P233" s="407"/>
      <c r="Q233" s="407"/>
      <c r="R233" s="407"/>
      <c r="S233" s="407"/>
      <c r="T233" s="407"/>
      <c r="U233" s="407"/>
      <c r="V233" s="407"/>
      <c r="W233" s="407"/>
      <c r="X233" s="407"/>
      <c r="Y233" s="407"/>
      <c r="Z233" s="407"/>
      <c r="AA233" s="407"/>
      <c r="AB233" s="407"/>
      <c r="AC233" s="407"/>
      <c r="AD233" s="407"/>
      <c r="AE233" s="407"/>
    </row>
    <row r="234" spans="2:31">
      <c r="B234" s="407"/>
      <c r="C234" s="407"/>
      <c r="D234" s="407"/>
      <c r="E234" s="407"/>
      <c r="F234" s="407"/>
      <c r="G234" s="407"/>
      <c r="H234" s="407"/>
      <c r="I234" s="407"/>
      <c r="J234" s="407"/>
      <c r="K234" s="407"/>
      <c r="L234" s="407"/>
      <c r="M234" s="407"/>
      <c r="N234" s="407"/>
      <c r="O234" s="407"/>
      <c r="P234" s="407"/>
      <c r="Q234" s="407"/>
      <c r="R234" s="407"/>
      <c r="S234" s="407"/>
      <c r="T234" s="407"/>
      <c r="U234" s="407"/>
      <c r="V234" s="407"/>
      <c r="W234" s="407"/>
      <c r="X234" s="407"/>
      <c r="Y234" s="407"/>
      <c r="Z234" s="407"/>
      <c r="AA234" s="407"/>
      <c r="AB234" s="407"/>
      <c r="AC234" s="407"/>
      <c r="AD234" s="407"/>
      <c r="AE234" s="407"/>
    </row>
    <row r="235" spans="2:31">
      <c r="B235" s="407"/>
      <c r="C235" s="407"/>
      <c r="D235" s="407"/>
      <c r="E235" s="407"/>
      <c r="F235" s="407"/>
      <c r="G235" s="407"/>
      <c r="H235" s="407"/>
      <c r="I235" s="407"/>
      <c r="J235" s="407"/>
      <c r="K235" s="407"/>
      <c r="L235" s="407"/>
      <c r="M235" s="407"/>
      <c r="N235" s="407"/>
      <c r="O235" s="407"/>
      <c r="P235" s="407"/>
      <c r="Q235" s="407"/>
      <c r="R235" s="407"/>
      <c r="S235" s="407"/>
      <c r="T235" s="407"/>
      <c r="U235" s="407"/>
      <c r="V235" s="407"/>
      <c r="W235" s="407"/>
      <c r="X235" s="407"/>
      <c r="Y235" s="407"/>
      <c r="Z235" s="407"/>
      <c r="AA235" s="407"/>
      <c r="AB235" s="407"/>
      <c r="AC235" s="407"/>
      <c r="AD235" s="407"/>
      <c r="AE235" s="407"/>
    </row>
    <row r="236" spans="2:31">
      <c r="B236" s="407"/>
      <c r="C236" s="407"/>
      <c r="D236" s="407"/>
      <c r="E236" s="407"/>
      <c r="F236" s="407"/>
      <c r="G236" s="407"/>
      <c r="H236" s="407"/>
      <c r="I236" s="407"/>
      <c r="J236" s="407"/>
      <c r="K236" s="407"/>
      <c r="L236" s="407"/>
      <c r="M236" s="407"/>
      <c r="N236" s="407"/>
      <c r="O236" s="407"/>
      <c r="P236" s="407"/>
      <c r="Q236" s="407"/>
      <c r="R236" s="407"/>
      <c r="S236" s="407"/>
      <c r="T236" s="407"/>
      <c r="U236" s="407"/>
      <c r="V236" s="407"/>
      <c r="W236" s="407"/>
      <c r="X236" s="407"/>
      <c r="Y236" s="407"/>
      <c r="Z236" s="407"/>
      <c r="AA236" s="407"/>
      <c r="AB236" s="407"/>
      <c r="AC236" s="407"/>
      <c r="AD236" s="407"/>
      <c r="AE236" s="407"/>
    </row>
    <row r="237" spans="2:31">
      <c r="B237" s="407"/>
      <c r="C237" s="407"/>
      <c r="D237" s="407"/>
      <c r="E237" s="407"/>
      <c r="F237" s="407"/>
      <c r="G237" s="407"/>
      <c r="H237" s="407"/>
      <c r="I237" s="407"/>
      <c r="J237" s="407"/>
      <c r="K237" s="407"/>
      <c r="L237" s="407"/>
      <c r="M237" s="407"/>
      <c r="N237" s="407"/>
      <c r="O237" s="407"/>
      <c r="P237" s="407"/>
      <c r="Q237" s="407"/>
      <c r="R237" s="407"/>
      <c r="S237" s="407"/>
      <c r="T237" s="407"/>
      <c r="U237" s="407"/>
      <c r="V237" s="407"/>
      <c r="W237" s="407"/>
      <c r="X237" s="407"/>
      <c r="Y237" s="407"/>
      <c r="Z237" s="407"/>
      <c r="AA237" s="407"/>
      <c r="AB237" s="407"/>
      <c r="AC237" s="407"/>
      <c r="AD237" s="407"/>
      <c r="AE237" s="407"/>
    </row>
    <row r="238" spans="2:31">
      <c r="B238" s="407"/>
      <c r="C238" s="407"/>
      <c r="D238" s="407"/>
      <c r="E238" s="407"/>
      <c r="F238" s="407"/>
      <c r="G238" s="407"/>
      <c r="H238" s="407"/>
      <c r="I238" s="407"/>
      <c r="J238" s="407"/>
      <c r="K238" s="407"/>
      <c r="L238" s="407"/>
      <c r="M238" s="407"/>
      <c r="N238" s="407"/>
      <c r="O238" s="407"/>
      <c r="P238" s="407"/>
      <c r="Q238" s="407"/>
      <c r="R238" s="407"/>
      <c r="S238" s="407"/>
      <c r="T238" s="407"/>
      <c r="U238" s="407"/>
      <c r="V238" s="407"/>
      <c r="W238" s="407"/>
      <c r="X238" s="407"/>
      <c r="Y238" s="407"/>
      <c r="Z238" s="407"/>
      <c r="AA238" s="407"/>
      <c r="AB238" s="407"/>
      <c r="AC238" s="407"/>
      <c r="AD238" s="407"/>
      <c r="AE238" s="407"/>
    </row>
    <row r="239" spans="2:31">
      <c r="B239" s="407"/>
      <c r="C239" s="407"/>
      <c r="D239" s="407"/>
      <c r="E239" s="407"/>
      <c r="F239" s="407"/>
      <c r="G239" s="407"/>
      <c r="H239" s="407"/>
      <c r="I239" s="407"/>
      <c r="J239" s="407"/>
      <c r="K239" s="407"/>
      <c r="L239" s="407"/>
      <c r="M239" s="407"/>
      <c r="N239" s="407"/>
      <c r="O239" s="407"/>
      <c r="P239" s="407"/>
      <c r="Q239" s="407"/>
      <c r="R239" s="407"/>
      <c r="S239" s="407"/>
      <c r="T239" s="407"/>
      <c r="U239" s="407"/>
      <c r="V239" s="407"/>
      <c r="W239" s="407"/>
      <c r="X239" s="407"/>
      <c r="Y239" s="407"/>
      <c r="Z239" s="407"/>
      <c r="AA239" s="407"/>
      <c r="AB239" s="407"/>
      <c r="AC239" s="407"/>
      <c r="AD239" s="407"/>
      <c r="AE239" s="407"/>
    </row>
    <row r="240" spans="2:31">
      <c r="B240" s="407"/>
      <c r="C240" s="407"/>
      <c r="D240" s="407"/>
      <c r="E240" s="407"/>
      <c r="F240" s="407"/>
      <c r="G240" s="407"/>
      <c r="H240" s="407"/>
      <c r="I240" s="407"/>
      <c r="J240" s="407"/>
      <c r="K240" s="407"/>
      <c r="L240" s="407"/>
      <c r="M240" s="407"/>
      <c r="N240" s="407"/>
      <c r="O240" s="407"/>
      <c r="P240" s="407"/>
      <c r="Q240" s="407"/>
      <c r="R240" s="407"/>
      <c r="S240" s="407"/>
      <c r="T240" s="407"/>
      <c r="U240" s="407"/>
      <c r="V240" s="407"/>
      <c r="W240" s="407"/>
      <c r="X240" s="407"/>
      <c r="Y240" s="407"/>
      <c r="Z240" s="407"/>
      <c r="AA240" s="407"/>
      <c r="AB240" s="407"/>
      <c r="AC240" s="407"/>
      <c r="AD240" s="407"/>
      <c r="AE240" s="407"/>
    </row>
    <row r="241" spans="2:31">
      <c r="B241" s="407"/>
      <c r="C241" s="407"/>
      <c r="D241" s="407"/>
      <c r="E241" s="407"/>
      <c r="F241" s="407"/>
      <c r="G241" s="407"/>
      <c r="H241" s="407"/>
      <c r="I241" s="407"/>
      <c r="J241" s="407"/>
      <c r="K241" s="407"/>
      <c r="L241" s="407"/>
      <c r="M241" s="407"/>
      <c r="N241" s="407"/>
      <c r="O241" s="407"/>
      <c r="P241" s="407"/>
      <c r="Q241" s="407"/>
      <c r="R241" s="407"/>
      <c r="S241" s="407"/>
      <c r="T241" s="407"/>
      <c r="U241" s="407"/>
      <c r="V241" s="407"/>
      <c r="W241" s="407"/>
      <c r="X241" s="407"/>
      <c r="Y241" s="407"/>
      <c r="Z241" s="407"/>
      <c r="AA241" s="407"/>
      <c r="AB241" s="407"/>
      <c r="AC241" s="407"/>
      <c r="AD241" s="407"/>
      <c r="AE241" s="407"/>
    </row>
    <row r="242" spans="2:31">
      <c r="B242" s="407"/>
      <c r="C242" s="407"/>
      <c r="D242" s="407"/>
      <c r="E242" s="407"/>
      <c r="F242" s="407"/>
      <c r="G242" s="407"/>
      <c r="H242" s="407"/>
      <c r="I242" s="407"/>
      <c r="J242" s="407"/>
      <c r="K242" s="407"/>
      <c r="L242" s="407"/>
      <c r="M242" s="407"/>
      <c r="N242" s="407"/>
      <c r="O242" s="407"/>
      <c r="P242" s="407"/>
      <c r="Q242" s="407"/>
      <c r="R242" s="407"/>
      <c r="S242" s="407"/>
      <c r="T242" s="407"/>
      <c r="U242" s="407"/>
      <c r="V242" s="407"/>
      <c r="W242" s="407"/>
      <c r="X242" s="407"/>
      <c r="Y242" s="407"/>
      <c r="Z242" s="407"/>
      <c r="AA242" s="407"/>
      <c r="AB242" s="407"/>
      <c r="AC242" s="407"/>
      <c r="AD242" s="407"/>
      <c r="AE242" s="407"/>
    </row>
    <row r="243" spans="2:31">
      <c r="B243" s="407"/>
      <c r="C243" s="407"/>
      <c r="D243" s="407"/>
      <c r="E243" s="407"/>
      <c r="F243" s="407"/>
      <c r="G243" s="407"/>
      <c r="H243" s="407"/>
      <c r="I243" s="407"/>
      <c r="J243" s="407"/>
      <c r="K243" s="407"/>
      <c r="L243" s="407"/>
      <c r="M243" s="407"/>
      <c r="N243" s="407"/>
      <c r="O243" s="407"/>
      <c r="P243" s="407"/>
      <c r="Q243" s="407"/>
      <c r="R243" s="407"/>
      <c r="S243" s="407"/>
      <c r="T243" s="407"/>
      <c r="U243" s="407"/>
      <c r="V243" s="407"/>
      <c r="W243" s="407"/>
      <c r="X243" s="407"/>
      <c r="Y243" s="407"/>
      <c r="Z243" s="407"/>
      <c r="AA243" s="407"/>
      <c r="AB243" s="407"/>
      <c r="AC243" s="407"/>
      <c r="AD243" s="407"/>
      <c r="AE243" s="407"/>
    </row>
    <row r="244" spans="2:31">
      <c r="B244" s="407"/>
      <c r="C244" s="407"/>
      <c r="D244" s="407"/>
      <c r="E244" s="407"/>
      <c r="F244" s="407"/>
      <c r="G244" s="407"/>
      <c r="H244" s="407"/>
      <c r="I244" s="407"/>
      <c r="J244" s="407"/>
      <c r="K244" s="407"/>
      <c r="L244" s="407"/>
      <c r="M244" s="407"/>
      <c r="N244" s="407"/>
      <c r="O244" s="407"/>
      <c r="P244" s="407"/>
      <c r="Q244" s="407"/>
      <c r="R244" s="407"/>
      <c r="S244" s="407"/>
      <c r="T244" s="407"/>
      <c r="U244" s="407"/>
      <c r="V244" s="407"/>
      <c r="W244" s="407"/>
      <c r="X244" s="407"/>
      <c r="Y244" s="407"/>
      <c r="Z244" s="407"/>
      <c r="AA244" s="407"/>
      <c r="AB244" s="407"/>
      <c r="AC244" s="407"/>
      <c r="AD244" s="407"/>
      <c r="AE244" s="407"/>
    </row>
    <row r="245" spans="2:31">
      <c r="B245" s="407"/>
      <c r="C245" s="407"/>
      <c r="D245" s="407"/>
      <c r="E245" s="407"/>
      <c r="F245" s="407"/>
      <c r="G245" s="407"/>
      <c r="H245" s="407"/>
      <c r="I245" s="407"/>
      <c r="J245" s="407"/>
      <c r="K245" s="407"/>
      <c r="L245" s="407"/>
      <c r="M245" s="407"/>
      <c r="N245" s="407"/>
      <c r="O245" s="407"/>
      <c r="P245" s="407"/>
      <c r="Q245" s="407"/>
      <c r="R245" s="407"/>
      <c r="S245" s="407"/>
      <c r="T245" s="407"/>
      <c r="U245" s="407"/>
      <c r="V245" s="407"/>
      <c r="W245" s="407"/>
      <c r="X245" s="407"/>
      <c r="Y245" s="407"/>
      <c r="Z245" s="407"/>
      <c r="AA245" s="407"/>
      <c r="AB245" s="407"/>
      <c r="AC245" s="407"/>
      <c r="AD245" s="407"/>
      <c r="AE245" s="407"/>
    </row>
    <row r="246" spans="2:31">
      <c r="B246" s="407"/>
      <c r="C246" s="407"/>
      <c r="D246" s="407"/>
      <c r="E246" s="407"/>
      <c r="F246" s="407"/>
      <c r="G246" s="407"/>
      <c r="H246" s="407"/>
      <c r="I246" s="407"/>
      <c r="J246" s="407"/>
      <c r="K246" s="407"/>
      <c r="L246" s="407"/>
      <c r="M246" s="407"/>
      <c r="N246" s="407"/>
      <c r="O246" s="407"/>
      <c r="P246" s="407"/>
      <c r="Q246" s="407"/>
      <c r="R246" s="407"/>
      <c r="S246" s="407"/>
      <c r="T246" s="407"/>
      <c r="U246" s="407"/>
      <c r="V246" s="407"/>
      <c r="W246" s="407"/>
      <c r="X246" s="407"/>
      <c r="Y246" s="407"/>
      <c r="Z246" s="407"/>
      <c r="AA246" s="407"/>
      <c r="AB246" s="407"/>
      <c r="AC246" s="407"/>
      <c r="AD246" s="407"/>
      <c r="AE246" s="407"/>
    </row>
    <row r="247" spans="2:31">
      <c r="B247" s="407"/>
      <c r="C247" s="407"/>
      <c r="D247" s="407"/>
      <c r="E247" s="407"/>
      <c r="F247" s="407"/>
      <c r="G247" s="407"/>
      <c r="H247" s="407"/>
      <c r="I247" s="407"/>
      <c r="J247" s="407"/>
      <c r="K247" s="407"/>
      <c r="L247" s="407"/>
      <c r="M247" s="407"/>
      <c r="N247" s="407"/>
      <c r="O247" s="407"/>
      <c r="P247" s="407"/>
      <c r="Q247" s="407"/>
      <c r="R247" s="407"/>
      <c r="S247" s="407"/>
      <c r="T247" s="407"/>
      <c r="U247" s="407"/>
      <c r="V247" s="407"/>
      <c r="W247" s="407"/>
      <c r="X247" s="407"/>
      <c r="Y247" s="407"/>
      <c r="Z247" s="407"/>
      <c r="AA247" s="407"/>
      <c r="AB247" s="407"/>
      <c r="AC247" s="407"/>
      <c r="AD247" s="407"/>
      <c r="AE247" s="407"/>
    </row>
    <row r="248" spans="2:31">
      <c r="B248" s="407"/>
      <c r="C248" s="407"/>
      <c r="D248" s="407"/>
      <c r="E248" s="407"/>
      <c r="F248" s="407"/>
      <c r="G248" s="407"/>
      <c r="H248" s="407"/>
      <c r="I248" s="407"/>
      <c r="J248" s="407"/>
      <c r="K248" s="407"/>
      <c r="L248" s="407"/>
      <c r="M248" s="407"/>
      <c r="N248" s="407"/>
      <c r="O248" s="407"/>
      <c r="P248" s="407"/>
      <c r="Q248" s="407"/>
      <c r="R248" s="407"/>
      <c r="S248" s="407"/>
      <c r="T248" s="407"/>
      <c r="U248" s="407"/>
      <c r="V248" s="407"/>
      <c r="W248" s="407"/>
      <c r="X248" s="407"/>
      <c r="Y248" s="407"/>
      <c r="Z248" s="407"/>
      <c r="AA248" s="407"/>
      <c r="AB248" s="407"/>
      <c r="AC248" s="407"/>
      <c r="AD248" s="407"/>
      <c r="AE248" s="407"/>
    </row>
    <row r="249" spans="2:31">
      <c r="B249" s="407"/>
      <c r="C249" s="407"/>
      <c r="D249" s="407"/>
      <c r="E249" s="407"/>
      <c r="F249" s="407"/>
      <c r="G249" s="407"/>
      <c r="H249" s="407"/>
      <c r="I249" s="407"/>
      <c r="J249" s="407"/>
      <c r="K249" s="407"/>
      <c r="L249" s="407"/>
      <c r="M249" s="407"/>
      <c r="N249" s="407"/>
      <c r="O249" s="407"/>
      <c r="P249" s="407"/>
      <c r="Q249" s="407"/>
      <c r="R249" s="407"/>
      <c r="S249" s="407"/>
      <c r="T249" s="407"/>
      <c r="U249" s="407"/>
      <c r="V249" s="407"/>
      <c r="W249" s="407"/>
      <c r="X249" s="407"/>
      <c r="Y249" s="407"/>
      <c r="Z249" s="407"/>
      <c r="AA249" s="407"/>
      <c r="AB249" s="407"/>
      <c r="AC249" s="407"/>
      <c r="AD249" s="407"/>
      <c r="AE249" s="407"/>
    </row>
    <row r="250" spans="2:31">
      <c r="B250" s="407"/>
      <c r="C250" s="407"/>
      <c r="D250" s="407"/>
      <c r="E250" s="407"/>
      <c r="F250" s="407"/>
      <c r="G250" s="407"/>
      <c r="H250" s="407"/>
      <c r="I250" s="407"/>
      <c r="J250" s="407"/>
      <c r="K250" s="407"/>
      <c r="L250" s="407"/>
      <c r="M250" s="407"/>
      <c r="N250" s="407"/>
      <c r="O250" s="407"/>
      <c r="P250" s="407"/>
      <c r="Q250" s="407"/>
      <c r="R250" s="407"/>
      <c r="S250" s="407"/>
      <c r="T250" s="407"/>
      <c r="U250" s="407"/>
      <c r="V250" s="407"/>
      <c r="W250" s="407"/>
      <c r="X250" s="407"/>
      <c r="Y250" s="407"/>
      <c r="Z250" s="407"/>
      <c r="AA250" s="407"/>
      <c r="AB250" s="407"/>
      <c r="AC250" s="407"/>
      <c r="AD250" s="407"/>
      <c r="AE250" s="407"/>
    </row>
    <row r="251" spans="2:31">
      <c r="B251" s="407"/>
      <c r="C251" s="407"/>
      <c r="D251" s="407"/>
      <c r="E251" s="407"/>
      <c r="F251" s="407"/>
      <c r="G251" s="407"/>
      <c r="H251" s="407"/>
      <c r="I251" s="407"/>
      <c r="J251" s="407"/>
      <c r="K251" s="407"/>
      <c r="L251" s="407"/>
      <c r="M251" s="407"/>
      <c r="N251" s="407"/>
      <c r="O251" s="407"/>
      <c r="P251" s="407"/>
      <c r="Q251" s="407"/>
      <c r="R251" s="407"/>
      <c r="S251" s="407"/>
      <c r="T251" s="407"/>
      <c r="U251" s="407"/>
      <c r="V251" s="407"/>
      <c r="W251" s="407"/>
      <c r="X251" s="407"/>
      <c r="Y251" s="407"/>
      <c r="Z251" s="407"/>
      <c r="AA251" s="407"/>
      <c r="AB251" s="407"/>
      <c r="AC251" s="407"/>
      <c r="AD251" s="407"/>
      <c r="AE251" s="407"/>
    </row>
    <row r="252" spans="2:31">
      <c r="B252" s="407"/>
      <c r="C252" s="407"/>
      <c r="D252" s="407"/>
      <c r="E252" s="407"/>
      <c r="F252" s="407"/>
      <c r="G252" s="407"/>
      <c r="H252" s="407"/>
      <c r="I252" s="407"/>
      <c r="J252" s="407"/>
      <c r="K252" s="407"/>
      <c r="L252" s="407"/>
      <c r="M252" s="407"/>
      <c r="N252" s="407"/>
      <c r="O252" s="407"/>
      <c r="P252" s="407"/>
      <c r="Q252" s="407"/>
      <c r="R252" s="407"/>
      <c r="S252" s="407"/>
      <c r="T252" s="407"/>
      <c r="U252" s="407"/>
      <c r="V252" s="407"/>
      <c r="W252" s="407"/>
      <c r="X252" s="407"/>
      <c r="Y252" s="407"/>
      <c r="Z252" s="407"/>
      <c r="AA252" s="407"/>
      <c r="AB252" s="407"/>
      <c r="AC252" s="407"/>
      <c r="AD252" s="407"/>
      <c r="AE252" s="407"/>
    </row>
    <row r="253" spans="2:31">
      <c r="B253" s="407"/>
      <c r="C253" s="407"/>
      <c r="D253" s="407"/>
      <c r="E253" s="407"/>
      <c r="F253" s="407"/>
      <c r="G253" s="407"/>
      <c r="H253" s="407"/>
      <c r="I253" s="407"/>
      <c r="J253" s="407"/>
      <c r="K253" s="407"/>
      <c r="L253" s="407"/>
      <c r="M253" s="407"/>
      <c r="N253" s="407"/>
      <c r="O253" s="407"/>
      <c r="P253" s="407"/>
      <c r="Q253" s="407"/>
      <c r="R253" s="407"/>
      <c r="S253" s="407"/>
      <c r="T253" s="407"/>
      <c r="U253" s="407"/>
      <c r="V253" s="407"/>
      <c r="W253" s="407"/>
      <c r="X253" s="407"/>
      <c r="Y253" s="407"/>
      <c r="Z253" s="407"/>
      <c r="AA253" s="407"/>
      <c r="AB253" s="407"/>
      <c r="AC253" s="407"/>
      <c r="AD253" s="407"/>
      <c r="AE253" s="407"/>
    </row>
    <row r="254" spans="2:31">
      <c r="B254" s="407"/>
      <c r="C254" s="407"/>
      <c r="D254" s="407"/>
      <c r="E254" s="407"/>
      <c r="F254" s="407"/>
      <c r="G254" s="407"/>
      <c r="H254" s="407"/>
      <c r="I254" s="407"/>
      <c r="J254" s="407"/>
      <c r="K254" s="407"/>
      <c r="L254" s="407"/>
      <c r="M254" s="407"/>
      <c r="N254" s="407"/>
      <c r="O254" s="407"/>
      <c r="P254" s="407"/>
      <c r="Q254" s="407"/>
      <c r="R254" s="407"/>
      <c r="S254" s="407"/>
      <c r="T254" s="407"/>
      <c r="U254" s="407"/>
      <c r="V254" s="407"/>
      <c r="W254" s="407"/>
      <c r="X254" s="407"/>
      <c r="Y254" s="407"/>
      <c r="Z254" s="407"/>
      <c r="AA254" s="407"/>
      <c r="AB254" s="407"/>
      <c r="AC254" s="407"/>
      <c r="AD254" s="407"/>
      <c r="AE254" s="407"/>
    </row>
    <row r="255" spans="2:31">
      <c r="B255" s="407"/>
      <c r="C255" s="407"/>
      <c r="D255" s="407"/>
      <c r="E255" s="407"/>
      <c r="F255" s="407"/>
      <c r="G255" s="407"/>
      <c r="H255" s="407"/>
      <c r="I255" s="407"/>
      <c r="J255" s="407"/>
      <c r="K255" s="407"/>
      <c r="L255" s="407"/>
      <c r="M255" s="407"/>
      <c r="N255" s="407"/>
      <c r="O255" s="407"/>
      <c r="P255" s="407"/>
      <c r="Q255" s="407"/>
      <c r="R255" s="407"/>
      <c r="S255" s="407"/>
      <c r="T255" s="407"/>
      <c r="U255" s="407"/>
      <c r="V255" s="407"/>
      <c r="W255" s="407"/>
      <c r="X255" s="407"/>
      <c r="Y255" s="407"/>
      <c r="Z255" s="407"/>
      <c r="AA255" s="407"/>
      <c r="AB255" s="407"/>
      <c r="AC255" s="407"/>
      <c r="AD255" s="407"/>
      <c r="AE255" s="407"/>
    </row>
    <row r="256" spans="2:31">
      <c r="B256" s="407"/>
      <c r="C256" s="407"/>
      <c r="D256" s="407"/>
      <c r="E256" s="407"/>
      <c r="F256" s="407"/>
      <c r="G256" s="407"/>
      <c r="H256" s="407"/>
      <c r="I256" s="407"/>
      <c r="J256" s="407"/>
      <c r="K256" s="407"/>
      <c r="L256" s="407"/>
      <c r="M256" s="407"/>
      <c r="N256" s="407"/>
      <c r="O256" s="407"/>
      <c r="P256" s="407"/>
      <c r="Q256" s="407"/>
      <c r="R256" s="407"/>
      <c r="S256" s="407"/>
      <c r="T256" s="407"/>
      <c r="U256" s="407"/>
      <c r="V256" s="407"/>
      <c r="W256" s="407"/>
      <c r="X256" s="407"/>
      <c r="Y256" s="407"/>
      <c r="Z256" s="407"/>
      <c r="AA256" s="407"/>
      <c r="AB256" s="407"/>
      <c r="AC256" s="407"/>
      <c r="AD256" s="407"/>
      <c r="AE256" s="407"/>
    </row>
    <row r="257" spans="2:31">
      <c r="B257" s="407"/>
      <c r="C257" s="407"/>
      <c r="D257" s="407"/>
      <c r="E257" s="407"/>
      <c r="F257" s="407"/>
      <c r="G257" s="407"/>
      <c r="H257" s="407"/>
      <c r="I257" s="407"/>
      <c r="J257" s="407"/>
      <c r="K257" s="407"/>
      <c r="L257" s="407"/>
      <c r="M257" s="407"/>
      <c r="N257" s="407"/>
      <c r="O257" s="407"/>
      <c r="P257" s="407"/>
      <c r="Q257" s="407"/>
      <c r="R257" s="407"/>
      <c r="S257" s="407"/>
      <c r="T257" s="407"/>
      <c r="U257" s="407"/>
      <c r="V257" s="407"/>
      <c r="W257" s="407"/>
      <c r="X257" s="407"/>
      <c r="Y257" s="407"/>
      <c r="Z257" s="407"/>
      <c r="AA257" s="407"/>
      <c r="AB257" s="407"/>
      <c r="AC257" s="407"/>
      <c r="AD257" s="407"/>
      <c r="AE257" s="407"/>
    </row>
    <row r="258" spans="2:31">
      <c r="B258" s="407"/>
      <c r="C258" s="407"/>
      <c r="D258" s="407"/>
      <c r="E258" s="407"/>
      <c r="F258" s="407"/>
      <c r="G258" s="407"/>
      <c r="H258" s="407"/>
      <c r="I258" s="407"/>
      <c r="J258" s="407"/>
      <c r="K258" s="407"/>
      <c r="L258" s="407"/>
      <c r="M258" s="407"/>
      <c r="N258" s="407"/>
      <c r="O258" s="407"/>
      <c r="P258" s="407"/>
      <c r="Q258" s="407"/>
      <c r="R258" s="407"/>
      <c r="S258" s="407"/>
      <c r="T258" s="407"/>
      <c r="U258" s="407"/>
      <c r="V258" s="407"/>
      <c r="W258" s="407"/>
      <c r="X258" s="407"/>
      <c r="Y258" s="407"/>
      <c r="Z258" s="407"/>
      <c r="AA258" s="407"/>
      <c r="AB258" s="407"/>
      <c r="AC258" s="407"/>
      <c r="AD258" s="407"/>
      <c r="AE258" s="407"/>
    </row>
    <row r="259" spans="2:31">
      <c r="B259" s="407"/>
      <c r="C259" s="407"/>
      <c r="D259" s="407"/>
      <c r="E259" s="407"/>
      <c r="F259" s="407"/>
      <c r="G259" s="407"/>
      <c r="H259" s="407"/>
      <c r="I259" s="407"/>
      <c r="J259" s="407"/>
      <c r="K259" s="407"/>
      <c r="L259" s="407"/>
      <c r="M259" s="407"/>
      <c r="N259" s="407"/>
      <c r="O259" s="407"/>
      <c r="P259" s="407"/>
      <c r="Q259" s="407"/>
      <c r="R259" s="407"/>
      <c r="S259" s="407"/>
      <c r="T259" s="407"/>
      <c r="U259" s="407"/>
      <c r="V259" s="407"/>
      <c r="W259" s="407"/>
      <c r="X259" s="407"/>
      <c r="Y259" s="407"/>
      <c r="Z259" s="407"/>
      <c r="AA259" s="407"/>
      <c r="AB259" s="407"/>
      <c r="AC259" s="407"/>
      <c r="AD259" s="407"/>
      <c r="AE259" s="407"/>
    </row>
    <row r="260" spans="2:31">
      <c r="B260" s="407"/>
      <c r="C260" s="407"/>
      <c r="D260" s="407"/>
      <c r="E260" s="407"/>
      <c r="F260" s="407"/>
      <c r="G260" s="407"/>
      <c r="H260" s="407"/>
      <c r="I260" s="407"/>
      <c r="J260" s="407"/>
      <c r="K260" s="407"/>
      <c r="L260" s="407"/>
      <c r="M260" s="407"/>
      <c r="N260" s="407"/>
      <c r="O260" s="407"/>
      <c r="P260" s="407"/>
      <c r="Q260" s="407"/>
      <c r="R260" s="407"/>
      <c r="S260" s="407"/>
      <c r="T260" s="407"/>
      <c r="U260" s="407"/>
      <c r="V260" s="407"/>
      <c r="W260" s="407"/>
      <c r="X260" s="407"/>
      <c r="Y260" s="407"/>
      <c r="Z260" s="407"/>
      <c r="AA260" s="407"/>
      <c r="AB260" s="407"/>
      <c r="AC260" s="407"/>
      <c r="AD260" s="407"/>
      <c r="AE260" s="407"/>
    </row>
    <row r="261" spans="2:31">
      <c r="B261" s="407"/>
      <c r="C261" s="407"/>
      <c r="D261" s="407"/>
      <c r="E261" s="407"/>
      <c r="F261" s="407"/>
      <c r="G261" s="407"/>
      <c r="H261" s="407"/>
      <c r="I261" s="407"/>
      <c r="J261" s="407"/>
      <c r="K261" s="407"/>
      <c r="L261" s="407"/>
      <c r="M261" s="407"/>
      <c r="N261" s="407"/>
      <c r="O261" s="407"/>
      <c r="P261" s="407"/>
      <c r="Q261" s="407"/>
      <c r="R261" s="407"/>
      <c r="S261" s="407"/>
      <c r="T261" s="407"/>
      <c r="U261" s="407"/>
      <c r="V261" s="407"/>
      <c r="W261" s="407"/>
      <c r="X261" s="407"/>
      <c r="Y261" s="407"/>
      <c r="Z261" s="407"/>
      <c r="AA261" s="407"/>
      <c r="AB261" s="407"/>
      <c r="AC261" s="407"/>
      <c r="AD261" s="407"/>
      <c r="AE261" s="407"/>
    </row>
    <row r="262" spans="2:31">
      <c r="B262" s="407"/>
      <c r="C262" s="407"/>
      <c r="D262" s="407"/>
      <c r="E262" s="407"/>
      <c r="F262" s="407"/>
      <c r="G262" s="407"/>
      <c r="H262" s="407"/>
      <c r="I262" s="407"/>
      <c r="J262" s="407"/>
      <c r="K262" s="407"/>
      <c r="L262" s="407"/>
      <c r="M262" s="407"/>
      <c r="N262" s="407"/>
      <c r="O262" s="407"/>
      <c r="P262" s="407"/>
      <c r="Q262" s="407"/>
      <c r="R262" s="407"/>
      <c r="S262" s="407"/>
      <c r="T262" s="407"/>
      <c r="U262" s="407"/>
      <c r="V262" s="407"/>
      <c r="W262" s="407"/>
      <c r="X262" s="407"/>
      <c r="Y262" s="407"/>
      <c r="Z262" s="407"/>
      <c r="AA262" s="407"/>
      <c r="AB262" s="407"/>
      <c r="AC262" s="407"/>
      <c r="AD262" s="407"/>
      <c r="AE262" s="407"/>
    </row>
    <row r="263" spans="2:31">
      <c r="B263" s="407"/>
      <c r="C263" s="407"/>
      <c r="D263" s="407"/>
      <c r="E263" s="407"/>
      <c r="F263" s="407"/>
      <c r="G263" s="407"/>
      <c r="H263" s="407"/>
      <c r="I263" s="407"/>
      <c r="J263" s="407"/>
      <c r="K263" s="407"/>
      <c r="L263" s="407"/>
      <c r="M263" s="407"/>
      <c r="N263" s="407"/>
      <c r="O263" s="407"/>
      <c r="P263" s="407"/>
      <c r="Q263" s="407"/>
      <c r="R263" s="407"/>
      <c r="S263" s="407"/>
      <c r="T263" s="407"/>
      <c r="U263" s="407"/>
      <c r="V263" s="407"/>
      <c r="W263" s="407"/>
      <c r="X263" s="407"/>
      <c r="Y263" s="407"/>
      <c r="Z263" s="407"/>
      <c r="AA263" s="407"/>
      <c r="AB263" s="407"/>
      <c r="AC263" s="407"/>
      <c r="AD263" s="407"/>
      <c r="AE263" s="407"/>
    </row>
    <row r="264" spans="2:31">
      <c r="B264" s="407"/>
      <c r="C264" s="407"/>
      <c r="D264" s="407"/>
      <c r="E264" s="407"/>
      <c r="F264" s="407"/>
      <c r="G264" s="407"/>
      <c r="H264" s="407"/>
      <c r="I264" s="407"/>
      <c r="J264" s="407"/>
      <c r="K264" s="407"/>
      <c r="L264" s="407"/>
      <c r="M264" s="407"/>
      <c r="N264" s="407"/>
      <c r="O264" s="407"/>
      <c r="P264" s="407"/>
      <c r="Q264" s="407"/>
      <c r="R264" s="407"/>
      <c r="S264" s="407"/>
      <c r="T264" s="407"/>
      <c r="U264" s="407"/>
      <c r="V264" s="407"/>
      <c r="W264" s="407"/>
      <c r="X264" s="407"/>
      <c r="Y264" s="407"/>
      <c r="Z264" s="407"/>
      <c r="AA264" s="407"/>
      <c r="AB264" s="407"/>
      <c r="AC264" s="407"/>
      <c r="AD264" s="407"/>
      <c r="AE264" s="407"/>
    </row>
    <row r="265" spans="2:31">
      <c r="B265" s="407"/>
      <c r="C265" s="407"/>
      <c r="D265" s="407"/>
      <c r="E265" s="407"/>
      <c r="F265" s="407"/>
      <c r="G265" s="407"/>
      <c r="H265" s="407"/>
      <c r="I265" s="407"/>
      <c r="J265" s="407"/>
      <c r="K265" s="407"/>
      <c r="L265" s="407"/>
      <c r="M265" s="407"/>
      <c r="N265" s="407"/>
      <c r="O265" s="407"/>
      <c r="P265" s="407"/>
      <c r="Q265" s="407"/>
      <c r="R265" s="407"/>
      <c r="S265" s="407"/>
      <c r="T265" s="407"/>
      <c r="U265" s="407"/>
      <c r="V265" s="407"/>
      <c r="W265" s="407"/>
      <c r="X265" s="407"/>
      <c r="Y265" s="407"/>
      <c r="Z265" s="407"/>
      <c r="AA265" s="407"/>
      <c r="AB265" s="407"/>
      <c r="AC265" s="407"/>
      <c r="AD265" s="407"/>
      <c r="AE265" s="407"/>
    </row>
    <row r="266" spans="2:31">
      <c r="B266" s="407"/>
      <c r="C266" s="407"/>
      <c r="D266" s="407"/>
      <c r="E266" s="407"/>
      <c r="F266" s="407"/>
      <c r="G266" s="407"/>
      <c r="H266" s="407"/>
      <c r="I266" s="407"/>
      <c r="J266" s="407"/>
      <c r="K266" s="407"/>
      <c r="L266" s="407"/>
      <c r="M266" s="407"/>
      <c r="N266" s="407"/>
      <c r="O266" s="407"/>
      <c r="P266" s="407"/>
      <c r="Q266" s="407"/>
      <c r="R266" s="407"/>
      <c r="S266" s="407"/>
      <c r="T266" s="407"/>
      <c r="U266" s="407"/>
      <c r="V266" s="407"/>
      <c r="W266" s="407"/>
      <c r="X266" s="407"/>
      <c r="Y266" s="407"/>
      <c r="Z266" s="407"/>
      <c r="AA266" s="407"/>
      <c r="AB266" s="407"/>
      <c r="AC266" s="407"/>
      <c r="AD266" s="407"/>
      <c r="AE266" s="407"/>
    </row>
    <row r="267" spans="2:31">
      <c r="B267" s="407"/>
      <c r="C267" s="407"/>
      <c r="D267" s="407"/>
      <c r="E267" s="407"/>
      <c r="F267" s="407"/>
      <c r="G267" s="407"/>
      <c r="H267" s="407"/>
      <c r="I267" s="407"/>
      <c r="J267" s="407"/>
      <c r="K267" s="407"/>
      <c r="L267" s="407"/>
      <c r="M267" s="407"/>
      <c r="N267" s="407"/>
      <c r="O267" s="407"/>
      <c r="P267" s="407"/>
      <c r="Q267" s="407"/>
      <c r="R267" s="407"/>
      <c r="S267" s="407"/>
      <c r="T267" s="407"/>
      <c r="U267" s="407"/>
      <c r="V267" s="407"/>
      <c r="W267" s="407"/>
      <c r="X267" s="407"/>
      <c r="Y267" s="407"/>
      <c r="Z267" s="407"/>
      <c r="AA267" s="407"/>
      <c r="AB267" s="407"/>
      <c r="AC267" s="407"/>
      <c r="AD267" s="407"/>
      <c r="AE267" s="407"/>
    </row>
    <row r="268" spans="2:31">
      <c r="B268" s="407"/>
      <c r="C268" s="407"/>
      <c r="D268" s="407"/>
      <c r="E268" s="407"/>
      <c r="F268" s="407"/>
      <c r="G268" s="407"/>
      <c r="H268" s="407"/>
      <c r="I268" s="407"/>
      <c r="J268" s="407"/>
      <c r="K268" s="407"/>
      <c r="L268" s="407"/>
      <c r="M268" s="407"/>
      <c r="N268" s="407"/>
      <c r="O268" s="407"/>
      <c r="P268" s="407"/>
      <c r="Q268" s="407"/>
      <c r="R268" s="407"/>
      <c r="S268" s="407"/>
      <c r="T268" s="407"/>
      <c r="U268" s="407"/>
      <c r="V268" s="407"/>
      <c r="W268" s="407"/>
      <c r="X268" s="407"/>
      <c r="Y268" s="407"/>
      <c r="Z268" s="407"/>
      <c r="AA268" s="407"/>
      <c r="AB268" s="407"/>
      <c r="AC268" s="407"/>
      <c r="AD268" s="407"/>
      <c r="AE268" s="407"/>
    </row>
    <row r="269" spans="2:31">
      <c r="B269" s="407"/>
      <c r="C269" s="407"/>
      <c r="D269" s="407"/>
      <c r="E269" s="407"/>
      <c r="F269" s="407"/>
      <c r="G269" s="407"/>
      <c r="H269" s="407"/>
      <c r="I269" s="407"/>
      <c r="J269" s="407"/>
      <c r="K269" s="407"/>
      <c r="L269" s="407"/>
      <c r="M269" s="407"/>
      <c r="N269" s="407"/>
      <c r="O269" s="407"/>
      <c r="P269" s="407"/>
      <c r="Q269" s="407"/>
      <c r="R269" s="407"/>
      <c r="S269" s="407"/>
      <c r="T269" s="407"/>
      <c r="U269" s="407"/>
      <c r="V269" s="407"/>
      <c r="W269" s="407"/>
      <c r="X269" s="407"/>
      <c r="Y269" s="407"/>
      <c r="Z269" s="407"/>
      <c r="AA269" s="407"/>
      <c r="AB269" s="407"/>
      <c r="AC269" s="407"/>
      <c r="AD269" s="407"/>
      <c r="AE269" s="407"/>
    </row>
    <row r="270" spans="2:31">
      <c r="B270" s="407"/>
      <c r="C270" s="407"/>
      <c r="D270" s="407"/>
      <c r="E270" s="407"/>
      <c r="F270" s="407"/>
      <c r="G270" s="407"/>
      <c r="H270" s="407"/>
      <c r="I270" s="407"/>
      <c r="J270" s="407"/>
      <c r="K270" s="407"/>
      <c r="L270" s="407"/>
      <c r="M270" s="407"/>
      <c r="N270" s="407"/>
      <c r="O270" s="407"/>
      <c r="P270" s="407"/>
      <c r="Q270" s="407"/>
      <c r="R270" s="407"/>
      <c r="S270" s="407"/>
      <c r="T270" s="407"/>
      <c r="U270" s="407"/>
      <c r="V270" s="407"/>
      <c r="W270" s="407"/>
      <c r="X270" s="407"/>
      <c r="Y270" s="407"/>
      <c r="Z270" s="407"/>
      <c r="AA270" s="407"/>
      <c r="AB270" s="407"/>
      <c r="AC270" s="407"/>
      <c r="AD270" s="407"/>
      <c r="AE270" s="407"/>
    </row>
    <row r="271" spans="2:31">
      <c r="B271" s="407"/>
      <c r="C271" s="407"/>
      <c r="D271" s="407"/>
      <c r="E271" s="407"/>
      <c r="F271" s="407"/>
      <c r="G271" s="407"/>
      <c r="H271" s="407"/>
      <c r="I271" s="407"/>
      <c r="J271" s="407"/>
      <c r="K271" s="407"/>
      <c r="L271" s="407"/>
      <c r="M271" s="407"/>
      <c r="N271" s="407"/>
      <c r="O271" s="407"/>
      <c r="P271" s="407"/>
      <c r="Q271" s="407"/>
      <c r="R271" s="407"/>
      <c r="S271" s="407"/>
      <c r="T271" s="407"/>
      <c r="U271" s="407"/>
      <c r="V271" s="407"/>
      <c r="W271" s="407"/>
      <c r="X271" s="407"/>
      <c r="Y271" s="407"/>
      <c r="Z271" s="407"/>
      <c r="AA271" s="407"/>
      <c r="AB271" s="407"/>
      <c r="AC271" s="407"/>
      <c r="AD271" s="407"/>
      <c r="AE271" s="407"/>
    </row>
    <row r="272" spans="2:31">
      <c r="B272" s="407"/>
      <c r="C272" s="407"/>
      <c r="D272" s="407"/>
      <c r="E272" s="407"/>
      <c r="F272" s="407"/>
      <c r="G272" s="407"/>
      <c r="H272" s="407"/>
      <c r="I272" s="407"/>
      <c r="J272" s="407"/>
      <c r="K272" s="407"/>
      <c r="L272" s="407"/>
      <c r="M272" s="407"/>
      <c r="N272" s="407"/>
      <c r="O272" s="407"/>
      <c r="P272" s="407"/>
      <c r="Q272" s="407"/>
      <c r="R272" s="407"/>
      <c r="S272" s="407"/>
      <c r="T272" s="407"/>
      <c r="U272" s="407"/>
      <c r="V272" s="407"/>
      <c r="W272" s="407"/>
      <c r="X272" s="407"/>
      <c r="Y272" s="407"/>
      <c r="Z272" s="407"/>
      <c r="AA272" s="407"/>
      <c r="AB272" s="407"/>
      <c r="AC272" s="407"/>
      <c r="AD272" s="407"/>
      <c r="AE272" s="407"/>
    </row>
    <row r="273" spans="2:31">
      <c r="B273" s="407"/>
      <c r="C273" s="407"/>
      <c r="D273" s="407"/>
      <c r="E273" s="407"/>
      <c r="F273" s="407"/>
      <c r="G273" s="407"/>
      <c r="H273" s="407"/>
      <c r="I273" s="407"/>
      <c r="J273" s="407"/>
      <c r="K273" s="407"/>
      <c r="L273" s="407"/>
      <c r="M273" s="407"/>
      <c r="N273" s="407"/>
      <c r="O273" s="407"/>
      <c r="P273" s="407"/>
      <c r="Q273" s="407"/>
      <c r="R273" s="407"/>
      <c r="S273" s="407"/>
      <c r="T273" s="407"/>
      <c r="U273" s="407"/>
      <c r="V273" s="407"/>
      <c r="W273" s="407"/>
      <c r="X273" s="407"/>
      <c r="Y273" s="407"/>
      <c r="Z273" s="407"/>
      <c r="AA273" s="407"/>
      <c r="AB273" s="407"/>
      <c r="AC273" s="407"/>
      <c r="AD273" s="407"/>
      <c r="AE273" s="407"/>
    </row>
    <row r="274" spans="2:31">
      <c r="B274" s="407"/>
      <c r="C274" s="407"/>
      <c r="D274" s="407"/>
      <c r="E274" s="407"/>
      <c r="F274" s="407"/>
      <c r="G274" s="407"/>
      <c r="H274" s="407"/>
      <c r="I274" s="407"/>
      <c r="J274" s="407"/>
      <c r="K274" s="407"/>
      <c r="L274" s="407"/>
      <c r="M274" s="407"/>
      <c r="N274" s="407"/>
      <c r="O274" s="407"/>
      <c r="P274" s="407"/>
      <c r="Q274" s="407"/>
      <c r="R274" s="407"/>
      <c r="S274" s="407"/>
      <c r="T274" s="407"/>
      <c r="U274" s="407"/>
      <c r="V274" s="407"/>
      <c r="W274" s="407"/>
      <c r="X274" s="407"/>
      <c r="Y274" s="407"/>
      <c r="Z274" s="407"/>
      <c r="AA274" s="407"/>
      <c r="AB274" s="407"/>
      <c r="AC274" s="407"/>
      <c r="AD274" s="407"/>
      <c r="AE274" s="407"/>
    </row>
    <row r="275" spans="2:31">
      <c r="B275" s="407"/>
      <c r="C275" s="407"/>
      <c r="D275" s="407"/>
      <c r="E275" s="407"/>
      <c r="F275" s="407"/>
      <c r="G275" s="407"/>
      <c r="H275" s="407"/>
      <c r="I275" s="407"/>
      <c r="J275" s="407"/>
      <c r="K275" s="407"/>
      <c r="L275" s="407"/>
      <c r="M275" s="407"/>
      <c r="N275" s="407"/>
      <c r="O275" s="407"/>
      <c r="P275" s="407"/>
      <c r="Q275" s="407"/>
      <c r="R275" s="407"/>
      <c r="S275" s="407"/>
      <c r="T275" s="407"/>
      <c r="U275" s="407"/>
      <c r="V275" s="407"/>
      <c r="W275" s="407"/>
      <c r="X275" s="407"/>
      <c r="Y275" s="407"/>
      <c r="Z275" s="407"/>
      <c r="AA275" s="407"/>
      <c r="AB275" s="407"/>
      <c r="AC275" s="407"/>
      <c r="AD275" s="407"/>
      <c r="AE275" s="407"/>
    </row>
    <row r="276" spans="2:31">
      <c r="B276" s="407"/>
      <c r="C276" s="407"/>
      <c r="D276" s="407"/>
      <c r="E276" s="407"/>
      <c r="F276" s="407"/>
      <c r="G276" s="407"/>
      <c r="H276" s="407"/>
      <c r="I276" s="407"/>
      <c r="J276" s="407"/>
      <c r="K276" s="407"/>
      <c r="L276" s="407"/>
      <c r="M276" s="407"/>
      <c r="N276" s="407"/>
      <c r="O276" s="407"/>
      <c r="P276" s="407"/>
      <c r="Q276" s="407"/>
      <c r="R276" s="407"/>
      <c r="S276" s="407"/>
      <c r="T276" s="407"/>
      <c r="U276" s="407"/>
      <c r="V276" s="407"/>
      <c r="W276" s="407"/>
      <c r="X276" s="407"/>
      <c r="Y276" s="407"/>
      <c r="Z276" s="407"/>
      <c r="AA276" s="407"/>
      <c r="AB276" s="407"/>
      <c r="AC276" s="407"/>
      <c r="AD276" s="407"/>
      <c r="AE276" s="407"/>
    </row>
    <row r="277" spans="2:31">
      <c r="B277" s="407"/>
      <c r="C277" s="407"/>
      <c r="D277" s="407"/>
      <c r="E277" s="407"/>
      <c r="F277" s="407"/>
      <c r="G277" s="407"/>
      <c r="H277" s="407"/>
      <c r="I277" s="407"/>
      <c r="J277" s="407"/>
      <c r="K277" s="407"/>
      <c r="L277" s="407"/>
      <c r="M277" s="407"/>
      <c r="N277" s="407"/>
      <c r="O277" s="407"/>
      <c r="P277" s="407"/>
      <c r="Q277" s="407"/>
      <c r="R277" s="407"/>
      <c r="S277" s="407"/>
      <c r="T277" s="407"/>
      <c r="U277" s="407"/>
      <c r="V277" s="407"/>
      <c r="W277" s="407"/>
      <c r="X277" s="407"/>
      <c r="Y277" s="407"/>
      <c r="Z277" s="407"/>
      <c r="AA277" s="407"/>
      <c r="AB277" s="407"/>
      <c r="AC277" s="407"/>
      <c r="AD277" s="407"/>
      <c r="AE277" s="407"/>
    </row>
    <row r="278" spans="2:31">
      <c r="B278" s="407"/>
      <c r="C278" s="407"/>
      <c r="D278" s="407"/>
      <c r="E278" s="407"/>
      <c r="F278" s="407"/>
      <c r="G278" s="407"/>
      <c r="H278" s="407"/>
      <c r="I278" s="407"/>
      <c r="J278" s="407"/>
      <c r="K278" s="407"/>
      <c r="L278" s="407"/>
      <c r="M278" s="407"/>
      <c r="N278" s="407"/>
      <c r="O278" s="407"/>
      <c r="P278" s="407"/>
      <c r="Q278" s="407"/>
      <c r="R278" s="407"/>
      <c r="S278" s="407"/>
      <c r="T278" s="407"/>
      <c r="U278" s="407"/>
      <c r="V278" s="407"/>
      <c r="W278" s="407"/>
      <c r="X278" s="407"/>
      <c r="Y278" s="407"/>
      <c r="Z278" s="407"/>
      <c r="AA278" s="407"/>
      <c r="AB278" s="407"/>
      <c r="AC278" s="407"/>
      <c r="AD278" s="407"/>
      <c r="AE278" s="407"/>
    </row>
    <row r="279" spans="2:31">
      <c r="B279" s="407"/>
      <c r="C279" s="407"/>
      <c r="D279" s="407"/>
      <c r="E279" s="407"/>
      <c r="F279" s="407"/>
      <c r="G279" s="407"/>
      <c r="H279" s="407"/>
      <c r="I279" s="407"/>
      <c r="J279" s="407"/>
      <c r="K279" s="407"/>
      <c r="L279" s="407"/>
      <c r="M279" s="407"/>
      <c r="N279" s="407"/>
      <c r="O279" s="407"/>
      <c r="P279" s="407"/>
      <c r="Q279" s="407"/>
      <c r="R279" s="407"/>
      <c r="S279" s="407"/>
      <c r="T279" s="407"/>
      <c r="U279" s="407"/>
      <c r="V279" s="407"/>
      <c r="W279" s="407"/>
      <c r="X279" s="407"/>
      <c r="Y279" s="407"/>
      <c r="Z279" s="407"/>
      <c r="AA279" s="407"/>
      <c r="AB279" s="407"/>
      <c r="AC279" s="407"/>
      <c r="AD279" s="407"/>
      <c r="AE279" s="407"/>
    </row>
    <row r="280" spans="2:31">
      <c r="B280" s="407"/>
      <c r="C280" s="407"/>
      <c r="D280" s="407"/>
      <c r="E280" s="407"/>
      <c r="F280" s="407"/>
      <c r="G280" s="407"/>
      <c r="H280" s="407"/>
      <c r="I280" s="407"/>
      <c r="J280" s="407"/>
      <c r="K280" s="407"/>
      <c r="L280" s="407"/>
      <c r="M280" s="407"/>
      <c r="N280" s="407"/>
      <c r="O280" s="407"/>
      <c r="P280" s="407"/>
      <c r="Q280" s="407"/>
      <c r="R280" s="407"/>
      <c r="S280" s="407"/>
      <c r="T280" s="407"/>
      <c r="U280" s="407"/>
      <c r="V280" s="407"/>
      <c r="W280" s="407"/>
      <c r="X280" s="407"/>
      <c r="Y280" s="407"/>
      <c r="Z280" s="407"/>
      <c r="AA280" s="407"/>
      <c r="AB280" s="407"/>
      <c r="AC280" s="407"/>
      <c r="AD280" s="407"/>
      <c r="AE280" s="407"/>
    </row>
    <row r="281" spans="2:31">
      <c r="B281" s="407"/>
      <c r="C281" s="407"/>
      <c r="D281" s="407"/>
      <c r="E281" s="407"/>
      <c r="F281" s="407"/>
      <c r="G281" s="407"/>
      <c r="H281" s="407"/>
      <c r="I281" s="407"/>
      <c r="J281" s="407"/>
      <c r="K281" s="407"/>
      <c r="L281" s="407"/>
      <c r="M281" s="407"/>
      <c r="N281" s="407"/>
      <c r="O281" s="407"/>
      <c r="P281" s="407"/>
      <c r="Q281" s="407"/>
      <c r="R281" s="407"/>
      <c r="S281" s="407"/>
      <c r="T281" s="407"/>
      <c r="U281" s="407"/>
      <c r="V281" s="407"/>
      <c r="W281" s="407"/>
      <c r="X281" s="407"/>
      <c r="Y281" s="407"/>
      <c r="Z281" s="407"/>
      <c r="AA281" s="407"/>
      <c r="AB281" s="407"/>
      <c r="AC281" s="407"/>
      <c r="AD281" s="407"/>
      <c r="AE281" s="407"/>
    </row>
    <row r="282" spans="2:31">
      <c r="B282" s="407"/>
      <c r="C282" s="407"/>
      <c r="D282" s="407"/>
      <c r="E282" s="407"/>
      <c r="F282" s="407"/>
      <c r="G282" s="407"/>
      <c r="H282" s="407"/>
      <c r="I282" s="407"/>
      <c r="J282" s="407"/>
      <c r="K282" s="407"/>
      <c r="L282" s="407"/>
      <c r="M282" s="407"/>
      <c r="N282" s="407"/>
      <c r="O282" s="407"/>
      <c r="P282" s="407"/>
      <c r="Q282" s="407"/>
      <c r="R282" s="407"/>
      <c r="S282" s="407"/>
      <c r="T282" s="407"/>
      <c r="U282" s="407"/>
      <c r="V282" s="407"/>
      <c r="W282" s="407"/>
      <c r="X282" s="407"/>
      <c r="Y282" s="407"/>
      <c r="Z282" s="407"/>
      <c r="AA282" s="407"/>
      <c r="AB282" s="407"/>
      <c r="AC282" s="407"/>
      <c r="AD282" s="407"/>
      <c r="AE282" s="407"/>
    </row>
    <row r="283" spans="2:31">
      <c r="B283" s="407"/>
      <c r="C283" s="407"/>
      <c r="D283" s="407"/>
      <c r="E283" s="407"/>
      <c r="F283" s="407"/>
      <c r="G283" s="407"/>
      <c r="H283" s="407"/>
      <c r="I283" s="407"/>
      <c r="J283" s="407"/>
      <c r="K283" s="407"/>
      <c r="L283" s="407"/>
      <c r="M283" s="407"/>
      <c r="N283" s="407"/>
      <c r="O283" s="407"/>
      <c r="P283" s="407"/>
      <c r="Q283" s="407"/>
      <c r="R283" s="407"/>
      <c r="S283" s="407"/>
      <c r="T283" s="407"/>
      <c r="U283" s="407"/>
      <c r="V283" s="407"/>
      <c r="W283" s="407"/>
      <c r="X283" s="407"/>
      <c r="Y283" s="407"/>
      <c r="Z283" s="407"/>
      <c r="AA283" s="407"/>
      <c r="AB283" s="407"/>
      <c r="AC283" s="407"/>
      <c r="AD283" s="407"/>
      <c r="AE283" s="407"/>
    </row>
    <row r="284" spans="2:31">
      <c r="B284" s="407"/>
      <c r="C284" s="407"/>
      <c r="D284" s="407"/>
      <c r="E284" s="407"/>
      <c r="F284" s="407"/>
      <c r="G284" s="407"/>
      <c r="H284" s="407"/>
      <c r="I284" s="407"/>
      <c r="J284" s="407"/>
      <c r="K284" s="407"/>
      <c r="L284" s="407"/>
      <c r="M284" s="407"/>
      <c r="N284" s="407"/>
      <c r="O284" s="407"/>
      <c r="P284" s="407"/>
      <c r="Q284" s="407"/>
      <c r="R284" s="407"/>
      <c r="S284" s="407"/>
      <c r="T284" s="407"/>
      <c r="U284" s="407"/>
      <c r="V284" s="407"/>
      <c r="W284" s="407"/>
      <c r="X284" s="407"/>
      <c r="Y284" s="407"/>
      <c r="Z284" s="407"/>
      <c r="AA284" s="407"/>
      <c r="AB284" s="407"/>
      <c r="AC284" s="407"/>
      <c r="AD284" s="407"/>
      <c r="AE284" s="407"/>
    </row>
    <row r="285" spans="2:31">
      <c r="B285" s="407"/>
      <c r="C285" s="407"/>
      <c r="D285" s="407"/>
      <c r="E285" s="407"/>
      <c r="F285" s="407"/>
      <c r="G285" s="407"/>
      <c r="H285" s="407"/>
      <c r="I285" s="407"/>
      <c r="J285" s="407"/>
      <c r="K285" s="407"/>
      <c r="L285" s="407"/>
      <c r="M285" s="407"/>
      <c r="N285" s="407"/>
      <c r="O285" s="407"/>
      <c r="P285" s="407"/>
      <c r="Q285" s="407"/>
      <c r="R285" s="407"/>
      <c r="S285" s="407"/>
      <c r="T285" s="407"/>
      <c r="U285" s="407"/>
      <c r="V285" s="407"/>
      <c r="W285" s="407"/>
      <c r="X285" s="407"/>
      <c r="Y285" s="407"/>
      <c r="Z285" s="407"/>
      <c r="AA285" s="407"/>
      <c r="AB285" s="407"/>
      <c r="AC285" s="407"/>
      <c r="AD285" s="407"/>
      <c r="AE285" s="407"/>
    </row>
    <row r="286" spans="2:31">
      <c r="B286" s="407"/>
      <c r="C286" s="407"/>
      <c r="D286" s="407"/>
      <c r="E286" s="407"/>
      <c r="F286" s="407"/>
      <c r="G286" s="407"/>
      <c r="H286" s="407"/>
      <c r="I286" s="407"/>
      <c r="J286" s="407"/>
      <c r="K286" s="407"/>
      <c r="L286" s="407"/>
      <c r="M286" s="407"/>
      <c r="N286" s="407"/>
      <c r="O286" s="407"/>
      <c r="P286" s="407"/>
      <c r="Q286" s="407"/>
      <c r="R286" s="407"/>
      <c r="S286" s="407"/>
      <c r="T286" s="407"/>
      <c r="U286" s="407"/>
      <c r="V286" s="407"/>
      <c r="W286" s="407"/>
      <c r="X286" s="407"/>
      <c r="Y286" s="407"/>
      <c r="Z286" s="407"/>
      <c r="AA286" s="407"/>
      <c r="AB286" s="407"/>
      <c r="AC286" s="407"/>
      <c r="AD286" s="407"/>
      <c r="AE286" s="407"/>
    </row>
    <row r="287" spans="2:31">
      <c r="B287" s="407"/>
      <c r="C287" s="407"/>
      <c r="D287" s="407"/>
      <c r="E287" s="407"/>
      <c r="F287" s="407"/>
      <c r="G287" s="407"/>
      <c r="H287" s="407"/>
      <c r="I287" s="407"/>
      <c r="J287" s="407"/>
      <c r="K287" s="407"/>
      <c r="L287" s="407"/>
      <c r="M287" s="407"/>
      <c r="N287" s="407"/>
      <c r="O287" s="407"/>
      <c r="P287" s="407"/>
      <c r="Q287" s="407"/>
      <c r="R287" s="407"/>
      <c r="S287" s="407"/>
      <c r="T287" s="407"/>
      <c r="U287" s="407"/>
      <c r="V287" s="407"/>
      <c r="W287" s="407"/>
      <c r="X287" s="407"/>
      <c r="Y287" s="407"/>
      <c r="Z287" s="407"/>
      <c r="AA287" s="407"/>
      <c r="AB287" s="407"/>
      <c r="AC287" s="407"/>
      <c r="AD287" s="407"/>
      <c r="AE287" s="407"/>
    </row>
    <row r="288" spans="2:31">
      <c r="B288" s="407"/>
      <c r="C288" s="407"/>
      <c r="D288" s="407"/>
      <c r="E288" s="407"/>
      <c r="F288" s="407"/>
      <c r="G288" s="407"/>
      <c r="H288" s="407"/>
      <c r="I288" s="407"/>
      <c r="J288" s="407"/>
      <c r="K288" s="407"/>
      <c r="L288" s="407"/>
      <c r="M288" s="407"/>
      <c r="N288" s="407"/>
      <c r="O288" s="407"/>
      <c r="P288" s="407"/>
      <c r="Q288" s="407"/>
      <c r="R288" s="407"/>
      <c r="S288" s="407"/>
      <c r="T288" s="407"/>
      <c r="U288" s="407"/>
      <c r="V288" s="407"/>
      <c r="W288" s="407"/>
      <c r="X288" s="407"/>
      <c r="Y288" s="407"/>
      <c r="Z288" s="407"/>
      <c r="AA288" s="407"/>
      <c r="AB288" s="407"/>
      <c r="AC288" s="407"/>
      <c r="AD288" s="407"/>
      <c r="AE288" s="407"/>
    </row>
    <row r="289" spans="2:31">
      <c r="B289" s="407"/>
      <c r="C289" s="407"/>
      <c r="D289" s="407"/>
      <c r="E289" s="407"/>
      <c r="F289" s="407"/>
      <c r="G289" s="407"/>
      <c r="H289" s="407"/>
      <c r="I289" s="407"/>
      <c r="J289" s="407"/>
      <c r="K289" s="407"/>
      <c r="L289" s="407"/>
      <c r="M289" s="407"/>
      <c r="N289" s="407"/>
      <c r="O289" s="407"/>
      <c r="P289" s="407"/>
      <c r="Q289" s="407"/>
      <c r="R289" s="407"/>
      <c r="S289" s="407"/>
      <c r="T289" s="407"/>
      <c r="U289" s="407"/>
      <c r="V289" s="407"/>
      <c r="W289" s="407"/>
      <c r="X289" s="407"/>
      <c r="Y289" s="407"/>
      <c r="Z289" s="407"/>
      <c r="AA289" s="407"/>
      <c r="AB289" s="407"/>
      <c r="AC289" s="407"/>
      <c r="AD289" s="407"/>
      <c r="AE289" s="407"/>
    </row>
    <row r="290" spans="2:31">
      <c r="B290" s="407"/>
      <c r="C290" s="407"/>
      <c r="D290" s="407"/>
      <c r="E290" s="407"/>
      <c r="F290" s="407"/>
      <c r="G290" s="407"/>
      <c r="H290" s="407"/>
      <c r="I290" s="407"/>
      <c r="J290" s="407"/>
      <c r="K290" s="407"/>
      <c r="L290" s="407"/>
      <c r="M290" s="407"/>
      <c r="N290" s="407"/>
      <c r="O290" s="407"/>
      <c r="P290" s="407"/>
      <c r="Q290" s="407"/>
      <c r="R290" s="407"/>
      <c r="S290" s="407"/>
      <c r="T290" s="407"/>
      <c r="U290" s="407"/>
      <c r="V290" s="407"/>
      <c r="W290" s="407"/>
      <c r="X290" s="407"/>
      <c r="Y290" s="407"/>
      <c r="Z290" s="407"/>
      <c r="AA290" s="407"/>
      <c r="AB290" s="407"/>
      <c r="AC290" s="407"/>
      <c r="AD290" s="407"/>
      <c r="AE290" s="407"/>
    </row>
    <row r="291" spans="2:31">
      <c r="B291" s="407"/>
      <c r="C291" s="407"/>
      <c r="D291" s="407"/>
      <c r="E291" s="407"/>
      <c r="F291" s="407"/>
      <c r="G291" s="407"/>
      <c r="H291" s="407"/>
      <c r="I291" s="407"/>
      <c r="J291" s="407"/>
      <c r="K291" s="407"/>
      <c r="L291" s="407"/>
      <c r="M291" s="407"/>
      <c r="N291" s="407"/>
      <c r="O291" s="407"/>
      <c r="P291" s="407"/>
      <c r="Q291" s="407"/>
      <c r="R291" s="407"/>
      <c r="S291" s="407"/>
      <c r="T291" s="407"/>
      <c r="U291" s="407"/>
      <c r="V291" s="407"/>
      <c r="W291" s="407"/>
      <c r="X291" s="407"/>
      <c r="Y291" s="407"/>
      <c r="Z291" s="407"/>
      <c r="AA291" s="407"/>
      <c r="AB291" s="407"/>
      <c r="AC291" s="407"/>
      <c r="AD291" s="407"/>
      <c r="AE291" s="407"/>
    </row>
    <row r="292" spans="2:31">
      <c r="B292" s="407"/>
      <c r="C292" s="407"/>
      <c r="D292" s="407"/>
      <c r="E292" s="407"/>
      <c r="F292" s="407"/>
      <c r="G292" s="407"/>
      <c r="H292" s="407"/>
      <c r="I292" s="407"/>
      <c r="J292" s="407"/>
      <c r="K292" s="407"/>
      <c r="L292" s="407"/>
      <c r="M292" s="407"/>
      <c r="N292" s="407"/>
      <c r="O292" s="407"/>
      <c r="P292" s="407"/>
      <c r="Q292" s="407"/>
      <c r="R292" s="407"/>
      <c r="S292" s="407"/>
      <c r="T292" s="407"/>
      <c r="U292" s="407"/>
      <c r="V292" s="407"/>
      <c r="W292" s="407"/>
      <c r="X292" s="407"/>
      <c r="Y292" s="407"/>
      <c r="Z292" s="407"/>
      <c r="AA292" s="407"/>
      <c r="AB292" s="407"/>
      <c r="AC292" s="407"/>
      <c r="AD292" s="407"/>
      <c r="AE292" s="407"/>
    </row>
    <row r="293" spans="2:31">
      <c r="B293" s="407"/>
      <c r="C293" s="407"/>
      <c r="D293" s="407"/>
      <c r="E293" s="407"/>
      <c r="F293" s="407"/>
      <c r="G293" s="407"/>
      <c r="H293" s="407"/>
      <c r="I293" s="407"/>
      <c r="J293" s="407"/>
      <c r="K293" s="407"/>
      <c r="L293" s="407"/>
      <c r="M293" s="407"/>
      <c r="N293" s="407"/>
      <c r="O293" s="407"/>
      <c r="P293" s="407"/>
      <c r="Q293" s="407"/>
      <c r="R293" s="407"/>
      <c r="S293" s="407"/>
      <c r="T293" s="407"/>
      <c r="U293" s="407"/>
      <c r="V293" s="407"/>
      <c r="W293" s="407"/>
      <c r="X293" s="407"/>
      <c r="Y293" s="407"/>
      <c r="Z293" s="407"/>
      <c r="AA293" s="407"/>
      <c r="AB293" s="407"/>
      <c r="AC293" s="407"/>
      <c r="AD293" s="407"/>
      <c r="AE293" s="407"/>
    </row>
    <row r="294" spans="2:31">
      <c r="B294" s="407"/>
      <c r="C294" s="407"/>
      <c r="D294" s="407"/>
      <c r="E294" s="407"/>
      <c r="F294" s="407"/>
      <c r="G294" s="407"/>
      <c r="H294" s="407"/>
      <c r="I294" s="407"/>
      <c r="J294" s="407"/>
      <c r="K294" s="407"/>
      <c r="L294" s="407"/>
      <c r="M294" s="407"/>
      <c r="N294" s="407"/>
      <c r="O294" s="407"/>
      <c r="P294" s="407"/>
      <c r="Q294" s="407"/>
      <c r="R294" s="407"/>
      <c r="S294" s="407"/>
      <c r="T294" s="407"/>
      <c r="U294" s="407"/>
      <c r="V294" s="407"/>
      <c r="W294" s="407"/>
      <c r="X294" s="407"/>
      <c r="Y294" s="407"/>
      <c r="Z294" s="407"/>
      <c r="AA294" s="407"/>
      <c r="AB294" s="407"/>
      <c r="AC294" s="407"/>
      <c r="AD294" s="407"/>
      <c r="AE294" s="407"/>
    </row>
    <row r="295" spans="2:31">
      <c r="B295" s="407"/>
      <c r="C295" s="407"/>
      <c r="D295" s="407"/>
      <c r="E295" s="407"/>
      <c r="F295" s="407"/>
      <c r="G295" s="407"/>
      <c r="H295" s="407"/>
      <c r="I295" s="407"/>
      <c r="J295" s="407"/>
      <c r="K295" s="407"/>
      <c r="L295" s="407"/>
      <c r="M295" s="407"/>
      <c r="N295" s="407"/>
      <c r="O295" s="407"/>
      <c r="P295" s="407"/>
      <c r="Q295" s="407"/>
      <c r="R295" s="407"/>
      <c r="S295" s="407"/>
      <c r="T295" s="407"/>
      <c r="U295" s="407"/>
      <c r="V295" s="407"/>
      <c r="W295" s="407"/>
      <c r="X295" s="407"/>
      <c r="Y295" s="407"/>
      <c r="Z295" s="407"/>
      <c r="AA295" s="407"/>
      <c r="AB295" s="407"/>
      <c r="AC295" s="407"/>
      <c r="AD295" s="407"/>
      <c r="AE295" s="407"/>
    </row>
    <row r="296" spans="2:31">
      <c r="B296" s="407"/>
      <c r="C296" s="407"/>
      <c r="D296" s="407"/>
      <c r="E296" s="407"/>
      <c r="F296" s="407"/>
      <c r="G296" s="407"/>
      <c r="H296" s="407"/>
      <c r="I296" s="407"/>
      <c r="J296" s="407"/>
      <c r="K296" s="407"/>
      <c r="L296" s="407"/>
      <c r="M296" s="407"/>
      <c r="N296" s="407"/>
      <c r="O296" s="407"/>
      <c r="P296" s="407"/>
      <c r="Q296" s="407"/>
      <c r="R296" s="407"/>
      <c r="S296" s="407"/>
      <c r="T296" s="407"/>
      <c r="U296" s="407"/>
      <c r="V296" s="407"/>
      <c r="W296" s="407"/>
      <c r="X296" s="407"/>
      <c r="Y296" s="407"/>
      <c r="Z296" s="407"/>
      <c r="AA296" s="407"/>
      <c r="AB296" s="407"/>
      <c r="AC296" s="407"/>
      <c r="AD296" s="407"/>
      <c r="AE296" s="407"/>
    </row>
    <row r="297" spans="2:31">
      <c r="B297" s="407"/>
      <c r="C297" s="407"/>
      <c r="D297" s="407"/>
      <c r="E297" s="407"/>
      <c r="F297" s="407"/>
      <c r="G297" s="407"/>
      <c r="H297" s="407"/>
      <c r="I297" s="407"/>
      <c r="J297" s="407"/>
      <c r="K297" s="407"/>
      <c r="L297" s="407"/>
      <c r="M297" s="407"/>
      <c r="N297" s="407"/>
      <c r="O297" s="407"/>
      <c r="P297" s="407"/>
      <c r="Q297" s="407"/>
      <c r="R297" s="407"/>
      <c r="S297" s="407"/>
      <c r="T297" s="407"/>
      <c r="U297" s="407"/>
      <c r="V297" s="407"/>
      <c r="W297" s="407"/>
      <c r="X297" s="407"/>
      <c r="Y297" s="407"/>
      <c r="Z297" s="407"/>
      <c r="AA297" s="407"/>
      <c r="AB297" s="407"/>
      <c r="AC297" s="407"/>
      <c r="AD297" s="407"/>
      <c r="AE297" s="407"/>
    </row>
    <row r="298" spans="2:31">
      <c r="B298" s="407"/>
      <c r="C298" s="407"/>
      <c r="D298" s="407"/>
      <c r="E298" s="407"/>
      <c r="F298" s="407"/>
      <c r="G298" s="407"/>
      <c r="H298" s="407"/>
      <c r="I298" s="407"/>
      <c r="J298" s="407"/>
      <c r="K298" s="407"/>
      <c r="L298" s="407"/>
      <c r="M298" s="407"/>
      <c r="N298" s="407"/>
      <c r="O298" s="407"/>
      <c r="P298" s="407"/>
      <c r="Q298" s="407"/>
      <c r="R298" s="407"/>
      <c r="S298" s="407"/>
      <c r="T298" s="407"/>
      <c r="U298" s="407"/>
      <c r="V298" s="407"/>
      <c r="W298" s="407"/>
      <c r="X298" s="407"/>
      <c r="Y298" s="407"/>
      <c r="Z298" s="407"/>
      <c r="AA298" s="407"/>
      <c r="AB298" s="407"/>
      <c r="AC298" s="407"/>
      <c r="AD298" s="407"/>
      <c r="AE298" s="407"/>
    </row>
    <row r="299" spans="2:31">
      <c r="B299" s="407"/>
      <c r="C299" s="407"/>
      <c r="D299" s="407"/>
      <c r="E299" s="407"/>
      <c r="F299" s="407"/>
      <c r="G299" s="407"/>
      <c r="H299" s="407"/>
      <c r="I299" s="407"/>
      <c r="J299" s="407"/>
      <c r="K299" s="407"/>
      <c r="L299" s="407"/>
      <c r="M299" s="407"/>
      <c r="N299" s="407"/>
      <c r="O299" s="407"/>
      <c r="P299" s="407"/>
      <c r="Q299" s="407"/>
      <c r="R299" s="407"/>
      <c r="S299" s="407"/>
      <c r="T299" s="407"/>
      <c r="U299" s="407"/>
      <c r="V299" s="407"/>
      <c r="W299" s="407"/>
      <c r="X299" s="407"/>
      <c r="Y299" s="407"/>
      <c r="Z299" s="407"/>
      <c r="AA299" s="407"/>
      <c r="AB299" s="407"/>
      <c r="AC299" s="407"/>
      <c r="AD299" s="407"/>
      <c r="AE299" s="407"/>
    </row>
    <row r="300" spans="2:31">
      <c r="B300" s="407"/>
      <c r="C300" s="407"/>
      <c r="D300" s="407"/>
      <c r="E300" s="407"/>
      <c r="F300" s="407"/>
      <c r="G300" s="407"/>
      <c r="H300" s="407"/>
      <c r="I300" s="407"/>
      <c r="J300" s="407"/>
      <c r="K300" s="407"/>
      <c r="L300" s="407"/>
      <c r="M300" s="407"/>
      <c r="N300" s="407"/>
      <c r="O300" s="407"/>
      <c r="P300" s="407"/>
      <c r="Q300" s="407"/>
      <c r="R300" s="407"/>
      <c r="S300" s="407"/>
      <c r="T300" s="407"/>
      <c r="U300" s="407"/>
      <c r="V300" s="407"/>
      <c r="W300" s="407"/>
      <c r="X300" s="407"/>
      <c r="Y300" s="407"/>
      <c r="Z300" s="407"/>
      <c r="AA300" s="407"/>
      <c r="AB300" s="407"/>
      <c r="AC300" s="407"/>
      <c r="AD300" s="407"/>
      <c r="AE300" s="407"/>
    </row>
    <row r="301" spans="2:31">
      <c r="B301" s="407"/>
      <c r="C301" s="407"/>
      <c r="D301" s="407"/>
      <c r="E301" s="407"/>
      <c r="F301" s="407"/>
      <c r="G301" s="407"/>
      <c r="H301" s="407"/>
      <c r="I301" s="407"/>
      <c r="J301" s="407"/>
      <c r="K301" s="407"/>
      <c r="L301" s="407"/>
      <c r="M301" s="407"/>
      <c r="N301" s="407"/>
      <c r="O301" s="407"/>
      <c r="P301" s="407"/>
      <c r="Q301" s="407"/>
      <c r="R301" s="407"/>
      <c r="S301" s="407"/>
      <c r="T301" s="407"/>
      <c r="U301" s="407"/>
      <c r="V301" s="407"/>
      <c r="W301" s="407"/>
      <c r="X301" s="407"/>
      <c r="Y301" s="407"/>
      <c r="Z301" s="407"/>
      <c r="AA301" s="407"/>
      <c r="AB301" s="407"/>
      <c r="AC301" s="407"/>
      <c r="AD301" s="407"/>
      <c r="AE301" s="407"/>
    </row>
    <row r="302" spans="2:31">
      <c r="B302" s="407"/>
      <c r="C302" s="407"/>
      <c r="D302" s="407"/>
      <c r="E302" s="407"/>
      <c r="F302" s="407"/>
      <c r="G302" s="407"/>
      <c r="H302" s="407"/>
      <c r="I302" s="407"/>
      <c r="J302" s="407"/>
      <c r="K302" s="407"/>
      <c r="L302" s="407"/>
      <c r="M302" s="407"/>
      <c r="N302" s="407"/>
      <c r="O302" s="407"/>
      <c r="P302" s="407"/>
      <c r="Q302" s="407"/>
      <c r="R302" s="407"/>
      <c r="S302" s="407"/>
      <c r="T302" s="407"/>
      <c r="U302" s="407"/>
      <c r="V302" s="407"/>
      <c r="W302" s="407"/>
      <c r="X302" s="407"/>
      <c r="Y302" s="407"/>
      <c r="Z302" s="407"/>
      <c r="AA302" s="407"/>
      <c r="AB302" s="407"/>
      <c r="AC302" s="407"/>
      <c r="AD302" s="407"/>
      <c r="AE302" s="407"/>
    </row>
    <row r="303" spans="2:31">
      <c r="B303" s="407"/>
      <c r="C303" s="407"/>
      <c r="D303" s="407"/>
      <c r="E303" s="407"/>
      <c r="F303" s="407"/>
      <c r="G303" s="407"/>
      <c r="H303" s="407"/>
      <c r="I303" s="407"/>
      <c r="J303" s="407"/>
      <c r="K303" s="407"/>
      <c r="L303" s="407"/>
      <c r="M303" s="407"/>
      <c r="N303" s="407"/>
      <c r="O303" s="407"/>
      <c r="P303" s="407"/>
      <c r="Q303" s="407"/>
      <c r="R303" s="407"/>
      <c r="S303" s="407"/>
      <c r="T303" s="407"/>
      <c r="U303" s="407"/>
      <c r="V303" s="407"/>
      <c r="W303" s="407"/>
      <c r="X303" s="407"/>
      <c r="Y303" s="407"/>
      <c r="Z303" s="407"/>
      <c r="AA303" s="407"/>
      <c r="AB303" s="407"/>
      <c r="AC303" s="407"/>
      <c r="AD303" s="407"/>
      <c r="AE303" s="407"/>
    </row>
    <row r="304" spans="2:31">
      <c r="B304" s="407"/>
      <c r="C304" s="407"/>
      <c r="D304" s="407"/>
      <c r="E304" s="407"/>
      <c r="F304" s="407"/>
      <c r="G304" s="407"/>
      <c r="H304" s="407"/>
      <c r="I304" s="407"/>
      <c r="J304" s="407"/>
      <c r="K304" s="407"/>
      <c r="L304" s="407"/>
      <c r="M304" s="407"/>
      <c r="N304" s="407"/>
      <c r="O304" s="407"/>
      <c r="P304" s="407"/>
      <c r="Q304" s="407"/>
      <c r="R304" s="407"/>
      <c r="S304" s="407"/>
      <c r="T304" s="407"/>
      <c r="U304" s="407"/>
      <c r="V304" s="407"/>
      <c r="W304" s="407"/>
      <c r="X304" s="407"/>
      <c r="Y304" s="407"/>
      <c r="Z304" s="407"/>
      <c r="AA304" s="407"/>
      <c r="AB304" s="407"/>
      <c r="AC304" s="407"/>
      <c r="AD304" s="407"/>
      <c r="AE304" s="407"/>
    </row>
    <row r="305" spans="2:31">
      <c r="B305" s="407"/>
      <c r="C305" s="407"/>
      <c r="D305" s="407"/>
      <c r="E305" s="407"/>
      <c r="F305" s="407"/>
      <c r="G305" s="407"/>
      <c r="H305" s="407"/>
      <c r="I305" s="407"/>
      <c r="J305" s="407"/>
      <c r="K305" s="407"/>
      <c r="L305" s="407"/>
      <c r="M305" s="407"/>
      <c r="N305" s="407"/>
      <c r="O305" s="407"/>
      <c r="P305" s="407"/>
      <c r="Q305" s="407"/>
      <c r="R305" s="407"/>
      <c r="S305" s="407"/>
      <c r="T305" s="407"/>
      <c r="U305" s="407"/>
      <c r="V305" s="407"/>
      <c r="W305" s="407"/>
      <c r="X305" s="407"/>
      <c r="Y305" s="407"/>
      <c r="Z305" s="407"/>
      <c r="AA305" s="407"/>
      <c r="AB305" s="407"/>
      <c r="AC305" s="407"/>
      <c r="AD305" s="407"/>
      <c r="AE305" s="407"/>
    </row>
    <row r="306" spans="2:31">
      <c r="B306" s="407"/>
      <c r="C306" s="407"/>
      <c r="D306" s="407"/>
      <c r="E306" s="407"/>
      <c r="F306" s="407"/>
      <c r="G306" s="407"/>
      <c r="H306" s="407"/>
      <c r="I306" s="407"/>
      <c r="J306" s="407"/>
      <c r="K306" s="407"/>
      <c r="L306" s="407"/>
      <c r="M306" s="407"/>
      <c r="N306" s="407"/>
      <c r="O306" s="407"/>
      <c r="P306" s="407"/>
      <c r="Q306" s="407"/>
      <c r="R306" s="407"/>
      <c r="S306" s="407"/>
      <c r="T306" s="407"/>
      <c r="U306" s="407"/>
      <c r="V306" s="407"/>
      <c r="W306" s="407"/>
      <c r="X306" s="407"/>
      <c r="Y306" s="407"/>
      <c r="Z306" s="407"/>
      <c r="AA306" s="407"/>
      <c r="AB306" s="407"/>
      <c r="AC306" s="407"/>
      <c r="AD306" s="407"/>
      <c r="AE306" s="407"/>
    </row>
    <row r="307" spans="2:31">
      <c r="B307" s="407"/>
      <c r="C307" s="407"/>
      <c r="D307" s="407"/>
      <c r="E307" s="407"/>
      <c r="F307" s="407"/>
      <c r="G307" s="407"/>
      <c r="H307" s="407"/>
      <c r="I307" s="407"/>
      <c r="J307" s="407"/>
      <c r="K307" s="407"/>
      <c r="L307" s="407"/>
      <c r="M307" s="407"/>
      <c r="N307" s="407"/>
      <c r="O307" s="407"/>
      <c r="P307" s="407"/>
      <c r="Q307" s="407"/>
      <c r="R307" s="407"/>
      <c r="S307" s="407"/>
      <c r="T307" s="407"/>
      <c r="U307" s="407"/>
      <c r="V307" s="407"/>
      <c r="W307" s="407"/>
      <c r="X307" s="407"/>
      <c r="Y307" s="407"/>
      <c r="Z307" s="407"/>
      <c r="AA307" s="407"/>
      <c r="AB307" s="407"/>
      <c r="AC307" s="407"/>
      <c r="AD307" s="407"/>
      <c r="AE307" s="407"/>
    </row>
    <row r="308" spans="2:31">
      <c r="B308" s="407"/>
      <c r="C308" s="407"/>
      <c r="D308" s="407"/>
      <c r="E308" s="407"/>
      <c r="F308" s="407"/>
      <c r="G308" s="407"/>
      <c r="H308" s="407"/>
      <c r="I308" s="407"/>
      <c r="J308" s="407"/>
      <c r="K308" s="407"/>
      <c r="L308" s="407"/>
      <c r="M308" s="407"/>
      <c r="N308" s="407"/>
      <c r="O308" s="407"/>
      <c r="P308" s="407"/>
      <c r="Q308" s="407"/>
      <c r="R308" s="407"/>
      <c r="S308" s="407"/>
      <c r="T308" s="407"/>
      <c r="U308" s="407"/>
      <c r="V308" s="407"/>
      <c r="W308" s="407"/>
      <c r="X308" s="407"/>
      <c r="Y308" s="407"/>
      <c r="Z308" s="407"/>
      <c r="AA308" s="407"/>
      <c r="AB308" s="407"/>
      <c r="AC308" s="407"/>
      <c r="AD308" s="407"/>
      <c r="AE308" s="407"/>
    </row>
    <row r="309" spans="2:31">
      <c r="B309" s="407"/>
      <c r="C309" s="407"/>
      <c r="D309" s="407"/>
      <c r="E309" s="407"/>
      <c r="F309" s="407"/>
      <c r="G309" s="407"/>
      <c r="H309" s="407"/>
      <c r="I309" s="407"/>
      <c r="J309" s="407"/>
      <c r="K309" s="407"/>
      <c r="L309" s="407"/>
      <c r="M309" s="407"/>
      <c r="N309" s="407"/>
      <c r="O309" s="407"/>
      <c r="P309" s="407"/>
      <c r="Q309" s="407"/>
      <c r="R309" s="407"/>
      <c r="S309" s="407"/>
      <c r="T309" s="407"/>
      <c r="U309" s="407"/>
      <c r="V309" s="407"/>
      <c r="W309" s="407"/>
      <c r="X309" s="407"/>
      <c r="Y309" s="407"/>
      <c r="Z309" s="407"/>
      <c r="AA309" s="407"/>
      <c r="AB309" s="407"/>
      <c r="AC309" s="407"/>
      <c r="AD309" s="407"/>
      <c r="AE309" s="407"/>
    </row>
    <row r="310" spans="2:31">
      <c r="B310" s="407"/>
      <c r="C310" s="407"/>
      <c r="D310" s="407"/>
      <c r="E310" s="407"/>
      <c r="F310" s="407"/>
      <c r="G310" s="407"/>
      <c r="H310" s="407"/>
      <c r="I310" s="407"/>
      <c r="J310" s="407"/>
      <c r="K310" s="407"/>
      <c r="L310" s="407"/>
      <c r="M310" s="407"/>
      <c r="N310" s="407"/>
      <c r="O310" s="407"/>
      <c r="P310" s="407"/>
      <c r="Q310" s="407"/>
      <c r="R310" s="407"/>
      <c r="S310" s="407"/>
      <c r="T310" s="407"/>
      <c r="U310" s="407"/>
      <c r="V310" s="407"/>
      <c r="W310" s="407"/>
      <c r="X310" s="407"/>
      <c r="Y310" s="407"/>
      <c r="Z310" s="407"/>
      <c r="AA310" s="407"/>
      <c r="AB310" s="407"/>
      <c r="AC310" s="407"/>
      <c r="AD310" s="407"/>
      <c r="AE310" s="407"/>
    </row>
    <row r="311" spans="2:31">
      <c r="B311" s="407"/>
      <c r="C311" s="407"/>
      <c r="D311" s="407"/>
      <c r="E311" s="407"/>
      <c r="F311" s="407"/>
      <c r="G311" s="407"/>
      <c r="H311" s="407"/>
      <c r="I311" s="407"/>
      <c r="J311" s="407"/>
      <c r="K311" s="407"/>
      <c r="L311" s="407"/>
      <c r="M311" s="407"/>
      <c r="N311" s="407"/>
      <c r="O311" s="407"/>
      <c r="P311" s="407"/>
      <c r="Q311" s="407"/>
      <c r="R311" s="407"/>
      <c r="S311" s="407"/>
      <c r="T311" s="407"/>
      <c r="U311" s="407"/>
      <c r="V311" s="407"/>
      <c r="W311" s="407"/>
      <c r="X311" s="407"/>
      <c r="Y311" s="407"/>
      <c r="Z311" s="407"/>
      <c r="AA311" s="407"/>
      <c r="AB311" s="407"/>
      <c r="AC311" s="407"/>
      <c r="AD311" s="407"/>
      <c r="AE311" s="407"/>
    </row>
    <row r="312" spans="2:31">
      <c r="B312" s="407"/>
      <c r="C312" s="407"/>
      <c r="D312" s="407"/>
      <c r="E312" s="407"/>
      <c r="F312" s="407"/>
      <c r="G312" s="407"/>
      <c r="H312" s="407"/>
      <c r="I312" s="407"/>
      <c r="J312" s="407"/>
      <c r="K312" s="407"/>
      <c r="L312" s="407"/>
      <c r="M312" s="407"/>
      <c r="N312" s="407"/>
      <c r="O312" s="407"/>
      <c r="P312" s="407"/>
      <c r="Q312" s="407"/>
      <c r="R312" s="407"/>
      <c r="S312" s="407"/>
      <c r="T312" s="407"/>
      <c r="U312" s="407"/>
      <c r="V312" s="407"/>
      <c r="W312" s="407"/>
      <c r="X312" s="407"/>
      <c r="Y312" s="407"/>
      <c r="Z312" s="407"/>
      <c r="AA312" s="407"/>
      <c r="AB312" s="407"/>
      <c r="AC312" s="407"/>
      <c r="AD312" s="407"/>
      <c r="AE312" s="407"/>
    </row>
    <row r="313" spans="2:31">
      <c r="B313" s="407"/>
      <c r="C313" s="407"/>
      <c r="D313" s="407"/>
      <c r="E313" s="407"/>
      <c r="F313" s="407"/>
      <c r="G313" s="407"/>
      <c r="H313" s="407"/>
      <c r="I313" s="407"/>
      <c r="J313" s="407"/>
      <c r="K313" s="407"/>
      <c r="L313" s="407"/>
      <c r="M313" s="407"/>
      <c r="N313" s="407"/>
      <c r="O313" s="407"/>
      <c r="P313" s="407"/>
      <c r="Q313" s="407"/>
      <c r="R313" s="407"/>
      <c r="S313" s="407"/>
      <c r="T313" s="407"/>
      <c r="U313" s="407"/>
      <c r="V313" s="407"/>
      <c r="W313" s="407"/>
      <c r="X313" s="407"/>
      <c r="Y313" s="407"/>
      <c r="Z313" s="407"/>
      <c r="AA313" s="407"/>
      <c r="AB313" s="407"/>
      <c r="AC313" s="407"/>
      <c r="AD313" s="407"/>
      <c r="AE313" s="407"/>
    </row>
    <row r="314" spans="2:31">
      <c r="B314" s="407"/>
      <c r="C314" s="407"/>
      <c r="D314" s="407"/>
      <c r="E314" s="407"/>
      <c r="F314" s="407"/>
      <c r="G314" s="407"/>
      <c r="H314" s="407"/>
      <c r="I314" s="407"/>
      <c r="J314" s="407"/>
      <c r="K314" s="407"/>
      <c r="L314" s="407"/>
      <c r="M314" s="407"/>
      <c r="N314" s="407"/>
      <c r="O314" s="407"/>
      <c r="P314" s="407"/>
      <c r="Q314" s="407"/>
      <c r="R314" s="407"/>
      <c r="S314" s="407"/>
      <c r="T314" s="407"/>
      <c r="U314" s="407"/>
      <c r="V314" s="407"/>
      <c r="W314" s="407"/>
      <c r="X314" s="407"/>
      <c r="Y314" s="407"/>
      <c r="Z314" s="407"/>
      <c r="AA314" s="407"/>
      <c r="AB314" s="407"/>
      <c r="AC314" s="407"/>
      <c r="AD314" s="407"/>
      <c r="AE314" s="407"/>
    </row>
    <row r="315" spans="2:31">
      <c r="B315" s="407"/>
      <c r="C315" s="407"/>
      <c r="D315" s="407"/>
      <c r="E315" s="407"/>
      <c r="F315" s="407"/>
      <c r="G315" s="407"/>
      <c r="H315" s="407"/>
      <c r="I315" s="407"/>
      <c r="J315" s="407"/>
      <c r="K315" s="407"/>
      <c r="L315" s="407"/>
      <c r="M315" s="407"/>
      <c r="N315" s="407"/>
      <c r="O315" s="407"/>
      <c r="P315" s="407"/>
      <c r="Q315" s="407"/>
      <c r="R315" s="407"/>
      <c r="S315" s="407"/>
      <c r="T315" s="407"/>
      <c r="U315" s="407"/>
      <c r="V315" s="407"/>
      <c r="W315" s="407"/>
      <c r="X315" s="407"/>
      <c r="Y315" s="407"/>
      <c r="Z315" s="407"/>
      <c r="AA315" s="407"/>
      <c r="AB315" s="407"/>
      <c r="AC315" s="407"/>
      <c r="AD315" s="407"/>
      <c r="AE315" s="407"/>
    </row>
    <row r="316" spans="2:31">
      <c r="B316" s="407"/>
      <c r="C316" s="407"/>
      <c r="D316" s="407"/>
      <c r="E316" s="407"/>
      <c r="F316" s="407"/>
      <c r="G316" s="407"/>
      <c r="H316" s="407"/>
      <c r="I316" s="407"/>
      <c r="J316" s="407"/>
      <c r="K316" s="407"/>
      <c r="L316" s="407"/>
      <c r="M316" s="407"/>
      <c r="N316" s="407"/>
      <c r="O316" s="407"/>
      <c r="P316" s="407"/>
      <c r="Q316" s="407"/>
      <c r="R316" s="407"/>
      <c r="S316" s="407"/>
      <c r="T316" s="407"/>
      <c r="U316" s="407"/>
      <c r="V316" s="407"/>
      <c r="W316" s="407"/>
      <c r="X316" s="407"/>
      <c r="Y316" s="407"/>
      <c r="Z316" s="407"/>
      <c r="AA316" s="407"/>
      <c r="AB316" s="407"/>
      <c r="AC316" s="407"/>
      <c r="AD316" s="407"/>
      <c r="AE316" s="407"/>
    </row>
    <row r="317" spans="2:31">
      <c r="B317" s="407"/>
      <c r="C317" s="407"/>
      <c r="D317" s="407"/>
      <c r="E317" s="407"/>
      <c r="F317" s="407"/>
      <c r="G317" s="407"/>
      <c r="H317" s="407"/>
      <c r="I317" s="407"/>
      <c r="J317" s="407"/>
      <c r="K317" s="407"/>
      <c r="L317" s="407"/>
      <c r="M317" s="407"/>
      <c r="N317" s="407"/>
      <c r="O317" s="407"/>
      <c r="P317" s="407"/>
      <c r="Q317" s="407"/>
      <c r="R317" s="407"/>
      <c r="S317" s="407"/>
      <c r="T317" s="407"/>
      <c r="U317" s="407"/>
      <c r="V317" s="407"/>
      <c r="W317" s="407"/>
      <c r="X317" s="407"/>
      <c r="Y317" s="407"/>
      <c r="Z317" s="407"/>
      <c r="AA317" s="407"/>
      <c r="AB317" s="407"/>
      <c r="AC317" s="407"/>
      <c r="AD317" s="407"/>
      <c r="AE317" s="407"/>
    </row>
    <row r="318" spans="2:31">
      <c r="B318" s="407"/>
      <c r="C318" s="407"/>
      <c r="D318" s="407"/>
      <c r="E318" s="407"/>
      <c r="F318" s="407"/>
      <c r="G318" s="407"/>
      <c r="H318" s="407"/>
      <c r="I318" s="407"/>
      <c r="J318" s="407"/>
      <c r="K318" s="407"/>
      <c r="L318" s="407"/>
      <c r="M318" s="407"/>
      <c r="N318" s="407"/>
      <c r="O318" s="407"/>
      <c r="P318" s="407"/>
      <c r="Q318" s="407"/>
      <c r="R318" s="407"/>
      <c r="S318" s="407"/>
      <c r="T318" s="407"/>
      <c r="U318" s="407"/>
      <c r="V318" s="407"/>
      <c r="W318" s="407"/>
      <c r="X318" s="407"/>
      <c r="Y318" s="407"/>
      <c r="Z318" s="407"/>
      <c r="AA318" s="407"/>
      <c r="AB318" s="407"/>
      <c r="AC318" s="407"/>
      <c r="AD318" s="407"/>
      <c r="AE318" s="407"/>
    </row>
    <row r="319" spans="2:31">
      <c r="B319" s="407"/>
      <c r="C319" s="407"/>
      <c r="D319" s="407"/>
      <c r="E319" s="407"/>
      <c r="F319" s="407"/>
      <c r="G319" s="407"/>
      <c r="H319" s="407"/>
      <c r="I319" s="407"/>
      <c r="J319" s="407"/>
      <c r="K319" s="407"/>
      <c r="L319" s="407"/>
      <c r="M319" s="407"/>
      <c r="N319" s="407"/>
      <c r="O319" s="407"/>
      <c r="P319" s="407"/>
      <c r="Q319" s="407"/>
      <c r="R319" s="407"/>
      <c r="S319" s="407"/>
      <c r="T319" s="407"/>
      <c r="U319" s="407"/>
      <c r="V319" s="407"/>
      <c r="W319" s="407"/>
      <c r="X319" s="407"/>
      <c r="Y319" s="407"/>
      <c r="Z319" s="407"/>
      <c r="AA319" s="407"/>
      <c r="AB319" s="407"/>
      <c r="AC319" s="407"/>
      <c r="AD319" s="407"/>
      <c r="AE319" s="407"/>
    </row>
    <row r="320" spans="2:31">
      <c r="B320" s="407"/>
      <c r="C320" s="407"/>
      <c r="D320" s="407"/>
      <c r="E320" s="407"/>
      <c r="F320" s="407"/>
      <c r="G320" s="407"/>
      <c r="H320" s="407"/>
      <c r="I320" s="407"/>
      <c r="J320" s="407"/>
      <c r="K320" s="407"/>
      <c r="L320" s="407"/>
      <c r="M320" s="407"/>
      <c r="N320" s="407"/>
      <c r="O320" s="407"/>
      <c r="P320" s="407"/>
      <c r="Q320" s="407"/>
      <c r="R320" s="407"/>
      <c r="S320" s="407"/>
      <c r="T320" s="407"/>
      <c r="U320" s="407"/>
      <c r="V320" s="407"/>
      <c r="W320" s="407"/>
      <c r="X320" s="407"/>
      <c r="Y320" s="407"/>
      <c r="Z320" s="407"/>
      <c r="AA320" s="407"/>
      <c r="AB320" s="407"/>
      <c r="AC320" s="407"/>
      <c r="AD320" s="407"/>
      <c r="AE320" s="407"/>
    </row>
    <row r="321" spans="2:31">
      <c r="B321" s="407"/>
      <c r="C321" s="407"/>
      <c r="D321" s="407"/>
      <c r="E321" s="407"/>
      <c r="F321" s="407"/>
      <c r="G321" s="407"/>
      <c r="H321" s="407"/>
      <c r="I321" s="407"/>
      <c r="J321" s="407"/>
      <c r="K321" s="407"/>
      <c r="L321" s="407"/>
      <c r="M321" s="407"/>
      <c r="N321" s="407"/>
      <c r="O321" s="407"/>
      <c r="P321" s="407"/>
      <c r="Q321" s="407"/>
      <c r="R321" s="407"/>
      <c r="S321" s="407"/>
      <c r="T321" s="407"/>
      <c r="U321" s="407"/>
      <c r="V321" s="407"/>
      <c r="W321" s="407"/>
      <c r="X321" s="407"/>
      <c r="Y321" s="407"/>
      <c r="Z321" s="407"/>
      <c r="AA321" s="407"/>
      <c r="AB321" s="407"/>
      <c r="AC321" s="407"/>
      <c r="AD321" s="407"/>
      <c r="AE321" s="407"/>
    </row>
    <row r="322" spans="2:31">
      <c r="B322" s="407"/>
      <c r="C322" s="407"/>
      <c r="D322" s="407"/>
      <c r="E322" s="407"/>
      <c r="F322" s="407"/>
      <c r="G322" s="407"/>
      <c r="H322" s="407"/>
      <c r="I322" s="407"/>
      <c r="J322" s="407"/>
      <c r="K322" s="407"/>
      <c r="L322" s="407"/>
      <c r="M322" s="407"/>
      <c r="N322" s="407"/>
      <c r="O322" s="407"/>
      <c r="P322" s="407"/>
      <c r="Q322" s="407"/>
      <c r="R322" s="407"/>
      <c r="S322" s="407"/>
      <c r="T322" s="407"/>
      <c r="U322" s="407"/>
      <c r="V322" s="407"/>
      <c r="W322" s="407"/>
      <c r="X322" s="407"/>
      <c r="Y322" s="407"/>
      <c r="Z322" s="407"/>
      <c r="AA322" s="407"/>
      <c r="AB322" s="407"/>
      <c r="AC322" s="407"/>
      <c r="AD322" s="407"/>
      <c r="AE322" s="407"/>
    </row>
    <row r="323" spans="2:31">
      <c r="B323" s="407"/>
      <c r="C323" s="407"/>
      <c r="D323" s="407"/>
      <c r="E323" s="407"/>
      <c r="F323" s="407"/>
      <c r="G323" s="407"/>
      <c r="H323" s="407"/>
      <c r="I323" s="407"/>
      <c r="J323" s="407"/>
      <c r="K323" s="407"/>
      <c r="L323" s="407"/>
      <c r="M323" s="407"/>
      <c r="N323" s="407"/>
      <c r="O323" s="407"/>
      <c r="P323" s="407"/>
      <c r="Q323" s="407"/>
      <c r="R323" s="407"/>
      <c r="S323" s="407"/>
      <c r="T323" s="407"/>
      <c r="U323" s="407"/>
      <c r="V323" s="407"/>
      <c r="W323" s="407"/>
      <c r="X323" s="407"/>
      <c r="Y323" s="407"/>
      <c r="Z323" s="407"/>
      <c r="AA323" s="407"/>
      <c r="AB323" s="407"/>
      <c r="AC323" s="407"/>
      <c r="AD323" s="407"/>
      <c r="AE323" s="407"/>
    </row>
    <row r="324" spans="2:31">
      <c r="B324" s="407"/>
      <c r="C324" s="407"/>
      <c r="D324" s="407"/>
      <c r="E324" s="407"/>
      <c r="F324" s="407"/>
      <c r="G324" s="407"/>
      <c r="H324" s="407"/>
      <c r="I324" s="407"/>
      <c r="J324" s="407"/>
      <c r="K324" s="407"/>
      <c r="L324" s="407"/>
      <c r="M324" s="407"/>
      <c r="N324" s="407"/>
      <c r="O324" s="407"/>
      <c r="P324" s="407"/>
      <c r="Q324" s="407"/>
      <c r="R324" s="407"/>
      <c r="S324" s="407"/>
      <c r="T324" s="407"/>
      <c r="U324" s="407"/>
      <c r="V324" s="407"/>
      <c r="W324" s="407"/>
      <c r="X324" s="407"/>
      <c r="Y324" s="407"/>
      <c r="Z324" s="407"/>
      <c r="AA324" s="407"/>
      <c r="AB324" s="407"/>
      <c r="AC324" s="407"/>
      <c r="AD324" s="407"/>
      <c r="AE324" s="407"/>
    </row>
    <row r="325" spans="2:31">
      <c r="B325" s="407"/>
      <c r="C325" s="407"/>
      <c r="D325" s="407"/>
      <c r="E325" s="407"/>
      <c r="F325" s="407"/>
      <c r="G325" s="407"/>
      <c r="H325" s="407"/>
      <c r="I325" s="407"/>
      <c r="J325" s="407"/>
      <c r="K325" s="407"/>
      <c r="L325" s="407"/>
      <c r="M325" s="407"/>
      <c r="N325" s="407"/>
      <c r="O325" s="407"/>
      <c r="P325" s="407"/>
      <c r="Q325" s="407"/>
      <c r="R325" s="407"/>
      <c r="S325" s="407"/>
      <c r="T325" s="407"/>
      <c r="U325" s="407"/>
      <c r="V325" s="407"/>
      <c r="W325" s="407"/>
      <c r="X325" s="407"/>
      <c r="Y325" s="407"/>
      <c r="Z325" s="407"/>
      <c r="AA325" s="407"/>
      <c r="AB325" s="407"/>
      <c r="AC325" s="407"/>
      <c r="AD325" s="407"/>
      <c r="AE325" s="407"/>
    </row>
    <row r="326" spans="2:31">
      <c r="B326" s="407"/>
      <c r="C326" s="407"/>
      <c r="D326" s="407"/>
      <c r="E326" s="407"/>
      <c r="F326" s="407"/>
      <c r="G326" s="407"/>
      <c r="H326" s="407"/>
      <c r="I326" s="407"/>
      <c r="J326" s="407"/>
      <c r="K326" s="407"/>
      <c r="L326" s="407"/>
      <c r="M326" s="407"/>
      <c r="N326" s="407"/>
      <c r="O326" s="407"/>
      <c r="P326" s="407"/>
      <c r="Q326" s="407"/>
      <c r="R326" s="407"/>
      <c r="S326" s="407"/>
      <c r="T326" s="407"/>
      <c r="U326" s="407"/>
      <c r="V326" s="407"/>
      <c r="W326" s="407"/>
      <c r="X326" s="407"/>
      <c r="Y326" s="407"/>
      <c r="Z326" s="407"/>
      <c r="AA326" s="407"/>
      <c r="AB326" s="407"/>
      <c r="AC326" s="407"/>
      <c r="AD326" s="407"/>
      <c r="AE326" s="407"/>
    </row>
    <row r="327" spans="2:31">
      <c r="B327" s="407"/>
      <c r="C327" s="407"/>
      <c r="D327" s="407"/>
      <c r="E327" s="407"/>
      <c r="F327" s="407"/>
      <c r="G327" s="407"/>
      <c r="H327" s="407"/>
      <c r="I327" s="407"/>
      <c r="J327" s="407"/>
      <c r="K327" s="407"/>
      <c r="L327" s="407"/>
      <c r="M327" s="407"/>
      <c r="N327" s="407"/>
      <c r="O327" s="407"/>
      <c r="P327" s="407"/>
      <c r="Q327" s="407"/>
      <c r="R327" s="407"/>
      <c r="S327" s="407"/>
      <c r="T327" s="407"/>
      <c r="U327" s="407"/>
      <c r="V327" s="407"/>
      <c r="W327" s="407"/>
      <c r="X327" s="407"/>
      <c r="Y327" s="407"/>
      <c r="Z327" s="407"/>
      <c r="AA327" s="407"/>
      <c r="AB327" s="407"/>
      <c r="AC327" s="407"/>
      <c r="AD327" s="407"/>
      <c r="AE327" s="407"/>
    </row>
    <row r="328" spans="2:31">
      <c r="B328" s="407"/>
      <c r="C328" s="407"/>
      <c r="D328" s="407"/>
      <c r="E328" s="407"/>
      <c r="F328" s="407"/>
      <c r="G328" s="407"/>
      <c r="H328" s="407"/>
      <c r="I328" s="407"/>
      <c r="J328" s="407"/>
      <c r="K328" s="407"/>
      <c r="L328" s="407"/>
      <c r="M328" s="407"/>
      <c r="N328" s="407"/>
      <c r="O328" s="407"/>
      <c r="P328" s="407"/>
      <c r="Q328" s="407"/>
      <c r="R328" s="407"/>
      <c r="S328" s="407"/>
      <c r="T328" s="407"/>
      <c r="U328" s="407"/>
      <c r="V328" s="407"/>
      <c r="W328" s="407"/>
      <c r="X328" s="407"/>
      <c r="Y328" s="407"/>
      <c r="Z328" s="407"/>
      <c r="AA328" s="407"/>
      <c r="AB328" s="407"/>
      <c r="AC328" s="407"/>
      <c r="AD328" s="407"/>
      <c r="AE328" s="407"/>
    </row>
    <row r="329" spans="2:31">
      <c r="B329" s="407"/>
      <c r="C329" s="407"/>
      <c r="D329" s="407"/>
      <c r="E329" s="407"/>
      <c r="F329" s="407"/>
      <c r="G329" s="407"/>
      <c r="H329" s="407"/>
      <c r="I329" s="407"/>
      <c r="J329" s="407"/>
      <c r="K329" s="407"/>
      <c r="L329" s="407"/>
      <c r="M329" s="407"/>
      <c r="N329" s="407"/>
      <c r="O329" s="407"/>
      <c r="P329" s="407"/>
      <c r="Q329" s="407"/>
      <c r="R329" s="407"/>
      <c r="S329" s="407"/>
      <c r="T329" s="407"/>
      <c r="U329" s="407"/>
      <c r="V329" s="407"/>
      <c r="W329" s="407"/>
      <c r="X329" s="407"/>
      <c r="Y329" s="407"/>
      <c r="Z329" s="407"/>
      <c r="AA329" s="407"/>
      <c r="AB329" s="407"/>
      <c r="AC329" s="407"/>
      <c r="AD329" s="407"/>
      <c r="AE329" s="407"/>
    </row>
    <row r="330" spans="2:31">
      <c r="B330" s="407"/>
      <c r="C330" s="407"/>
      <c r="D330" s="407"/>
      <c r="E330" s="407"/>
      <c r="F330" s="407"/>
      <c r="G330" s="407"/>
      <c r="H330" s="407"/>
      <c r="I330" s="407"/>
      <c r="J330" s="407"/>
      <c r="K330" s="407"/>
      <c r="L330" s="407"/>
      <c r="M330" s="407"/>
      <c r="N330" s="407"/>
      <c r="O330" s="407"/>
      <c r="P330" s="407"/>
      <c r="Q330" s="407"/>
      <c r="R330" s="407"/>
      <c r="S330" s="407"/>
      <c r="T330" s="407"/>
      <c r="U330" s="407"/>
      <c r="V330" s="407"/>
      <c r="W330" s="407"/>
      <c r="X330" s="407"/>
      <c r="Y330" s="407"/>
      <c r="Z330" s="407"/>
      <c r="AA330" s="407"/>
      <c r="AB330" s="407"/>
      <c r="AC330" s="407"/>
      <c r="AD330" s="407"/>
      <c r="AE330" s="407"/>
    </row>
    <row r="331" spans="2:31">
      <c r="B331" s="407"/>
      <c r="C331" s="407"/>
      <c r="D331" s="407"/>
      <c r="E331" s="407"/>
      <c r="F331" s="407"/>
      <c r="G331" s="407"/>
      <c r="H331" s="407"/>
      <c r="I331" s="407"/>
      <c r="J331" s="407"/>
      <c r="K331" s="407"/>
      <c r="L331" s="407"/>
      <c r="M331" s="407"/>
      <c r="N331" s="407"/>
      <c r="O331" s="407"/>
      <c r="P331" s="407"/>
      <c r="Q331" s="407"/>
      <c r="R331" s="407"/>
      <c r="S331" s="407"/>
      <c r="T331" s="407"/>
      <c r="U331" s="407"/>
      <c r="V331" s="407"/>
      <c r="W331" s="407"/>
      <c r="X331" s="407"/>
      <c r="Y331" s="407"/>
      <c r="Z331" s="407"/>
      <c r="AA331" s="407"/>
      <c r="AB331" s="407"/>
      <c r="AC331" s="407"/>
      <c r="AD331" s="407"/>
      <c r="AE331" s="407"/>
    </row>
    <row r="332" spans="2:31">
      <c r="B332" s="407"/>
      <c r="C332" s="407"/>
      <c r="D332" s="407"/>
      <c r="E332" s="407"/>
      <c r="F332" s="407"/>
      <c r="G332" s="407"/>
      <c r="H332" s="407"/>
      <c r="I332" s="407"/>
      <c r="J332" s="407"/>
      <c r="K332" s="407"/>
      <c r="L332" s="407"/>
      <c r="M332" s="407"/>
      <c r="N332" s="407"/>
      <c r="O332" s="407"/>
      <c r="P332" s="407"/>
      <c r="Q332" s="407"/>
      <c r="R332" s="407"/>
      <c r="S332" s="407"/>
      <c r="T332" s="407"/>
      <c r="U332" s="407"/>
      <c r="V332" s="407"/>
      <c r="W332" s="407"/>
      <c r="X332" s="407"/>
      <c r="Y332" s="407"/>
      <c r="Z332" s="407"/>
      <c r="AA332" s="407"/>
      <c r="AB332" s="407"/>
      <c r="AC332" s="407"/>
      <c r="AD332" s="407"/>
      <c r="AE332" s="407"/>
    </row>
    <row r="333" spans="2:31">
      <c r="B333" s="407"/>
      <c r="C333" s="407"/>
      <c r="D333" s="407"/>
      <c r="E333" s="407"/>
      <c r="F333" s="407"/>
      <c r="G333" s="407"/>
      <c r="H333" s="407"/>
      <c r="I333" s="407"/>
      <c r="J333" s="407"/>
      <c r="K333" s="407"/>
      <c r="L333" s="407"/>
      <c r="M333" s="407"/>
      <c r="N333" s="407"/>
      <c r="O333" s="407"/>
      <c r="P333" s="407"/>
      <c r="Q333" s="407"/>
      <c r="R333" s="407"/>
      <c r="S333" s="407"/>
      <c r="T333" s="407"/>
      <c r="U333" s="407"/>
      <c r="V333" s="407"/>
      <c r="W333" s="407"/>
      <c r="X333" s="407"/>
      <c r="Y333" s="407"/>
      <c r="Z333" s="407"/>
      <c r="AA333" s="407"/>
      <c r="AB333" s="407"/>
      <c r="AC333" s="407"/>
      <c r="AD333" s="407"/>
      <c r="AE333" s="407"/>
    </row>
    <row r="334" spans="2:31">
      <c r="B334" s="407"/>
      <c r="C334" s="407"/>
      <c r="D334" s="407"/>
      <c r="E334" s="407"/>
      <c r="F334" s="407"/>
      <c r="G334" s="407"/>
      <c r="H334" s="407"/>
      <c r="I334" s="407"/>
      <c r="J334" s="407"/>
      <c r="K334" s="407"/>
      <c r="L334" s="407"/>
      <c r="M334" s="407"/>
      <c r="N334" s="407"/>
      <c r="O334" s="407"/>
      <c r="P334" s="407"/>
      <c r="Q334" s="407"/>
      <c r="R334" s="407"/>
      <c r="S334" s="407"/>
      <c r="T334" s="407"/>
      <c r="U334" s="407"/>
      <c r="V334" s="407"/>
      <c r="W334" s="407"/>
      <c r="X334" s="407"/>
      <c r="Y334" s="407"/>
      <c r="Z334" s="407"/>
      <c r="AA334" s="407"/>
      <c r="AB334" s="407"/>
      <c r="AC334" s="407"/>
      <c r="AD334" s="407"/>
      <c r="AE334" s="407"/>
    </row>
    <row r="335" spans="2:31">
      <c r="B335" s="407"/>
      <c r="C335" s="407"/>
      <c r="D335" s="407"/>
      <c r="E335" s="407"/>
      <c r="F335" s="407"/>
      <c r="G335" s="407"/>
      <c r="H335" s="407"/>
      <c r="I335" s="407"/>
      <c r="J335" s="407"/>
      <c r="K335" s="407"/>
      <c r="L335" s="407"/>
      <c r="M335" s="407"/>
      <c r="N335" s="407"/>
      <c r="O335" s="407"/>
      <c r="P335" s="407"/>
      <c r="Q335" s="407"/>
      <c r="R335" s="407"/>
      <c r="S335" s="407"/>
      <c r="T335" s="407"/>
      <c r="U335" s="407"/>
      <c r="V335" s="407"/>
      <c r="W335" s="407"/>
      <c r="X335" s="407"/>
      <c r="Y335" s="407"/>
      <c r="Z335" s="407"/>
      <c r="AA335" s="407"/>
      <c r="AB335" s="407"/>
      <c r="AC335" s="407"/>
      <c r="AD335" s="407"/>
      <c r="AE335" s="407"/>
    </row>
    <row r="336" spans="2:31">
      <c r="B336" s="407"/>
      <c r="C336" s="407"/>
      <c r="D336" s="407"/>
      <c r="E336" s="407"/>
      <c r="F336" s="407"/>
      <c r="G336" s="407"/>
      <c r="H336" s="407"/>
      <c r="I336" s="407"/>
      <c r="J336" s="407"/>
      <c r="K336" s="407"/>
      <c r="L336" s="407"/>
      <c r="M336" s="407"/>
      <c r="N336" s="407"/>
      <c r="O336" s="407"/>
      <c r="P336" s="407"/>
      <c r="Q336" s="407"/>
      <c r="R336" s="407"/>
      <c r="S336" s="407"/>
      <c r="T336" s="407"/>
      <c r="U336" s="407"/>
      <c r="V336" s="407"/>
      <c r="W336" s="407"/>
      <c r="X336" s="407"/>
      <c r="Y336" s="407"/>
      <c r="Z336" s="407"/>
      <c r="AA336" s="407"/>
      <c r="AB336" s="407"/>
      <c r="AC336" s="407"/>
      <c r="AD336" s="407"/>
      <c r="AE336" s="407"/>
    </row>
    <row r="337" spans="2:31">
      <c r="B337" s="407"/>
      <c r="C337" s="407"/>
      <c r="D337" s="407"/>
      <c r="E337" s="407"/>
      <c r="F337" s="407"/>
      <c r="G337" s="407"/>
      <c r="H337" s="407"/>
      <c r="I337" s="407"/>
      <c r="J337" s="407"/>
      <c r="K337" s="407"/>
      <c r="L337" s="407"/>
      <c r="M337" s="407"/>
      <c r="N337" s="407"/>
      <c r="O337" s="407"/>
      <c r="P337" s="407"/>
      <c r="Q337" s="407"/>
      <c r="R337" s="407"/>
      <c r="S337" s="407"/>
      <c r="T337" s="407"/>
      <c r="U337" s="407"/>
      <c r="V337" s="407"/>
      <c r="W337" s="407"/>
      <c r="X337" s="407"/>
      <c r="Y337" s="407"/>
      <c r="Z337" s="407"/>
      <c r="AA337" s="407"/>
      <c r="AB337" s="407"/>
      <c r="AC337" s="407"/>
      <c r="AD337" s="407"/>
      <c r="AE337" s="407"/>
    </row>
    <row r="338" spans="2:31">
      <c r="B338" s="407"/>
      <c r="C338" s="407"/>
      <c r="D338" s="407"/>
      <c r="E338" s="407"/>
      <c r="F338" s="407"/>
      <c r="G338" s="407"/>
      <c r="H338" s="407"/>
      <c r="I338" s="407"/>
      <c r="J338" s="407"/>
      <c r="K338" s="407"/>
      <c r="L338" s="407"/>
      <c r="M338" s="407"/>
      <c r="N338" s="407"/>
      <c r="O338" s="407"/>
      <c r="P338" s="407"/>
      <c r="Q338" s="407"/>
      <c r="R338" s="407"/>
      <c r="S338" s="407"/>
      <c r="T338" s="407"/>
      <c r="U338" s="407"/>
      <c r="V338" s="407"/>
      <c r="W338" s="407"/>
      <c r="X338" s="407"/>
      <c r="Y338" s="407"/>
      <c r="Z338" s="407"/>
      <c r="AA338" s="407"/>
      <c r="AB338" s="407"/>
      <c r="AC338" s="407"/>
      <c r="AD338" s="407"/>
      <c r="AE338" s="407"/>
    </row>
    <row r="339" spans="2:31">
      <c r="B339" s="407"/>
      <c r="C339" s="407"/>
      <c r="D339" s="407"/>
      <c r="E339" s="407"/>
      <c r="F339" s="407"/>
      <c r="G339" s="407"/>
      <c r="H339" s="407"/>
      <c r="I339" s="407"/>
      <c r="J339" s="407"/>
      <c r="K339" s="407"/>
      <c r="L339" s="407"/>
      <c r="M339" s="407"/>
      <c r="N339" s="407"/>
      <c r="O339" s="407"/>
      <c r="P339" s="407"/>
      <c r="Q339" s="407"/>
      <c r="R339" s="407"/>
      <c r="S339" s="407"/>
      <c r="T339" s="407"/>
      <c r="U339" s="407"/>
      <c r="V339" s="407"/>
      <c r="W339" s="407"/>
      <c r="X339" s="407"/>
      <c r="Y339" s="407"/>
      <c r="Z339" s="407"/>
      <c r="AA339" s="407"/>
      <c r="AB339" s="407"/>
      <c r="AC339" s="407"/>
      <c r="AD339" s="407"/>
      <c r="AE339" s="407"/>
    </row>
    <row r="340" spans="2:31">
      <c r="B340" s="407"/>
      <c r="C340" s="407"/>
      <c r="D340" s="407"/>
      <c r="E340" s="407"/>
      <c r="F340" s="407"/>
      <c r="G340" s="407"/>
      <c r="H340" s="407"/>
      <c r="I340" s="407"/>
      <c r="J340" s="407"/>
      <c r="K340" s="407"/>
      <c r="L340" s="407"/>
      <c r="M340" s="407"/>
      <c r="N340" s="407"/>
      <c r="O340" s="407"/>
      <c r="P340" s="407"/>
      <c r="Q340" s="407"/>
      <c r="R340" s="407"/>
      <c r="S340" s="407"/>
      <c r="T340" s="407"/>
      <c r="U340" s="407"/>
      <c r="V340" s="407"/>
      <c r="W340" s="407"/>
      <c r="X340" s="407"/>
      <c r="Y340" s="407"/>
      <c r="Z340" s="407"/>
      <c r="AA340" s="407"/>
      <c r="AB340" s="407"/>
      <c r="AC340" s="407"/>
      <c r="AD340" s="407"/>
      <c r="AE340" s="407"/>
    </row>
    <row r="341" spans="2:31">
      <c r="B341" s="407"/>
      <c r="C341" s="407"/>
      <c r="D341" s="407"/>
      <c r="E341" s="407"/>
      <c r="F341" s="407"/>
      <c r="G341" s="407"/>
      <c r="H341" s="407"/>
      <c r="I341" s="407"/>
      <c r="J341" s="407"/>
      <c r="K341" s="407"/>
      <c r="L341" s="407"/>
      <c r="M341" s="407"/>
      <c r="N341" s="407"/>
      <c r="O341" s="407"/>
      <c r="P341" s="407"/>
      <c r="Q341" s="407"/>
      <c r="R341" s="407"/>
      <c r="S341" s="407"/>
      <c r="T341" s="407"/>
      <c r="U341" s="407"/>
      <c r="V341" s="407"/>
      <c r="W341" s="407"/>
      <c r="X341" s="407"/>
      <c r="Y341" s="407"/>
      <c r="Z341" s="407"/>
      <c r="AA341" s="407"/>
      <c r="AB341" s="407"/>
      <c r="AC341" s="407"/>
      <c r="AD341" s="407"/>
      <c r="AE341" s="407"/>
    </row>
    <row r="342" spans="2:31">
      <c r="B342" s="407"/>
      <c r="C342" s="407"/>
      <c r="D342" s="407"/>
      <c r="E342" s="407"/>
      <c r="F342" s="407"/>
      <c r="G342" s="407"/>
      <c r="H342" s="407"/>
      <c r="I342" s="407"/>
      <c r="J342" s="407"/>
      <c r="K342" s="407"/>
      <c r="L342" s="407"/>
      <c r="M342" s="407"/>
      <c r="N342" s="407"/>
      <c r="O342" s="407"/>
      <c r="P342" s="407"/>
      <c r="Q342" s="407"/>
      <c r="R342" s="407"/>
      <c r="S342" s="407"/>
      <c r="T342" s="407"/>
      <c r="U342" s="407"/>
      <c r="V342" s="407"/>
      <c r="W342" s="407"/>
      <c r="X342" s="407"/>
      <c r="Y342" s="407"/>
      <c r="Z342" s="407"/>
      <c r="AA342" s="407"/>
      <c r="AB342" s="407"/>
      <c r="AC342" s="407"/>
      <c r="AD342" s="407"/>
      <c r="AE342" s="407"/>
    </row>
    <row r="343" spans="2:31">
      <c r="B343" s="407"/>
      <c r="C343" s="407"/>
      <c r="D343" s="407"/>
      <c r="E343" s="407"/>
      <c r="F343" s="407"/>
      <c r="G343" s="407"/>
      <c r="H343" s="407"/>
      <c r="I343" s="407"/>
      <c r="J343" s="407"/>
      <c r="K343" s="407"/>
      <c r="L343" s="407"/>
      <c r="M343" s="407"/>
      <c r="N343" s="407"/>
      <c r="O343" s="407"/>
      <c r="P343" s="407"/>
      <c r="Q343" s="407"/>
      <c r="R343" s="407"/>
      <c r="S343" s="407"/>
      <c r="T343" s="407"/>
      <c r="U343" s="407"/>
      <c r="V343" s="407"/>
      <c r="W343" s="407"/>
      <c r="X343" s="407"/>
      <c r="Y343" s="407"/>
      <c r="Z343" s="407"/>
      <c r="AA343" s="407"/>
      <c r="AB343" s="407"/>
      <c r="AC343" s="407"/>
      <c r="AD343" s="407"/>
      <c r="AE343" s="407"/>
    </row>
    <row r="344" spans="2:31">
      <c r="B344" s="407"/>
      <c r="C344" s="407"/>
      <c r="D344" s="407"/>
      <c r="E344" s="407"/>
      <c r="F344" s="407"/>
      <c r="G344" s="407"/>
      <c r="H344" s="407"/>
      <c r="I344" s="407"/>
      <c r="J344" s="407"/>
      <c r="K344" s="407"/>
      <c r="L344" s="407"/>
      <c r="M344" s="407"/>
      <c r="N344" s="407"/>
      <c r="O344" s="407"/>
      <c r="P344" s="407"/>
      <c r="Q344" s="407"/>
      <c r="R344" s="407"/>
      <c r="S344" s="407"/>
      <c r="T344" s="407"/>
      <c r="U344" s="407"/>
      <c r="V344" s="407"/>
      <c r="W344" s="407"/>
      <c r="X344" s="407"/>
      <c r="Y344" s="407"/>
      <c r="Z344" s="407"/>
      <c r="AA344" s="407"/>
      <c r="AB344" s="407"/>
      <c r="AC344" s="407"/>
      <c r="AD344" s="407"/>
      <c r="AE344" s="407"/>
    </row>
    <row r="345" spans="2:31">
      <c r="B345" s="407"/>
      <c r="C345" s="407"/>
      <c r="D345" s="407"/>
      <c r="E345" s="407"/>
      <c r="F345" s="407"/>
      <c r="G345" s="407"/>
      <c r="H345" s="407"/>
      <c r="I345" s="407"/>
      <c r="J345" s="407"/>
      <c r="K345" s="407"/>
      <c r="L345" s="407"/>
      <c r="M345" s="407"/>
      <c r="N345" s="407"/>
      <c r="O345" s="407"/>
      <c r="P345" s="407"/>
      <c r="Q345" s="407"/>
      <c r="R345" s="407"/>
      <c r="S345" s="407"/>
      <c r="T345" s="407"/>
      <c r="U345" s="407"/>
      <c r="V345" s="407"/>
      <c r="W345" s="407"/>
      <c r="X345" s="407"/>
      <c r="Y345" s="407"/>
      <c r="Z345" s="407"/>
      <c r="AA345" s="407"/>
      <c r="AB345" s="407"/>
      <c r="AC345" s="407"/>
      <c r="AD345" s="407"/>
      <c r="AE345" s="407"/>
    </row>
    <row r="346" spans="2:31">
      <c r="B346" s="407"/>
      <c r="C346" s="407"/>
      <c r="D346" s="407"/>
      <c r="E346" s="407"/>
      <c r="F346" s="407"/>
      <c r="G346" s="407"/>
      <c r="H346" s="407"/>
      <c r="I346" s="407"/>
      <c r="J346" s="407"/>
      <c r="K346" s="407"/>
      <c r="L346" s="407"/>
      <c r="M346" s="407"/>
      <c r="N346" s="407"/>
      <c r="O346" s="407"/>
      <c r="P346" s="407"/>
      <c r="Q346" s="407"/>
      <c r="R346" s="407"/>
      <c r="S346" s="407"/>
      <c r="T346" s="407"/>
      <c r="U346" s="407"/>
      <c r="V346" s="407"/>
      <c r="W346" s="407"/>
      <c r="X346" s="407"/>
      <c r="Y346" s="407"/>
      <c r="Z346" s="407"/>
      <c r="AA346" s="407"/>
      <c r="AB346" s="407"/>
      <c r="AC346" s="407"/>
      <c r="AD346" s="407"/>
      <c r="AE346" s="407"/>
    </row>
    <row r="347" spans="2:31">
      <c r="B347" s="407"/>
      <c r="C347" s="407"/>
      <c r="D347" s="407"/>
      <c r="E347" s="407"/>
      <c r="F347" s="407"/>
      <c r="G347" s="407"/>
      <c r="H347" s="407"/>
      <c r="I347" s="407"/>
      <c r="J347" s="407"/>
      <c r="K347" s="407"/>
      <c r="L347" s="407"/>
      <c r="M347" s="407"/>
      <c r="N347" s="407"/>
      <c r="O347" s="407"/>
      <c r="P347" s="407"/>
      <c r="Q347" s="407"/>
      <c r="R347" s="407"/>
      <c r="S347" s="407"/>
      <c r="T347" s="407"/>
      <c r="U347" s="407"/>
      <c r="V347" s="407"/>
      <c r="W347" s="407"/>
      <c r="X347" s="407"/>
      <c r="Y347" s="407"/>
      <c r="Z347" s="407"/>
      <c r="AA347" s="407"/>
      <c r="AB347" s="407"/>
      <c r="AC347" s="407"/>
      <c r="AD347" s="407"/>
      <c r="AE347" s="407"/>
    </row>
    <row r="348" spans="2:31">
      <c r="B348" s="407"/>
      <c r="C348" s="407"/>
      <c r="D348" s="407"/>
      <c r="E348" s="407"/>
      <c r="F348" s="407"/>
      <c r="G348" s="407"/>
      <c r="H348" s="407"/>
      <c r="I348" s="407"/>
      <c r="J348" s="407"/>
      <c r="K348" s="407"/>
      <c r="L348" s="407"/>
      <c r="M348" s="407"/>
      <c r="N348" s="407"/>
      <c r="O348" s="407"/>
      <c r="P348" s="407"/>
      <c r="Q348" s="407"/>
      <c r="R348" s="407"/>
      <c r="S348" s="407"/>
      <c r="T348" s="407"/>
      <c r="U348" s="407"/>
      <c r="V348" s="407"/>
      <c r="W348" s="407"/>
      <c r="X348" s="407"/>
      <c r="Y348" s="407"/>
      <c r="Z348" s="407"/>
      <c r="AA348" s="407"/>
      <c r="AB348" s="407"/>
      <c r="AC348" s="407"/>
      <c r="AD348" s="407"/>
      <c r="AE348" s="407"/>
    </row>
    <row r="349" spans="2:31">
      <c r="B349" s="407"/>
      <c r="C349" s="407"/>
      <c r="D349" s="407"/>
      <c r="E349" s="407"/>
      <c r="F349" s="407"/>
      <c r="G349" s="407"/>
      <c r="H349" s="407"/>
      <c r="I349" s="407"/>
      <c r="J349" s="407"/>
      <c r="K349" s="407"/>
      <c r="L349" s="407"/>
      <c r="M349" s="407"/>
      <c r="N349" s="407"/>
      <c r="O349" s="407"/>
      <c r="P349" s="407"/>
      <c r="Q349" s="407"/>
      <c r="R349" s="407"/>
      <c r="S349" s="407"/>
      <c r="T349" s="407"/>
      <c r="U349" s="407"/>
      <c r="V349" s="407"/>
      <c r="W349" s="407"/>
      <c r="X349" s="407"/>
      <c r="Y349" s="407"/>
      <c r="Z349" s="407"/>
      <c r="AA349" s="407"/>
      <c r="AB349" s="407"/>
      <c r="AC349" s="407"/>
      <c r="AD349" s="407"/>
      <c r="AE349" s="407"/>
    </row>
    <row r="350" spans="2:31">
      <c r="B350" s="407"/>
      <c r="C350" s="407"/>
      <c r="D350" s="407"/>
      <c r="E350" s="407"/>
      <c r="F350" s="407"/>
      <c r="G350" s="407"/>
      <c r="H350" s="407"/>
      <c r="I350" s="407"/>
      <c r="J350" s="407"/>
      <c r="K350" s="407"/>
      <c r="L350" s="407"/>
      <c r="M350" s="407"/>
      <c r="N350" s="407"/>
      <c r="O350" s="407"/>
      <c r="P350" s="407"/>
      <c r="Q350" s="407"/>
      <c r="R350" s="407"/>
      <c r="S350" s="407"/>
      <c r="T350" s="407"/>
      <c r="U350" s="407"/>
      <c r="V350" s="407"/>
      <c r="W350" s="407"/>
      <c r="X350" s="407"/>
      <c r="Y350" s="407"/>
      <c r="Z350" s="407"/>
      <c r="AA350" s="407"/>
      <c r="AB350" s="407"/>
      <c r="AC350" s="407"/>
      <c r="AD350" s="407"/>
      <c r="AE350" s="407"/>
    </row>
    <row r="351" spans="2:31">
      <c r="B351" s="407"/>
      <c r="C351" s="407"/>
      <c r="D351" s="407"/>
      <c r="E351" s="407"/>
      <c r="F351" s="407"/>
      <c r="G351" s="407"/>
      <c r="H351" s="407"/>
      <c r="I351" s="407"/>
      <c r="J351" s="407"/>
      <c r="K351" s="407"/>
      <c r="L351" s="407"/>
      <c r="M351" s="407"/>
      <c r="N351" s="407"/>
      <c r="O351" s="407"/>
      <c r="P351" s="407"/>
      <c r="Q351" s="407"/>
      <c r="R351" s="407"/>
      <c r="S351" s="407"/>
      <c r="T351" s="407"/>
      <c r="U351" s="407"/>
      <c r="V351" s="407"/>
      <c r="W351" s="407"/>
      <c r="X351" s="407"/>
      <c r="Y351" s="407"/>
      <c r="Z351" s="407"/>
      <c r="AA351" s="407"/>
      <c r="AB351" s="407"/>
      <c r="AC351" s="407"/>
      <c r="AD351" s="407"/>
      <c r="AE351" s="407"/>
    </row>
    <row r="352" spans="2:31">
      <c r="B352" s="407"/>
      <c r="C352" s="407"/>
      <c r="D352" s="407"/>
      <c r="E352" s="407"/>
      <c r="F352" s="407"/>
      <c r="G352" s="407"/>
      <c r="H352" s="407"/>
      <c r="I352" s="407"/>
      <c r="J352" s="407"/>
      <c r="K352" s="407"/>
      <c r="L352" s="407"/>
      <c r="M352" s="407"/>
      <c r="N352" s="407"/>
      <c r="O352" s="407"/>
      <c r="P352" s="407"/>
      <c r="Q352" s="407"/>
      <c r="R352" s="407"/>
      <c r="S352" s="407"/>
      <c r="T352" s="407"/>
      <c r="U352" s="407"/>
      <c r="V352" s="407"/>
      <c r="W352" s="407"/>
      <c r="X352" s="407"/>
      <c r="Y352" s="407"/>
      <c r="Z352" s="407"/>
      <c r="AA352" s="407"/>
      <c r="AB352" s="407"/>
      <c r="AC352" s="407"/>
      <c r="AD352" s="407"/>
      <c r="AE352" s="407"/>
    </row>
    <row r="353" spans="2:31">
      <c r="B353" s="407"/>
      <c r="C353" s="407"/>
      <c r="D353" s="407"/>
      <c r="E353" s="407"/>
      <c r="F353" s="407"/>
      <c r="G353" s="407"/>
      <c r="H353" s="407"/>
      <c r="I353" s="407"/>
      <c r="J353" s="407"/>
      <c r="K353" s="407"/>
      <c r="L353" s="407"/>
      <c r="M353" s="407"/>
      <c r="N353" s="407"/>
      <c r="O353" s="407"/>
      <c r="P353" s="407"/>
      <c r="Q353" s="407"/>
      <c r="R353" s="407"/>
      <c r="S353" s="407"/>
      <c r="T353" s="407"/>
      <c r="U353" s="407"/>
      <c r="V353" s="407"/>
      <c r="W353" s="407"/>
      <c r="X353" s="407"/>
      <c r="Y353" s="407"/>
      <c r="Z353" s="407"/>
      <c r="AA353" s="407"/>
      <c r="AB353" s="407"/>
      <c r="AC353" s="407"/>
      <c r="AD353" s="407"/>
      <c r="AE353" s="407"/>
    </row>
    <row r="354" spans="2:31">
      <c r="B354" s="407"/>
      <c r="C354" s="407"/>
      <c r="D354" s="407"/>
      <c r="E354" s="407"/>
      <c r="F354" s="407"/>
      <c r="G354" s="407"/>
      <c r="H354" s="407"/>
      <c r="I354" s="407"/>
      <c r="J354" s="407"/>
      <c r="K354" s="407"/>
      <c r="L354" s="407"/>
      <c r="M354" s="407"/>
      <c r="N354" s="407"/>
      <c r="O354" s="407"/>
      <c r="P354" s="407"/>
      <c r="Q354" s="407"/>
      <c r="R354" s="407"/>
      <c r="S354" s="407"/>
      <c r="T354" s="407"/>
      <c r="U354" s="407"/>
      <c r="V354" s="407"/>
      <c r="W354" s="407"/>
      <c r="X354" s="407"/>
      <c r="Y354" s="407"/>
      <c r="Z354" s="407"/>
      <c r="AA354" s="407"/>
      <c r="AB354" s="407"/>
      <c r="AC354" s="407"/>
      <c r="AD354" s="407"/>
      <c r="AE354" s="407"/>
    </row>
    <row r="355" spans="2:31">
      <c r="B355" s="407"/>
      <c r="C355" s="407"/>
      <c r="D355" s="407"/>
      <c r="E355" s="407"/>
      <c r="F355" s="407"/>
      <c r="G355" s="407"/>
      <c r="H355" s="407"/>
      <c r="I355" s="407"/>
      <c r="J355" s="407"/>
      <c r="K355" s="407"/>
      <c r="L355" s="407"/>
      <c r="M355" s="407"/>
      <c r="N355" s="407"/>
      <c r="O355" s="407"/>
      <c r="P355" s="407"/>
      <c r="Q355" s="407"/>
      <c r="R355" s="407"/>
      <c r="S355" s="407"/>
      <c r="T355" s="407"/>
      <c r="U355" s="407"/>
      <c r="V355" s="407"/>
      <c r="W355" s="407"/>
      <c r="X355" s="407"/>
      <c r="Y355" s="407"/>
      <c r="Z355" s="407"/>
      <c r="AA355" s="407"/>
      <c r="AB355" s="407"/>
      <c r="AC355" s="407"/>
      <c r="AD355" s="407"/>
      <c r="AE355" s="407"/>
    </row>
    <row r="356" spans="2:31">
      <c r="B356" s="407"/>
      <c r="C356" s="407"/>
      <c r="D356" s="407"/>
      <c r="E356" s="407"/>
      <c r="F356" s="407"/>
      <c r="G356" s="407"/>
      <c r="H356" s="407"/>
      <c r="I356" s="407"/>
      <c r="J356" s="407"/>
      <c r="K356" s="407"/>
      <c r="L356" s="407"/>
      <c r="M356" s="407"/>
      <c r="N356" s="407"/>
      <c r="O356" s="407"/>
      <c r="P356" s="407"/>
      <c r="Q356" s="407"/>
      <c r="R356" s="407"/>
      <c r="S356" s="407"/>
      <c r="T356" s="407"/>
      <c r="U356" s="407"/>
      <c r="V356" s="407"/>
      <c r="W356" s="407"/>
      <c r="X356" s="407"/>
      <c r="Y356" s="407"/>
      <c r="Z356" s="407"/>
      <c r="AA356" s="407"/>
      <c r="AB356" s="407"/>
      <c r="AC356" s="407"/>
      <c r="AD356" s="407"/>
      <c r="AE356" s="407"/>
    </row>
    <row r="357" spans="2:31">
      <c r="B357" s="407"/>
      <c r="C357" s="407"/>
      <c r="D357" s="407"/>
      <c r="E357" s="407"/>
      <c r="F357" s="407"/>
      <c r="G357" s="407"/>
      <c r="H357" s="407"/>
      <c r="I357" s="407"/>
      <c r="J357" s="407"/>
      <c r="K357" s="407"/>
      <c r="L357" s="407"/>
      <c r="M357" s="407"/>
      <c r="N357" s="407"/>
      <c r="O357" s="407"/>
      <c r="P357" s="407"/>
      <c r="Q357" s="407"/>
      <c r="R357" s="407"/>
      <c r="S357" s="407"/>
      <c r="T357" s="407"/>
      <c r="U357" s="407"/>
      <c r="V357" s="407"/>
      <c r="W357" s="407"/>
      <c r="X357" s="407"/>
      <c r="Y357" s="407"/>
      <c r="Z357" s="407"/>
      <c r="AA357" s="407"/>
      <c r="AB357" s="407"/>
      <c r="AC357" s="407"/>
      <c r="AD357" s="407"/>
      <c r="AE357" s="407"/>
    </row>
    <row r="358" spans="2:31">
      <c r="B358" s="407"/>
      <c r="C358" s="407"/>
      <c r="D358" s="407"/>
      <c r="E358" s="407"/>
      <c r="F358" s="407"/>
      <c r="G358" s="407"/>
      <c r="H358" s="407"/>
      <c r="I358" s="407"/>
      <c r="J358" s="407"/>
      <c r="K358" s="407"/>
      <c r="L358" s="407"/>
      <c r="M358" s="407"/>
      <c r="N358" s="407"/>
      <c r="O358" s="407"/>
      <c r="P358" s="407"/>
      <c r="Q358" s="407"/>
      <c r="R358" s="407"/>
      <c r="S358" s="407"/>
      <c r="T358" s="407"/>
      <c r="U358" s="407"/>
      <c r="V358" s="407"/>
      <c r="W358" s="407"/>
      <c r="X358" s="407"/>
      <c r="Y358" s="407"/>
      <c r="Z358" s="407"/>
      <c r="AA358" s="407"/>
      <c r="AB358" s="407"/>
      <c r="AC358" s="407"/>
      <c r="AD358" s="407"/>
      <c r="AE358" s="407"/>
    </row>
    <row r="359" spans="2:31">
      <c r="B359" s="407"/>
      <c r="C359" s="407"/>
      <c r="D359" s="407"/>
      <c r="E359" s="407"/>
      <c r="F359" s="407"/>
      <c r="G359" s="407"/>
      <c r="H359" s="407"/>
      <c r="I359" s="407"/>
      <c r="J359" s="407"/>
      <c r="K359" s="407"/>
      <c r="L359" s="407"/>
      <c r="M359" s="407"/>
      <c r="N359" s="407"/>
      <c r="O359" s="407"/>
      <c r="P359" s="407"/>
      <c r="Q359" s="407"/>
      <c r="R359" s="407"/>
      <c r="S359" s="407"/>
      <c r="T359" s="407"/>
      <c r="U359" s="407"/>
      <c r="V359" s="407"/>
      <c r="W359" s="407"/>
      <c r="X359" s="407"/>
      <c r="Y359" s="407"/>
      <c r="Z359" s="407"/>
      <c r="AA359" s="407"/>
      <c r="AB359" s="407"/>
      <c r="AC359" s="407"/>
      <c r="AD359" s="407"/>
      <c r="AE359" s="407"/>
    </row>
    <row r="360" spans="2:31">
      <c r="B360" s="407"/>
      <c r="C360" s="407"/>
      <c r="D360" s="407"/>
      <c r="E360" s="407"/>
      <c r="F360" s="407"/>
      <c r="G360" s="407"/>
      <c r="H360" s="407"/>
      <c r="I360" s="407"/>
      <c r="J360" s="407"/>
      <c r="K360" s="407"/>
      <c r="L360" s="407"/>
      <c r="M360" s="407"/>
      <c r="N360" s="407"/>
      <c r="O360" s="407"/>
      <c r="P360" s="407"/>
      <c r="Q360" s="407"/>
      <c r="R360" s="407"/>
      <c r="S360" s="407"/>
      <c r="T360" s="407"/>
      <c r="U360" s="407"/>
      <c r="V360" s="407"/>
      <c r="W360" s="407"/>
      <c r="X360" s="407"/>
      <c r="Y360" s="407"/>
      <c r="Z360" s="407"/>
      <c r="AA360" s="407"/>
      <c r="AB360" s="407"/>
      <c r="AC360" s="407"/>
      <c r="AD360" s="407"/>
      <c r="AE360" s="407"/>
    </row>
    <row r="361" spans="2:31">
      <c r="B361" s="407"/>
      <c r="C361" s="407"/>
      <c r="D361" s="407"/>
      <c r="E361" s="407"/>
      <c r="F361" s="407"/>
      <c r="G361" s="407"/>
      <c r="H361" s="407"/>
      <c r="I361" s="407"/>
      <c r="J361" s="407"/>
      <c r="K361" s="407"/>
      <c r="L361" s="407"/>
      <c r="M361" s="407"/>
      <c r="N361" s="407"/>
      <c r="O361" s="407"/>
      <c r="P361" s="407"/>
      <c r="Q361" s="407"/>
      <c r="R361" s="407"/>
      <c r="S361" s="407"/>
      <c r="T361" s="407"/>
      <c r="U361" s="407"/>
      <c r="V361" s="407"/>
      <c r="W361" s="407"/>
      <c r="X361" s="407"/>
      <c r="Y361" s="407"/>
      <c r="Z361" s="407"/>
      <c r="AA361" s="407"/>
      <c r="AB361" s="407"/>
      <c r="AC361" s="407"/>
      <c r="AD361" s="407"/>
      <c r="AE361" s="407"/>
    </row>
    <row r="362" spans="2:31">
      <c r="B362" s="407"/>
      <c r="C362" s="407"/>
      <c r="D362" s="407"/>
      <c r="E362" s="407"/>
      <c r="F362" s="407"/>
      <c r="G362" s="407"/>
      <c r="H362" s="407"/>
      <c r="I362" s="407"/>
      <c r="J362" s="407"/>
      <c r="K362" s="407"/>
      <c r="L362" s="407"/>
      <c r="M362" s="407"/>
      <c r="N362" s="407"/>
      <c r="O362" s="407"/>
      <c r="P362" s="407"/>
      <c r="Q362" s="407"/>
      <c r="R362" s="407"/>
      <c r="S362" s="407"/>
      <c r="T362" s="407"/>
      <c r="U362" s="407"/>
      <c r="V362" s="407"/>
      <c r="W362" s="407"/>
      <c r="X362" s="407"/>
      <c r="Y362" s="407"/>
      <c r="Z362" s="407"/>
      <c r="AA362" s="407"/>
      <c r="AB362" s="407"/>
      <c r="AC362" s="407"/>
      <c r="AD362" s="407"/>
      <c r="AE362" s="407"/>
    </row>
    <row r="363" spans="2:31">
      <c r="B363" s="407"/>
      <c r="C363" s="407"/>
      <c r="D363" s="407"/>
      <c r="E363" s="407"/>
      <c r="F363" s="407"/>
      <c r="G363" s="407"/>
      <c r="H363" s="407"/>
      <c r="I363" s="407"/>
      <c r="J363" s="407"/>
      <c r="K363" s="407"/>
      <c r="L363" s="407"/>
      <c r="M363" s="407"/>
      <c r="N363" s="407"/>
      <c r="O363" s="407"/>
      <c r="P363" s="407"/>
      <c r="Q363" s="407"/>
      <c r="R363" s="407"/>
      <c r="S363" s="407"/>
      <c r="T363" s="407"/>
      <c r="U363" s="407"/>
      <c r="V363" s="407"/>
      <c r="W363" s="407"/>
      <c r="X363" s="407"/>
      <c r="Y363" s="407"/>
      <c r="Z363" s="407"/>
      <c r="AA363" s="407"/>
      <c r="AB363" s="407"/>
      <c r="AC363" s="407"/>
      <c r="AD363" s="407"/>
      <c r="AE363" s="407"/>
    </row>
    <row r="364" spans="2:31">
      <c r="B364" s="407"/>
      <c r="C364" s="407"/>
      <c r="D364" s="407"/>
      <c r="E364" s="407"/>
      <c r="F364" s="407"/>
      <c r="G364" s="407"/>
      <c r="H364" s="407"/>
      <c r="I364" s="407"/>
      <c r="J364" s="407"/>
      <c r="K364" s="407"/>
      <c r="L364" s="407"/>
      <c r="M364" s="407"/>
      <c r="N364" s="407"/>
      <c r="O364" s="407"/>
      <c r="P364" s="407"/>
      <c r="Q364" s="407"/>
      <c r="R364" s="407"/>
      <c r="S364" s="407"/>
      <c r="T364" s="407"/>
      <c r="U364" s="407"/>
      <c r="V364" s="407"/>
      <c r="W364" s="407"/>
      <c r="X364" s="407"/>
      <c r="Y364" s="407"/>
      <c r="Z364" s="407"/>
      <c r="AA364" s="407"/>
      <c r="AB364" s="407"/>
      <c r="AC364" s="407"/>
      <c r="AD364" s="407"/>
      <c r="AE364" s="407"/>
    </row>
    <row r="365" spans="2:31">
      <c r="B365" s="407"/>
      <c r="C365" s="407"/>
      <c r="D365" s="407"/>
      <c r="E365" s="407"/>
      <c r="F365" s="407"/>
      <c r="G365" s="407"/>
      <c r="H365" s="407"/>
      <c r="I365" s="407"/>
      <c r="J365" s="407"/>
      <c r="K365" s="407"/>
      <c r="L365" s="407"/>
      <c r="M365" s="407"/>
      <c r="N365" s="407"/>
      <c r="O365" s="407"/>
      <c r="P365" s="407"/>
      <c r="Q365" s="407"/>
      <c r="R365" s="407"/>
      <c r="S365" s="407"/>
      <c r="T365" s="407"/>
      <c r="U365" s="407"/>
      <c r="V365" s="407"/>
      <c r="W365" s="407"/>
      <c r="X365" s="407"/>
      <c r="Y365" s="407"/>
      <c r="Z365" s="407"/>
      <c r="AA365" s="407"/>
      <c r="AB365" s="407"/>
      <c r="AC365" s="407"/>
      <c r="AD365" s="407"/>
      <c r="AE365" s="407"/>
    </row>
    <row r="366" spans="2:31">
      <c r="B366" s="407"/>
      <c r="C366" s="407"/>
      <c r="D366" s="407"/>
      <c r="E366" s="407"/>
      <c r="F366" s="407"/>
      <c r="G366" s="407"/>
      <c r="H366" s="407"/>
      <c r="I366" s="407"/>
      <c r="J366" s="407"/>
      <c r="K366" s="407"/>
      <c r="L366" s="407"/>
      <c r="M366" s="407"/>
      <c r="N366" s="407"/>
      <c r="O366" s="407"/>
      <c r="P366" s="407"/>
      <c r="Q366" s="407"/>
      <c r="R366" s="407"/>
      <c r="S366" s="407"/>
      <c r="T366" s="407"/>
      <c r="U366" s="407"/>
      <c r="V366" s="407"/>
      <c r="W366" s="407"/>
      <c r="X366" s="407"/>
      <c r="Y366" s="407"/>
      <c r="Z366" s="407"/>
      <c r="AA366" s="407"/>
      <c r="AB366" s="407"/>
      <c r="AC366" s="407"/>
      <c r="AD366" s="407"/>
      <c r="AE366" s="407"/>
    </row>
    <row r="367" spans="2:31">
      <c r="B367" s="407"/>
      <c r="C367" s="407"/>
      <c r="D367" s="407"/>
      <c r="E367" s="407"/>
      <c r="F367" s="407"/>
      <c r="G367" s="407"/>
      <c r="H367" s="407"/>
      <c r="I367" s="407"/>
      <c r="J367" s="407"/>
      <c r="K367" s="407"/>
      <c r="L367" s="407"/>
      <c r="M367" s="407"/>
      <c r="N367" s="407"/>
      <c r="O367" s="407"/>
      <c r="P367" s="407"/>
      <c r="Q367" s="407"/>
      <c r="R367" s="407"/>
      <c r="S367" s="407"/>
      <c r="T367" s="407"/>
      <c r="U367" s="407"/>
      <c r="V367" s="407"/>
      <c r="W367" s="407"/>
      <c r="X367" s="407"/>
      <c r="Y367" s="407"/>
      <c r="Z367" s="407"/>
      <c r="AA367" s="407"/>
      <c r="AB367" s="407"/>
      <c r="AC367" s="407"/>
      <c r="AD367" s="407"/>
      <c r="AE367" s="407"/>
    </row>
    <row r="368" spans="2:31">
      <c r="B368" s="407"/>
      <c r="C368" s="407"/>
      <c r="D368" s="407"/>
      <c r="E368" s="407"/>
      <c r="F368" s="407"/>
      <c r="G368" s="407"/>
      <c r="H368" s="407"/>
      <c r="I368" s="407"/>
      <c r="J368" s="407"/>
      <c r="K368" s="407"/>
      <c r="L368" s="407"/>
      <c r="M368" s="407"/>
      <c r="N368" s="407"/>
      <c r="O368" s="407"/>
      <c r="P368" s="407"/>
      <c r="Q368" s="407"/>
      <c r="R368" s="407"/>
      <c r="S368" s="407"/>
      <c r="T368" s="407"/>
      <c r="U368" s="407"/>
      <c r="V368" s="407"/>
      <c r="W368" s="407"/>
      <c r="X368" s="407"/>
      <c r="Y368" s="407"/>
      <c r="Z368" s="407"/>
      <c r="AA368" s="407"/>
      <c r="AB368" s="407"/>
      <c r="AC368" s="407"/>
      <c r="AD368" s="407"/>
      <c r="AE368" s="407"/>
    </row>
    <row r="369" spans="2:31">
      <c r="B369" s="407"/>
      <c r="C369" s="407"/>
      <c r="D369" s="407"/>
      <c r="E369" s="407"/>
      <c r="F369" s="407"/>
      <c r="G369" s="407"/>
      <c r="H369" s="407"/>
      <c r="I369" s="407"/>
      <c r="J369" s="407"/>
      <c r="K369" s="407"/>
      <c r="L369" s="407"/>
      <c r="M369" s="407"/>
      <c r="N369" s="407"/>
      <c r="O369" s="407"/>
      <c r="P369" s="407"/>
      <c r="Q369" s="407"/>
      <c r="R369" s="407"/>
      <c r="S369" s="407"/>
      <c r="T369" s="407"/>
      <c r="U369" s="407"/>
      <c r="V369" s="407"/>
      <c r="W369" s="407"/>
      <c r="X369" s="407"/>
      <c r="Y369" s="407"/>
      <c r="Z369" s="407"/>
      <c r="AA369" s="407"/>
      <c r="AB369" s="407"/>
      <c r="AC369" s="407"/>
      <c r="AD369" s="407"/>
      <c r="AE369" s="407"/>
    </row>
    <row r="370" spans="2:31">
      <c r="B370" s="407"/>
      <c r="C370" s="407"/>
      <c r="D370" s="407"/>
      <c r="E370" s="407"/>
      <c r="F370" s="407"/>
      <c r="G370" s="407"/>
      <c r="H370" s="407"/>
      <c r="I370" s="407"/>
      <c r="J370" s="407"/>
      <c r="K370" s="407"/>
      <c r="L370" s="407"/>
      <c r="M370" s="407"/>
      <c r="N370" s="407"/>
      <c r="O370" s="407"/>
      <c r="P370" s="407"/>
      <c r="Q370" s="407"/>
      <c r="R370" s="407"/>
      <c r="S370" s="407"/>
      <c r="T370" s="407"/>
      <c r="U370" s="407"/>
      <c r="V370" s="407"/>
      <c r="W370" s="407"/>
      <c r="X370" s="407"/>
      <c r="Y370" s="407"/>
      <c r="Z370" s="407"/>
      <c r="AA370" s="407"/>
      <c r="AB370" s="407"/>
      <c r="AC370" s="407"/>
      <c r="AD370" s="407"/>
      <c r="AE370" s="407"/>
    </row>
    <row r="371" spans="2:31">
      <c r="B371" s="407"/>
      <c r="C371" s="407"/>
      <c r="D371" s="407"/>
      <c r="E371" s="407"/>
      <c r="F371" s="407"/>
      <c r="G371" s="407"/>
      <c r="H371" s="407"/>
      <c r="I371" s="407"/>
      <c r="J371" s="407"/>
      <c r="K371" s="407"/>
      <c r="L371" s="407"/>
      <c r="M371" s="407"/>
      <c r="N371" s="407"/>
      <c r="O371" s="407"/>
      <c r="P371" s="407"/>
      <c r="Q371" s="407"/>
      <c r="R371" s="407"/>
      <c r="S371" s="407"/>
      <c r="T371" s="407"/>
      <c r="U371" s="407"/>
      <c r="V371" s="407"/>
      <c r="W371" s="407"/>
      <c r="X371" s="407"/>
      <c r="Y371" s="407"/>
      <c r="Z371" s="407"/>
      <c r="AA371" s="407"/>
      <c r="AB371" s="407"/>
      <c r="AC371" s="407"/>
      <c r="AD371" s="407"/>
      <c r="AE371" s="407"/>
    </row>
    <row r="372" spans="2:31">
      <c r="B372" s="407"/>
      <c r="C372" s="407"/>
      <c r="D372" s="407"/>
      <c r="E372" s="407"/>
      <c r="F372" s="407"/>
      <c r="G372" s="407"/>
      <c r="H372" s="407"/>
      <c r="I372" s="407"/>
      <c r="J372" s="407"/>
      <c r="K372" s="407"/>
      <c r="L372" s="407"/>
      <c r="M372" s="407"/>
      <c r="N372" s="407"/>
      <c r="O372" s="407"/>
      <c r="P372" s="407"/>
      <c r="Q372" s="407"/>
      <c r="R372" s="407"/>
      <c r="S372" s="407"/>
      <c r="T372" s="407"/>
      <c r="U372" s="407"/>
      <c r="V372" s="407"/>
      <c r="W372" s="407"/>
      <c r="X372" s="407"/>
      <c r="Y372" s="407"/>
      <c r="Z372" s="407"/>
      <c r="AA372" s="407"/>
      <c r="AB372" s="407"/>
      <c r="AC372" s="407"/>
      <c r="AD372" s="407"/>
      <c r="AE372" s="407"/>
    </row>
    <row r="373" spans="2:31">
      <c r="B373" s="407"/>
      <c r="C373" s="407"/>
      <c r="D373" s="407"/>
      <c r="E373" s="407"/>
      <c r="F373" s="407"/>
      <c r="G373" s="407"/>
      <c r="H373" s="407"/>
      <c r="I373" s="407"/>
      <c r="J373" s="407"/>
      <c r="K373" s="407"/>
      <c r="L373" s="407"/>
      <c r="M373" s="407"/>
      <c r="N373" s="407"/>
      <c r="O373" s="407"/>
      <c r="P373" s="407"/>
      <c r="Q373" s="407"/>
      <c r="R373" s="407"/>
      <c r="S373" s="407"/>
      <c r="T373" s="407"/>
      <c r="U373" s="407"/>
      <c r="V373" s="407"/>
      <c r="W373" s="407"/>
      <c r="X373" s="407"/>
      <c r="Y373" s="407"/>
      <c r="Z373" s="407"/>
      <c r="AA373" s="407"/>
      <c r="AB373" s="407"/>
      <c r="AC373" s="407"/>
      <c r="AD373" s="407"/>
      <c r="AE373" s="407"/>
    </row>
    <row r="374" spans="2:31">
      <c r="B374" s="407"/>
      <c r="C374" s="407"/>
      <c r="D374" s="407"/>
      <c r="E374" s="407"/>
      <c r="F374" s="407"/>
      <c r="G374" s="407"/>
      <c r="H374" s="407"/>
      <c r="I374" s="407"/>
      <c r="J374" s="407"/>
      <c r="K374" s="407"/>
      <c r="L374" s="407"/>
      <c r="M374" s="407"/>
      <c r="N374" s="407"/>
      <c r="O374" s="407"/>
      <c r="P374" s="407"/>
      <c r="Q374" s="407"/>
      <c r="R374" s="407"/>
      <c r="S374" s="407"/>
      <c r="T374" s="407"/>
      <c r="U374" s="407"/>
      <c r="V374" s="407"/>
      <c r="W374" s="407"/>
      <c r="X374" s="407"/>
      <c r="Y374" s="407"/>
      <c r="Z374" s="407"/>
      <c r="AA374" s="407"/>
      <c r="AB374" s="407"/>
      <c r="AC374" s="407"/>
      <c r="AD374" s="407"/>
      <c r="AE374" s="407"/>
    </row>
    <row r="375" spans="2:31">
      <c r="B375" s="407"/>
      <c r="C375" s="407"/>
      <c r="D375" s="407"/>
      <c r="E375" s="407"/>
      <c r="F375" s="407"/>
      <c r="G375" s="407"/>
      <c r="H375" s="407"/>
      <c r="I375" s="407"/>
      <c r="J375" s="407"/>
      <c r="K375" s="407"/>
      <c r="L375" s="407"/>
      <c r="M375" s="407"/>
      <c r="N375" s="407"/>
      <c r="O375" s="407"/>
      <c r="P375" s="407"/>
      <c r="Q375" s="407"/>
      <c r="R375" s="407"/>
      <c r="S375" s="407"/>
      <c r="T375" s="407"/>
      <c r="U375" s="407"/>
      <c r="V375" s="407"/>
      <c r="W375" s="407"/>
      <c r="X375" s="407"/>
      <c r="Y375" s="407"/>
      <c r="Z375" s="407"/>
      <c r="AA375" s="407"/>
      <c r="AB375" s="407"/>
      <c r="AC375" s="407"/>
      <c r="AD375" s="407"/>
      <c r="AE375" s="407"/>
    </row>
    <row r="376" spans="2:31">
      <c r="B376" s="407"/>
      <c r="C376" s="407"/>
      <c r="D376" s="407"/>
      <c r="E376" s="407"/>
      <c r="F376" s="407"/>
      <c r="G376" s="407"/>
      <c r="H376" s="407"/>
      <c r="I376" s="407"/>
      <c r="J376" s="407"/>
      <c r="K376" s="407"/>
      <c r="L376" s="407"/>
      <c r="M376" s="407"/>
      <c r="N376" s="407"/>
      <c r="O376" s="407"/>
      <c r="P376" s="407"/>
      <c r="Q376" s="407"/>
      <c r="R376" s="407"/>
      <c r="S376" s="407"/>
      <c r="T376" s="407"/>
      <c r="U376" s="407"/>
      <c r="V376" s="407"/>
      <c r="W376" s="407"/>
      <c r="X376" s="407"/>
      <c r="Y376" s="407"/>
      <c r="Z376" s="407"/>
      <c r="AA376" s="407"/>
      <c r="AB376" s="407"/>
      <c r="AC376" s="407"/>
      <c r="AD376" s="407"/>
      <c r="AE376" s="407"/>
    </row>
    <row r="377" spans="2:31">
      <c r="B377" s="407"/>
      <c r="C377" s="407"/>
      <c r="D377" s="407"/>
      <c r="E377" s="407"/>
      <c r="F377" s="407"/>
      <c r="G377" s="407"/>
      <c r="H377" s="407"/>
      <c r="I377" s="407"/>
      <c r="J377" s="407"/>
      <c r="K377" s="407"/>
      <c r="L377" s="407"/>
      <c r="M377" s="407"/>
      <c r="N377" s="407"/>
      <c r="O377" s="407"/>
      <c r="P377" s="407"/>
      <c r="Q377" s="407"/>
      <c r="R377" s="407"/>
      <c r="S377" s="407"/>
      <c r="T377" s="407"/>
      <c r="U377" s="407"/>
      <c r="V377" s="407"/>
      <c r="W377" s="407"/>
      <c r="X377" s="407"/>
      <c r="Y377" s="407"/>
      <c r="Z377" s="407"/>
      <c r="AA377" s="407"/>
      <c r="AB377" s="407"/>
      <c r="AC377" s="407"/>
      <c r="AD377" s="407"/>
      <c r="AE377" s="407"/>
    </row>
    <row r="378" spans="2:31">
      <c r="B378" s="407"/>
      <c r="C378" s="407"/>
      <c r="D378" s="407"/>
      <c r="E378" s="407"/>
      <c r="F378" s="407"/>
      <c r="G378" s="407"/>
      <c r="H378" s="407"/>
      <c r="I378" s="407"/>
      <c r="J378" s="407"/>
      <c r="K378" s="407"/>
      <c r="L378" s="407"/>
      <c r="M378" s="407"/>
      <c r="N378" s="407"/>
      <c r="O378" s="407"/>
      <c r="P378" s="407"/>
      <c r="Q378" s="407"/>
      <c r="R378" s="407"/>
      <c r="S378" s="407"/>
      <c r="T378" s="407"/>
      <c r="U378" s="407"/>
      <c r="V378" s="407"/>
      <c r="W378" s="407"/>
      <c r="X378" s="407"/>
      <c r="Y378" s="407"/>
      <c r="Z378" s="407"/>
      <c r="AA378" s="407"/>
      <c r="AB378" s="407"/>
      <c r="AC378" s="407"/>
      <c r="AD378" s="407"/>
      <c r="AE378" s="407"/>
    </row>
    <row r="379" spans="2:31">
      <c r="B379" s="407"/>
      <c r="C379" s="407"/>
      <c r="D379" s="407"/>
      <c r="E379" s="407"/>
      <c r="F379" s="407"/>
      <c r="G379" s="407"/>
      <c r="H379" s="407"/>
      <c r="I379" s="407"/>
      <c r="J379" s="407"/>
      <c r="K379" s="407"/>
      <c r="L379" s="407"/>
      <c r="M379" s="407"/>
      <c r="N379" s="407"/>
      <c r="O379" s="407"/>
      <c r="P379" s="407"/>
      <c r="Q379" s="407"/>
      <c r="R379" s="407"/>
      <c r="S379" s="407"/>
      <c r="T379" s="407"/>
      <c r="U379" s="407"/>
      <c r="V379" s="407"/>
      <c r="W379" s="407"/>
      <c r="X379" s="407"/>
      <c r="Y379" s="407"/>
      <c r="Z379" s="407"/>
      <c r="AA379" s="407"/>
      <c r="AB379" s="407"/>
      <c r="AC379" s="407"/>
      <c r="AD379" s="407"/>
      <c r="AE379" s="407"/>
    </row>
    <row r="380" spans="2:31">
      <c r="B380" s="407"/>
      <c r="C380" s="407"/>
      <c r="D380" s="407"/>
      <c r="E380" s="407"/>
      <c r="F380" s="407"/>
      <c r="G380" s="407"/>
      <c r="H380" s="407"/>
      <c r="I380" s="407"/>
      <c r="J380" s="407"/>
      <c r="K380" s="407"/>
      <c r="L380" s="407"/>
      <c r="M380" s="407"/>
      <c r="N380" s="407"/>
      <c r="O380" s="407"/>
      <c r="P380" s="407"/>
      <c r="Q380" s="407"/>
      <c r="R380" s="407"/>
      <c r="S380" s="407"/>
      <c r="T380" s="407"/>
      <c r="U380" s="407"/>
      <c r="V380" s="407"/>
      <c r="W380" s="407"/>
      <c r="X380" s="407"/>
      <c r="Y380" s="407"/>
      <c r="Z380" s="407"/>
      <c r="AA380" s="407"/>
      <c r="AB380" s="407"/>
      <c r="AC380" s="407"/>
      <c r="AD380" s="407"/>
      <c r="AE380" s="407"/>
    </row>
    <row r="381" spans="2:31">
      <c r="B381" s="407"/>
      <c r="C381" s="407"/>
      <c r="D381" s="407"/>
      <c r="E381" s="407"/>
      <c r="F381" s="407"/>
      <c r="G381" s="407"/>
      <c r="H381" s="407"/>
      <c r="I381" s="407"/>
      <c r="J381" s="407"/>
      <c r="K381" s="407"/>
      <c r="L381" s="407"/>
      <c r="M381" s="407"/>
      <c r="N381" s="407"/>
      <c r="O381" s="407"/>
      <c r="P381" s="407"/>
      <c r="Q381" s="407"/>
      <c r="R381" s="407"/>
      <c r="S381" s="407"/>
      <c r="T381" s="407"/>
      <c r="U381" s="407"/>
      <c r="V381" s="407"/>
      <c r="W381" s="407"/>
      <c r="X381" s="407"/>
      <c r="Y381" s="407"/>
      <c r="Z381" s="407"/>
      <c r="AA381" s="407"/>
      <c r="AB381" s="407"/>
      <c r="AC381" s="407"/>
      <c r="AD381" s="407"/>
      <c r="AE381" s="407"/>
    </row>
    <row r="382" spans="2:31">
      <c r="B382" s="407"/>
      <c r="C382" s="407"/>
      <c r="D382" s="407"/>
      <c r="E382" s="407"/>
      <c r="F382" s="407"/>
      <c r="G382" s="407"/>
      <c r="H382" s="407"/>
      <c r="I382" s="407"/>
      <c r="J382" s="407"/>
      <c r="K382" s="407"/>
      <c r="L382" s="407"/>
      <c r="M382" s="407"/>
      <c r="N382" s="407"/>
      <c r="O382" s="407"/>
      <c r="P382" s="407"/>
      <c r="Q382" s="407"/>
      <c r="R382" s="407"/>
      <c r="S382" s="407"/>
      <c r="T382" s="407"/>
      <c r="U382" s="407"/>
      <c r="V382" s="407"/>
      <c r="W382" s="407"/>
      <c r="X382" s="407"/>
      <c r="Y382" s="407"/>
      <c r="Z382" s="407"/>
      <c r="AA382" s="407"/>
      <c r="AB382" s="407"/>
      <c r="AC382" s="407"/>
      <c r="AD382" s="407"/>
      <c r="AE382" s="407"/>
    </row>
    <row r="383" spans="2:31">
      <c r="B383" s="407"/>
      <c r="C383" s="407"/>
      <c r="D383" s="407"/>
      <c r="E383" s="407"/>
      <c r="F383" s="407"/>
      <c r="G383" s="407"/>
      <c r="H383" s="407"/>
      <c r="I383" s="407"/>
      <c r="J383" s="407"/>
      <c r="K383" s="407"/>
      <c r="L383" s="407"/>
      <c r="M383" s="407"/>
      <c r="N383" s="407"/>
      <c r="O383" s="407"/>
      <c r="P383" s="407"/>
      <c r="Q383" s="407"/>
      <c r="R383" s="407"/>
      <c r="S383" s="407"/>
      <c r="T383" s="407"/>
      <c r="U383" s="407"/>
      <c r="V383" s="407"/>
      <c r="W383" s="407"/>
      <c r="X383" s="407"/>
      <c r="Y383" s="407"/>
      <c r="Z383" s="407"/>
      <c r="AA383" s="407"/>
      <c r="AB383" s="407"/>
      <c r="AC383" s="407"/>
      <c r="AD383" s="407"/>
      <c r="AE383" s="407"/>
    </row>
    <row r="384" spans="2:31">
      <c r="B384" s="407"/>
      <c r="C384" s="407"/>
      <c r="D384" s="407"/>
      <c r="E384" s="407"/>
      <c r="F384" s="407"/>
      <c r="G384" s="407"/>
      <c r="H384" s="407"/>
      <c r="I384" s="407"/>
      <c r="J384" s="407"/>
      <c r="K384" s="407"/>
      <c r="L384" s="407"/>
      <c r="M384" s="407"/>
      <c r="N384" s="407"/>
      <c r="O384" s="407"/>
      <c r="P384" s="407"/>
      <c r="Q384" s="407"/>
      <c r="R384" s="407"/>
      <c r="S384" s="407"/>
      <c r="T384" s="407"/>
      <c r="U384" s="407"/>
      <c r="V384" s="407"/>
      <c r="W384" s="407"/>
      <c r="X384" s="407"/>
      <c r="Y384" s="407"/>
      <c r="Z384" s="407"/>
      <c r="AA384" s="407"/>
      <c r="AB384" s="407"/>
      <c r="AC384" s="407"/>
      <c r="AD384" s="407"/>
      <c r="AE384" s="407"/>
    </row>
    <row r="385" spans="2:31">
      <c r="B385" s="407"/>
      <c r="C385" s="407"/>
      <c r="D385" s="407"/>
      <c r="E385" s="407"/>
      <c r="F385" s="407"/>
      <c r="G385" s="407"/>
      <c r="H385" s="407"/>
      <c r="I385" s="407"/>
      <c r="J385" s="407"/>
      <c r="K385" s="407"/>
      <c r="L385" s="407"/>
      <c r="M385" s="407"/>
      <c r="N385" s="407"/>
      <c r="O385" s="407"/>
      <c r="P385" s="407"/>
      <c r="Q385" s="407"/>
      <c r="R385" s="407"/>
      <c r="S385" s="407"/>
      <c r="T385" s="407"/>
      <c r="U385" s="407"/>
      <c r="V385" s="407"/>
      <c r="W385" s="407"/>
      <c r="X385" s="407"/>
      <c r="Y385" s="407"/>
      <c r="Z385" s="407"/>
      <c r="AA385" s="407"/>
      <c r="AB385" s="407"/>
      <c r="AC385" s="407"/>
      <c r="AD385" s="407"/>
      <c r="AE385" s="407"/>
    </row>
    <row r="386" spans="2:31">
      <c r="B386" s="407"/>
      <c r="C386" s="407"/>
      <c r="D386" s="407"/>
      <c r="E386" s="407"/>
      <c r="F386" s="407"/>
      <c r="G386" s="407"/>
      <c r="H386" s="407"/>
      <c r="I386" s="407"/>
      <c r="J386" s="407"/>
      <c r="K386" s="407"/>
      <c r="L386" s="407"/>
      <c r="M386" s="407"/>
      <c r="N386" s="407"/>
      <c r="O386" s="407"/>
      <c r="P386" s="407"/>
      <c r="Q386" s="407"/>
      <c r="R386" s="407"/>
      <c r="S386" s="407"/>
      <c r="T386" s="407"/>
      <c r="U386" s="407"/>
      <c r="V386" s="407"/>
      <c r="W386" s="407"/>
      <c r="X386" s="407"/>
      <c r="Y386" s="407"/>
      <c r="Z386" s="407"/>
      <c r="AA386" s="407"/>
      <c r="AB386" s="407"/>
      <c r="AC386" s="407"/>
      <c r="AD386" s="407"/>
      <c r="AE386" s="407"/>
    </row>
    <row r="387" spans="2:31">
      <c r="B387" s="407"/>
      <c r="C387" s="407"/>
      <c r="D387" s="407"/>
      <c r="E387" s="407"/>
      <c r="F387" s="407"/>
      <c r="G387" s="407"/>
      <c r="H387" s="407"/>
      <c r="I387" s="407"/>
      <c r="J387" s="407"/>
      <c r="K387" s="407"/>
      <c r="L387" s="407"/>
      <c r="M387" s="407"/>
      <c r="N387" s="407"/>
      <c r="O387" s="407"/>
      <c r="P387" s="407"/>
      <c r="Q387" s="407"/>
      <c r="R387" s="407"/>
      <c r="S387" s="407"/>
      <c r="T387" s="407"/>
      <c r="U387" s="407"/>
      <c r="V387" s="407"/>
      <c r="W387" s="407"/>
      <c r="X387" s="407"/>
      <c r="Y387" s="407"/>
      <c r="Z387" s="407"/>
      <c r="AA387" s="407"/>
      <c r="AB387" s="407"/>
      <c r="AC387" s="407"/>
      <c r="AD387" s="407"/>
      <c r="AE387" s="407"/>
    </row>
    <row r="388" spans="2:31">
      <c r="B388" s="407"/>
      <c r="C388" s="407"/>
      <c r="D388" s="407"/>
      <c r="E388" s="407"/>
      <c r="F388" s="407"/>
      <c r="G388" s="407"/>
      <c r="H388" s="407"/>
      <c r="I388" s="407"/>
      <c r="J388" s="407"/>
      <c r="K388" s="407"/>
      <c r="L388" s="407"/>
      <c r="M388" s="407"/>
      <c r="N388" s="407"/>
      <c r="O388" s="407"/>
      <c r="P388" s="407"/>
      <c r="Q388" s="407"/>
      <c r="R388" s="407"/>
      <c r="S388" s="407"/>
      <c r="T388" s="407"/>
      <c r="U388" s="407"/>
      <c r="V388" s="407"/>
      <c r="W388" s="407"/>
      <c r="X388" s="407"/>
      <c r="Y388" s="407"/>
      <c r="Z388" s="407"/>
      <c r="AA388" s="407"/>
      <c r="AB388" s="407"/>
      <c r="AC388" s="407"/>
      <c r="AD388" s="407"/>
      <c r="AE388" s="407"/>
    </row>
    <row r="389" spans="2:31">
      <c r="B389" s="407"/>
      <c r="C389" s="407"/>
      <c r="D389" s="407"/>
      <c r="E389" s="407"/>
      <c r="F389" s="407"/>
      <c r="G389" s="407"/>
      <c r="H389" s="407"/>
      <c r="I389" s="407"/>
      <c r="J389" s="407"/>
      <c r="K389" s="407"/>
      <c r="L389" s="407"/>
      <c r="M389" s="407"/>
      <c r="N389" s="407"/>
      <c r="O389" s="407"/>
      <c r="P389" s="407"/>
      <c r="Q389" s="407"/>
      <c r="R389" s="407"/>
      <c r="S389" s="407"/>
      <c r="T389" s="407"/>
      <c r="U389" s="407"/>
      <c r="V389" s="407"/>
      <c r="W389" s="407"/>
      <c r="X389" s="407"/>
      <c r="Y389" s="407"/>
      <c r="Z389" s="407"/>
      <c r="AA389" s="407"/>
      <c r="AB389" s="407"/>
      <c r="AC389" s="407"/>
      <c r="AD389" s="407"/>
      <c r="AE389" s="407"/>
    </row>
    <row r="390" spans="2:31">
      <c r="B390" s="407"/>
      <c r="C390" s="407"/>
      <c r="D390" s="407"/>
      <c r="E390" s="407"/>
      <c r="F390" s="407"/>
      <c r="G390" s="407"/>
      <c r="H390" s="407"/>
      <c r="I390" s="407"/>
      <c r="J390" s="407"/>
      <c r="K390" s="407"/>
      <c r="L390" s="407"/>
      <c r="M390" s="407"/>
      <c r="N390" s="407"/>
      <c r="O390" s="407"/>
      <c r="P390" s="407"/>
      <c r="Q390" s="407"/>
      <c r="R390" s="407"/>
      <c r="S390" s="407"/>
      <c r="T390" s="407"/>
      <c r="U390" s="407"/>
      <c r="V390" s="407"/>
      <c r="W390" s="407"/>
      <c r="X390" s="407"/>
      <c r="Y390" s="407"/>
      <c r="Z390" s="407"/>
      <c r="AA390" s="407"/>
      <c r="AB390" s="407"/>
      <c r="AC390" s="407"/>
      <c r="AD390" s="407"/>
      <c r="AE390" s="407"/>
    </row>
    <row r="391" spans="2:31">
      <c r="B391" s="407"/>
      <c r="C391" s="407"/>
      <c r="D391" s="407"/>
      <c r="E391" s="407"/>
      <c r="F391" s="407"/>
      <c r="G391" s="407"/>
      <c r="H391" s="407"/>
      <c r="I391" s="407"/>
      <c r="J391" s="407"/>
      <c r="K391" s="407"/>
      <c r="L391" s="407"/>
      <c r="M391" s="407"/>
      <c r="N391" s="407"/>
      <c r="O391" s="407"/>
      <c r="P391" s="407"/>
      <c r="Q391" s="407"/>
      <c r="R391" s="407"/>
      <c r="S391" s="407"/>
      <c r="T391" s="407"/>
      <c r="U391" s="407"/>
      <c r="V391" s="407"/>
      <c r="W391" s="407"/>
      <c r="X391" s="407"/>
      <c r="Y391" s="407"/>
      <c r="Z391" s="407"/>
      <c r="AA391" s="407"/>
      <c r="AB391" s="407"/>
      <c r="AC391" s="407"/>
      <c r="AD391" s="407"/>
      <c r="AE391" s="407"/>
    </row>
    <row r="392" spans="2:31">
      <c r="B392" s="407"/>
      <c r="C392" s="407"/>
      <c r="D392" s="407"/>
      <c r="E392" s="407"/>
      <c r="F392" s="407"/>
      <c r="G392" s="407"/>
      <c r="H392" s="407"/>
      <c r="I392" s="407"/>
      <c r="J392" s="407"/>
      <c r="K392" s="407"/>
      <c r="L392" s="407"/>
      <c r="M392" s="407"/>
      <c r="N392" s="407"/>
      <c r="O392" s="407"/>
      <c r="P392" s="407"/>
      <c r="Q392" s="407"/>
      <c r="R392" s="407"/>
      <c r="S392" s="407"/>
      <c r="T392" s="407"/>
      <c r="U392" s="407"/>
      <c r="V392" s="407"/>
      <c r="W392" s="407"/>
      <c r="X392" s="407"/>
      <c r="Y392" s="407"/>
      <c r="Z392" s="407"/>
      <c r="AA392" s="407"/>
      <c r="AB392" s="407"/>
      <c r="AC392" s="407"/>
      <c r="AD392" s="407"/>
      <c r="AE392" s="407"/>
    </row>
    <row r="393" spans="2:31">
      <c r="B393" s="407"/>
      <c r="C393" s="407"/>
      <c r="D393" s="407"/>
      <c r="E393" s="407"/>
      <c r="F393" s="407"/>
      <c r="G393" s="407"/>
      <c r="H393" s="407"/>
      <c r="I393" s="407"/>
      <c r="J393" s="407"/>
      <c r="K393" s="407"/>
      <c r="L393" s="407"/>
      <c r="M393" s="407"/>
      <c r="N393" s="407"/>
      <c r="O393" s="407"/>
      <c r="P393" s="407"/>
      <c r="Q393" s="407"/>
      <c r="R393" s="407"/>
      <c r="S393" s="407"/>
      <c r="T393" s="407"/>
      <c r="U393" s="407"/>
      <c r="V393" s="407"/>
      <c r="W393" s="407"/>
      <c r="X393" s="407"/>
      <c r="Y393" s="407"/>
      <c r="Z393" s="407"/>
      <c r="AA393" s="407"/>
      <c r="AB393" s="407"/>
      <c r="AC393" s="407"/>
      <c r="AD393" s="407"/>
      <c r="AE393" s="407"/>
    </row>
    <row r="394" spans="2:31">
      <c r="B394" s="407"/>
      <c r="C394" s="407"/>
      <c r="D394" s="407"/>
      <c r="E394" s="407"/>
      <c r="F394" s="407"/>
      <c r="G394" s="407"/>
      <c r="H394" s="407"/>
      <c r="I394" s="407"/>
      <c r="J394" s="407"/>
      <c r="K394" s="407"/>
      <c r="L394" s="407"/>
      <c r="M394" s="407"/>
      <c r="N394" s="407"/>
      <c r="O394" s="407"/>
      <c r="P394" s="407"/>
      <c r="Q394" s="407"/>
      <c r="R394" s="407"/>
      <c r="S394" s="407"/>
      <c r="T394" s="407"/>
      <c r="U394" s="407"/>
      <c r="V394" s="407"/>
      <c r="W394" s="407"/>
      <c r="X394" s="407"/>
      <c r="Y394" s="407"/>
      <c r="Z394" s="407"/>
      <c r="AA394" s="407"/>
      <c r="AB394" s="407"/>
      <c r="AC394" s="407"/>
      <c r="AD394" s="407"/>
      <c r="AE394" s="407"/>
    </row>
    <row r="395" spans="2:31">
      <c r="B395" s="407"/>
      <c r="C395" s="407"/>
      <c r="D395" s="407"/>
      <c r="E395" s="407"/>
      <c r="F395" s="407"/>
      <c r="G395" s="407"/>
      <c r="H395" s="407"/>
      <c r="I395" s="407"/>
      <c r="J395" s="407"/>
      <c r="K395" s="407"/>
      <c r="L395" s="407"/>
      <c r="M395" s="407"/>
      <c r="N395" s="407"/>
      <c r="O395" s="407"/>
      <c r="P395" s="407"/>
      <c r="Q395" s="407"/>
      <c r="R395" s="407"/>
      <c r="S395" s="407"/>
      <c r="T395" s="407"/>
      <c r="U395" s="407"/>
      <c r="V395" s="407"/>
      <c r="W395" s="407"/>
      <c r="X395" s="407"/>
      <c r="Y395" s="407"/>
      <c r="Z395" s="407"/>
      <c r="AA395" s="407"/>
      <c r="AB395" s="407"/>
      <c r="AC395" s="407"/>
      <c r="AD395" s="407"/>
      <c r="AE395" s="407"/>
    </row>
    <row r="396" spans="2:31">
      <c r="B396" s="407"/>
      <c r="C396" s="407"/>
      <c r="D396" s="407"/>
      <c r="E396" s="407"/>
      <c r="F396" s="407"/>
      <c r="G396" s="407"/>
      <c r="H396" s="407"/>
      <c r="I396" s="407"/>
      <c r="J396" s="407"/>
      <c r="K396" s="407"/>
      <c r="L396" s="407"/>
      <c r="M396" s="407"/>
      <c r="N396" s="407"/>
      <c r="O396" s="407"/>
      <c r="P396" s="407"/>
      <c r="Q396" s="407"/>
      <c r="R396" s="407"/>
      <c r="S396" s="407"/>
      <c r="T396" s="407"/>
      <c r="U396" s="407"/>
      <c r="V396" s="407"/>
      <c r="W396" s="407"/>
      <c r="X396" s="407"/>
      <c r="Y396" s="407"/>
      <c r="Z396" s="407"/>
      <c r="AA396" s="407"/>
      <c r="AB396" s="407"/>
      <c r="AC396" s="407"/>
      <c r="AD396" s="407"/>
      <c r="AE396" s="407"/>
    </row>
    <row r="397" spans="2:31">
      <c r="B397" s="407"/>
      <c r="C397" s="407"/>
      <c r="D397" s="407"/>
      <c r="E397" s="407"/>
      <c r="F397" s="407"/>
      <c r="G397" s="407"/>
      <c r="H397" s="407"/>
      <c r="I397" s="407"/>
      <c r="J397" s="407"/>
      <c r="K397" s="407"/>
      <c r="L397" s="407"/>
      <c r="M397" s="407"/>
      <c r="N397" s="407"/>
      <c r="O397" s="407"/>
      <c r="P397" s="407"/>
      <c r="Q397" s="407"/>
      <c r="R397" s="407"/>
      <c r="S397" s="407"/>
      <c r="T397" s="407"/>
      <c r="U397" s="407"/>
      <c r="V397" s="407"/>
      <c r="W397" s="407"/>
      <c r="X397" s="407"/>
      <c r="Y397" s="407"/>
      <c r="Z397" s="407"/>
      <c r="AA397" s="407"/>
      <c r="AB397" s="407"/>
      <c r="AC397" s="407"/>
      <c r="AD397" s="407"/>
      <c r="AE397" s="407"/>
    </row>
    <row r="398" spans="2:31">
      <c r="B398" s="407"/>
      <c r="C398" s="407"/>
      <c r="D398" s="407"/>
      <c r="E398" s="407"/>
      <c r="F398" s="407"/>
      <c r="G398" s="407"/>
      <c r="H398" s="407"/>
      <c r="I398" s="407"/>
      <c r="J398" s="407"/>
      <c r="K398" s="407"/>
      <c r="L398" s="407"/>
      <c r="M398" s="407"/>
      <c r="N398" s="407"/>
      <c r="O398" s="407"/>
      <c r="P398" s="407"/>
      <c r="Q398" s="407"/>
      <c r="R398" s="407"/>
      <c r="S398" s="407"/>
      <c r="T398" s="407"/>
      <c r="U398" s="407"/>
      <c r="V398" s="407"/>
      <c r="W398" s="407"/>
      <c r="X398" s="407"/>
      <c r="Y398" s="407"/>
      <c r="Z398" s="407"/>
      <c r="AA398" s="407"/>
      <c r="AB398" s="407"/>
      <c r="AC398" s="407"/>
      <c r="AD398" s="407"/>
      <c r="AE398" s="407"/>
    </row>
    <row r="399" spans="2:31">
      <c r="B399" s="407"/>
      <c r="C399" s="407"/>
      <c r="D399" s="407"/>
      <c r="E399" s="407"/>
      <c r="F399" s="407"/>
      <c r="G399" s="407"/>
      <c r="H399" s="407"/>
      <c r="I399" s="407"/>
      <c r="J399" s="407"/>
      <c r="K399" s="407"/>
      <c r="L399" s="407"/>
      <c r="M399" s="407"/>
      <c r="N399" s="407"/>
      <c r="O399" s="407"/>
      <c r="P399" s="407"/>
      <c r="Q399" s="407"/>
      <c r="R399" s="407"/>
      <c r="S399" s="407"/>
      <c r="T399" s="407"/>
      <c r="U399" s="407"/>
      <c r="V399" s="407"/>
      <c r="W399" s="407"/>
      <c r="X399" s="407"/>
      <c r="Y399" s="407"/>
      <c r="Z399" s="407"/>
      <c r="AA399" s="407"/>
      <c r="AB399" s="407"/>
      <c r="AC399" s="407"/>
      <c r="AD399" s="407"/>
      <c r="AE399" s="407"/>
    </row>
    <row r="400" spans="2:31">
      <c r="B400" s="407"/>
      <c r="C400" s="407"/>
      <c r="D400" s="407"/>
      <c r="E400" s="407"/>
      <c r="F400" s="407"/>
      <c r="G400" s="407"/>
      <c r="H400" s="407"/>
      <c r="I400" s="407"/>
      <c r="J400" s="407"/>
      <c r="K400" s="407"/>
      <c r="L400" s="407"/>
      <c r="M400" s="407"/>
      <c r="N400" s="407"/>
      <c r="O400" s="407"/>
      <c r="P400" s="407"/>
      <c r="Q400" s="407"/>
      <c r="R400" s="407"/>
      <c r="S400" s="407"/>
      <c r="T400" s="407"/>
      <c r="U400" s="407"/>
      <c r="V400" s="407"/>
      <c r="W400" s="407"/>
      <c r="X400" s="407"/>
      <c r="Y400" s="407"/>
      <c r="Z400" s="407"/>
      <c r="AA400" s="407"/>
      <c r="AB400" s="407"/>
      <c r="AC400" s="407"/>
      <c r="AD400" s="407"/>
      <c r="AE400" s="407"/>
    </row>
    <row r="401" spans="2:31">
      <c r="B401" s="407"/>
      <c r="C401" s="407"/>
      <c r="D401" s="407"/>
      <c r="E401" s="407"/>
      <c r="F401" s="407"/>
      <c r="G401" s="407"/>
      <c r="H401" s="407"/>
      <c r="I401" s="407"/>
      <c r="J401" s="407"/>
      <c r="K401" s="407"/>
      <c r="L401" s="407"/>
      <c r="M401" s="407"/>
      <c r="N401" s="407"/>
      <c r="O401" s="407"/>
      <c r="P401" s="407"/>
      <c r="Q401" s="407"/>
      <c r="R401" s="407"/>
      <c r="S401" s="407"/>
      <c r="T401" s="407"/>
      <c r="U401" s="407"/>
      <c r="V401" s="407"/>
      <c r="W401" s="407"/>
      <c r="X401" s="407"/>
      <c r="Y401" s="407"/>
      <c r="Z401" s="407"/>
      <c r="AA401" s="407"/>
      <c r="AB401" s="407"/>
      <c r="AC401" s="407"/>
      <c r="AD401" s="407"/>
      <c r="AE401" s="407"/>
    </row>
    <row r="402" spans="2:31">
      <c r="B402" s="407"/>
      <c r="C402" s="407"/>
      <c r="D402" s="407"/>
      <c r="E402" s="407"/>
      <c r="F402" s="407"/>
      <c r="G402" s="407"/>
      <c r="H402" s="407"/>
      <c r="I402" s="407"/>
      <c r="J402" s="407"/>
      <c r="K402" s="407"/>
      <c r="L402" s="407"/>
      <c r="M402" s="407"/>
      <c r="N402" s="407"/>
      <c r="O402" s="407"/>
      <c r="P402" s="407"/>
      <c r="Q402" s="407"/>
      <c r="R402" s="407"/>
      <c r="S402" s="407"/>
      <c r="T402" s="407"/>
      <c r="U402" s="407"/>
      <c r="V402" s="407"/>
      <c r="W402" s="407"/>
      <c r="X402" s="407"/>
      <c r="Y402" s="407"/>
      <c r="Z402" s="407"/>
      <c r="AA402" s="407"/>
      <c r="AB402" s="407"/>
      <c r="AC402" s="407"/>
      <c r="AD402" s="407"/>
      <c r="AE402" s="407"/>
    </row>
    <row r="403" spans="2:31">
      <c r="B403" s="407"/>
      <c r="C403" s="407"/>
      <c r="D403" s="407"/>
      <c r="E403" s="407"/>
      <c r="F403" s="407"/>
      <c r="G403" s="407"/>
      <c r="H403" s="407"/>
      <c r="I403" s="407"/>
      <c r="J403" s="407"/>
      <c r="K403" s="407"/>
      <c r="L403" s="407"/>
      <c r="M403" s="407"/>
      <c r="N403" s="407"/>
      <c r="O403" s="407"/>
      <c r="P403" s="407"/>
      <c r="Q403" s="407"/>
      <c r="R403" s="407"/>
      <c r="S403" s="407"/>
      <c r="T403" s="407"/>
      <c r="U403" s="407"/>
      <c r="V403" s="407"/>
      <c r="W403" s="407"/>
      <c r="X403" s="407"/>
      <c r="Y403" s="407"/>
      <c r="Z403" s="407"/>
      <c r="AA403" s="407"/>
      <c r="AB403" s="407"/>
      <c r="AC403" s="407"/>
      <c r="AD403" s="407"/>
      <c r="AE403" s="407"/>
    </row>
    <row r="404" spans="2:31">
      <c r="B404" s="407"/>
      <c r="C404" s="407"/>
      <c r="D404" s="407"/>
      <c r="E404" s="407"/>
      <c r="F404" s="407"/>
      <c r="G404" s="407"/>
      <c r="H404" s="407"/>
      <c r="I404" s="407"/>
      <c r="J404" s="407"/>
      <c r="K404" s="407"/>
      <c r="L404" s="407"/>
      <c r="M404" s="407"/>
      <c r="N404" s="407"/>
      <c r="O404" s="407"/>
      <c r="P404" s="407"/>
      <c r="Q404" s="407"/>
      <c r="R404" s="407"/>
      <c r="S404" s="407"/>
      <c r="T404" s="407"/>
      <c r="U404" s="407"/>
      <c r="V404" s="407"/>
      <c r="W404" s="407"/>
      <c r="X404" s="407"/>
      <c r="Y404" s="407"/>
      <c r="Z404" s="407"/>
      <c r="AA404" s="407"/>
      <c r="AB404" s="407"/>
      <c r="AC404" s="407"/>
      <c r="AD404" s="407"/>
      <c r="AE404" s="407"/>
    </row>
    <row r="405" spans="2:31">
      <c r="B405" s="407"/>
      <c r="C405" s="407"/>
      <c r="D405" s="407"/>
      <c r="E405" s="407"/>
      <c r="F405" s="407"/>
      <c r="G405" s="407"/>
      <c r="H405" s="407"/>
      <c r="I405" s="407"/>
      <c r="J405" s="407"/>
      <c r="K405" s="407"/>
      <c r="L405" s="407"/>
      <c r="M405" s="407"/>
      <c r="N405" s="407"/>
      <c r="O405" s="407"/>
      <c r="P405" s="407"/>
      <c r="Q405" s="407"/>
      <c r="R405" s="407"/>
      <c r="S405" s="407"/>
      <c r="T405" s="407"/>
      <c r="U405" s="407"/>
      <c r="V405" s="407"/>
      <c r="W405" s="407"/>
      <c r="X405" s="407"/>
      <c r="Y405" s="407"/>
      <c r="Z405" s="407"/>
      <c r="AA405" s="407"/>
      <c r="AB405" s="407"/>
      <c r="AC405" s="407"/>
      <c r="AD405" s="407"/>
      <c r="AE405" s="407"/>
    </row>
    <row r="406" spans="2:31">
      <c r="B406" s="407"/>
      <c r="C406" s="407"/>
      <c r="D406" s="407"/>
      <c r="E406" s="407"/>
      <c r="F406" s="407"/>
      <c r="G406" s="407"/>
      <c r="H406" s="407"/>
      <c r="I406" s="407"/>
      <c r="J406" s="407"/>
      <c r="K406" s="407"/>
      <c r="L406" s="407"/>
      <c r="M406" s="407"/>
      <c r="N406" s="407"/>
      <c r="O406" s="407"/>
      <c r="P406" s="407"/>
      <c r="Q406" s="407"/>
      <c r="R406" s="407"/>
      <c r="S406" s="407"/>
      <c r="T406" s="407"/>
      <c r="U406" s="407"/>
      <c r="V406" s="407"/>
      <c r="W406" s="407"/>
      <c r="X406" s="407"/>
      <c r="Y406" s="407"/>
      <c r="Z406" s="407"/>
      <c r="AA406" s="407"/>
      <c r="AB406" s="407"/>
      <c r="AC406" s="407"/>
      <c r="AD406" s="407"/>
      <c r="AE406" s="407"/>
    </row>
    <row r="407" spans="2:31">
      <c r="B407" s="407"/>
      <c r="C407" s="407"/>
      <c r="D407" s="407"/>
      <c r="E407" s="407"/>
      <c r="F407" s="407"/>
      <c r="G407" s="407"/>
      <c r="H407" s="407"/>
      <c r="I407" s="407"/>
      <c r="J407" s="407"/>
      <c r="K407" s="407"/>
      <c r="L407" s="407"/>
      <c r="M407" s="407"/>
      <c r="N407" s="407"/>
      <c r="O407" s="407"/>
      <c r="P407" s="407"/>
      <c r="Q407" s="407"/>
      <c r="R407" s="407"/>
      <c r="S407" s="407"/>
      <c r="T407" s="407"/>
      <c r="U407" s="407"/>
      <c r="V407" s="407"/>
      <c r="W407" s="407"/>
      <c r="X407" s="407"/>
      <c r="Y407" s="407"/>
      <c r="Z407" s="407"/>
      <c r="AA407" s="407"/>
      <c r="AB407" s="407"/>
      <c r="AC407" s="407"/>
      <c r="AD407" s="407"/>
      <c r="AE407" s="407"/>
    </row>
    <row r="408" spans="2:31">
      <c r="B408" s="407"/>
      <c r="C408" s="407"/>
      <c r="D408" s="407"/>
      <c r="E408" s="407"/>
      <c r="F408" s="407"/>
      <c r="G408" s="407"/>
      <c r="H408" s="407"/>
      <c r="I408" s="407"/>
      <c r="J408" s="407"/>
      <c r="K408" s="407"/>
      <c r="L408" s="407"/>
      <c r="M408" s="407"/>
      <c r="N408" s="407"/>
      <c r="O408" s="407"/>
      <c r="P408" s="407"/>
      <c r="Q408" s="407"/>
      <c r="R408" s="407"/>
      <c r="S408" s="407"/>
      <c r="T408" s="407"/>
      <c r="U408" s="407"/>
      <c r="V408" s="407"/>
      <c r="W408" s="407"/>
      <c r="X408" s="407"/>
      <c r="Y408" s="407"/>
      <c r="Z408" s="407"/>
      <c r="AA408" s="407"/>
      <c r="AB408" s="407"/>
      <c r="AC408" s="407"/>
      <c r="AD408" s="407"/>
      <c r="AE408" s="407"/>
    </row>
    <row r="409" spans="2:31">
      <c r="B409" s="407"/>
      <c r="C409" s="407"/>
      <c r="D409" s="407"/>
      <c r="E409" s="407"/>
      <c r="F409" s="407"/>
      <c r="G409" s="407"/>
      <c r="H409" s="407"/>
      <c r="I409" s="407"/>
      <c r="J409" s="407"/>
      <c r="K409" s="407"/>
      <c r="L409" s="407"/>
      <c r="M409" s="407"/>
      <c r="N409" s="407"/>
      <c r="O409" s="407"/>
      <c r="P409" s="407"/>
      <c r="Q409" s="407"/>
      <c r="R409" s="407"/>
      <c r="S409" s="407"/>
      <c r="T409" s="407"/>
      <c r="U409" s="407"/>
      <c r="V409" s="407"/>
      <c r="W409" s="407"/>
      <c r="X409" s="407"/>
      <c r="Y409" s="407"/>
      <c r="Z409" s="407"/>
      <c r="AA409" s="407"/>
      <c r="AB409" s="407"/>
      <c r="AC409" s="407"/>
      <c r="AD409" s="407"/>
      <c r="AE409" s="407"/>
    </row>
    <row r="410" spans="2:31">
      <c r="B410" s="407"/>
      <c r="C410" s="407"/>
      <c r="D410" s="407"/>
      <c r="E410" s="407"/>
      <c r="F410" s="407"/>
      <c r="G410" s="407"/>
      <c r="H410" s="407"/>
      <c r="I410" s="407"/>
      <c r="J410" s="407"/>
      <c r="K410" s="407"/>
      <c r="L410" s="407"/>
      <c r="M410" s="407"/>
      <c r="N410" s="407"/>
      <c r="O410" s="407"/>
      <c r="P410" s="407"/>
      <c r="Q410" s="407"/>
      <c r="R410" s="407"/>
      <c r="S410" s="407"/>
      <c r="T410" s="407"/>
      <c r="U410" s="407"/>
      <c r="V410" s="407"/>
      <c r="W410" s="407"/>
      <c r="X410" s="407"/>
      <c r="Y410" s="407"/>
      <c r="Z410" s="407"/>
      <c r="AA410" s="407"/>
      <c r="AB410" s="407"/>
      <c r="AC410" s="407"/>
      <c r="AD410" s="407"/>
      <c r="AE410" s="407"/>
    </row>
    <row r="411" spans="2:31">
      <c r="B411" s="407"/>
      <c r="C411" s="407"/>
      <c r="D411" s="407"/>
      <c r="E411" s="407"/>
      <c r="F411" s="407"/>
      <c r="G411" s="407"/>
      <c r="H411" s="407"/>
      <c r="I411" s="407"/>
      <c r="J411" s="407"/>
      <c r="K411" s="407"/>
      <c r="L411" s="407"/>
      <c r="M411" s="407"/>
      <c r="N411" s="407"/>
      <c r="O411" s="407"/>
      <c r="P411" s="407"/>
      <c r="Q411" s="407"/>
      <c r="R411" s="407"/>
      <c r="S411" s="407"/>
      <c r="T411" s="407"/>
      <c r="U411" s="407"/>
      <c r="V411" s="407"/>
      <c r="W411" s="407"/>
      <c r="X411" s="407"/>
      <c r="Y411" s="407"/>
      <c r="Z411" s="407"/>
      <c r="AA411" s="407"/>
      <c r="AB411" s="407"/>
      <c r="AC411" s="407"/>
      <c r="AD411" s="407"/>
      <c r="AE411" s="407"/>
    </row>
    <row r="412" spans="2:31">
      <c r="B412" s="407"/>
      <c r="C412" s="407"/>
      <c r="D412" s="407"/>
      <c r="E412" s="407"/>
      <c r="F412" s="407"/>
      <c r="G412" s="407"/>
      <c r="H412" s="407"/>
      <c r="I412" s="407"/>
      <c r="J412" s="407"/>
      <c r="K412" s="407"/>
      <c r="L412" s="407"/>
      <c r="M412" s="407"/>
      <c r="N412" s="407"/>
      <c r="O412" s="407"/>
      <c r="P412" s="407"/>
      <c r="Q412" s="407"/>
      <c r="R412" s="407"/>
      <c r="S412" s="407"/>
      <c r="T412" s="407"/>
      <c r="U412" s="407"/>
      <c r="V412" s="407"/>
      <c r="W412" s="407"/>
      <c r="X412" s="407"/>
      <c r="Y412" s="407"/>
      <c r="Z412" s="407"/>
      <c r="AA412" s="407"/>
      <c r="AB412" s="407"/>
      <c r="AC412" s="407"/>
      <c r="AD412" s="407"/>
      <c r="AE412" s="407"/>
    </row>
    <row r="413" spans="2:31">
      <c r="B413" s="407"/>
      <c r="C413" s="407"/>
      <c r="D413" s="407"/>
      <c r="E413" s="407"/>
      <c r="F413" s="407"/>
      <c r="G413" s="407"/>
      <c r="H413" s="407"/>
      <c r="I413" s="407"/>
      <c r="J413" s="407"/>
      <c r="K413" s="407"/>
      <c r="L413" s="407"/>
      <c r="M413" s="407"/>
      <c r="N413" s="407"/>
      <c r="O413" s="407"/>
      <c r="P413" s="407"/>
      <c r="Q413" s="407"/>
      <c r="R413" s="407"/>
      <c r="S413" s="407"/>
      <c r="T413" s="407"/>
      <c r="U413" s="407"/>
      <c r="V413" s="407"/>
      <c r="W413" s="407"/>
      <c r="X413" s="407"/>
      <c r="Y413" s="407"/>
      <c r="Z413" s="407"/>
      <c r="AA413" s="407"/>
      <c r="AB413" s="407"/>
      <c r="AC413" s="407"/>
      <c r="AD413" s="407"/>
      <c r="AE413" s="407"/>
    </row>
    <row r="414" spans="2:31">
      <c r="B414" s="407"/>
      <c r="C414" s="407"/>
      <c r="D414" s="407"/>
      <c r="E414" s="407"/>
      <c r="F414" s="407"/>
      <c r="G414" s="407"/>
      <c r="H414" s="407"/>
      <c r="I414" s="407"/>
      <c r="J414" s="407"/>
      <c r="K414" s="407"/>
      <c r="L414" s="407"/>
      <c r="M414" s="407"/>
      <c r="N414" s="407"/>
      <c r="O414" s="407"/>
      <c r="P414" s="407"/>
      <c r="Q414" s="407"/>
      <c r="R414" s="407"/>
      <c r="S414" s="407"/>
      <c r="T414" s="407"/>
      <c r="U414" s="407"/>
      <c r="V414" s="407"/>
      <c r="W414" s="407"/>
      <c r="X414" s="407"/>
      <c r="Y414" s="407"/>
      <c r="Z414" s="407"/>
      <c r="AA414" s="407"/>
      <c r="AB414" s="407"/>
      <c r="AC414" s="407"/>
      <c r="AD414" s="407"/>
      <c r="AE414" s="407"/>
    </row>
    <row r="415" spans="2:31">
      <c r="B415" s="407"/>
      <c r="C415" s="407"/>
      <c r="D415" s="407"/>
      <c r="E415" s="407"/>
      <c r="F415" s="407"/>
      <c r="G415" s="407"/>
      <c r="H415" s="407"/>
      <c r="I415" s="407"/>
      <c r="J415" s="407"/>
      <c r="K415" s="407"/>
      <c r="L415" s="407"/>
      <c r="M415" s="407"/>
      <c r="N415" s="407"/>
      <c r="O415" s="407"/>
      <c r="P415" s="407"/>
      <c r="Q415" s="407"/>
      <c r="R415" s="407"/>
      <c r="S415" s="407"/>
      <c r="T415" s="407"/>
      <c r="U415" s="407"/>
      <c r="V415" s="407"/>
      <c r="W415" s="407"/>
      <c r="X415" s="407"/>
      <c r="Y415" s="407"/>
      <c r="Z415" s="407"/>
      <c r="AA415" s="407"/>
      <c r="AB415" s="407"/>
      <c r="AC415" s="407"/>
      <c r="AD415" s="407"/>
      <c r="AE415" s="407"/>
    </row>
    <row r="416" spans="2:31">
      <c r="B416" s="407"/>
      <c r="C416" s="407"/>
      <c r="D416" s="407"/>
      <c r="E416" s="407"/>
      <c r="F416" s="407"/>
      <c r="G416" s="407"/>
      <c r="H416" s="407"/>
      <c r="I416" s="407"/>
      <c r="J416" s="407"/>
      <c r="K416" s="407"/>
      <c r="L416" s="407"/>
      <c r="M416" s="407"/>
      <c r="N416" s="407"/>
      <c r="O416" s="407"/>
      <c r="P416" s="407"/>
      <c r="Q416" s="407"/>
      <c r="R416" s="407"/>
      <c r="S416" s="407"/>
      <c r="T416" s="407"/>
      <c r="U416" s="407"/>
      <c r="V416" s="407"/>
      <c r="W416" s="407"/>
      <c r="X416" s="407"/>
      <c r="Y416" s="407"/>
      <c r="Z416" s="407"/>
      <c r="AA416" s="407"/>
      <c r="AB416" s="407"/>
      <c r="AC416" s="407"/>
      <c r="AD416" s="407"/>
      <c r="AE416" s="407"/>
    </row>
    <row r="417" spans="2:31">
      <c r="B417" s="407"/>
      <c r="C417" s="407"/>
      <c r="D417" s="407"/>
      <c r="E417" s="407"/>
      <c r="F417" s="407"/>
      <c r="G417" s="407"/>
      <c r="H417" s="407"/>
      <c r="I417" s="407"/>
      <c r="J417" s="407"/>
      <c r="K417" s="407"/>
      <c r="L417" s="407"/>
      <c r="M417" s="407"/>
      <c r="N417" s="407"/>
      <c r="O417" s="407"/>
      <c r="P417" s="407"/>
      <c r="Q417" s="407"/>
      <c r="R417" s="407"/>
      <c r="S417" s="407"/>
      <c r="T417" s="407"/>
      <c r="U417" s="407"/>
      <c r="V417" s="407"/>
      <c r="W417" s="407"/>
      <c r="X417" s="407"/>
      <c r="Y417" s="407"/>
      <c r="Z417" s="407"/>
      <c r="AA417" s="407"/>
      <c r="AB417" s="407"/>
      <c r="AC417" s="407"/>
      <c r="AD417" s="407"/>
      <c r="AE417" s="407"/>
    </row>
    <row r="418" spans="2:31">
      <c r="B418" s="407"/>
      <c r="C418" s="407"/>
      <c r="D418" s="407"/>
      <c r="E418" s="407"/>
      <c r="F418" s="407"/>
      <c r="G418" s="407"/>
      <c r="H418" s="407"/>
      <c r="I418" s="407"/>
      <c r="J418" s="407"/>
      <c r="K418" s="407"/>
      <c r="L418" s="407"/>
      <c r="M418" s="407"/>
      <c r="N418" s="407"/>
      <c r="O418" s="407"/>
      <c r="P418" s="407"/>
      <c r="Q418" s="407"/>
      <c r="R418" s="407"/>
      <c r="S418" s="407"/>
      <c r="T418" s="407"/>
      <c r="U418" s="407"/>
      <c r="V418" s="407"/>
      <c r="W418" s="407"/>
      <c r="X418" s="407"/>
      <c r="Y418" s="407"/>
      <c r="Z418" s="407"/>
      <c r="AA418" s="407"/>
      <c r="AB418" s="407"/>
      <c r="AC418" s="407"/>
      <c r="AD418" s="407"/>
      <c r="AE418" s="407"/>
    </row>
    <row r="419" spans="2:31">
      <c r="B419" s="407"/>
      <c r="C419" s="407"/>
      <c r="D419" s="407"/>
      <c r="E419" s="407"/>
      <c r="F419" s="407"/>
      <c r="G419" s="407"/>
      <c r="H419" s="407"/>
      <c r="I419" s="407"/>
      <c r="J419" s="407"/>
      <c r="K419" s="407"/>
      <c r="L419" s="407"/>
      <c r="M419" s="407"/>
      <c r="N419" s="407"/>
      <c r="O419" s="407"/>
      <c r="P419" s="407"/>
      <c r="Q419" s="407"/>
      <c r="R419" s="407"/>
      <c r="S419" s="407"/>
      <c r="T419" s="407"/>
      <c r="U419" s="407"/>
      <c r="V419" s="407"/>
      <c r="W419" s="407"/>
      <c r="X419" s="407"/>
      <c r="Y419" s="407"/>
      <c r="Z419" s="407"/>
      <c r="AA419" s="407"/>
      <c r="AB419" s="407"/>
      <c r="AC419" s="407"/>
      <c r="AD419" s="407"/>
      <c r="AE419" s="407"/>
    </row>
    <row r="420" spans="2:31">
      <c r="B420" s="407"/>
      <c r="C420" s="407"/>
      <c r="D420" s="407"/>
      <c r="E420" s="407"/>
      <c r="F420" s="407"/>
      <c r="G420" s="407"/>
      <c r="H420" s="407"/>
      <c r="I420" s="407"/>
      <c r="J420" s="407"/>
      <c r="K420" s="407"/>
      <c r="L420" s="407"/>
      <c r="M420" s="407"/>
      <c r="N420" s="407"/>
      <c r="O420" s="407"/>
      <c r="P420" s="407"/>
      <c r="Q420" s="407"/>
      <c r="R420" s="407"/>
      <c r="S420" s="407"/>
      <c r="T420" s="407"/>
      <c r="U420" s="407"/>
      <c r="V420" s="407"/>
      <c r="W420" s="407"/>
      <c r="X420" s="407"/>
      <c r="Y420" s="407"/>
      <c r="Z420" s="407"/>
      <c r="AA420" s="407"/>
      <c r="AB420" s="407"/>
      <c r="AC420" s="407"/>
      <c r="AD420" s="407"/>
      <c r="AE420" s="407"/>
    </row>
    <row r="421" spans="2:31">
      <c r="B421" s="407"/>
      <c r="C421" s="407"/>
      <c r="D421" s="407"/>
      <c r="E421" s="407"/>
      <c r="F421" s="407"/>
      <c r="G421" s="407"/>
      <c r="H421" s="407"/>
      <c r="I421" s="407"/>
      <c r="J421" s="407"/>
      <c r="K421" s="407"/>
      <c r="L421" s="407"/>
      <c r="M421" s="407"/>
      <c r="N421" s="407"/>
      <c r="O421" s="407"/>
      <c r="P421" s="407"/>
      <c r="Q421" s="407"/>
      <c r="R421" s="407"/>
      <c r="S421" s="407"/>
      <c r="T421" s="407"/>
      <c r="U421" s="407"/>
      <c r="V421" s="407"/>
      <c r="W421" s="407"/>
      <c r="X421" s="407"/>
      <c r="Y421" s="407"/>
      <c r="Z421" s="407"/>
      <c r="AA421" s="407"/>
      <c r="AB421" s="407"/>
      <c r="AC421" s="407"/>
      <c r="AD421" s="407"/>
      <c r="AE421" s="407"/>
    </row>
    <row r="422" spans="2:31">
      <c r="B422" s="407"/>
      <c r="C422" s="407"/>
      <c r="D422" s="407"/>
      <c r="E422" s="407"/>
      <c r="F422" s="407"/>
      <c r="G422" s="407"/>
      <c r="H422" s="407"/>
      <c r="I422" s="407"/>
      <c r="J422" s="407"/>
      <c r="K422" s="407"/>
      <c r="L422" s="407"/>
      <c r="M422" s="407"/>
      <c r="N422" s="407"/>
      <c r="O422" s="407"/>
      <c r="P422" s="407"/>
      <c r="Q422" s="407"/>
      <c r="R422" s="407"/>
      <c r="S422" s="407"/>
      <c r="T422" s="407"/>
      <c r="U422" s="407"/>
      <c r="V422" s="407"/>
      <c r="W422" s="407"/>
      <c r="X422" s="407"/>
      <c r="Y422" s="407"/>
      <c r="Z422" s="407"/>
      <c r="AA422" s="407"/>
      <c r="AB422" s="407"/>
      <c r="AC422" s="407"/>
      <c r="AD422" s="407"/>
      <c r="AE422" s="407"/>
    </row>
    <row r="423" spans="2:31">
      <c r="B423" s="407"/>
      <c r="C423" s="407"/>
      <c r="D423" s="407"/>
      <c r="E423" s="407"/>
      <c r="F423" s="407"/>
      <c r="G423" s="407"/>
      <c r="H423" s="407"/>
      <c r="I423" s="407"/>
      <c r="J423" s="407"/>
      <c r="K423" s="407"/>
      <c r="L423" s="407"/>
      <c r="M423" s="407"/>
      <c r="N423" s="407"/>
      <c r="O423" s="407"/>
      <c r="P423" s="407"/>
      <c r="Q423" s="407"/>
      <c r="R423" s="407"/>
      <c r="S423" s="407"/>
      <c r="T423" s="407"/>
      <c r="U423" s="407"/>
      <c r="V423" s="407"/>
      <c r="W423" s="407"/>
      <c r="X423" s="407"/>
      <c r="Y423" s="407"/>
      <c r="Z423" s="407"/>
      <c r="AA423" s="407"/>
      <c r="AB423" s="407"/>
      <c r="AC423" s="407"/>
      <c r="AD423" s="407"/>
      <c r="AE423" s="407"/>
    </row>
    <row r="424" spans="2:31">
      <c r="B424" s="407"/>
      <c r="C424" s="407"/>
      <c r="D424" s="407"/>
      <c r="E424" s="407"/>
      <c r="F424" s="407"/>
      <c r="G424" s="407"/>
      <c r="H424" s="407"/>
      <c r="I424" s="407"/>
      <c r="J424" s="407"/>
      <c r="K424" s="407"/>
      <c r="L424" s="407"/>
      <c r="M424" s="407"/>
      <c r="N424" s="407"/>
      <c r="O424" s="407"/>
      <c r="P424" s="407"/>
      <c r="Q424" s="407"/>
      <c r="R424" s="407"/>
      <c r="S424" s="407"/>
      <c r="T424" s="407"/>
      <c r="U424" s="407"/>
      <c r="V424" s="407"/>
      <c r="W424" s="407"/>
      <c r="X424" s="407"/>
      <c r="Y424" s="407"/>
      <c r="Z424" s="407"/>
      <c r="AA424" s="407"/>
      <c r="AB424" s="407"/>
      <c r="AC424" s="407"/>
      <c r="AD424" s="407"/>
      <c r="AE424" s="407"/>
    </row>
    <row r="425" spans="2:31">
      <c r="B425" s="407"/>
      <c r="C425" s="407"/>
      <c r="D425" s="407"/>
      <c r="E425" s="407"/>
      <c r="F425" s="407"/>
      <c r="G425" s="407"/>
      <c r="H425" s="407"/>
      <c r="I425" s="407"/>
      <c r="J425" s="407"/>
      <c r="K425" s="407"/>
      <c r="L425" s="407"/>
      <c r="M425" s="407"/>
      <c r="N425" s="407"/>
      <c r="O425" s="407"/>
      <c r="P425" s="407"/>
      <c r="Q425" s="407"/>
      <c r="R425" s="407"/>
      <c r="S425" s="407"/>
      <c r="T425" s="407"/>
      <c r="U425" s="407"/>
      <c r="V425" s="407"/>
      <c r="W425" s="407"/>
      <c r="X425" s="407"/>
      <c r="Y425" s="407"/>
      <c r="Z425" s="407"/>
      <c r="AA425" s="407"/>
      <c r="AB425" s="407"/>
      <c r="AC425" s="407"/>
      <c r="AD425" s="407"/>
      <c r="AE425" s="407"/>
    </row>
    <row r="426" spans="2:31">
      <c r="B426" s="407"/>
      <c r="C426" s="407"/>
      <c r="D426" s="407"/>
      <c r="E426" s="407"/>
      <c r="F426" s="407"/>
      <c r="G426" s="407"/>
      <c r="H426" s="407"/>
      <c r="I426" s="407"/>
      <c r="J426" s="407"/>
      <c r="K426" s="407"/>
      <c r="L426" s="407"/>
      <c r="M426" s="407"/>
      <c r="N426" s="407"/>
      <c r="O426" s="407"/>
      <c r="P426" s="407"/>
      <c r="Q426" s="407"/>
      <c r="R426" s="407"/>
      <c r="S426" s="407"/>
      <c r="T426" s="407"/>
      <c r="U426" s="407"/>
      <c r="V426" s="407"/>
      <c r="W426" s="407"/>
      <c r="X426" s="407"/>
      <c r="Y426" s="407"/>
      <c r="Z426" s="407"/>
      <c r="AA426" s="407"/>
      <c r="AB426" s="407"/>
      <c r="AC426" s="407"/>
      <c r="AD426" s="407"/>
      <c r="AE426" s="407"/>
    </row>
    <row r="427" spans="2:31">
      <c r="B427" s="407"/>
      <c r="C427" s="407"/>
      <c r="D427" s="407"/>
      <c r="E427" s="407"/>
      <c r="F427" s="407"/>
      <c r="G427" s="407"/>
      <c r="H427" s="407"/>
      <c r="I427" s="407"/>
      <c r="J427" s="407"/>
      <c r="K427" s="407"/>
      <c r="L427" s="407"/>
      <c r="M427" s="407"/>
      <c r="N427" s="407"/>
      <c r="O427" s="407"/>
      <c r="P427" s="407"/>
      <c r="Q427" s="407"/>
      <c r="R427" s="407"/>
      <c r="S427" s="407"/>
      <c r="T427" s="407"/>
      <c r="U427" s="407"/>
      <c r="V427" s="407"/>
      <c r="W427" s="407"/>
      <c r="X427" s="407"/>
      <c r="Y427" s="407"/>
      <c r="Z427" s="407"/>
      <c r="AA427" s="407"/>
      <c r="AB427" s="407"/>
      <c r="AC427" s="407"/>
      <c r="AD427" s="407"/>
      <c r="AE427" s="407"/>
    </row>
    <row r="428" spans="2:31">
      <c r="B428" s="407"/>
      <c r="C428" s="407"/>
      <c r="D428" s="407"/>
      <c r="E428" s="407"/>
      <c r="F428" s="407"/>
      <c r="G428" s="407"/>
      <c r="H428" s="407"/>
      <c r="I428" s="407"/>
      <c r="J428" s="407"/>
      <c r="K428" s="407"/>
      <c r="L428" s="407"/>
      <c r="M428" s="407"/>
      <c r="N428" s="407"/>
      <c r="O428" s="407"/>
      <c r="P428" s="407"/>
      <c r="Q428" s="407"/>
      <c r="R428" s="407"/>
      <c r="S428" s="407"/>
      <c r="T428" s="407"/>
      <c r="U428" s="407"/>
      <c r="V428" s="407"/>
      <c r="W428" s="407"/>
      <c r="X428" s="407"/>
      <c r="Y428" s="407"/>
      <c r="Z428" s="407"/>
      <c r="AA428" s="407"/>
      <c r="AB428" s="407"/>
      <c r="AC428" s="407"/>
      <c r="AD428" s="407"/>
      <c r="AE428" s="407"/>
    </row>
    <row r="429" spans="2:31">
      <c r="B429" s="407"/>
      <c r="C429" s="407"/>
      <c r="D429" s="407"/>
      <c r="E429" s="407"/>
      <c r="F429" s="407"/>
      <c r="G429" s="407"/>
      <c r="H429" s="407"/>
      <c r="I429" s="407"/>
      <c r="J429" s="407"/>
      <c r="K429" s="407"/>
      <c r="L429" s="407"/>
      <c r="M429" s="407"/>
      <c r="N429" s="407"/>
      <c r="O429" s="407"/>
      <c r="P429" s="407"/>
      <c r="Q429" s="407"/>
      <c r="R429" s="407"/>
      <c r="S429" s="407"/>
      <c r="T429" s="407"/>
      <c r="U429" s="407"/>
      <c r="V429" s="407"/>
      <c r="W429" s="407"/>
      <c r="X429" s="407"/>
      <c r="Y429" s="407"/>
      <c r="Z429" s="407"/>
      <c r="AA429" s="407"/>
      <c r="AB429" s="407"/>
      <c r="AC429" s="407"/>
      <c r="AD429" s="407"/>
      <c r="AE429" s="407"/>
    </row>
    <row r="430" spans="2:31">
      <c r="B430" s="407"/>
      <c r="C430" s="407"/>
      <c r="D430" s="407"/>
      <c r="E430" s="407"/>
      <c r="F430" s="407"/>
      <c r="G430" s="407"/>
      <c r="H430" s="407"/>
      <c r="I430" s="407"/>
      <c r="J430" s="407"/>
      <c r="K430" s="407"/>
      <c r="L430" s="407"/>
      <c r="M430" s="407"/>
      <c r="N430" s="407"/>
      <c r="O430" s="407"/>
      <c r="P430" s="407"/>
      <c r="Q430" s="407"/>
      <c r="R430" s="407"/>
      <c r="S430" s="407"/>
      <c r="T430" s="407"/>
      <c r="U430" s="407"/>
      <c r="V430" s="407"/>
      <c r="W430" s="407"/>
      <c r="X430" s="407"/>
      <c r="Y430" s="407"/>
      <c r="Z430" s="407"/>
      <c r="AA430" s="407"/>
      <c r="AB430" s="407"/>
      <c r="AC430" s="407"/>
      <c r="AD430" s="407"/>
      <c r="AE430" s="407"/>
    </row>
    <row r="431" spans="2:31">
      <c r="B431" s="407"/>
      <c r="C431" s="407"/>
      <c r="D431" s="407"/>
      <c r="E431" s="407"/>
      <c r="F431" s="407"/>
      <c r="G431" s="407"/>
      <c r="H431" s="407"/>
      <c r="I431" s="407"/>
      <c r="J431" s="407"/>
      <c r="K431" s="407"/>
      <c r="L431" s="407"/>
      <c r="M431" s="407"/>
      <c r="N431" s="407"/>
      <c r="O431" s="407"/>
      <c r="P431" s="407"/>
      <c r="Q431" s="407"/>
      <c r="R431" s="407"/>
      <c r="S431" s="407"/>
      <c r="T431" s="407"/>
      <c r="U431" s="407"/>
      <c r="V431" s="407"/>
      <c r="W431" s="407"/>
      <c r="X431" s="407"/>
      <c r="Y431" s="407"/>
      <c r="Z431" s="407"/>
      <c r="AA431" s="407"/>
      <c r="AB431" s="407"/>
      <c r="AC431" s="407"/>
      <c r="AD431" s="407"/>
      <c r="AE431" s="407"/>
    </row>
    <row r="432" spans="2:31">
      <c r="B432" s="407"/>
      <c r="C432" s="407"/>
      <c r="D432" s="407"/>
      <c r="E432" s="407"/>
      <c r="F432" s="407"/>
      <c r="G432" s="407"/>
      <c r="H432" s="407"/>
      <c r="I432" s="407"/>
      <c r="J432" s="407"/>
      <c r="K432" s="407"/>
      <c r="L432" s="407"/>
      <c r="M432" s="407"/>
      <c r="N432" s="407"/>
      <c r="O432" s="407"/>
      <c r="P432" s="407"/>
      <c r="Q432" s="407"/>
      <c r="R432" s="407"/>
      <c r="S432" s="407"/>
      <c r="T432" s="407"/>
      <c r="U432" s="407"/>
      <c r="V432" s="407"/>
      <c r="W432" s="407"/>
      <c r="X432" s="407"/>
      <c r="Y432" s="407"/>
      <c r="Z432" s="407"/>
      <c r="AA432" s="407"/>
      <c r="AB432" s="407"/>
      <c r="AC432" s="407"/>
      <c r="AD432" s="407"/>
      <c r="AE432" s="407"/>
    </row>
    <row r="433" spans="2:31">
      <c r="B433" s="407"/>
      <c r="C433" s="407"/>
      <c r="D433" s="407"/>
      <c r="E433" s="407"/>
      <c r="F433" s="407"/>
      <c r="G433" s="407"/>
      <c r="H433" s="407"/>
      <c r="I433" s="407"/>
      <c r="J433" s="407"/>
      <c r="K433" s="407"/>
      <c r="L433" s="407"/>
      <c r="M433" s="407"/>
      <c r="N433" s="407"/>
      <c r="O433" s="407"/>
      <c r="P433" s="407"/>
      <c r="Q433" s="407"/>
      <c r="R433" s="407"/>
      <c r="S433" s="407"/>
      <c r="T433" s="407"/>
      <c r="U433" s="407"/>
      <c r="V433" s="407"/>
      <c r="W433" s="407"/>
      <c r="X433" s="407"/>
      <c r="Y433" s="407"/>
      <c r="Z433" s="407"/>
      <c r="AA433" s="407"/>
      <c r="AB433" s="407"/>
      <c r="AC433" s="407"/>
      <c r="AD433" s="407"/>
      <c r="AE433" s="407"/>
    </row>
    <row r="434" spans="2:31">
      <c r="B434" s="407"/>
      <c r="C434" s="407"/>
      <c r="D434" s="407"/>
      <c r="E434" s="407"/>
      <c r="F434" s="407"/>
      <c r="G434" s="407"/>
      <c r="H434" s="407"/>
      <c r="I434" s="407"/>
      <c r="J434" s="407"/>
      <c r="K434" s="407"/>
      <c r="L434" s="407"/>
      <c r="M434" s="407"/>
      <c r="N434" s="407"/>
      <c r="O434" s="407"/>
      <c r="P434" s="407"/>
      <c r="Q434" s="407"/>
      <c r="R434" s="407"/>
      <c r="S434" s="407"/>
      <c r="T434" s="407"/>
      <c r="U434" s="407"/>
      <c r="V434" s="407"/>
      <c r="W434" s="407"/>
      <c r="X434" s="407"/>
      <c r="Y434" s="407"/>
      <c r="Z434" s="407"/>
      <c r="AA434" s="407"/>
      <c r="AB434" s="407"/>
      <c r="AC434" s="407"/>
      <c r="AD434" s="407"/>
      <c r="AE434" s="407"/>
    </row>
    <row r="435" spans="2:31">
      <c r="B435" s="407"/>
      <c r="C435" s="407"/>
      <c r="D435" s="407"/>
      <c r="E435" s="407"/>
      <c r="F435" s="407"/>
      <c r="G435" s="407"/>
      <c r="H435" s="407"/>
      <c r="I435" s="407"/>
      <c r="J435" s="407"/>
      <c r="K435" s="407"/>
      <c r="L435" s="407"/>
      <c r="M435" s="407"/>
      <c r="N435" s="407"/>
      <c r="O435" s="407"/>
      <c r="P435" s="407"/>
      <c r="Q435" s="407"/>
      <c r="R435" s="407"/>
      <c r="S435" s="407"/>
      <c r="T435" s="407"/>
      <c r="U435" s="407"/>
      <c r="V435" s="407"/>
      <c r="W435" s="407"/>
      <c r="X435" s="407"/>
      <c r="Y435" s="407"/>
      <c r="Z435" s="407"/>
      <c r="AA435" s="407"/>
      <c r="AB435" s="407"/>
      <c r="AC435" s="407"/>
      <c r="AD435" s="407"/>
      <c r="AE435" s="407"/>
    </row>
    <row r="436" spans="2:31">
      <c r="B436" s="407"/>
      <c r="C436" s="407"/>
      <c r="D436" s="407"/>
      <c r="E436" s="407"/>
      <c r="F436" s="407"/>
      <c r="G436" s="407"/>
      <c r="H436" s="407"/>
      <c r="I436" s="407"/>
      <c r="J436" s="407"/>
      <c r="K436" s="407"/>
      <c r="L436" s="407"/>
      <c r="M436" s="407"/>
      <c r="N436" s="407"/>
      <c r="O436" s="407"/>
      <c r="P436" s="407"/>
      <c r="Q436" s="407"/>
      <c r="R436" s="407"/>
      <c r="S436" s="407"/>
      <c r="T436" s="407"/>
      <c r="U436" s="407"/>
      <c r="V436" s="407"/>
      <c r="W436" s="407"/>
      <c r="X436" s="407"/>
      <c r="Y436" s="407"/>
      <c r="Z436" s="407"/>
      <c r="AA436" s="407"/>
      <c r="AB436" s="407"/>
      <c r="AC436" s="407"/>
      <c r="AD436" s="407"/>
      <c r="AE436" s="407"/>
    </row>
    <row r="437" spans="2:31">
      <c r="B437" s="407"/>
      <c r="C437" s="407"/>
      <c r="D437" s="407"/>
      <c r="E437" s="407"/>
      <c r="F437" s="407"/>
      <c r="G437" s="407"/>
      <c r="H437" s="407"/>
      <c r="I437" s="407"/>
      <c r="J437" s="407"/>
      <c r="K437" s="407"/>
      <c r="L437" s="407"/>
      <c r="M437" s="407"/>
      <c r="N437" s="407"/>
      <c r="O437" s="407"/>
      <c r="P437" s="407"/>
      <c r="Q437" s="407"/>
      <c r="R437" s="407"/>
      <c r="S437" s="407"/>
      <c r="T437" s="407"/>
      <c r="U437" s="407"/>
      <c r="V437" s="407"/>
      <c r="W437" s="407"/>
      <c r="X437" s="407"/>
      <c r="Y437" s="407"/>
      <c r="Z437" s="407"/>
      <c r="AA437" s="407"/>
      <c r="AB437" s="407"/>
      <c r="AC437" s="407"/>
      <c r="AD437" s="407"/>
      <c r="AE437" s="407"/>
    </row>
    <row r="438" spans="2:31">
      <c r="B438" s="407"/>
      <c r="C438" s="407"/>
      <c r="D438" s="407"/>
      <c r="E438" s="407"/>
      <c r="F438" s="407"/>
      <c r="G438" s="407"/>
      <c r="H438" s="407"/>
      <c r="I438" s="407"/>
      <c r="J438" s="407"/>
      <c r="K438" s="407"/>
      <c r="L438" s="407"/>
      <c r="M438" s="407"/>
      <c r="N438" s="407"/>
      <c r="O438" s="407"/>
      <c r="P438" s="407"/>
      <c r="Q438" s="407"/>
      <c r="R438" s="407"/>
      <c r="S438" s="407"/>
      <c r="T438" s="407"/>
      <c r="U438" s="407"/>
      <c r="V438" s="407"/>
      <c r="W438" s="407"/>
      <c r="X438" s="407"/>
      <c r="Y438" s="407"/>
      <c r="Z438" s="407"/>
      <c r="AA438" s="407"/>
      <c r="AB438" s="407"/>
      <c r="AC438" s="407"/>
      <c r="AD438" s="407"/>
      <c r="AE438" s="407"/>
    </row>
    <row r="439" spans="2:31">
      <c r="B439" s="407"/>
      <c r="C439" s="407"/>
      <c r="D439" s="407"/>
      <c r="E439" s="407"/>
      <c r="F439" s="407"/>
      <c r="G439" s="407"/>
      <c r="H439" s="407"/>
      <c r="I439" s="407"/>
      <c r="J439" s="407"/>
      <c r="K439" s="407"/>
      <c r="L439" s="407"/>
      <c r="M439" s="407"/>
      <c r="N439" s="407"/>
      <c r="O439" s="407"/>
      <c r="P439" s="407"/>
      <c r="Q439" s="407"/>
      <c r="R439" s="407"/>
      <c r="S439" s="407"/>
      <c r="T439" s="407"/>
      <c r="U439" s="407"/>
      <c r="V439" s="407"/>
      <c r="W439" s="407"/>
      <c r="X439" s="407"/>
      <c r="Y439" s="407"/>
      <c r="Z439" s="407"/>
      <c r="AA439" s="407"/>
      <c r="AB439" s="407"/>
      <c r="AC439" s="407"/>
      <c r="AD439" s="407"/>
      <c r="AE439" s="407"/>
    </row>
    <row r="440" spans="2:31">
      <c r="B440" s="407"/>
      <c r="C440" s="407"/>
      <c r="D440" s="407"/>
      <c r="E440" s="407"/>
      <c r="F440" s="407"/>
      <c r="G440" s="407"/>
      <c r="H440" s="407"/>
      <c r="I440" s="407"/>
      <c r="J440" s="407"/>
      <c r="K440" s="407"/>
      <c r="L440" s="407"/>
      <c r="M440" s="407"/>
      <c r="N440" s="407"/>
      <c r="O440" s="407"/>
      <c r="P440" s="407"/>
      <c r="Q440" s="407"/>
      <c r="R440" s="407"/>
      <c r="S440" s="407"/>
      <c r="T440" s="407"/>
      <c r="U440" s="407"/>
      <c r="V440" s="407"/>
      <c r="W440" s="407"/>
      <c r="X440" s="407"/>
      <c r="Y440" s="407"/>
      <c r="Z440" s="407"/>
      <c r="AA440" s="407"/>
      <c r="AB440" s="407"/>
      <c r="AC440" s="407"/>
      <c r="AD440" s="407"/>
      <c r="AE440" s="407"/>
    </row>
    <row r="441" spans="2:31">
      <c r="B441" s="407"/>
      <c r="C441" s="407"/>
      <c r="D441" s="407"/>
      <c r="E441" s="407"/>
      <c r="F441" s="407"/>
      <c r="G441" s="407"/>
      <c r="H441" s="407"/>
      <c r="I441" s="407"/>
      <c r="J441" s="407"/>
      <c r="K441" s="407"/>
      <c r="L441" s="407"/>
      <c r="M441" s="407"/>
      <c r="N441" s="407"/>
      <c r="O441" s="407"/>
      <c r="P441" s="407"/>
      <c r="Q441" s="407"/>
      <c r="R441" s="407"/>
      <c r="S441" s="407"/>
      <c r="T441" s="407"/>
      <c r="U441" s="407"/>
      <c r="V441" s="407"/>
      <c r="W441" s="407"/>
      <c r="X441" s="407"/>
      <c r="Y441" s="407"/>
      <c r="Z441" s="407"/>
      <c r="AA441" s="407"/>
      <c r="AB441" s="407"/>
      <c r="AC441" s="407"/>
      <c r="AD441" s="407"/>
      <c r="AE441" s="407"/>
    </row>
    <row r="442" spans="2:31">
      <c r="B442" s="407"/>
      <c r="C442" s="407"/>
      <c r="D442" s="407"/>
      <c r="E442" s="407"/>
      <c r="F442" s="407"/>
      <c r="G442" s="407"/>
      <c r="H442" s="407"/>
      <c r="I442" s="407"/>
      <c r="J442" s="407"/>
      <c r="K442" s="407"/>
      <c r="L442" s="407"/>
      <c r="M442" s="407"/>
      <c r="N442" s="407"/>
      <c r="O442" s="407"/>
      <c r="P442" s="407"/>
      <c r="Q442" s="407"/>
      <c r="R442" s="407"/>
      <c r="S442" s="407"/>
      <c r="T442" s="407"/>
      <c r="U442" s="407"/>
      <c r="V442" s="407"/>
      <c r="W442" s="407"/>
      <c r="X442" s="407"/>
      <c r="Y442" s="407"/>
      <c r="Z442" s="407"/>
      <c r="AA442" s="407"/>
      <c r="AB442" s="407"/>
      <c r="AC442" s="407"/>
      <c r="AD442" s="407"/>
      <c r="AE442" s="407"/>
    </row>
    <row r="443" spans="2:31">
      <c r="B443" s="407"/>
      <c r="C443" s="407"/>
      <c r="D443" s="407"/>
      <c r="E443" s="407"/>
      <c r="F443" s="407"/>
      <c r="G443" s="407"/>
      <c r="H443" s="407"/>
      <c r="I443" s="407"/>
      <c r="J443" s="407"/>
      <c r="K443" s="407"/>
      <c r="L443" s="407"/>
      <c r="M443" s="407"/>
      <c r="N443" s="407"/>
      <c r="O443" s="407"/>
      <c r="P443" s="407"/>
      <c r="Q443" s="407"/>
      <c r="R443" s="407"/>
      <c r="S443" s="407"/>
      <c r="T443" s="407"/>
      <c r="U443" s="407"/>
      <c r="V443" s="407"/>
      <c r="W443" s="407"/>
      <c r="X443" s="407"/>
      <c r="Y443" s="407"/>
      <c r="Z443" s="407"/>
      <c r="AA443" s="407"/>
      <c r="AB443" s="407"/>
      <c r="AC443" s="407"/>
      <c r="AD443" s="407"/>
      <c r="AE443" s="407"/>
    </row>
    <row r="444" spans="2:31">
      <c r="B444" s="407"/>
      <c r="C444" s="407"/>
      <c r="D444" s="407"/>
      <c r="E444" s="407"/>
      <c r="F444" s="407"/>
      <c r="G444" s="407"/>
      <c r="H444" s="407"/>
      <c r="I444" s="407"/>
      <c r="J444" s="407"/>
      <c r="K444" s="407"/>
      <c r="L444" s="407"/>
      <c r="M444" s="407"/>
      <c r="N444" s="407"/>
      <c r="O444" s="407"/>
      <c r="P444" s="407"/>
      <c r="Q444" s="407"/>
      <c r="R444" s="407"/>
      <c r="S444" s="407"/>
      <c r="T444" s="407"/>
      <c r="U444" s="407"/>
      <c r="V444" s="407"/>
      <c r="W444" s="407"/>
      <c r="X444" s="407"/>
      <c r="Y444" s="407"/>
      <c r="Z444" s="407"/>
      <c r="AA444" s="407"/>
      <c r="AB444" s="407"/>
      <c r="AC444" s="407"/>
      <c r="AD444" s="407"/>
      <c r="AE444" s="407"/>
    </row>
    <row r="445" spans="2:31">
      <c r="B445" s="407"/>
      <c r="C445" s="407"/>
      <c r="D445" s="407"/>
      <c r="E445" s="407"/>
      <c r="F445" s="407"/>
      <c r="G445" s="407"/>
      <c r="H445" s="407"/>
      <c r="I445" s="407"/>
      <c r="J445" s="407"/>
      <c r="K445" s="407"/>
      <c r="L445" s="407"/>
      <c r="M445" s="407"/>
      <c r="N445" s="407"/>
      <c r="O445" s="407"/>
      <c r="P445" s="407"/>
      <c r="Q445" s="407"/>
      <c r="R445" s="407"/>
      <c r="S445" s="407"/>
      <c r="T445" s="407"/>
      <c r="U445" s="407"/>
      <c r="V445" s="407"/>
      <c r="W445" s="407"/>
      <c r="X445" s="407"/>
      <c r="Y445" s="407"/>
      <c r="Z445" s="407"/>
      <c r="AA445" s="407"/>
      <c r="AB445" s="407"/>
      <c r="AC445" s="407"/>
      <c r="AD445" s="407"/>
      <c r="AE445" s="407"/>
    </row>
    <row r="446" spans="2:31">
      <c r="B446" s="407"/>
      <c r="C446" s="407"/>
      <c r="D446" s="407"/>
      <c r="E446" s="407"/>
      <c r="F446" s="407"/>
      <c r="G446" s="407"/>
      <c r="H446" s="407"/>
      <c r="I446" s="407"/>
      <c r="J446" s="407"/>
      <c r="K446" s="407"/>
      <c r="L446" s="407"/>
      <c r="M446" s="407"/>
      <c r="N446" s="407"/>
      <c r="O446" s="407"/>
      <c r="P446" s="407"/>
      <c r="Q446" s="407"/>
      <c r="R446" s="407"/>
      <c r="S446" s="407"/>
      <c r="T446" s="407"/>
      <c r="U446" s="407"/>
      <c r="V446" s="407"/>
      <c r="W446" s="407"/>
      <c r="X446" s="407"/>
      <c r="Y446" s="407"/>
      <c r="Z446" s="407"/>
      <c r="AA446" s="407"/>
      <c r="AB446" s="407"/>
      <c r="AC446" s="407"/>
      <c r="AD446" s="407"/>
      <c r="AE446" s="407"/>
    </row>
    <row r="447" spans="2:31">
      <c r="B447" s="407"/>
      <c r="C447" s="407"/>
      <c r="D447" s="407"/>
      <c r="E447" s="407"/>
      <c r="F447" s="407"/>
      <c r="G447" s="407"/>
      <c r="H447" s="407"/>
      <c r="I447" s="407"/>
      <c r="J447" s="407"/>
      <c r="K447" s="407"/>
      <c r="L447" s="407"/>
      <c r="M447" s="407"/>
      <c r="N447" s="407"/>
      <c r="O447" s="407"/>
      <c r="P447" s="407"/>
      <c r="Q447" s="407"/>
      <c r="R447" s="407"/>
      <c r="S447" s="407"/>
      <c r="T447" s="407"/>
      <c r="U447" s="407"/>
      <c r="V447" s="407"/>
      <c r="W447" s="407"/>
      <c r="X447" s="407"/>
      <c r="Y447" s="407"/>
      <c r="Z447" s="407"/>
      <c r="AA447" s="407"/>
      <c r="AB447" s="407"/>
      <c r="AC447" s="407"/>
      <c r="AD447" s="407"/>
      <c r="AE447" s="407"/>
    </row>
    <row r="448" spans="2:31">
      <c r="B448" s="407"/>
      <c r="C448" s="407"/>
      <c r="D448" s="407"/>
      <c r="E448" s="407"/>
      <c r="F448" s="407"/>
      <c r="G448" s="407"/>
      <c r="H448" s="407"/>
      <c r="I448" s="407"/>
      <c r="J448" s="407"/>
      <c r="K448" s="407"/>
      <c r="L448" s="407"/>
      <c r="M448" s="407"/>
      <c r="N448" s="407"/>
      <c r="O448" s="407"/>
      <c r="P448" s="407"/>
      <c r="Q448" s="407"/>
      <c r="R448" s="407"/>
      <c r="S448" s="407"/>
      <c r="T448" s="407"/>
      <c r="U448" s="407"/>
      <c r="V448" s="407"/>
      <c r="W448" s="407"/>
      <c r="X448" s="407"/>
      <c r="Y448" s="407"/>
      <c r="Z448" s="407"/>
      <c r="AA448" s="407"/>
      <c r="AB448" s="407"/>
      <c r="AC448" s="407"/>
      <c r="AD448" s="407"/>
      <c r="AE448" s="407"/>
    </row>
    <row r="449" spans="2:31">
      <c r="B449" s="407"/>
      <c r="C449" s="407"/>
      <c r="D449" s="407"/>
      <c r="E449" s="407"/>
      <c r="F449" s="407"/>
      <c r="G449" s="407"/>
      <c r="H449" s="407"/>
      <c r="I449" s="407"/>
      <c r="J449" s="407"/>
      <c r="K449" s="407"/>
      <c r="L449" s="407"/>
      <c r="M449" s="407"/>
      <c r="N449" s="407"/>
      <c r="O449" s="407"/>
      <c r="P449" s="407"/>
      <c r="Q449" s="407"/>
      <c r="R449" s="407"/>
      <c r="S449" s="407"/>
      <c r="T449" s="407"/>
      <c r="U449" s="407"/>
      <c r="V449" s="407"/>
      <c r="W449" s="407"/>
      <c r="X449" s="407"/>
      <c r="Y449" s="407"/>
      <c r="Z449" s="407"/>
      <c r="AA449" s="407"/>
      <c r="AB449" s="407"/>
      <c r="AC449" s="407"/>
      <c r="AD449" s="407"/>
      <c r="AE449" s="407"/>
    </row>
    <row r="450" spans="2:31">
      <c r="B450" s="407"/>
      <c r="C450" s="407"/>
      <c r="D450" s="407"/>
      <c r="E450" s="407"/>
      <c r="F450" s="407"/>
      <c r="G450" s="407"/>
      <c r="H450" s="407"/>
      <c r="I450" s="407"/>
      <c r="J450" s="407"/>
      <c r="K450" s="407"/>
      <c r="L450" s="407"/>
      <c r="M450" s="407"/>
      <c r="N450" s="407"/>
      <c r="O450" s="407"/>
      <c r="P450" s="407"/>
      <c r="Q450" s="407"/>
      <c r="R450" s="407"/>
      <c r="S450" s="407"/>
      <c r="T450" s="407"/>
      <c r="U450" s="407"/>
      <c r="V450" s="407"/>
      <c r="W450" s="407"/>
      <c r="X450" s="407"/>
      <c r="Y450" s="407"/>
      <c r="Z450" s="407"/>
      <c r="AA450" s="407"/>
      <c r="AB450" s="407"/>
      <c r="AC450" s="407"/>
      <c r="AD450" s="407"/>
      <c r="AE450" s="407"/>
    </row>
    <row r="451" spans="2:31">
      <c r="B451" s="407"/>
      <c r="C451" s="407"/>
      <c r="D451" s="407"/>
      <c r="E451" s="407"/>
      <c r="F451" s="407"/>
      <c r="G451" s="407"/>
      <c r="H451" s="407"/>
      <c r="I451" s="407"/>
      <c r="J451" s="407"/>
      <c r="K451" s="407"/>
      <c r="L451" s="407"/>
      <c r="M451" s="407"/>
      <c r="N451" s="407"/>
      <c r="O451" s="407"/>
      <c r="P451" s="407"/>
      <c r="Q451" s="407"/>
      <c r="R451" s="407"/>
      <c r="S451" s="407"/>
      <c r="T451" s="407"/>
      <c r="U451" s="407"/>
      <c r="V451" s="407"/>
      <c r="W451" s="407"/>
      <c r="X451" s="407"/>
      <c r="Y451" s="407"/>
      <c r="Z451" s="407"/>
      <c r="AA451" s="407"/>
      <c r="AB451" s="407"/>
      <c r="AC451" s="407"/>
      <c r="AD451" s="407"/>
      <c r="AE451" s="407"/>
    </row>
    <row r="452" spans="2:31">
      <c r="B452" s="407"/>
      <c r="C452" s="407"/>
      <c r="D452" s="407"/>
      <c r="E452" s="407"/>
      <c r="F452" s="407"/>
      <c r="G452" s="407"/>
      <c r="H452" s="407"/>
      <c r="I452" s="407"/>
      <c r="J452" s="407"/>
      <c r="K452" s="407"/>
      <c r="L452" s="407"/>
      <c r="M452" s="407"/>
      <c r="N452" s="407"/>
      <c r="O452" s="407"/>
      <c r="P452" s="407"/>
      <c r="Q452" s="407"/>
      <c r="R452" s="407"/>
      <c r="S452" s="407"/>
      <c r="T452" s="407"/>
      <c r="U452" s="407"/>
      <c r="V452" s="407"/>
      <c r="W452" s="407"/>
      <c r="X452" s="407"/>
      <c r="Y452" s="407"/>
      <c r="Z452" s="407"/>
      <c r="AA452" s="407"/>
      <c r="AB452" s="407"/>
      <c r="AC452" s="407"/>
      <c r="AD452" s="407"/>
      <c r="AE452" s="407"/>
    </row>
    <row r="453" spans="2:31">
      <c r="B453" s="407"/>
      <c r="C453" s="407"/>
      <c r="D453" s="407"/>
      <c r="E453" s="407"/>
      <c r="F453" s="407"/>
      <c r="G453" s="407"/>
      <c r="H453" s="407"/>
      <c r="I453" s="407"/>
      <c r="J453" s="407"/>
      <c r="K453" s="407"/>
      <c r="L453" s="407"/>
      <c r="M453" s="407"/>
      <c r="N453" s="407"/>
      <c r="O453" s="407"/>
      <c r="P453" s="407"/>
      <c r="Q453" s="407"/>
      <c r="R453" s="407"/>
      <c r="S453" s="407"/>
      <c r="T453" s="407"/>
      <c r="U453" s="407"/>
      <c r="V453" s="407"/>
      <c r="W453" s="407"/>
      <c r="X453" s="407"/>
      <c r="Y453" s="407"/>
      <c r="Z453" s="407"/>
      <c r="AA453" s="407"/>
      <c r="AB453" s="407"/>
      <c r="AC453" s="407"/>
      <c r="AD453" s="407"/>
      <c r="AE453" s="407"/>
    </row>
    <row r="454" spans="2:31">
      <c r="B454" s="407"/>
      <c r="C454" s="407"/>
      <c r="D454" s="407"/>
      <c r="E454" s="407"/>
      <c r="F454" s="407"/>
      <c r="G454" s="407"/>
      <c r="H454" s="407"/>
      <c r="I454" s="407"/>
      <c r="J454" s="407"/>
      <c r="K454" s="407"/>
      <c r="L454" s="407"/>
      <c r="M454" s="407"/>
      <c r="N454" s="407"/>
      <c r="O454" s="407"/>
      <c r="P454" s="407"/>
      <c r="Q454" s="407"/>
      <c r="R454" s="407"/>
      <c r="S454" s="407"/>
      <c r="T454" s="407"/>
      <c r="U454" s="407"/>
      <c r="V454" s="407"/>
      <c r="W454" s="407"/>
      <c r="X454" s="407"/>
      <c r="Y454" s="407"/>
      <c r="Z454" s="407"/>
      <c r="AA454" s="407"/>
      <c r="AB454" s="407"/>
      <c r="AC454" s="407"/>
      <c r="AD454" s="407"/>
      <c r="AE454" s="407"/>
    </row>
    <row r="455" spans="2:31">
      <c r="B455" s="407"/>
      <c r="C455" s="407"/>
      <c r="D455" s="407"/>
      <c r="E455" s="407"/>
      <c r="F455" s="407"/>
      <c r="G455" s="407"/>
      <c r="H455" s="407"/>
      <c r="I455" s="407"/>
      <c r="J455" s="407"/>
      <c r="K455" s="407"/>
      <c r="L455" s="407"/>
      <c r="M455" s="407"/>
      <c r="N455" s="407"/>
      <c r="O455" s="407"/>
      <c r="P455" s="407"/>
      <c r="Q455" s="407"/>
      <c r="R455" s="407"/>
      <c r="S455" s="407"/>
      <c r="T455" s="407"/>
      <c r="U455" s="407"/>
      <c r="V455" s="407"/>
      <c r="W455" s="407"/>
      <c r="X455" s="407"/>
      <c r="Y455" s="407"/>
      <c r="Z455" s="407"/>
      <c r="AA455" s="407"/>
      <c r="AB455" s="407"/>
      <c r="AC455" s="407"/>
      <c r="AD455" s="407"/>
      <c r="AE455" s="407"/>
    </row>
    <row r="456" spans="2:31">
      <c r="B456" s="407"/>
      <c r="C456" s="407"/>
      <c r="D456" s="407"/>
      <c r="E456" s="407"/>
      <c r="F456" s="407"/>
      <c r="G456" s="407"/>
      <c r="H456" s="407"/>
      <c r="I456" s="407"/>
      <c r="J456" s="407"/>
      <c r="K456" s="407"/>
      <c r="L456" s="407"/>
      <c r="M456" s="407"/>
      <c r="N456" s="407"/>
      <c r="O456" s="407"/>
      <c r="P456" s="407"/>
      <c r="Q456" s="407"/>
      <c r="R456" s="407"/>
      <c r="S456" s="407"/>
      <c r="T456" s="407"/>
      <c r="U456" s="407"/>
      <c r="V456" s="407"/>
      <c r="W456" s="407"/>
      <c r="X456" s="407"/>
      <c r="Y456" s="407"/>
      <c r="Z456" s="407"/>
      <c r="AA456" s="407"/>
      <c r="AB456" s="407"/>
      <c r="AC456" s="407"/>
      <c r="AD456" s="407"/>
      <c r="AE456" s="407"/>
    </row>
    <row r="457" spans="2:31">
      <c r="B457" s="407"/>
      <c r="C457" s="407"/>
      <c r="D457" s="407"/>
      <c r="E457" s="407"/>
      <c r="F457" s="407"/>
      <c r="G457" s="407"/>
      <c r="H457" s="407"/>
      <c r="I457" s="407"/>
      <c r="J457" s="407"/>
      <c r="K457" s="407"/>
      <c r="L457" s="407"/>
      <c r="M457" s="407"/>
      <c r="N457" s="407"/>
      <c r="O457" s="407"/>
      <c r="P457" s="407"/>
      <c r="Q457" s="407"/>
      <c r="R457" s="407"/>
      <c r="S457" s="407"/>
      <c r="T457" s="407"/>
      <c r="U457" s="407"/>
      <c r="V457" s="407"/>
      <c r="W457" s="407"/>
      <c r="X457" s="407"/>
      <c r="Y457" s="407"/>
      <c r="Z457" s="407"/>
      <c r="AA457" s="407"/>
      <c r="AB457" s="407"/>
      <c r="AC457" s="407"/>
      <c r="AD457" s="407"/>
      <c r="AE457" s="407"/>
    </row>
    <row r="458" spans="2:31">
      <c r="B458" s="407"/>
      <c r="C458" s="407"/>
      <c r="D458" s="407"/>
      <c r="E458" s="407"/>
      <c r="F458" s="407"/>
      <c r="G458" s="407"/>
      <c r="H458" s="407"/>
      <c r="I458" s="407"/>
      <c r="J458" s="407"/>
      <c r="K458" s="407"/>
      <c r="L458" s="407"/>
      <c r="M458" s="407"/>
      <c r="N458" s="407"/>
      <c r="O458" s="407"/>
      <c r="P458" s="407"/>
      <c r="Q458" s="407"/>
      <c r="R458" s="407"/>
      <c r="S458" s="407"/>
      <c r="T458" s="407"/>
      <c r="U458" s="407"/>
      <c r="V458" s="407"/>
      <c r="W458" s="407"/>
      <c r="X458" s="407"/>
      <c r="Y458" s="407"/>
      <c r="Z458" s="407"/>
      <c r="AA458" s="407"/>
      <c r="AB458" s="407"/>
      <c r="AC458" s="407"/>
      <c r="AD458" s="407"/>
      <c r="AE458" s="407"/>
    </row>
    <row r="459" spans="2:31">
      <c r="B459" s="407"/>
      <c r="C459" s="407"/>
      <c r="D459" s="407"/>
      <c r="E459" s="407"/>
      <c r="F459" s="407"/>
      <c r="G459" s="407"/>
      <c r="H459" s="407"/>
      <c r="I459" s="407"/>
      <c r="J459" s="407"/>
      <c r="K459" s="407"/>
      <c r="L459" s="407"/>
      <c r="M459" s="407"/>
      <c r="N459" s="407"/>
      <c r="O459" s="407"/>
      <c r="P459" s="407"/>
      <c r="Q459" s="407"/>
      <c r="R459" s="407"/>
      <c r="S459" s="407"/>
      <c r="T459" s="407"/>
      <c r="U459" s="407"/>
      <c r="V459" s="407"/>
      <c r="W459" s="407"/>
      <c r="X459" s="407"/>
      <c r="Y459" s="407"/>
      <c r="Z459" s="407"/>
      <c r="AA459" s="407"/>
      <c r="AB459" s="407"/>
      <c r="AC459" s="407"/>
      <c r="AD459" s="407"/>
      <c r="AE459" s="407"/>
    </row>
    <row r="460" spans="2:31">
      <c r="B460" s="407"/>
      <c r="C460" s="407"/>
      <c r="D460" s="407"/>
      <c r="E460" s="407"/>
      <c r="F460" s="407"/>
      <c r="G460" s="407"/>
      <c r="H460" s="407"/>
      <c r="I460" s="407"/>
      <c r="J460" s="407"/>
      <c r="K460" s="407"/>
      <c r="L460" s="407"/>
      <c r="M460" s="407"/>
      <c r="N460" s="407"/>
      <c r="O460" s="407"/>
      <c r="P460" s="407"/>
      <c r="Q460" s="407"/>
      <c r="R460" s="407"/>
      <c r="S460" s="407"/>
      <c r="T460" s="407"/>
      <c r="U460" s="407"/>
      <c r="V460" s="407"/>
      <c r="W460" s="407"/>
      <c r="X460" s="407"/>
      <c r="Y460" s="407"/>
      <c r="Z460" s="407"/>
      <c r="AA460" s="407"/>
      <c r="AB460" s="407"/>
      <c r="AC460" s="407"/>
      <c r="AD460" s="407"/>
      <c r="AE460" s="407"/>
    </row>
    <row r="461" spans="2:31">
      <c r="B461" s="407"/>
      <c r="C461" s="407"/>
      <c r="D461" s="407"/>
      <c r="E461" s="407"/>
      <c r="F461" s="407"/>
      <c r="G461" s="407"/>
      <c r="H461" s="407"/>
      <c r="I461" s="407"/>
      <c r="J461" s="407"/>
      <c r="K461" s="407"/>
      <c r="L461" s="407"/>
      <c r="M461" s="407"/>
      <c r="N461" s="407"/>
      <c r="O461" s="407"/>
      <c r="P461" s="407"/>
      <c r="Q461" s="407"/>
      <c r="R461" s="407"/>
      <c r="S461" s="407"/>
      <c r="T461" s="407"/>
      <c r="U461" s="407"/>
      <c r="V461" s="407"/>
      <c r="W461" s="407"/>
      <c r="X461" s="407"/>
      <c r="Y461" s="407"/>
      <c r="Z461" s="407"/>
      <c r="AA461" s="407"/>
      <c r="AB461" s="407"/>
      <c r="AC461" s="407"/>
      <c r="AD461" s="407"/>
      <c r="AE461" s="407"/>
    </row>
    <row r="462" spans="2:31">
      <c r="B462" s="407"/>
      <c r="C462" s="407"/>
      <c r="D462" s="407"/>
      <c r="E462" s="407"/>
      <c r="F462" s="407"/>
      <c r="G462" s="407"/>
      <c r="H462" s="407"/>
      <c r="I462" s="407"/>
      <c r="J462" s="407"/>
      <c r="K462" s="407"/>
      <c r="L462" s="407"/>
      <c r="M462" s="407"/>
      <c r="N462" s="407"/>
      <c r="O462" s="407"/>
      <c r="P462" s="407"/>
      <c r="Q462" s="407"/>
      <c r="R462" s="407"/>
      <c r="S462" s="407"/>
      <c r="T462" s="407"/>
      <c r="U462" s="407"/>
      <c r="V462" s="407"/>
      <c r="W462" s="407"/>
      <c r="X462" s="407"/>
      <c r="Y462" s="407"/>
      <c r="Z462" s="407"/>
      <c r="AA462" s="407"/>
      <c r="AB462" s="407"/>
      <c r="AC462" s="407"/>
      <c r="AD462" s="407"/>
      <c r="AE462" s="407"/>
    </row>
    <row r="463" spans="2:31">
      <c r="B463" s="407"/>
      <c r="C463" s="407"/>
      <c r="D463" s="407"/>
      <c r="E463" s="407"/>
      <c r="F463" s="407"/>
      <c r="G463" s="407"/>
      <c r="H463" s="407"/>
      <c r="I463" s="407"/>
      <c r="J463" s="407"/>
      <c r="K463" s="407"/>
      <c r="L463" s="407"/>
      <c r="M463" s="407"/>
      <c r="N463" s="407"/>
      <c r="O463" s="407"/>
      <c r="P463" s="407"/>
      <c r="Q463" s="407"/>
      <c r="R463" s="407"/>
      <c r="S463" s="407"/>
      <c r="T463" s="407"/>
      <c r="U463" s="407"/>
      <c r="V463" s="407"/>
      <c r="W463" s="407"/>
      <c r="X463" s="407"/>
      <c r="Y463" s="407"/>
      <c r="Z463" s="407"/>
      <c r="AA463" s="407"/>
      <c r="AB463" s="407"/>
      <c r="AC463" s="407"/>
      <c r="AD463" s="407"/>
      <c r="AE463" s="407"/>
    </row>
    <row r="464" spans="2:31">
      <c r="B464" s="407"/>
      <c r="C464" s="407"/>
      <c r="D464" s="407"/>
      <c r="E464" s="407"/>
      <c r="F464" s="407"/>
      <c r="G464" s="407"/>
      <c r="H464" s="407"/>
      <c r="I464" s="407"/>
      <c r="J464" s="407"/>
      <c r="K464" s="407"/>
      <c r="L464" s="407"/>
      <c r="M464" s="407"/>
      <c r="N464" s="407"/>
      <c r="O464" s="407"/>
      <c r="P464" s="407"/>
      <c r="Q464" s="407"/>
      <c r="R464" s="407"/>
      <c r="S464" s="407"/>
      <c r="T464" s="407"/>
      <c r="U464" s="407"/>
      <c r="V464" s="407"/>
      <c r="W464" s="407"/>
      <c r="X464" s="407"/>
      <c r="Y464" s="407"/>
      <c r="Z464" s="407"/>
      <c r="AA464" s="407"/>
      <c r="AB464" s="407"/>
      <c r="AC464" s="407"/>
      <c r="AD464" s="407"/>
      <c r="AE464" s="407"/>
    </row>
    <row r="465" spans="2:31">
      <c r="B465" s="407"/>
      <c r="C465" s="407"/>
      <c r="D465" s="407"/>
      <c r="E465" s="407"/>
      <c r="F465" s="407"/>
      <c r="G465" s="407"/>
      <c r="H465" s="407"/>
      <c r="I465" s="407"/>
      <c r="J465" s="407"/>
      <c r="K465" s="407"/>
      <c r="L465" s="407"/>
      <c r="M465" s="407"/>
      <c r="N465" s="407"/>
      <c r="O465" s="407"/>
      <c r="P465" s="407"/>
      <c r="Q465" s="407"/>
      <c r="R465" s="407"/>
      <c r="S465" s="407"/>
      <c r="T465" s="407"/>
      <c r="U465" s="407"/>
      <c r="V465" s="407"/>
      <c r="W465" s="407"/>
      <c r="X465" s="407"/>
      <c r="Y465" s="407"/>
      <c r="Z465" s="407"/>
      <c r="AA465" s="407"/>
      <c r="AB465" s="407"/>
      <c r="AC465" s="407"/>
      <c r="AD465" s="407"/>
      <c r="AE465" s="407"/>
    </row>
    <row r="466" spans="2:31">
      <c r="B466" s="407"/>
      <c r="C466" s="407"/>
      <c r="D466" s="407"/>
      <c r="E466" s="407"/>
      <c r="F466" s="407"/>
      <c r="G466" s="407"/>
      <c r="H466" s="407"/>
      <c r="I466" s="407"/>
      <c r="J466" s="407"/>
      <c r="K466" s="407"/>
      <c r="L466" s="407"/>
      <c r="M466" s="407"/>
      <c r="N466" s="407"/>
      <c r="O466" s="407"/>
      <c r="P466" s="407"/>
      <c r="Q466" s="407"/>
      <c r="R466" s="407"/>
      <c r="S466" s="407"/>
      <c r="T466" s="407"/>
      <c r="U466" s="407"/>
      <c r="V466" s="407"/>
      <c r="W466" s="407"/>
      <c r="X466" s="407"/>
      <c r="Y466" s="407"/>
      <c r="Z466" s="407"/>
      <c r="AA466" s="407"/>
      <c r="AB466" s="407"/>
      <c r="AC466" s="407"/>
      <c r="AD466" s="407"/>
      <c r="AE466" s="407"/>
    </row>
    <row r="467" spans="2:31">
      <c r="B467" s="407"/>
      <c r="C467" s="407"/>
      <c r="D467" s="407"/>
      <c r="E467" s="407"/>
      <c r="F467" s="407"/>
      <c r="G467" s="407"/>
      <c r="H467" s="407"/>
      <c r="I467" s="407"/>
      <c r="J467" s="407"/>
      <c r="K467" s="407"/>
      <c r="L467" s="407"/>
      <c r="M467" s="407"/>
      <c r="N467" s="407"/>
      <c r="O467" s="407"/>
      <c r="P467" s="407"/>
      <c r="Q467" s="407"/>
      <c r="R467" s="407"/>
      <c r="S467" s="407"/>
      <c r="T467" s="407"/>
      <c r="U467" s="407"/>
      <c r="V467" s="407"/>
      <c r="W467" s="407"/>
      <c r="X467" s="407"/>
      <c r="Y467" s="407"/>
      <c r="Z467" s="407"/>
      <c r="AA467" s="407"/>
      <c r="AB467" s="407"/>
      <c r="AC467" s="407"/>
      <c r="AD467" s="407"/>
      <c r="AE467" s="407"/>
    </row>
    <row r="468" spans="2:31">
      <c r="B468" s="407"/>
      <c r="C468" s="407"/>
      <c r="D468" s="407"/>
      <c r="E468" s="407"/>
      <c r="F468" s="407"/>
      <c r="G468" s="407"/>
      <c r="H468" s="407"/>
      <c r="I468" s="407"/>
      <c r="J468" s="407"/>
      <c r="K468" s="407"/>
      <c r="L468" s="407"/>
      <c r="M468" s="407"/>
      <c r="N468" s="407"/>
      <c r="O468" s="407"/>
      <c r="P468" s="407"/>
      <c r="Q468" s="407"/>
      <c r="R468" s="407"/>
      <c r="S468" s="407"/>
      <c r="T468" s="407"/>
      <c r="U468" s="407"/>
      <c r="V468" s="407"/>
      <c r="W468" s="407"/>
      <c r="X468" s="407"/>
      <c r="Y468" s="407"/>
      <c r="Z468" s="407"/>
      <c r="AA468" s="407"/>
      <c r="AB468" s="407"/>
      <c r="AC468" s="407"/>
      <c r="AD468" s="407"/>
      <c r="AE468" s="407"/>
    </row>
    <row r="469" spans="2:31">
      <c r="B469" s="407"/>
      <c r="C469" s="407"/>
      <c r="D469" s="407"/>
      <c r="E469" s="407"/>
      <c r="F469" s="407"/>
      <c r="G469" s="407"/>
      <c r="H469" s="407"/>
      <c r="I469" s="407"/>
      <c r="J469" s="407"/>
      <c r="K469" s="407"/>
      <c r="L469" s="407"/>
      <c r="M469" s="407"/>
      <c r="N469" s="407"/>
      <c r="O469" s="407"/>
      <c r="P469" s="407"/>
      <c r="Q469" s="407"/>
      <c r="R469" s="407"/>
      <c r="S469" s="407"/>
      <c r="T469" s="407"/>
      <c r="U469" s="407"/>
      <c r="V469" s="407"/>
      <c r="W469" s="407"/>
      <c r="X469" s="407"/>
      <c r="Y469" s="407"/>
      <c r="Z469" s="407"/>
      <c r="AA469" s="407"/>
      <c r="AB469" s="407"/>
      <c r="AC469" s="407"/>
      <c r="AD469" s="407"/>
      <c r="AE469" s="407"/>
    </row>
    <row r="470" spans="2:31">
      <c r="B470" s="407"/>
      <c r="C470" s="407"/>
      <c r="D470" s="407"/>
      <c r="E470" s="407"/>
      <c r="F470" s="407"/>
      <c r="G470" s="407"/>
      <c r="H470" s="407"/>
      <c r="I470" s="407"/>
      <c r="J470" s="407"/>
      <c r="K470" s="407"/>
      <c r="L470" s="407"/>
      <c r="M470" s="407"/>
      <c r="N470" s="407"/>
      <c r="O470" s="407"/>
      <c r="P470" s="407"/>
      <c r="Q470" s="407"/>
      <c r="R470" s="407"/>
      <c r="S470" s="407"/>
      <c r="T470" s="407"/>
      <c r="U470" s="407"/>
      <c r="V470" s="407"/>
      <c r="W470" s="407"/>
      <c r="X470" s="407"/>
      <c r="Y470" s="407"/>
      <c r="Z470" s="407"/>
      <c r="AA470" s="407"/>
      <c r="AB470" s="407"/>
      <c r="AC470" s="407"/>
      <c r="AD470" s="407"/>
      <c r="AE470" s="407"/>
    </row>
    <row r="471" spans="2:31">
      <c r="B471" s="407"/>
      <c r="C471" s="407"/>
      <c r="D471" s="407"/>
      <c r="E471" s="407"/>
      <c r="F471" s="407"/>
      <c r="G471" s="407"/>
      <c r="H471" s="407"/>
      <c r="I471" s="407"/>
      <c r="J471" s="407"/>
      <c r="K471" s="407"/>
      <c r="L471" s="407"/>
      <c r="M471" s="407"/>
      <c r="N471" s="407"/>
      <c r="O471" s="407"/>
      <c r="P471" s="407"/>
      <c r="Q471" s="407"/>
      <c r="R471" s="407"/>
      <c r="S471" s="407"/>
      <c r="T471" s="407"/>
      <c r="U471" s="407"/>
      <c r="V471" s="407"/>
      <c r="W471" s="407"/>
      <c r="X471" s="407"/>
      <c r="Y471" s="407"/>
      <c r="Z471" s="407"/>
      <c r="AA471" s="407"/>
      <c r="AB471" s="407"/>
      <c r="AC471" s="407"/>
      <c r="AD471" s="407"/>
      <c r="AE471" s="407"/>
    </row>
    <row r="472" spans="2:31">
      <c r="B472" s="407"/>
      <c r="C472" s="407"/>
      <c r="D472" s="407"/>
      <c r="E472" s="407"/>
      <c r="F472" s="407"/>
      <c r="G472" s="407"/>
      <c r="H472" s="407"/>
      <c r="I472" s="407"/>
      <c r="J472" s="407"/>
      <c r="K472" s="407"/>
      <c r="L472" s="407"/>
      <c r="M472" s="407"/>
      <c r="N472" s="407"/>
      <c r="O472" s="407"/>
      <c r="P472" s="407"/>
      <c r="Q472" s="407"/>
      <c r="R472" s="407"/>
      <c r="S472" s="407"/>
      <c r="T472" s="407"/>
      <c r="U472" s="407"/>
      <c r="V472" s="407"/>
      <c r="W472" s="407"/>
      <c r="X472" s="407"/>
      <c r="Y472" s="407"/>
      <c r="Z472" s="407"/>
      <c r="AA472" s="407"/>
      <c r="AB472" s="407"/>
      <c r="AC472" s="407"/>
      <c r="AD472" s="407"/>
      <c r="AE472" s="407"/>
    </row>
    <row r="473" spans="2:31">
      <c r="B473" s="407"/>
      <c r="C473" s="407"/>
      <c r="D473" s="407"/>
      <c r="E473" s="407"/>
      <c r="F473" s="407"/>
      <c r="G473" s="407"/>
      <c r="H473" s="407"/>
      <c r="I473" s="407"/>
      <c r="J473" s="407"/>
      <c r="K473" s="407"/>
      <c r="L473" s="407"/>
      <c r="M473" s="407"/>
      <c r="N473" s="407"/>
      <c r="O473" s="407"/>
      <c r="P473" s="407"/>
      <c r="Q473" s="407"/>
      <c r="R473" s="407"/>
      <c r="S473" s="407"/>
      <c r="T473" s="407"/>
      <c r="U473" s="407"/>
      <c r="V473" s="407"/>
      <c r="W473" s="407"/>
      <c r="X473" s="407"/>
      <c r="Y473" s="407"/>
      <c r="Z473" s="407"/>
      <c r="AA473" s="407"/>
      <c r="AB473" s="407"/>
      <c r="AC473" s="407"/>
      <c r="AD473" s="407"/>
      <c r="AE473" s="407"/>
    </row>
    <row r="474" spans="2:31">
      <c r="B474" s="407"/>
      <c r="C474" s="407"/>
      <c r="D474" s="407"/>
      <c r="E474" s="407"/>
      <c r="F474" s="407"/>
      <c r="G474" s="407"/>
      <c r="H474" s="407"/>
      <c r="I474" s="407"/>
      <c r="J474" s="407"/>
      <c r="K474" s="407"/>
      <c r="L474" s="407"/>
      <c r="M474" s="407"/>
      <c r="N474" s="407"/>
      <c r="O474" s="407"/>
      <c r="P474" s="407"/>
      <c r="Q474" s="407"/>
      <c r="R474" s="407"/>
      <c r="S474" s="407"/>
      <c r="T474" s="407"/>
      <c r="U474" s="407"/>
      <c r="V474" s="407"/>
      <c r="W474" s="407"/>
      <c r="X474" s="407"/>
      <c r="Y474" s="407"/>
      <c r="Z474" s="407"/>
      <c r="AA474" s="407"/>
      <c r="AB474" s="407"/>
      <c r="AC474" s="407"/>
      <c r="AD474" s="407"/>
      <c r="AE474" s="407"/>
    </row>
    <row r="475" spans="2:31">
      <c r="B475" s="407"/>
      <c r="C475" s="407"/>
      <c r="D475" s="407"/>
      <c r="E475" s="407"/>
      <c r="F475" s="407"/>
      <c r="G475" s="407"/>
      <c r="H475" s="407"/>
      <c r="I475" s="407"/>
      <c r="J475" s="407"/>
      <c r="K475" s="407"/>
      <c r="L475" s="407"/>
      <c r="M475" s="407"/>
      <c r="N475" s="407"/>
      <c r="O475" s="407"/>
      <c r="P475" s="407"/>
      <c r="Q475" s="407"/>
      <c r="R475" s="407"/>
      <c r="S475" s="407"/>
      <c r="T475" s="407"/>
      <c r="U475" s="407"/>
      <c r="V475" s="407"/>
      <c r="W475" s="407"/>
      <c r="X475" s="407"/>
      <c r="Y475" s="407"/>
      <c r="Z475" s="407"/>
      <c r="AA475" s="407"/>
      <c r="AB475" s="407"/>
      <c r="AC475" s="407"/>
      <c r="AD475" s="407"/>
      <c r="AE475" s="407"/>
    </row>
    <row r="476" spans="2:31">
      <c r="B476" s="407"/>
      <c r="C476" s="407"/>
      <c r="D476" s="407"/>
      <c r="E476" s="407"/>
      <c r="F476" s="407"/>
      <c r="G476" s="407"/>
      <c r="H476" s="407"/>
      <c r="I476" s="407"/>
      <c r="J476" s="407"/>
      <c r="K476" s="407"/>
      <c r="L476" s="407"/>
      <c r="M476" s="407"/>
      <c r="N476" s="407"/>
      <c r="O476" s="407"/>
      <c r="P476" s="407"/>
      <c r="Q476" s="407"/>
      <c r="R476" s="407"/>
      <c r="S476" s="407"/>
      <c r="T476" s="407"/>
      <c r="U476" s="407"/>
      <c r="V476" s="407"/>
      <c r="W476" s="407"/>
      <c r="X476" s="407"/>
      <c r="Y476" s="407"/>
      <c r="Z476" s="407"/>
      <c r="AA476" s="407"/>
      <c r="AB476" s="407"/>
      <c r="AC476" s="407"/>
      <c r="AD476" s="407"/>
      <c r="AE476" s="407"/>
    </row>
    <row r="477" spans="2:31">
      <c r="B477" s="407"/>
      <c r="C477" s="407"/>
      <c r="D477" s="407"/>
      <c r="E477" s="407"/>
      <c r="F477" s="407"/>
      <c r="G477" s="407"/>
      <c r="H477" s="407"/>
      <c r="I477" s="407"/>
      <c r="J477" s="407"/>
      <c r="K477" s="407"/>
      <c r="L477" s="407"/>
      <c r="M477" s="407"/>
      <c r="N477" s="407"/>
      <c r="O477" s="407"/>
      <c r="P477" s="407"/>
      <c r="Q477" s="407"/>
      <c r="R477" s="407"/>
      <c r="S477" s="407"/>
      <c r="T477" s="407"/>
      <c r="U477" s="407"/>
      <c r="V477" s="407"/>
      <c r="W477" s="407"/>
      <c r="X477" s="407"/>
      <c r="Y477" s="407"/>
      <c r="Z477" s="407"/>
      <c r="AA477" s="407"/>
      <c r="AB477" s="407"/>
      <c r="AC477" s="407"/>
      <c r="AD477" s="407"/>
      <c r="AE477" s="407"/>
    </row>
    <row r="478" spans="2:31">
      <c r="B478" s="407"/>
      <c r="C478" s="407"/>
      <c r="D478" s="407"/>
      <c r="E478" s="407"/>
      <c r="F478" s="407"/>
      <c r="G478" s="407"/>
      <c r="H478" s="407"/>
      <c r="I478" s="407"/>
      <c r="J478" s="407"/>
      <c r="K478" s="407"/>
      <c r="L478" s="407"/>
      <c r="M478" s="407"/>
      <c r="N478" s="407"/>
      <c r="O478" s="407"/>
      <c r="P478" s="407"/>
      <c r="Q478" s="407"/>
      <c r="R478" s="407"/>
      <c r="S478" s="407"/>
      <c r="T478" s="407"/>
      <c r="U478" s="407"/>
      <c r="V478" s="407"/>
      <c r="W478" s="407"/>
      <c r="X478" s="407"/>
      <c r="Y478" s="407"/>
      <c r="Z478" s="407"/>
      <c r="AA478" s="407"/>
      <c r="AB478" s="407"/>
      <c r="AC478" s="407"/>
      <c r="AD478" s="407"/>
      <c r="AE478" s="407"/>
    </row>
    <row r="479" spans="2:31">
      <c r="B479" s="407"/>
      <c r="C479" s="407"/>
      <c r="D479" s="407"/>
      <c r="E479" s="407"/>
      <c r="F479" s="407"/>
      <c r="G479" s="407"/>
      <c r="H479" s="407"/>
      <c r="I479" s="407"/>
      <c r="J479" s="407"/>
      <c r="K479" s="407"/>
      <c r="L479" s="407"/>
      <c r="M479" s="407"/>
      <c r="N479" s="407"/>
      <c r="O479" s="407"/>
      <c r="P479" s="407"/>
      <c r="Q479" s="407"/>
      <c r="R479" s="407"/>
      <c r="S479" s="407"/>
      <c r="T479" s="407"/>
      <c r="U479" s="407"/>
      <c r="V479" s="407"/>
      <c r="W479" s="407"/>
      <c r="X479" s="407"/>
      <c r="Y479" s="407"/>
      <c r="Z479" s="407"/>
      <c r="AA479" s="407"/>
      <c r="AB479" s="407"/>
      <c r="AC479" s="407"/>
      <c r="AD479" s="407"/>
      <c r="AE479" s="407"/>
    </row>
    <row r="480" spans="2:31">
      <c r="B480" s="407"/>
      <c r="C480" s="407"/>
      <c r="D480" s="407"/>
      <c r="E480" s="407"/>
      <c r="F480" s="407"/>
      <c r="G480" s="407"/>
      <c r="H480" s="407"/>
      <c r="I480" s="407"/>
      <c r="J480" s="407"/>
      <c r="K480" s="407"/>
      <c r="L480" s="407"/>
      <c r="M480" s="407"/>
      <c r="N480" s="407"/>
      <c r="O480" s="407"/>
      <c r="P480" s="407"/>
      <c r="Q480" s="407"/>
      <c r="R480" s="407"/>
      <c r="S480" s="407"/>
      <c r="T480" s="407"/>
      <c r="U480" s="407"/>
      <c r="V480" s="407"/>
      <c r="W480" s="407"/>
      <c r="X480" s="407"/>
      <c r="Y480" s="407"/>
      <c r="Z480" s="407"/>
      <c r="AA480" s="407"/>
      <c r="AB480" s="407"/>
      <c r="AC480" s="407"/>
      <c r="AD480" s="407"/>
      <c r="AE480" s="407"/>
    </row>
    <row r="481" spans="2:31">
      <c r="B481" s="407"/>
      <c r="C481" s="407"/>
      <c r="D481" s="407"/>
      <c r="E481" s="407"/>
      <c r="F481" s="407"/>
      <c r="G481" s="407"/>
      <c r="H481" s="407"/>
      <c r="I481" s="407"/>
      <c r="J481" s="407"/>
      <c r="K481" s="407"/>
      <c r="L481" s="407"/>
      <c r="M481" s="407"/>
      <c r="N481" s="407"/>
      <c r="O481" s="407"/>
      <c r="P481" s="407"/>
      <c r="Q481" s="407"/>
      <c r="R481" s="407"/>
      <c r="S481" s="407"/>
      <c r="T481" s="407"/>
      <c r="U481" s="407"/>
      <c r="V481" s="407"/>
      <c r="W481" s="407"/>
      <c r="X481" s="407"/>
      <c r="Y481" s="407"/>
      <c r="Z481" s="407"/>
      <c r="AA481" s="407"/>
      <c r="AB481" s="407"/>
      <c r="AC481" s="407"/>
      <c r="AD481" s="407"/>
      <c r="AE481" s="407"/>
    </row>
    <row r="482" spans="2:31">
      <c r="B482" s="407"/>
      <c r="C482" s="407"/>
      <c r="D482" s="407"/>
      <c r="E482" s="407"/>
      <c r="F482" s="407"/>
      <c r="G482" s="407"/>
      <c r="H482" s="407"/>
      <c r="I482" s="407"/>
      <c r="J482" s="407"/>
      <c r="K482" s="407"/>
      <c r="L482" s="407"/>
      <c r="M482" s="407"/>
      <c r="N482" s="407"/>
      <c r="O482" s="407"/>
      <c r="P482" s="407"/>
      <c r="Q482" s="407"/>
      <c r="R482" s="407"/>
      <c r="S482" s="407"/>
      <c r="T482" s="407"/>
      <c r="U482" s="407"/>
      <c r="V482" s="407"/>
      <c r="W482" s="407"/>
      <c r="X482" s="407"/>
      <c r="Y482" s="407"/>
      <c r="Z482" s="407"/>
      <c r="AA482" s="407"/>
      <c r="AB482" s="407"/>
      <c r="AC482" s="407"/>
      <c r="AD482" s="407"/>
      <c r="AE482" s="407"/>
    </row>
    <row r="483" spans="2:31">
      <c r="B483" s="407"/>
      <c r="C483" s="407"/>
      <c r="D483" s="407"/>
      <c r="E483" s="407"/>
      <c r="F483" s="407"/>
      <c r="G483" s="407"/>
      <c r="H483" s="407"/>
      <c r="I483" s="407"/>
      <c r="J483" s="407"/>
      <c r="K483" s="407"/>
      <c r="L483" s="407"/>
      <c r="M483" s="407"/>
      <c r="N483" s="407"/>
      <c r="O483" s="407"/>
      <c r="P483" s="407"/>
      <c r="Q483" s="407"/>
      <c r="R483" s="407"/>
      <c r="S483" s="407"/>
      <c r="T483" s="407"/>
      <c r="U483" s="407"/>
      <c r="V483" s="407"/>
      <c r="W483" s="407"/>
      <c r="X483" s="407"/>
      <c r="Y483" s="407"/>
      <c r="Z483" s="407"/>
      <c r="AA483" s="407"/>
      <c r="AB483" s="407"/>
      <c r="AC483" s="407"/>
      <c r="AD483" s="407"/>
      <c r="AE483" s="407"/>
    </row>
    <row r="484" spans="2:31">
      <c r="B484" s="407"/>
      <c r="C484" s="407"/>
      <c r="D484" s="407"/>
      <c r="E484" s="407"/>
      <c r="F484" s="407"/>
      <c r="G484" s="407"/>
      <c r="H484" s="407"/>
      <c r="I484" s="407"/>
      <c r="J484" s="407"/>
      <c r="K484" s="407"/>
      <c r="L484" s="407"/>
      <c r="M484" s="407"/>
      <c r="N484" s="407"/>
      <c r="O484" s="407"/>
      <c r="P484" s="407"/>
      <c r="Q484" s="407"/>
      <c r="R484" s="407"/>
      <c r="S484" s="407"/>
      <c r="T484" s="407"/>
      <c r="U484" s="407"/>
      <c r="V484" s="407"/>
      <c r="W484" s="407"/>
      <c r="X484" s="407"/>
      <c r="Y484" s="407"/>
      <c r="Z484" s="407"/>
      <c r="AA484" s="407"/>
      <c r="AB484" s="407"/>
      <c r="AC484" s="407"/>
      <c r="AD484" s="407"/>
      <c r="AE484" s="407"/>
    </row>
    <row r="485" spans="2:31">
      <c r="B485" s="407"/>
      <c r="C485" s="407"/>
      <c r="D485" s="407"/>
      <c r="E485" s="407"/>
      <c r="F485" s="407"/>
      <c r="G485" s="407"/>
      <c r="H485" s="407"/>
      <c r="I485" s="407"/>
      <c r="J485" s="407"/>
      <c r="K485" s="407"/>
      <c r="L485" s="407"/>
      <c r="M485" s="407"/>
      <c r="N485" s="407"/>
      <c r="O485" s="407"/>
      <c r="P485" s="407"/>
      <c r="Q485" s="407"/>
      <c r="R485" s="407"/>
      <c r="S485" s="407"/>
      <c r="T485" s="407"/>
      <c r="U485" s="407"/>
      <c r="V485" s="407"/>
      <c r="W485" s="407"/>
      <c r="X485" s="407"/>
      <c r="Y485" s="407"/>
      <c r="Z485" s="407"/>
      <c r="AA485" s="407"/>
      <c r="AB485" s="407"/>
      <c r="AC485" s="407"/>
      <c r="AD485" s="407"/>
      <c r="AE485" s="407"/>
    </row>
    <row r="486" spans="2:31">
      <c r="B486" s="407"/>
      <c r="C486" s="407"/>
      <c r="D486" s="407"/>
      <c r="E486" s="407"/>
      <c r="F486" s="407"/>
      <c r="G486" s="407"/>
      <c r="H486" s="407"/>
      <c r="I486" s="407"/>
      <c r="J486" s="407"/>
      <c r="K486" s="407"/>
      <c r="L486" s="407"/>
      <c r="M486" s="407"/>
      <c r="N486" s="407"/>
      <c r="O486" s="407"/>
      <c r="P486" s="407"/>
      <c r="Q486" s="407"/>
      <c r="R486" s="407"/>
      <c r="S486" s="407"/>
      <c r="T486" s="407"/>
      <c r="U486" s="407"/>
      <c r="V486" s="407"/>
      <c r="W486" s="407"/>
      <c r="X486" s="407"/>
      <c r="Y486" s="407"/>
      <c r="Z486" s="407"/>
      <c r="AA486" s="407"/>
      <c r="AB486" s="407"/>
      <c r="AC486" s="407"/>
      <c r="AD486" s="407"/>
      <c r="AE486" s="407"/>
    </row>
    <row r="487" spans="2:31">
      <c r="B487" s="407"/>
      <c r="C487" s="407"/>
      <c r="D487" s="407"/>
      <c r="E487" s="407"/>
      <c r="F487" s="407"/>
      <c r="G487" s="407"/>
      <c r="H487" s="407"/>
      <c r="I487" s="407"/>
      <c r="J487" s="407"/>
      <c r="K487" s="407"/>
      <c r="L487" s="407"/>
      <c r="M487" s="407"/>
      <c r="N487" s="407"/>
      <c r="O487" s="407"/>
      <c r="P487" s="407"/>
      <c r="Q487" s="407"/>
      <c r="R487" s="407"/>
      <c r="S487" s="407"/>
      <c r="T487" s="407"/>
      <c r="U487" s="407"/>
      <c r="V487" s="407"/>
      <c r="W487" s="407"/>
      <c r="X487" s="407"/>
      <c r="Y487" s="407"/>
      <c r="Z487" s="407"/>
      <c r="AA487" s="407"/>
      <c r="AB487" s="407"/>
      <c r="AC487" s="407"/>
      <c r="AD487" s="407"/>
      <c r="AE487" s="407"/>
    </row>
    <row r="488" spans="2:31">
      <c r="B488" s="407"/>
      <c r="C488" s="407"/>
      <c r="D488" s="407"/>
      <c r="E488" s="407"/>
      <c r="F488" s="407"/>
      <c r="G488" s="407"/>
      <c r="H488" s="407"/>
      <c r="I488" s="407"/>
      <c r="J488" s="407"/>
      <c r="K488" s="407"/>
      <c r="L488" s="407"/>
      <c r="M488" s="407"/>
      <c r="N488" s="407"/>
      <c r="O488" s="407"/>
      <c r="P488" s="407"/>
      <c r="Q488" s="407"/>
      <c r="R488" s="407"/>
      <c r="S488" s="407"/>
      <c r="T488" s="407"/>
      <c r="U488" s="407"/>
      <c r="V488" s="407"/>
      <c r="W488" s="407"/>
      <c r="X488" s="407"/>
      <c r="Y488" s="407"/>
      <c r="Z488" s="407"/>
      <c r="AA488" s="407"/>
      <c r="AB488" s="407"/>
      <c r="AC488" s="407"/>
      <c r="AD488" s="407"/>
      <c r="AE488" s="407"/>
    </row>
    <row r="489" spans="2:31">
      <c r="B489" s="407"/>
      <c r="C489" s="407"/>
      <c r="D489" s="407"/>
      <c r="E489" s="407"/>
      <c r="F489" s="407"/>
      <c r="G489" s="407"/>
      <c r="H489" s="407"/>
      <c r="I489" s="407"/>
      <c r="J489" s="407"/>
      <c r="K489" s="407"/>
      <c r="L489" s="407"/>
      <c r="M489" s="407"/>
      <c r="N489" s="407"/>
      <c r="O489" s="407"/>
      <c r="P489" s="407"/>
      <c r="Q489" s="407"/>
      <c r="R489" s="407"/>
      <c r="S489" s="407"/>
      <c r="T489" s="407"/>
      <c r="U489" s="407"/>
      <c r="V489" s="407"/>
      <c r="W489" s="407"/>
      <c r="X489" s="407"/>
      <c r="Y489" s="407"/>
      <c r="Z489" s="407"/>
      <c r="AA489" s="407"/>
      <c r="AB489" s="407"/>
      <c r="AC489" s="407"/>
      <c r="AD489" s="407"/>
      <c r="AE489" s="407"/>
    </row>
    <row r="490" spans="2:31">
      <c r="B490" s="407"/>
      <c r="C490" s="407"/>
      <c r="D490" s="407"/>
      <c r="E490" s="407"/>
      <c r="F490" s="407"/>
      <c r="G490" s="407"/>
      <c r="H490" s="407"/>
      <c r="I490" s="407"/>
      <c r="J490" s="407"/>
      <c r="K490" s="407"/>
      <c r="L490" s="407"/>
      <c r="M490" s="407"/>
      <c r="N490" s="407"/>
      <c r="O490" s="407"/>
      <c r="P490" s="407"/>
      <c r="Q490" s="407"/>
      <c r="R490" s="407"/>
      <c r="S490" s="407"/>
      <c r="T490" s="407"/>
      <c r="U490" s="407"/>
      <c r="V490" s="407"/>
      <c r="W490" s="407"/>
      <c r="X490" s="407"/>
      <c r="Y490" s="407"/>
      <c r="Z490" s="407"/>
      <c r="AA490" s="407"/>
      <c r="AB490" s="407"/>
      <c r="AC490" s="407"/>
      <c r="AD490" s="407"/>
      <c r="AE490" s="407"/>
    </row>
    <row r="491" spans="2:31">
      <c r="B491" s="407"/>
      <c r="C491" s="407"/>
      <c r="D491" s="407"/>
      <c r="E491" s="407"/>
      <c r="F491" s="407"/>
      <c r="G491" s="407"/>
      <c r="H491" s="407"/>
      <c r="I491" s="407"/>
      <c r="J491" s="407"/>
      <c r="K491" s="407"/>
      <c r="L491" s="407"/>
      <c r="M491" s="407"/>
      <c r="N491" s="407"/>
      <c r="O491" s="407"/>
      <c r="P491" s="407"/>
      <c r="Q491" s="407"/>
      <c r="R491" s="407"/>
      <c r="S491" s="407"/>
      <c r="T491" s="407"/>
      <c r="U491" s="407"/>
      <c r="V491" s="407"/>
      <c r="W491" s="407"/>
      <c r="X491" s="407"/>
      <c r="Y491" s="407"/>
      <c r="Z491" s="407"/>
      <c r="AA491" s="407"/>
      <c r="AB491" s="407"/>
      <c r="AC491" s="407"/>
      <c r="AD491" s="407"/>
      <c r="AE491" s="407"/>
    </row>
    <row r="492" spans="2:31">
      <c r="B492" s="407"/>
      <c r="C492" s="407"/>
      <c r="D492" s="407"/>
      <c r="E492" s="407"/>
      <c r="F492" s="407"/>
      <c r="G492" s="407"/>
      <c r="H492" s="407"/>
      <c r="I492" s="407"/>
      <c r="J492" s="407"/>
      <c r="K492" s="407"/>
      <c r="L492" s="407"/>
      <c r="M492" s="407"/>
      <c r="N492" s="407"/>
      <c r="O492" s="407"/>
      <c r="P492" s="407"/>
      <c r="Q492" s="407"/>
      <c r="R492" s="407"/>
      <c r="S492" s="407"/>
      <c r="T492" s="407"/>
      <c r="U492" s="407"/>
      <c r="V492" s="407"/>
      <c r="W492" s="407"/>
      <c r="X492" s="407"/>
      <c r="Y492" s="407"/>
      <c r="Z492" s="407"/>
      <c r="AA492" s="407"/>
      <c r="AB492" s="407"/>
      <c r="AC492" s="407"/>
      <c r="AD492" s="407"/>
      <c r="AE492" s="407"/>
    </row>
    <row r="493" spans="2:31">
      <c r="B493" s="407"/>
      <c r="C493" s="407"/>
      <c r="D493" s="407"/>
      <c r="E493" s="407"/>
      <c r="F493" s="407"/>
      <c r="G493" s="407"/>
      <c r="H493" s="407"/>
      <c r="I493" s="407"/>
      <c r="J493" s="407"/>
      <c r="K493" s="407"/>
      <c r="L493" s="407"/>
      <c r="M493" s="407"/>
      <c r="N493" s="407"/>
      <c r="O493" s="407"/>
      <c r="P493" s="407"/>
      <c r="Q493" s="407"/>
      <c r="R493" s="407"/>
      <c r="S493" s="407"/>
      <c r="T493" s="407"/>
      <c r="U493" s="407"/>
      <c r="V493" s="407"/>
      <c r="W493" s="407"/>
      <c r="X493" s="407"/>
      <c r="Y493" s="407"/>
      <c r="Z493" s="407"/>
      <c r="AA493" s="407"/>
      <c r="AB493" s="407"/>
      <c r="AC493" s="407"/>
      <c r="AD493" s="407"/>
      <c r="AE493" s="407"/>
    </row>
    <row r="494" spans="2:31">
      <c r="B494" s="407"/>
      <c r="C494" s="407"/>
      <c r="D494" s="407"/>
      <c r="E494" s="407"/>
      <c r="F494" s="407"/>
      <c r="G494" s="407"/>
      <c r="H494" s="407"/>
      <c r="I494" s="407"/>
      <c r="J494" s="407"/>
      <c r="K494" s="407"/>
      <c r="L494" s="407"/>
      <c r="M494" s="407"/>
      <c r="N494" s="407"/>
      <c r="O494" s="407"/>
      <c r="P494" s="407"/>
      <c r="Q494" s="407"/>
      <c r="R494" s="407"/>
      <c r="S494" s="407"/>
      <c r="T494" s="407"/>
      <c r="U494" s="407"/>
      <c r="V494" s="407"/>
      <c r="W494" s="407"/>
      <c r="X494" s="407"/>
      <c r="Y494" s="407"/>
      <c r="Z494" s="407"/>
      <c r="AA494" s="407"/>
      <c r="AB494" s="407"/>
      <c r="AC494" s="407"/>
      <c r="AD494" s="407"/>
      <c r="AE494" s="407"/>
    </row>
    <row r="495" spans="2:31">
      <c r="B495" s="407"/>
      <c r="C495" s="407"/>
      <c r="D495" s="407"/>
      <c r="E495" s="407"/>
      <c r="F495" s="407"/>
      <c r="G495" s="407"/>
      <c r="H495" s="407"/>
      <c r="I495" s="407"/>
      <c r="J495" s="407"/>
      <c r="K495" s="407"/>
      <c r="L495" s="407"/>
      <c r="M495" s="407"/>
      <c r="N495" s="407"/>
      <c r="O495" s="407"/>
      <c r="P495" s="407"/>
      <c r="Q495" s="407"/>
      <c r="R495" s="407"/>
      <c r="S495" s="407"/>
      <c r="T495" s="407"/>
      <c r="U495" s="407"/>
      <c r="V495" s="407"/>
      <c r="W495" s="407"/>
      <c r="X495" s="407"/>
      <c r="Y495" s="407"/>
      <c r="Z495" s="407"/>
      <c r="AA495" s="407"/>
      <c r="AB495" s="407"/>
      <c r="AC495" s="407"/>
      <c r="AD495" s="407"/>
      <c r="AE495" s="407"/>
    </row>
    <row r="496" spans="2:31">
      <c r="B496" s="407"/>
      <c r="C496" s="407"/>
      <c r="D496" s="407"/>
      <c r="E496" s="407"/>
      <c r="F496" s="407"/>
      <c r="G496" s="407"/>
      <c r="H496" s="407"/>
      <c r="I496" s="407"/>
      <c r="J496" s="407"/>
      <c r="K496" s="407"/>
      <c r="L496" s="407"/>
      <c r="M496" s="407"/>
      <c r="N496" s="407"/>
      <c r="O496" s="407"/>
      <c r="P496" s="407"/>
      <c r="Q496" s="407"/>
      <c r="R496" s="407"/>
      <c r="S496" s="407"/>
      <c r="T496" s="407"/>
      <c r="U496" s="407"/>
      <c r="V496" s="407"/>
      <c r="W496" s="407"/>
      <c r="X496" s="407"/>
      <c r="Y496" s="407"/>
      <c r="Z496" s="407"/>
      <c r="AA496" s="407"/>
      <c r="AB496" s="407"/>
      <c r="AC496" s="407"/>
      <c r="AD496" s="407"/>
      <c r="AE496" s="407"/>
    </row>
    <row r="497" spans="2:31">
      <c r="B497" s="407"/>
      <c r="C497" s="407"/>
      <c r="D497" s="407"/>
      <c r="E497" s="407"/>
      <c r="F497" s="407"/>
      <c r="G497" s="407"/>
      <c r="H497" s="407"/>
      <c r="I497" s="407"/>
      <c r="J497" s="407"/>
      <c r="K497" s="407"/>
      <c r="L497" s="407"/>
      <c r="M497" s="407"/>
      <c r="N497" s="407"/>
      <c r="O497" s="407"/>
      <c r="P497" s="407"/>
      <c r="Q497" s="407"/>
      <c r="R497" s="407"/>
      <c r="S497" s="407"/>
      <c r="T497" s="407"/>
      <c r="U497" s="407"/>
      <c r="V497" s="407"/>
      <c r="W497" s="407"/>
      <c r="X497" s="407"/>
      <c r="Y497" s="407"/>
      <c r="Z497" s="407"/>
      <c r="AA497" s="407"/>
      <c r="AB497" s="407"/>
      <c r="AC497" s="407"/>
      <c r="AD497" s="407"/>
      <c r="AE497" s="407"/>
    </row>
    <row r="498" spans="2:31">
      <c r="B498" s="407"/>
      <c r="C498" s="407"/>
      <c r="D498" s="407"/>
      <c r="E498" s="407"/>
      <c r="F498" s="407"/>
      <c r="G498" s="407"/>
      <c r="H498" s="407"/>
      <c r="I498" s="407"/>
      <c r="J498" s="407"/>
      <c r="K498" s="407"/>
      <c r="L498" s="407"/>
      <c r="M498" s="407"/>
      <c r="N498" s="407"/>
      <c r="O498" s="407"/>
      <c r="P498" s="407"/>
      <c r="Q498" s="407"/>
      <c r="R498" s="407"/>
      <c r="S498" s="407"/>
      <c r="T498" s="407"/>
      <c r="U498" s="407"/>
      <c r="V498" s="407"/>
      <c r="W498" s="407"/>
      <c r="X498" s="407"/>
      <c r="Y498" s="407"/>
      <c r="Z498" s="407"/>
      <c r="AA498" s="407"/>
      <c r="AB498" s="407"/>
      <c r="AC498" s="407"/>
      <c r="AD498" s="407"/>
      <c r="AE498" s="407"/>
    </row>
    <row r="499" spans="2:31">
      <c r="B499" s="407"/>
      <c r="C499" s="407"/>
      <c r="D499" s="407"/>
      <c r="E499" s="407"/>
      <c r="F499" s="407"/>
      <c r="G499" s="407"/>
      <c r="H499" s="407"/>
      <c r="I499" s="407"/>
      <c r="J499" s="407"/>
      <c r="K499" s="407"/>
      <c r="L499" s="407"/>
      <c r="M499" s="407"/>
      <c r="N499" s="407"/>
      <c r="O499" s="407"/>
      <c r="P499" s="407"/>
      <c r="Q499" s="407"/>
      <c r="R499" s="407"/>
      <c r="S499" s="407"/>
      <c r="T499" s="407"/>
      <c r="U499" s="407"/>
      <c r="V499" s="407"/>
      <c r="W499" s="407"/>
      <c r="X499" s="407"/>
      <c r="Y499" s="407"/>
      <c r="Z499" s="407"/>
      <c r="AA499" s="407"/>
      <c r="AB499" s="407"/>
      <c r="AC499" s="407"/>
      <c r="AD499" s="407"/>
      <c r="AE499" s="407"/>
    </row>
    <row r="500" spans="2:31">
      <c r="B500" s="407"/>
      <c r="C500" s="407"/>
      <c r="D500" s="407"/>
      <c r="E500" s="407"/>
      <c r="F500" s="407"/>
      <c r="G500" s="407"/>
      <c r="H500" s="407"/>
      <c r="I500" s="407"/>
      <c r="J500" s="407"/>
      <c r="K500" s="407"/>
      <c r="L500" s="407"/>
      <c r="M500" s="407"/>
      <c r="N500" s="407"/>
      <c r="O500" s="407"/>
      <c r="P500" s="407"/>
      <c r="Q500" s="407"/>
      <c r="R500" s="407"/>
      <c r="S500" s="407"/>
      <c r="T500" s="407"/>
      <c r="U500" s="407"/>
      <c r="V500" s="407"/>
      <c r="W500" s="407"/>
      <c r="X500" s="407"/>
      <c r="Y500" s="407"/>
      <c r="Z500" s="407"/>
      <c r="AA500" s="407"/>
      <c r="AB500" s="407"/>
      <c r="AC500" s="407"/>
      <c r="AD500" s="407"/>
      <c r="AE500" s="407"/>
    </row>
    <row r="501" spans="2:31">
      <c r="B501" s="407"/>
      <c r="C501" s="407"/>
      <c r="D501" s="407"/>
      <c r="E501" s="407"/>
      <c r="F501" s="407"/>
      <c r="G501" s="407"/>
      <c r="H501" s="407"/>
      <c r="I501" s="407"/>
      <c r="J501" s="407"/>
      <c r="K501" s="407"/>
      <c r="L501" s="407"/>
      <c r="M501" s="407"/>
      <c r="N501" s="407"/>
      <c r="O501" s="407"/>
      <c r="P501" s="407"/>
      <c r="Q501" s="407"/>
      <c r="R501" s="407"/>
      <c r="S501" s="407"/>
      <c r="T501" s="407"/>
      <c r="U501" s="407"/>
      <c r="V501" s="407"/>
      <c r="W501" s="407"/>
      <c r="X501" s="407"/>
      <c r="Y501" s="407"/>
      <c r="Z501" s="407"/>
      <c r="AA501" s="407"/>
      <c r="AB501" s="407"/>
      <c r="AC501" s="407"/>
      <c r="AD501" s="407"/>
      <c r="AE501" s="407"/>
    </row>
    <row r="502" spans="2:31">
      <c r="B502" s="407"/>
      <c r="C502" s="407"/>
      <c r="D502" s="407"/>
      <c r="E502" s="407"/>
      <c r="F502" s="407"/>
      <c r="G502" s="407"/>
      <c r="H502" s="407"/>
      <c r="I502" s="407"/>
      <c r="J502" s="407"/>
      <c r="K502" s="407"/>
      <c r="L502" s="407"/>
      <c r="M502" s="407"/>
      <c r="N502" s="407"/>
      <c r="O502" s="407"/>
      <c r="P502" s="407"/>
      <c r="Q502" s="407"/>
      <c r="R502" s="407"/>
      <c r="S502" s="407"/>
      <c r="T502" s="407"/>
      <c r="U502" s="407"/>
      <c r="V502" s="407"/>
      <c r="W502" s="407"/>
      <c r="X502" s="407"/>
      <c r="Y502" s="407"/>
      <c r="Z502" s="407"/>
      <c r="AA502" s="407"/>
      <c r="AB502" s="407"/>
      <c r="AC502" s="407"/>
      <c r="AD502" s="407"/>
      <c r="AE502" s="407"/>
    </row>
    <row r="503" spans="2:31">
      <c r="B503" s="407"/>
      <c r="C503" s="407"/>
      <c r="D503" s="407"/>
      <c r="E503" s="407"/>
      <c r="F503" s="407"/>
      <c r="G503" s="407"/>
      <c r="H503" s="407"/>
      <c r="I503" s="407"/>
      <c r="J503" s="407"/>
      <c r="K503" s="407"/>
      <c r="L503" s="407"/>
      <c r="M503" s="407"/>
      <c r="N503" s="407"/>
      <c r="O503" s="407"/>
      <c r="P503" s="407"/>
      <c r="Q503" s="407"/>
      <c r="R503" s="407"/>
      <c r="S503" s="407"/>
      <c r="T503" s="407"/>
      <c r="U503" s="407"/>
      <c r="V503" s="407"/>
      <c r="W503" s="407"/>
      <c r="X503" s="407"/>
      <c r="Y503" s="407"/>
      <c r="Z503" s="407"/>
      <c r="AA503" s="407"/>
      <c r="AB503" s="407"/>
      <c r="AC503" s="407"/>
      <c r="AD503" s="407"/>
      <c r="AE503" s="407"/>
    </row>
    <row r="504" spans="2:31">
      <c r="B504" s="407"/>
      <c r="C504" s="407"/>
      <c r="D504" s="407"/>
      <c r="E504" s="407"/>
      <c r="F504" s="407"/>
      <c r="G504" s="407"/>
      <c r="H504" s="407"/>
      <c r="I504" s="407"/>
      <c r="J504" s="407"/>
      <c r="K504" s="407"/>
      <c r="L504" s="407"/>
      <c r="M504" s="407"/>
      <c r="N504" s="407"/>
      <c r="O504" s="407"/>
      <c r="P504" s="407"/>
      <c r="Q504" s="407"/>
      <c r="R504" s="407"/>
      <c r="S504" s="407"/>
      <c r="T504" s="407"/>
      <c r="U504" s="407"/>
      <c r="V504" s="407"/>
      <c r="W504" s="407"/>
      <c r="X504" s="407"/>
      <c r="Y504" s="407"/>
      <c r="Z504" s="407"/>
      <c r="AA504" s="407"/>
      <c r="AB504" s="407"/>
      <c r="AC504" s="407"/>
      <c r="AD504" s="407"/>
      <c r="AE504" s="407"/>
    </row>
    <row r="505" spans="2:31">
      <c r="B505" s="407"/>
      <c r="C505" s="407"/>
      <c r="D505" s="407"/>
      <c r="E505" s="407"/>
      <c r="F505" s="407"/>
      <c r="G505" s="407"/>
      <c r="H505" s="407"/>
      <c r="I505" s="407"/>
      <c r="J505" s="407"/>
      <c r="K505" s="407"/>
      <c r="L505" s="407"/>
      <c r="M505" s="407"/>
      <c r="N505" s="407"/>
      <c r="O505" s="407"/>
      <c r="P505" s="407"/>
      <c r="Q505" s="407"/>
      <c r="R505" s="407"/>
      <c r="S505" s="407"/>
      <c r="T505" s="407"/>
      <c r="U505" s="407"/>
      <c r="V505" s="407"/>
      <c r="W505" s="407"/>
      <c r="X505" s="407"/>
      <c r="Y505" s="407"/>
      <c r="Z505" s="407"/>
      <c r="AA505" s="407"/>
      <c r="AB505" s="407"/>
      <c r="AC505" s="407"/>
      <c r="AD505" s="407"/>
      <c r="AE505" s="407"/>
    </row>
    <row r="506" spans="2:31">
      <c r="B506" s="407"/>
      <c r="C506" s="407"/>
      <c r="D506" s="407"/>
      <c r="E506" s="407"/>
      <c r="F506" s="407"/>
      <c r="G506" s="407"/>
      <c r="H506" s="407"/>
      <c r="I506" s="407"/>
      <c r="J506" s="407"/>
      <c r="K506" s="407"/>
      <c r="L506" s="407"/>
      <c r="M506" s="407"/>
      <c r="N506" s="407"/>
      <c r="O506" s="407"/>
      <c r="P506" s="407"/>
      <c r="Q506" s="407"/>
      <c r="R506" s="407"/>
      <c r="S506" s="407"/>
      <c r="T506" s="407"/>
      <c r="U506" s="407"/>
      <c r="V506" s="407"/>
      <c r="W506" s="407"/>
      <c r="X506" s="407"/>
      <c r="Y506" s="407"/>
      <c r="Z506" s="407"/>
      <c r="AA506" s="407"/>
      <c r="AB506" s="407"/>
      <c r="AC506" s="407"/>
      <c r="AD506" s="407"/>
      <c r="AE506" s="407"/>
    </row>
    <row r="507" spans="2:31">
      <c r="B507" s="407"/>
      <c r="C507" s="407"/>
      <c r="D507" s="407"/>
      <c r="E507" s="407"/>
      <c r="F507" s="407"/>
      <c r="G507" s="407"/>
      <c r="H507" s="407"/>
      <c r="I507" s="407"/>
      <c r="J507" s="407"/>
      <c r="K507" s="407"/>
      <c r="L507" s="407"/>
      <c r="M507" s="407"/>
      <c r="N507" s="407"/>
      <c r="O507" s="407"/>
      <c r="P507" s="407"/>
      <c r="Q507" s="407"/>
      <c r="R507" s="407"/>
      <c r="S507" s="407"/>
      <c r="T507" s="407"/>
      <c r="U507" s="407"/>
      <c r="V507" s="407"/>
      <c r="W507" s="407"/>
      <c r="X507" s="407"/>
      <c r="Y507" s="407"/>
      <c r="Z507" s="407"/>
      <c r="AA507" s="407"/>
      <c r="AB507" s="407"/>
      <c r="AC507" s="407"/>
      <c r="AD507" s="407"/>
      <c r="AE507" s="407"/>
    </row>
    <row r="508" spans="2:31">
      <c r="B508" s="407"/>
      <c r="C508" s="407"/>
      <c r="D508" s="407"/>
      <c r="E508" s="407"/>
      <c r="F508" s="407"/>
      <c r="G508" s="407"/>
      <c r="H508" s="407"/>
      <c r="I508" s="407"/>
      <c r="J508" s="407"/>
      <c r="K508" s="407"/>
      <c r="L508" s="407"/>
      <c r="M508" s="407"/>
      <c r="N508" s="407"/>
      <c r="O508" s="407"/>
      <c r="P508" s="407"/>
      <c r="Q508" s="407"/>
      <c r="R508" s="407"/>
      <c r="S508" s="407"/>
      <c r="T508" s="407"/>
      <c r="U508" s="407"/>
      <c r="V508" s="407"/>
      <c r="W508" s="407"/>
      <c r="X508" s="407"/>
      <c r="Y508" s="407"/>
      <c r="Z508" s="407"/>
      <c r="AA508" s="407"/>
      <c r="AB508" s="407"/>
      <c r="AC508" s="407"/>
      <c r="AD508" s="407"/>
      <c r="AE508" s="407"/>
    </row>
    <row r="509" spans="2:31">
      <c r="B509" s="407"/>
      <c r="C509" s="407"/>
      <c r="D509" s="407"/>
      <c r="E509" s="407"/>
      <c r="F509" s="407"/>
      <c r="G509" s="407"/>
      <c r="H509" s="407"/>
      <c r="I509" s="407"/>
      <c r="J509" s="407"/>
      <c r="K509" s="407"/>
      <c r="L509" s="407"/>
      <c r="M509" s="407"/>
      <c r="N509" s="407"/>
      <c r="O509" s="407"/>
      <c r="P509" s="407"/>
      <c r="Q509" s="407"/>
      <c r="R509" s="407"/>
      <c r="S509" s="407"/>
      <c r="T509" s="407"/>
      <c r="U509" s="407"/>
      <c r="V509" s="407"/>
      <c r="W509" s="407"/>
      <c r="X509" s="407"/>
      <c r="Y509" s="407"/>
      <c r="Z509" s="407"/>
      <c r="AA509" s="407"/>
      <c r="AB509" s="407"/>
      <c r="AC509" s="407"/>
      <c r="AD509" s="407"/>
      <c r="AE509" s="407"/>
    </row>
    <row r="510" spans="2:31">
      <c r="B510" s="407"/>
      <c r="C510" s="407"/>
      <c r="D510" s="407"/>
      <c r="E510" s="407"/>
      <c r="F510" s="407"/>
      <c r="G510" s="407"/>
      <c r="H510" s="407"/>
      <c r="I510" s="407"/>
      <c r="J510" s="407"/>
      <c r="K510" s="407"/>
      <c r="L510" s="407"/>
      <c r="M510" s="407"/>
      <c r="N510" s="407"/>
      <c r="O510" s="407"/>
      <c r="P510" s="407"/>
      <c r="Q510" s="407"/>
      <c r="R510" s="407"/>
      <c r="S510" s="407"/>
      <c r="T510" s="407"/>
      <c r="U510" s="407"/>
      <c r="V510" s="407"/>
      <c r="W510" s="407"/>
      <c r="X510" s="407"/>
      <c r="Y510" s="407"/>
      <c r="Z510" s="407"/>
      <c r="AA510" s="407"/>
      <c r="AB510" s="407"/>
      <c r="AC510" s="407"/>
      <c r="AD510" s="407"/>
      <c r="AE510" s="407"/>
    </row>
    <row r="511" spans="2:31">
      <c r="B511" s="407"/>
      <c r="C511" s="407"/>
      <c r="D511" s="407"/>
      <c r="E511" s="407"/>
      <c r="F511" s="407"/>
      <c r="G511" s="407"/>
      <c r="H511" s="407"/>
      <c r="I511" s="407"/>
      <c r="J511" s="407"/>
      <c r="K511" s="407"/>
      <c r="L511" s="407"/>
      <c r="M511" s="407"/>
      <c r="N511" s="407"/>
      <c r="O511" s="407"/>
      <c r="P511" s="407"/>
      <c r="Q511" s="407"/>
      <c r="R511" s="407"/>
      <c r="S511" s="407"/>
      <c r="T511" s="407"/>
      <c r="U511" s="407"/>
      <c r="V511" s="407"/>
      <c r="W511" s="407"/>
      <c r="X511" s="407"/>
      <c r="Y511" s="407"/>
      <c r="Z511" s="407"/>
      <c r="AA511" s="407"/>
      <c r="AB511" s="407"/>
      <c r="AC511" s="407"/>
      <c r="AD511" s="407"/>
      <c r="AE511" s="407"/>
    </row>
    <row r="512" spans="2:31">
      <c r="B512" s="407"/>
      <c r="C512" s="407"/>
      <c r="D512" s="407"/>
      <c r="E512" s="407"/>
      <c r="F512" s="407"/>
      <c r="G512" s="407"/>
      <c r="H512" s="407"/>
      <c r="I512" s="407"/>
      <c r="J512" s="407"/>
      <c r="K512" s="407"/>
      <c r="L512" s="407"/>
      <c r="M512" s="407"/>
      <c r="N512" s="407"/>
      <c r="O512" s="407"/>
      <c r="P512" s="407"/>
      <c r="Q512" s="407"/>
      <c r="R512" s="407"/>
      <c r="S512" s="407"/>
      <c r="T512" s="407"/>
      <c r="U512" s="407"/>
      <c r="V512" s="407"/>
      <c r="W512" s="407"/>
      <c r="X512" s="407"/>
      <c r="Y512" s="407"/>
      <c r="Z512" s="407"/>
      <c r="AA512" s="407"/>
      <c r="AB512" s="407"/>
      <c r="AC512" s="407"/>
      <c r="AD512" s="407"/>
      <c r="AE512" s="407"/>
    </row>
    <row r="513" spans="2:31">
      <c r="B513" s="407"/>
      <c r="C513" s="407"/>
      <c r="D513" s="407"/>
      <c r="E513" s="407"/>
      <c r="F513" s="407"/>
      <c r="G513" s="407"/>
      <c r="H513" s="407"/>
      <c r="I513" s="407"/>
      <c r="J513" s="407"/>
      <c r="K513" s="407"/>
      <c r="L513" s="407"/>
      <c r="M513" s="407"/>
      <c r="N513" s="407"/>
      <c r="O513" s="407"/>
      <c r="P513" s="407"/>
      <c r="Q513" s="407"/>
      <c r="R513" s="407"/>
      <c r="S513" s="407"/>
      <c r="T513" s="407"/>
      <c r="U513" s="407"/>
      <c r="V513" s="407"/>
      <c r="W513" s="407"/>
      <c r="X513" s="407"/>
      <c r="Y513" s="407"/>
      <c r="Z513" s="407"/>
      <c r="AA513" s="407"/>
      <c r="AB513" s="407"/>
      <c r="AC513" s="407"/>
      <c r="AD513" s="407"/>
      <c r="AE513" s="407"/>
    </row>
    <row r="514" spans="2:31">
      <c r="B514" s="407"/>
      <c r="C514" s="407"/>
      <c r="D514" s="407"/>
      <c r="E514" s="407"/>
      <c r="F514" s="407"/>
      <c r="G514" s="407"/>
      <c r="H514" s="407"/>
      <c r="I514" s="407"/>
      <c r="J514" s="407"/>
      <c r="K514" s="407"/>
      <c r="L514" s="407"/>
      <c r="M514" s="407"/>
      <c r="N514" s="407"/>
      <c r="O514" s="407"/>
      <c r="P514" s="407"/>
      <c r="Q514" s="407"/>
      <c r="R514" s="407"/>
      <c r="S514" s="407"/>
      <c r="T514" s="407"/>
      <c r="U514" s="407"/>
      <c r="V514" s="407"/>
      <c r="W514" s="407"/>
      <c r="X514" s="407"/>
      <c r="Y514" s="407"/>
      <c r="Z514" s="407"/>
      <c r="AA514" s="407"/>
      <c r="AB514" s="407"/>
      <c r="AC514" s="407"/>
      <c r="AD514" s="407"/>
      <c r="AE514" s="407"/>
    </row>
    <row r="515" spans="2:31">
      <c r="B515" s="407"/>
      <c r="C515" s="407"/>
      <c r="D515" s="407"/>
      <c r="E515" s="407"/>
      <c r="F515" s="407"/>
      <c r="G515" s="407"/>
      <c r="H515" s="407"/>
      <c r="I515" s="407"/>
      <c r="J515" s="407"/>
      <c r="K515" s="407"/>
      <c r="L515" s="407"/>
      <c r="M515" s="407"/>
      <c r="N515" s="407"/>
      <c r="O515" s="407"/>
      <c r="P515" s="407"/>
      <c r="Q515" s="407"/>
      <c r="R515" s="407"/>
      <c r="S515" s="407"/>
      <c r="T515" s="407"/>
      <c r="U515" s="407"/>
      <c r="V515" s="407"/>
      <c r="W515" s="407"/>
      <c r="X515" s="407"/>
      <c r="Y515" s="407"/>
      <c r="Z515" s="407"/>
      <c r="AA515" s="407"/>
      <c r="AB515" s="407"/>
      <c r="AC515" s="407"/>
      <c r="AD515" s="407"/>
      <c r="AE515" s="407"/>
    </row>
    <row r="516" spans="2:31">
      <c r="B516" s="407"/>
      <c r="C516" s="407"/>
      <c r="D516" s="407"/>
      <c r="E516" s="407"/>
      <c r="F516" s="407"/>
      <c r="G516" s="407"/>
      <c r="H516" s="407"/>
      <c r="I516" s="407"/>
      <c r="J516" s="407"/>
      <c r="K516" s="407"/>
      <c r="L516" s="407"/>
      <c r="M516" s="407"/>
      <c r="N516" s="407"/>
      <c r="O516" s="407"/>
      <c r="P516" s="407"/>
      <c r="Q516" s="407"/>
      <c r="R516" s="407"/>
      <c r="S516" s="407"/>
      <c r="T516" s="407"/>
      <c r="U516" s="407"/>
      <c r="V516" s="407"/>
      <c r="W516" s="407"/>
      <c r="X516" s="407"/>
      <c r="Y516" s="407"/>
      <c r="Z516" s="407"/>
      <c r="AA516" s="407"/>
      <c r="AB516" s="407"/>
      <c r="AC516" s="407"/>
      <c r="AD516" s="407"/>
      <c r="AE516" s="407"/>
    </row>
    <row r="517" spans="2:31">
      <c r="B517" s="407"/>
      <c r="C517" s="407"/>
      <c r="D517" s="407"/>
      <c r="E517" s="407"/>
      <c r="F517" s="407"/>
      <c r="G517" s="407"/>
      <c r="H517" s="407"/>
      <c r="I517" s="407"/>
      <c r="J517" s="407"/>
      <c r="K517" s="407"/>
      <c r="L517" s="407"/>
      <c r="M517" s="407"/>
      <c r="N517" s="407"/>
      <c r="O517" s="407"/>
      <c r="P517" s="407"/>
      <c r="Q517" s="407"/>
      <c r="R517" s="407"/>
      <c r="S517" s="407"/>
      <c r="T517" s="407"/>
      <c r="U517" s="407"/>
      <c r="V517" s="407"/>
      <c r="W517" s="407"/>
      <c r="X517" s="407"/>
      <c r="Y517" s="407"/>
      <c r="Z517" s="407"/>
      <c r="AA517" s="407"/>
      <c r="AB517" s="407"/>
      <c r="AC517" s="407"/>
      <c r="AD517" s="407"/>
      <c r="AE517" s="407"/>
    </row>
    <row r="518" spans="2:31">
      <c r="B518" s="407"/>
      <c r="C518" s="407"/>
      <c r="D518" s="407"/>
      <c r="E518" s="407"/>
      <c r="F518" s="407"/>
      <c r="G518" s="407"/>
      <c r="H518" s="407"/>
      <c r="I518" s="407"/>
      <c r="J518" s="407"/>
      <c r="K518" s="407"/>
      <c r="L518" s="407"/>
      <c r="M518" s="407"/>
      <c r="N518" s="407"/>
      <c r="O518" s="407"/>
      <c r="P518" s="407"/>
      <c r="Q518" s="407"/>
      <c r="R518" s="407"/>
      <c r="S518" s="407"/>
      <c r="T518" s="407"/>
      <c r="U518" s="407"/>
      <c r="V518" s="407"/>
      <c r="W518" s="407"/>
      <c r="X518" s="407"/>
      <c r="Y518" s="407"/>
      <c r="Z518" s="407"/>
      <c r="AA518" s="407"/>
      <c r="AB518" s="407"/>
      <c r="AC518" s="407"/>
      <c r="AD518" s="407"/>
      <c r="AE518" s="407"/>
    </row>
    <row r="519" spans="2:31">
      <c r="B519" s="407"/>
      <c r="C519" s="407"/>
      <c r="D519" s="407"/>
      <c r="E519" s="407"/>
      <c r="F519" s="407"/>
      <c r="G519" s="407"/>
      <c r="H519" s="407"/>
      <c r="I519" s="407"/>
      <c r="J519" s="407"/>
      <c r="K519" s="407"/>
      <c r="L519" s="407"/>
      <c r="M519" s="407"/>
      <c r="N519" s="407"/>
      <c r="O519" s="407"/>
      <c r="P519" s="407"/>
      <c r="Q519" s="407"/>
      <c r="R519" s="407"/>
      <c r="S519" s="407"/>
      <c r="T519" s="407"/>
      <c r="U519" s="407"/>
      <c r="V519" s="407"/>
      <c r="W519" s="407"/>
      <c r="X519" s="407"/>
      <c r="Y519" s="407"/>
      <c r="Z519" s="407"/>
      <c r="AA519" s="407"/>
      <c r="AB519" s="407"/>
      <c r="AC519" s="407"/>
      <c r="AD519" s="407"/>
      <c r="AE519" s="407"/>
    </row>
    <row r="520" spans="2:31">
      <c r="B520" s="407"/>
      <c r="C520" s="407"/>
      <c r="D520" s="407"/>
      <c r="E520" s="407"/>
      <c r="F520" s="407"/>
      <c r="G520" s="407"/>
      <c r="H520" s="407"/>
      <c r="I520" s="407"/>
      <c r="J520" s="407"/>
      <c r="K520" s="407"/>
      <c r="L520" s="407"/>
      <c r="M520" s="407"/>
      <c r="N520" s="407"/>
      <c r="O520" s="407"/>
      <c r="P520" s="407"/>
      <c r="Q520" s="407"/>
      <c r="R520" s="407"/>
      <c r="S520" s="407"/>
      <c r="T520" s="407"/>
      <c r="U520" s="407"/>
      <c r="V520" s="407"/>
      <c r="W520" s="407"/>
      <c r="X520" s="407"/>
      <c r="Y520" s="407"/>
      <c r="Z520" s="407"/>
      <c r="AA520" s="407"/>
      <c r="AB520" s="407"/>
      <c r="AC520" s="407"/>
      <c r="AD520" s="407"/>
      <c r="AE520" s="407"/>
    </row>
    <row r="521" spans="2:31">
      <c r="B521" s="407"/>
      <c r="C521" s="407"/>
      <c r="D521" s="407"/>
      <c r="E521" s="407"/>
      <c r="F521" s="407"/>
      <c r="G521" s="407"/>
      <c r="H521" s="407"/>
      <c r="I521" s="407"/>
      <c r="J521" s="407"/>
      <c r="K521" s="407"/>
      <c r="L521" s="407"/>
      <c r="M521" s="407"/>
      <c r="N521" s="407"/>
      <c r="O521" s="407"/>
      <c r="P521" s="407"/>
      <c r="Q521" s="407"/>
      <c r="R521" s="407"/>
      <c r="S521" s="407"/>
      <c r="T521" s="407"/>
      <c r="U521" s="407"/>
      <c r="V521" s="407"/>
      <c r="W521" s="407"/>
      <c r="X521" s="407"/>
      <c r="Y521" s="407"/>
      <c r="Z521" s="407"/>
      <c r="AA521" s="407"/>
      <c r="AB521" s="407"/>
      <c r="AC521" s="407"/>
      <c r="AD521" s="407"/>
      <c r="AE521" s="407"/>
    </row>
    <row r="522" spans="2:31">
      <c r="B522" s="407"/>
      <c r="C522" s="407"/>
      <c r="D522" s="407"/>
      <c r="E522" s="407"/>
      <c r="F522" s="407"/>
      <c r="G522" s="407"/>
      <c r="H522" s="407"/>
      <c r="I522" s="407"/>
      <c r="J522" s="407"/>
      <c r="K522" s="407"/>
      <c r="L522" s="407"/>
      <c r="M522" s="407"/>
      <c r="N522" s="407"/>
      <c r="O522" s="407"/>
      <c r="P522" s="407"/>
      <c r="Q522" s="407"/>
      <c r="R522" s="407"/>
      <c r="S522" s="407"/>
      <c r="T522" s="407"/>
      <c r="U522" s="407"/>
      <c r="V522" s="407"/>
      <c r="W522" s="407"/>
      <c r="X522" s="407"/>
      <c r="Y522" s="407"/>
      <c r="Z522" s="407"/>
      <c r="AA522" s="407"/>
      <c r="AB522" s="407"/>
      <c r="AC522" s="407"/>
      <c r="AD522" s="407"/>
      <c r="AE522" s="407"/>
    </row>
    <row r="523" spans="2:31">
      <c r="B523" s="407"/>
      <c r="C523" s="407"/>
      <c r="D523" s="407"/>
      <c r="E523" s="407"/>
      <c r="F523" s="407"/>
      <c r="G523" s="407"/>
      <c r="H523" s="407"/>
      <c r="I523" s="407"/>
      <c r="J523" s="407"/>
      <c r="K523" s="407"/>
      <c r="L523" s="407"/>
      <c r="M523" s="407"/>
      <c r="N523" s="407"/>
      <c r="O523" s="407"/>
      <c r="P523" s="407"/>
      <c r="Q523" s="407"/>
      <c r="R523" s="407"/>
      <c r="S523" s="407"/>
      <c r="T523" s="407"/>
      <c r="U523" s="407"/>
      <c r="V523" s="407"/>
      <c r="W523" s="407"/>
      <c r="X523" s="407"/>
      <c r="Y523" s="407"/>
      <c r="Z523" s="407"/>
      <c r="AA523" s="407"/>
      <c r="AB523" s="407"/>
      <c r="AC523" s="407"/>
      <c r="AD523" s="407"/>
      <c r="AE523" s="407"/>
    </row>
    <row r="524" spans="2:31">
      <c r="B524" s="407"/>
      <c r="C524" s="407"/>
      <c r="D524" s="407"/>
      <c r="E524" s="407"/>
      <c r="F524" s="407"/>
      <c r="G524" s="407"/>
      <c r="H524" s="407"/>
      <c r="I524" s="407"/>
      <c r="J524" s="407"/>
      <c r="K524" s="407"/>
      <c r="L524" s="407"/>
      <c r="M524" s="407"/>
      <c r="N524" s="407"/>
      <c r="O524" s="407"/>
      <c r="P524" s="407"/>
      <c r="Q524" s="407"/>
      <c r="R524" s="407"/>
      <c r="S524" s="407"/>
      <c r="T524" s="407"/>
      <c r="U524" s="407"/>
      <c r="V524" s="407"/>
      <c r="W524" s="407"/>
      <c r="X524" s="407"/>
      <c r="Y524" s="407"/>
      <c r="Z524" s="407"/>
      <c r="AA524" s="407"/>
      <c r="AB524" s="407"/>
      <c r="AC524" s="407"/>
      <c r="AD524" s="407"/>
      <c r="AE524" s="407"/>
    </row>
  </sheetData>
  <sheetProtection formatCells="0" formatColumns="0" formatRows="0" insertColumns="0" insertRows="0" deleteColumns="0" deleteRows="0"/>
  <protectedRanges>
    <protectedRange algorithmName="SHA-512" hashValue="VNr1jv1pLkMOO4KfaU7hLsvLOdchgL6LwTERe2wsYodhbCl7F1jHmxeg7HIoUXvYzl5Nvi7tpYokgPS1/O95iQ==" saltValue="MvEzjZ/G2gPtKIhTzlmWCQ==" spinCount="100000" sqref="A1:XFD5 A33:XFD1048576 A6:B32 D6:XFD32" name="Range1" securityDescriptor="O:WDG:WDD:(A;;CC;;;S-1-5-21-577582919-1435025626-1914702595-3758127)(A;;CC;;;S-1-5-21-577582919-1435025626-1914702595-3758875)(A;;CC;;;S-1-5-21-577582919-1435025626-1914702595-3758999)(A;;CC;;;S-1-5-21-577582919-1435025626-1914702595-3940917)(A;;CC;;;S-1-5-21-577582919-1435025626-1914702595-4023729)"/>
    <protectedRange algorithmName="SHA-512" hashValue="VNr1jv1pLkMOO4KfaU7hLsvLOdchgL6LwTERe2wsYodhbCl7F1jHmxeg7HIoUXvYzl5Nvi7tpYokgPS1/O95iQ==" saltValue="MvEzjZ/G2gPtKIhTzlmWCQ==" spinCount="100000" sqref="C6:C32" name="Range1_1" securityDescriptor="O:WDG:WDD:(A;;CC;;;S-1-5-21-577582919-1435025626-1914702595-3758127)(A;;CC;;;S-1-5-21-577582919-1435025626-1914702595-3758875)(A;;CC;;;S-1-5-21-577582919-1435025626-1914702595-3758999)(A;;CC;;;S-1-5-21-577582919-1435025626-1914702595-3940917)(A;;CC;;;S-1-5-21-577582919-1435025626-1914702595-4023729)"/>
  </protectedRanges>
  <mergeCells count="1">
    <mergeCell ref="B4:D4"/>
  </mergeCells>
  <conditionalFormatting sqref="C35">
    <cfRule type="cellIs" dxfId="6" priority="1" operator="greaterThan">
      <formula>$C$33</formula>
    </cfRule>
    <cfRule type="cellIs" dxfId="5" priority="2" operator="lessThan">
      <formula>$C$33</formula>
    </cfRule>
  </conditionalFormatting>
  <dataValidations disablePrompts="1" count="1">
    <dataValidation type="list" allowBlank="1" showInputMessage="1" showErrorMessage="1" sqref="C13" xr:uid="{005B57DE-B486-4284-9EDF-55FB863A2125}">
      <formula1>$E$68:$E$74</formula1>
    </dataValidation>
  </dataValidations>
  <pageMargins left="0.7" right="0.7" top="0.75" bottom="0.75" header="0.3" footer="0.3"/>
  <pageSetup scale="63" fitToHeight="0" orientation="landscape" r:id="rId1"/>
  <headerFooter>
    <oddHeader>&amp;R&amp;"Times New Roman,Bold"&amp;10KyPSC Case No. 2025-00229
STAFF-DR-01-005(b) Attachment 3
Page &amp;P of &amp;N</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863AF-4C1F-4FE0-B200-535CEC63B753}">
  <sheetPr>
    <tabColor rgb="FF92D050"/>
  </sheetPr>
  <dimension ref="A1:K46"/>
  <sheetViews>
    <sheetView showGridLines="0" view="pageLayout" zoomScaleNormal="100" workbookViewId="0">
      <selection activeCell="E24" sqref="E24"/>
    </sheetView>
  </sheetViews>
  <sheetFormatPr defaultRowHeight="15"/>
  <cols>
    <col min="2" max="3" width="7.28515625" customWidth="1"/>
    <col min="4" max="4" width="27.85546875" customWidth="1"/>
    <col min="5" max="5" width="15.140625" customWidth="1"/>
    <col min="6" max="6" width="17" customWidth="1"/>
    <col min="7" max="7" width="15.28515625" customWidth="1"/>
    <col min="8" max="8" width="1.85546875" customWidth="1"/>
    <col min="10" max="10" width="14.28515625" customWidth="1"/>
    <col min="11" max="11" width="15.5703125" customWidth="1"/>
    <col min="12" max="12" width="14.28515625" bestFit="1" customWidth="1"/>
  </cols>
  <sheetData>
    <row r="1" spans="1:11" ht="48" customHeight="1">
      <c r="A1" s="218"/>
      <c r="B1" s="439" t="s">
        <v>309</v>
      </c>
      <c r="C1" s="440"/>
      <c r="D1" s="441" t="s">
        <v>308</v>
      </c>
      <c r="E1" s="442"/>
      <c r="F1" s="442"/>
      <c r="G1" s="218"/>
      <c r="H1" s="218"/>
      <c r="I1" s="218"/>
      <c r="J1" s="218"/>
      <c r="K1" s="218"/>
    </row>
    <row r="2" spans="1:11" ht="9" customHeight="1"/>
    <row r="3" spans="1:11" ht="15.75" customHeight="1">
      <c r="B3" s="114"/>
      <c r="C3" s="217" t="s">
        <v>307</v>
      </c>
    </row>
    <row r="4" spans="1:11" ht="12.75" customHeight="1">
      <c r="J4" s="216" t="s">
        <v>306</v>
      </c>
      <c r="K4" s="215" t="s">
        <v>1</v>
      </c>
    </row>
    <row r="5" spans="1:11" ht="15.75">
      <c r="B5" t="s">
        <v>305</v>
      </c>
      <c r="D5" s="443" t="str">
        <f>'Master Tab'!C8</f>
        <v>Line AM07 Phase 3</v>
      </c>
      <c r="E5" s="444"/>
      <c r="F5" s="214" t="s">
        <v>16</v>
      </c>
      <c r="G5" s="219">
        <f>'Master Tab'!C9</f>
        <v>45427</v>
      </c>
      <c r="J5" s="213" t="s">
        <v>302</v>
      </c>
      <c r="K5" s="212" t="s">
        <v>265</v>
      </c>
    </row>
    <row r="6" spans="1:11">
      <c r="J6" s="213" t="s">
        <v>304</v>
      </c>
      <c r="K6" s="212" t="s">
        <v>263</v>
      </c>
    </row>
    <row r="7" spans="1:11" ht="15.75">
      <c r="B7" t="s">
        <v>303</v>
      </c>
      <c r="D7" s="211" t="s">
        <v>302</v>
      </c>
      <c r="F7" t="s">
        <v>301</v>
      </c>
      <c r="G7" s="210" t="str">
        <f>VLOOKUP(D7,J4:K7,2,FALSE)</f>
        <v>Class 4</v>
      </c>
      <c r="J7" s="209" t="s">
        <v>300</v>
      </c>
      <c r="K7" s="208" t="s">
        <v>263</v>
      </c>
    </row>
    <row r="8" spans="1:11" ht="9" customHeight="1"/>
    <row r="9" spans="1:11" ht="10.5" customHeight="1" thickBot="1"/>
    <row r="10" spans="1:11" ht="19.5" thickBot="1">
      <c r="B10" s="445" t="s">
        <v>299</v>
      </c>
      <c r="C10" s="446"/>
      <c r="D10" s="446"/>
      <c r="E10" s="446"/>
      <c r="F10" s="446"/>
      <c r="G10" s="447"/>
    </row>
    <row r="11" spans="1:11" ht="27" customHeight="1">
      <c r="B11" s="448" t="s">
        <v>298</v>
      </c>
      <c r="C11" s="449"/>
      <c r="E11" s="450" t="s">
        <v>297</v>
      </c>
      <c r="F11" s="452" t="s">
        <v>296</v>
      </c>
      <c r="G11" s="454" t="s">
        <v>295</v>
      </c>
    </row>
    <row r="12" spans="1:11">
      <c r="B12" s="207" t="s">
        <v>294</v>
      </c>
      <c r="C12" s="206" t="s">
        <v>293</v>
      </c>
      <c r="D12" s="48" t="s">
        <v>292</v>
      </c>
      <c r="E12" s="451"/>
      <c r="F12" s="453"/>
      <c r="G12" s="455"/>
    </row>
    <row r="13" spans="1:11">
      <c r="A13" s="204" t="str">
        <f t="shared" ref="A13:A21" si="0">IF(OR(B13&gt;0,C13&lt;0),"Error","OK")</f>
        <v>OK</v>
      </c>
      <c r="B13" s="222">
        <f>_xlfn.IFS($G$7=$K$4,$E$38,$G$7=$K$5,$E$40,$G$7=$K$6,$E$42,$G$7=$K$7,$E$42)</f>
        <v>-0.3</v>
      </c>
      <c r="C13" s="222">
        <f>_xlfn.IFS($G$7=$K$4,$F$38,$G$7=$K$5,$F$40,$G$7=$K$6,$F$42,$G$7=$K$7,$F$42)</f>
        <v>0.5</v>
      </c>
      <c r="D13" s="205" t="s">
        <v>6</v>
      </c>
      <c r="E13" s="192">
        <f t="shared" ref="E13:E21" si="1">F13*(1+B13)</f>
        <v>1627570</v>
      </c>
      <c r="F13" s="220">
        <f>'Cost Report'!D11</f>
        <v>2325100</v>
      </c>
      <c r="G13" s="185">
        <f t="shared" ref="G13:G21" si="2">F13*(1+C13)</f>
        <v>3487650</v>
      </c>
    </row>
    <row r="14" spans="1:11">
      <c r="A14" s="204" t="str">
        <f t="shared" si="0"/>
        <v>OK</v>
      </c>
      <c r="B14" s="222">
        <f t="shared" ref="B14:B21" si="3">_xlfn.IFS($G$7=$K$4,$E$38,$G$7=$K$5,$E$40,$G$7=$K$6,$E$42,$G$7=$K$7,$E$42)</f>
        <v>-0.3</v>
      </c>
      <c r="C14" s="222">
        <f t="shared" ref="C14:C21" si="4">_xlfn.IFS($G$7=$K$4,$F$38,$G$7=$K$5,$F$40,$G$7=$K$6,$F$42,$G$7=$K$7,$F$42)</f>
        <v>0.5</v>
      </c>
      <c r="D14" s="179" t="s">
        <v>310</v>
      </c>
      <c r="E14" s="192">
        <f t="shared" si="1"/>
        <v>1929479.9999999998</v>
      </c>
      <c r="F14" s="220">
        <f>SUM('Cost Report'!D12:D15)</f>
        <v>2756400</v>
      </c>
      <c r="G14" s="185">
        <f t="shared" si="2"/>
        <v>4134600</v>
      </c>
    </row>
    <row r="15" spans="1:11">
      <c r="A15" s="204" t="str">
        <f t="shared" si="0"/>
        <v>OK</v>
      </c>
      <c r="B15" s="222">
        <f t="shared" si="3"/>
        <v>-0.3</v>
      </c>
      <c r="C15" s="222">
        <f t="shared" si="4"/>
        <v>0.5</v>
      </c>
      <c r="D15" s="179" t="s">
        <v>66</v>
      </c>
      <c r="E15" s="192">
        <f t="shared" si="1"/>
        <v>3387440</v>
      </c>
      <c r="F15" s="220">
        <f>'Cost Report'!D16</f>
        <v>4839200</v>
      </c>
      <c r="G15" s="185">
        <f t="shared" si="2"/>
        <v>7258800</v>
      </c>
    </row>
    <row r="16" spans="1:11">
      <c r="A16" s="204" t="str">
        <f t="shared" si="0"/>
        <v>OK</v>
      </c>
      <c r="B16" s="222">
        <f t="shared" si="3"/>
        <v>-0.3</v>
      </c>
      <c r="C16" s="222">
        <f t="shared" si="4"/>
        <v>0.5</v>
      </c>
      <c r="D16" s="179" t="s">
        <v>311</v>
      </c>
      <c r="E16" s="192">
        <f t="shared" si="1"/>
        <v>17937710</v>
      </c>
      <c r="F16" s="220">
        <f>SUM('Cost Report'!D17:D18)</f>
        <v>25625300</v>
      </c>
      <c r="G16" s="185">
        <f t="shared" si="2"/>
        <v>38437950</v>
      </c>
    </row>
    <row r="17" spans="1:11">
      <c r="A17" s="204" t="str">
        <f t="shared" si="0"/>
        <v>OK</v>
      </c>
      <c r="B17" s="222">
        <f t="shared" si="3"/>
        <v>-0.3</v>
      </c>
      <c r="C17" s="222">
        <f t="shared" si="4"/>
        <v>0.5</v>
      </c>
      <c r="D17" s="179" t="s">
        <v>312</v>
      </c>
      <c r="E17" s="192">
        <f t="shared" si="1"/>
        <v>1129450</v>
      </c>
      <c r="F17" s="220">
        <f>'Cost Report'!D19</f>
        <v>1613500</v>
      </c>
      <c r="G17" s="185">
        <f t="shared" si="2"/>
        <v>2420250</v>
      </c>
    </row>
    <row r="18" spans="1:11">
      <c r="A18" s="204" t="str">
        <f t="shared" si="0"/>
        <v>OK</v>
      </c>
      <c r="B18" s="222">
        <f t="shared" si="3"/>
        <v>-0.3</v>
      </c>
      <c r="C18" s="222">
        <f t="shared" si="4"/>
        <v>0.5</v>
      </c>
      <c r="D18" s="179" t="s">
        <v>73</v>
      </c>
      <c r="E18" s="192">
        <f t="shared" si="1"/>
        <v>359800</v>
      </c>
      <c r="F18" s="220">
        <f>'Cost Report'!D21</f>
        <v>514000</v>
      </c>
      <c r="G18" s="185">
        <f t="shared" si="2"/>
        <v>771000</v>
      </c>
    </row>
    <row r="19" spans="1:11">
      <c r="A19" s="204" t="str">
        <f t="shared" si="0"/>
        <v>OK</v>
      </c>
      <c r="B19" s="222">
        <f t="shared" si="3"/>
        <v>-0.3</v>
      </c>
      <c r="C19" s="222">
        <f t="shared" si="4"/>
        <v>0.5</v>
      </c>
      <c r="D19" s="179" t="s">
        <v>8</v>
      </c>
      <c r="E19" s="192">
        <f t="shared" si="1"/>
        <v>89600</v>
      </c>
      <c r="F19" s="220">
        <f>'Cost Report'!D22</f>
        <v>128000</v>
      </c>
      <c r="G19" s="185">
        <f t="shared" si="2"/>
        <v>192000</v>
      </c>
    </row>
    <row r="20" spans="1:11">
      <c r="A20" s="204" t="str">
        <f t="shared" si="0"/>
        <v>OK</v>
      </c>
      <c r="B20" s="222">
        <f t="shared" si="3"/>
        <v>-0.3</v>
      </c>
      <c r="C20" s="222">
        <f t="shared" si="4"/>
        <v>0.5</v>
      </c>
      <c r="D20" s="179" t="s">
        <v>89</v>
      </c>
      <c r="E20" s="192">
        <f t="shared" si="1"/>
        <v>1282540</v>
      </c>
      <c r="F20" s="220">
        <f>'Cost Report'!D29</f>
        <v>1832200</v>
      </c>
      <c r="G20" s="185">
        <f t="shared" si="2"/>
        <v>2748300</v>
      </c>
    </row>
    <row r="21" spans="1:11" ht="17.25">
      <c r="A21" s="204" t="str">
        <f t="shared" si="0"/>
        <v>OK</v>
      </c>
      <c r="B21" s="222">
        <f t="shared" si="3"/>
        <v>-0.3</v>
      </c>
      <c r="C21" s="222">
        <f t="shared" si="4"/>
        <v>0.5</v>
      </c>
      <c r="D21" s="179" t="s">
        <v>313</v>
      </c>
      <c r="E21" s="203">
        <f t="shared" si="1"/>
        <v>3627680</v>
      </c>
      <c r="F21" s="221">
        <f>'Cost Report'!D30</f>
        <v>5182400</v>
      </c>
      <c r="G21" s="202">
        <f t="shared" si="2"/>
        <v>7773600</v>
      </c>
    </row>
    <row r="22" spans="1:11">
      <c r="B22" s="201"/>
      <c r="C22" s="201"/>
      <c r="D22" s="200" t="s">
        <v>291</v>
      </c>
      <c r="E22" s="199">
        <f>SUM(E13:E21)</f>
        <v>31371270</v>
      </c>
      <c r="F22" s="199">
        <f>SUM(F13:F21)</f>
        <v>44816100</v>
      </c>
      <c r="G22" s="198">
        <f>SUM(G13:G21)</f>
        <v>67224150</v>
      </c>
      <c r="J22" t="s">
        <v>290</v>
      </c>
      <c r="K22" s="177">
        <f>SUM(E22)</f>
        <v>31371270</v>
      </c>
    </row>
    <row r="23" spans="1:11">
      <c r="C23" s="176"/>
      <c r="D23" s="197"/>
      <c r="E23" s="192"/>
      <c r="F23" s="192"/>
      <c r="G23" s="192"/>
      <c r="J23" t="s">
        <v>289</v>
      </c>
      <c r="K23" s="177">
        <f>SUM(F22*4)</f>
        <v>179264400</v>
      </c>
    </row>
    <row r="24" spans="1:11">
      <c r="C24" s="437">
        <f>(F24+F25)/F22</f>
        <v>3.3333333333333333E-2</v>
      </c>
      <c r="D24" s="194" t="s">
        <v>288</v>
      </c>
      <c r="E24" s="194"/>
      <c r="F24" s="196">
        <v>0</v>
      </c>
      <c r="G24" s="192"/>
      <c r="J24" t="s">
        <v>287</v>
      </c>
      <c r="K24" s="195">
        <f>SUM(G22)</f>
        <v>67224150</v>
      </c>
    </row>
    <row r="25" spans="1:11">
      <c r="C25" s="437"/>
      <c r="D25" s="194" t="s">
        <v>286</v>
      </c>
      <c r="E25" s="194"/>
      <c r="F25" s="193">
        <f>SUM(((F22*4)+(E22+G22))/6)-F22</f>
        <v>1493870</v>
      </c>
      <c r="G25" s="192"/>
      <c r="J25" t="s">
        <v>60</v>
      </c>
      <c r="K25" s="191">
        <f>SUM(K22:K24)</f>
        <v>277859820</v>
      </c>
    </row>
    <row r="26" spans="1:11" ht="15.75" thickBot="1">
      <c r="C26" s="176"/>
      <c r="D26" s="190" t="s">
        <v>285</v>
      </c>
      <c r="E26" s="188"/>
      <c r="F26" s="189">
        <f>F24+F25</f>
        <v>1493870</v>
      </c>
      <c r="G26" s="188"/>
      <c r="J26" t="s">
        <v>284</v>
      </c>
      <c r="K26" s="177">
        <f>SUM(K25/6)</f>
        <v>46309970</v>
      </c>
    </row>
    <row r="27" spans="1:11">
      <c r="C27" s="176"/>
      <c r="D27" s="184"/>
      <c r="E27" s="187">
        <f>+E22</f>
        <v>31371270</v>
      </c>
      <c r="F27" s="186">
        <f>F22+F26</f>
        <v>46309970</v>
      </c>
      <c r="G27" s="185">
        <f>+G22</f>
        <v>67224150</v>
      </c>
    </row>
    <row r="28" spans="1:11" ht="15.75" thickBot="1">
      <c r="C28" s="176"/>
      <c r="D28" s="184"/>
      <c r="E28" s="183" t="s">
        <v>283</v>
      </c>
      <c r="F28" s="182" t="s">
        <v>282</v>
      </c>
      <c r="G28" s="181" t="s">
        <v>281</v>
      </c>
      <c r="J28" t="s">
        <v>280</v>
      </c>
      <c r="K28" s="177">
        <f>SUM(F22)</f>
        <v>44816100</v>
      </c>
    </row>
    <row r="29" spans="1:11">
      <c r="D29" s="2" t="s">
        <v>279</v>
      </c>
      <c r="E29" s="180">
        <f>+(E27-F27)/F27</f>
        <v>-0.32258064516129031</v>
      </c>
      <c r="G29" s="180">
        <f>+(G27-F27)/F27</f>
        <v>0.45161290322580644</v>
      </c>
      <c r="J29" t="s">
        <v>278</v>
      </c>
      <c r="K29" s="177">
        <f>SUM(K26-K28)</f>
        <v>1493870</v>
      </c>
    </row>
    <row r="30" spans="1:11">
      <c r="D30" s="179" t="s">
        <v>277</v>
      </c>
      <c r="E30" s="178" t="s">
        <v>276</v>
      </c>
      <c r="F30" s="178" t="s">
        <v>275</v>
      </c>
      <c r="G30" s="178" t="s">
        <v>274</v>
      </c>
    </row>
    <row r="31" spans="1:11" ht="41.25" customHeight="1">
      <c r="C31" s="438" t="s">
        <v>273</v>
      </c>
      <c r="D31" s="438"/>
      <c r="E31" s="438"/>
      <c r="F31" s="438"/>
      <c r="G31" s="438"/>
      <c r="I31" s="174"/>
      <c r="K31" s="177">
        <f>SUM((E22+G22+(F22*4))/6)</f>
        <v>46309970</v>
      </c>
    </row>
    <row r="34" spans="1:9">
      <c r="C34" s="176"/>
      <c r="D34" s="175"/>
      <c r="E34" s="1"/>
      <c r="F34" s="1"/>
      <c r="G34" s="1"/>
      <c r="I34" s="174"/>
    </row>
    <row r="35" spans="1:9">
      <c r="C35" s="48" t="s">
        <v>272</v>
      </c>
    </row>
    <row r="36" spans="1:9">
      <c r="C36" s="3" t="s">
        <v>271</v>
      </c>
      <c r="D36" s="2" t="s">
        <v>270</v>
      </c>
      <c r="E36" s="3" t="s">
        <v>269</v>
      </c>
      <c r="F36" s="3" t="s">
        <v>268</v>
      </c>
    </row>
    <row r="37" spans="1:9" ht="15" customHeight="1">
      <c r="A37" s="174"/>
      <c r="B37" s="174" t="s">
        <v>1</v>
      </c>
      <c r="C37" s="433">
        <v>5</v>
      </c>
      <c r="D37" s="435" t="s">
        <v>267</v>
      </c>
      <c r="E37" s="173">
        <v>-0.2</v>
      </c>
      <c r="F37" s="173">
        <v>0.3</v>
      </c>
    </row>
    <row r="38" spans="1:9">
      <c r="A38" s="174"/>
      <c r="B38" s="174" t="s">
        <v>1</v>
      </c>
      <c r="C38" s="434"/>
      <c r="D38" s="436"/>
      <c r="E38" s="173">
        <v>-0.5</v>
      </c>
      <c r="F38" s="173">
        <v>1</v>
      </c>
    </row>
    <row r="39" spans="1:9" ht="15" customHeight="1">
      <c r="A39" s="174"/>
      <c r="B39" s="174" t="s">
        <v>265</v>
      </c>
      <c r="C39" s="433">
        <v>4</v>
      </c>
      <c r="D39" s="435" t="s">
        <v>266</v>
      </c>
      <c r="E39" s="173">
        <v>-0.15</v>
      </c>
      <c r="F39" s="173">
        <v>0.2</v>
      </c>
    </row>
    <row r="40" spans="1:9">
      <c r="A40" s="174"/>
      <c r="B40" s="174" t="s">
        <v>265</v>
      </c>
      <c r="C40" s="434"/>
      <c r="D40" s="436"/>
      <c r="E40" s="173">
        <v>-0.3</v>
      </c>
      <c r="F40" s="173">
        <v>0.5</v>
      </c>
    </row>
    <row r="41" spans="1:9" ht="15" customHeight="1">
      <c r="A41" s="174"/>
      <c r="B41" s="174" t="s">
        <v>263</v>
      </c>
      <c r="C41" s="433">
        <v>3</v>
      </c>
      <c r="D41" s="435" t="s">
        <v>264</v>
      </c>
      <c r="E41" s="173">
        <v>-0.1</v>
      </c>
      <c r="F41" s="173">
        <v>0.1</v>
      </c>
    </row>
    <row r="42" spans="1:9">
      <c r="A42" s="174"/>
      <c r="B42" s="174" t="s">
        <v>263</v>
      </c>
      <c r="C42" s="434"/>
      <c r="D42" s="436"/>
      <c r="E42" s="173">
        <v>-0.2</v>
      </c>
      <c r="F42" s="173">
        <v>0.3</v>
      </c>
    </row>
    <row r="43" spans="1:9" ht="15" customHeight="1">
      <c r="A43" s="174"/>
      <c r="B43" s="174" t="s">
        <v>262</v>
      </c>
      <c r="C43" s="433">
        <v>2</v>
      </c>
      <c r="D43" s="435" t="s">
        <v>261</v>
      </c>
      <c r="E43" s="173">
        <v>-0.05</v>
      </c>
      <c r="F43" s="173">
        <v>0.05</v>
      </c>
    </row>
    <row r="44" spans="1:9">
      <c r="A44" s="174"/>
      <c r="B44" s="174" t="s">
        <v>262</v>
      </c>
      <c r="C44" s="434"/>
      <c r="D44" s="436"/>
      <c r="E44" s="173">
        <v>-0.15</v>
      </c>
      <c r="F44" s="173">
        <v>0.2</v>
      </c>
    </row>
    <row r="45" spans="1:9" ht="15" customHeight="1">
      <c r="A45" s="174"/>
      <c r="B45" s="174" t="s">
        <v>260</v>
      </c>
      <c r="C45" s="433">
        <v>1</v>
      </c>
      <c r="D45" s="435" t="s">
        <v>261</v>
      </c>
      <c r="E45" s="173">
        <v>-0.03</v>
      </c>
      <c r="F45" s="173">
        <v>0.03</v>
      </c>
    </row>
    <row r="46" spans="1:9">
      <c r="A46" s="174"/>
      <c r="B46" s="174" t="s">
        <v>260</v>
      </c>
      <c r="C46" s="434"/>
      <c r="D46" s="436"/>
      <c r="E46" s="173">
        <v>-0.1</v>
      </c>
      <c r="F46" s="173">
        <v>0.15</v>
      </c>
    </row>
  </sheetData>
  <protectedRanges>
    <protectedRange algorithmName="SHA-512" hashValue="hPm4Kj/LrV0Rr/2C0TGZRCZ3VDLqOwm5xwLpMsng7V3UHJB/kmuyx1y2XBQ3GlauKxMcQ804Y2u+d0+GOPzhsw==" saltValue="KVCTDUspS40pvStlgAOq/Q==" spinCount="100000" sqref="A25:K35 G24:K24 A24:E24 A22:K23 D13:K21 A13:A21 A8:K12 E7:K7 A7:C7 A1:K6 A36:F46 H36:K46 G36:G47" name="Range1" securityDescriptor="O:WDG:WDD:(A;;CC;;;S-1-5-21-577582919-1435025626-1914702595-4020469)(A;;CC;;;S-1-5-21-577582919-1435025626-1914702595-3758999)(A;;CC;;;S-1-5-21-577582919-1435025626-1914702595-3758875)(A;;CC;;;S-1-5-21-577582919-1435025626-1914702595-4023729)(A;;CC;;;S-1-5-21-577582919-1435025626-1914702595-3758127)"/>
  </protectedRanges>
  <mergeCells count="20">
    <mergeCell ref="B1:C1"/>
    <mergeCell ref="D1:F1"/>
    <mergeCell ref="D5:E5"/>
    <mergeCell ref="B10:G10"/>
    <mergeCell ref="B11:C11"/>
    <mergeCell ref="E11:E12"/>
    <mergeCell ref="F11:F12"/>
    <mergeCell ref="G11:G12"/>
    <mergeCell ref="C24:C25"/>
    <mergeCell ref="C31:G31"/>
    <mergeCell ref="C37:C38"/>
    <mergeCell ref="D37:D38"/>
    <mergeCell ref="C39:C40"/>
    <mergeCell ref="D39:D40"/>
    <mergeCell ref="C41:C42"/>
    <mergeCell ref="D41:D42"/>
    <mergeCell ref="C43:C44"/>
    <mergeCell ref="D43:D44"/>
    <mergeCell ref="C45:C46"/>
    <mergeCell ref="D45:D46"/>
  </mergeCells>
  <conditionalFormatting sqref="B13:C21">
    <cfRule type="cellIs" dxfId="4" priority="8" operator="greaterThan">
      <formula>0</formula>
    </cfRule>
  </conditionalFormatting>
  <conditionalFormatting sqref="C37:F46">
    <cfRule type="expression" dxfId="3" priority="9">
      <formula>$B37=$G$7</formula>
    </cfRule>
  </conditionalFormatting>
  <dataValidations disablePrompts="1" count="1">
    <dataValidation type="list" allowBlank="1" showInputMessage="1" showErrorMessage="1" sqref="D7" xr:uid="{00000000-0002-0000-0100-000000000000}">
      <formula1>$J$4:$J$7</formula1>
    </dataValidation>
  </dataValidations>
  <pageMargins left="0.7" right="0.7" top="0.75" bottom="0.75" header="0.3" footer="0.3"/>
  <pageSetup scale="63" fitToHeight="0" orientation="portrait" r:id="rId1"/>
  <headerFooter>
    <oddHeader>&amp;R&amp;"Times New Roman,Bold"&amp;10KyPSC Case No. 2025-00229
STAFF-DR-01-005(b) Attachment 3
Page &amp;P of &amp;N</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1D9C5-AD02-4801-B369-B7DD587AAFCD}">
  <sheetPr>
    <tabColor rgb="FF92D050"/>
  </sheetPr>
  <dimension ref="B1:D27"/>
  <sheetViews>
    <sheetView view="pageLayout" zoomScaleNormal="100" workbookViewId="0">
      <selection activeCell="E24" sqref="E24"/>
    </sheetView>
  </sheetViews>
  <sheetFormatPr defaultRowHeight="15"/>
  <cols>
    <col min="1" max="1" width="1.5703125" customWidth="1"/>
    <col min="2" max="2" width="30.42578125" customWidth="1"/>
    <col min="3" max="3" width="23.42578125" customWidth="1"/>
    <col min="4" max="4" width="95" bestFit="1" customWidth="1"/>
  </cols>
  <sheetData>
    <row r="1" spans="2:4" ht="9.75" customHeight="1" thickBot="1"/>
    <row r="2" spans="2:4" ht="23.25">
      <c r="B2" s="456" t="str">
        <f>'Master Tab'!C8</f>
        <v>Line AM07 Phase 3</v>
      </c>
      <c r="C2" s="457"/>
    </row>
    <row r="3" spans="2:4" ht="21">
      <c r="B3" s="458" t="s">
        <v>178</v>
      </c>
      <c r="C3" s="459"/>
    </row>
    <row r="4" spans="2:4" ht="16.5" thickBot="1">
      <c r="B4" s="460">
        <f>'Master Tab'!C9</f>
        <v>45427</v>
      </c>
      <c r="C4" s="461"/>
    </row>
    <row r="5" spans="2:4" ht="27" customHeight="1" thickBot="1">
      <c r="B5" s="152" t="s">
        <v>11</v>
      </c>
      <c r="C5" s="153" t="s">
        <v>179</v>
      </c>
    </row>
    <row r="6" spans="2:4">
      <c r="B6" s="147" t="s">
        <v>180</v>
      </c>
      <c r="C6" s="148">
        <f>'Cost Report'!D11+'Cost Report'!D14+'Cost Report'!D15+'Cost Report'!D17+'Cost Report'!D18+'Cost Report'!D19+'Cost Report'!D20+'Cost Report'!D25</f>
        <v>31173000</v>
      </c>
      <c r="D6" t="s">
        <v>203</v>
      </c>
    </row>
    <row r="7" spans="2:4">
      <c r="B7" s="147" t="s">
        <v>181</v>
      </c>
      <c r="C7" s="149">
        <f>'Cost Report'!D16</f>
        <v>4839200</v>
      </c>
      <c r="D7" t="s">
        <v>187</v>
      </c>
    </row>
    <row r="8" spans="2:4">
      <c r="B8" s="147" t="s">
        <v>73</v>
      </c>
      <c r="C8" s="149">
        <f>'Cost Report'!D21</f>
        <v>514000</v>
      </c>
      <c r="D8" t="s">
        <v>188</v>
      </c>
    </row>
    <row r="9" spans="2:4">
      <c r="B9" s="147" t="s">
        <v>182</v>
      </c>
      <c r="C9" s="149">
        <f>'Cost Report'!D12</f>
        <v>1753100</v>
      </c>
      <c r="D9" t="s">
        <v>189</v>
      </c>
    </row>
    <row r="10" spans="2:4" ht="15.75" thickBot="1">
      <c r="B10" s="147" t="s">
        <v>8</v>
      </c>
      <c r="C10" s="150">
        <f>'Cost Report'!D13+'Cost Report'!D22</f>
        <v>602900</v>
      </c>
      <c r="D10" t="s">
        <v>190</v>
      </c>
    </row>
    <row r="11" spans="2:4">
      <c r="B11" s="147" t="s">
        <v>183</v>
      </c>
      <c r="C11" s="148">
        <f>SUM(C6:C10)</f>
        <v>38882200</v>
      </c>
    </row>
    <row r="12" spans="2:4">
      <c r="B12" s="147"/>
      <c r="C12" s="146"/>
    </row>
    <row r="13" spans="2:4" ht="15.75" thickBot="1">
      <c r="B13" s="147" t="s">
        <v>152</v>
      </c>
      <c r="C13" s="150">
        <f>'Cost Report'!D24</f>
        <v>5728800</v>
      </c>
      <c r="D13" t="s">
        <v>152</v>
      </c>
    </row>
    <row r="14" spans="2:4">
      <c r="B14" s="147" t="s">
        <v>183</v>
      </c>
      <c r="C14" s="148">
        <f>SUM(C11:C13)</f>
        <v>44611000</v>
      </c>
    </row>
    <row r="15" spans="2:4">
      <c r="B15" s="147"/>
      <c r="C15" s="146"/>
    </row>
    <row r="16" spans="2:4">
      <c r="B16" s="147" t="s">
        <v>89</v>
      </c>
      <c r="C16" s="149">
        <v>0</v>
      </c>
      <c r="D16" s="155" t="s">
        <v>191</v>
      </c>
    </row>
    <row r="17" spans="2:4" ht="15.75" thickBot="1">
      <c r="B17" s="147" t="s">
        <v>84</v>
      </c>
      <c r="C17" s="150">
        <v>0</v>
      </c>
      <c r="D17" s="155" t="s">
        <v>191</v>
      </c>
    </row>
    <row r="18" spans="2:4">
      <c r="B18" s="147" t="s">
        <v>60</v>
      </c>
      <c r="C18" s="151">
        <f>SUM(C14:C17)</f>
        <v>44611000</v>
      </c>
    </row>
    <row r="19" spans="2:4">
      <c r="B19" s="36"/>
      <c r="C19" s="27"/>
    </row>
    <row r="20" spans="2:4">
      <c r="B20" s="36"/>
      <c r="C20" s="27"/>
    </row>
    <row r="21" spans="2:4">
      <c r="B21" s="154" t="s">
        <v>184</v>
      </c>
      <c r="C21" s="143">
        <f>'Master Tab'!C32</f>
        <v>44927</v>
      </c>
      <c r="D21" t="s">
        <v>192</v>
      </c>
    </row>
    <row r="22" spans="2:4">
      <c r="B22" s="154" t="s">
        <v>185</v>
      </c>
      <c r="C22" s="143">
        <f>'Master Tab'!C33</f>
        <v>45991</v>
      </c>
      <c r="D22" t="s">
        <v>193</v>
      </c>
    </row>
    <row r="23" spans="2:4">
      <c r="B23" s="154" t="s">
        <v>186</v>
      </c>
      <c r="C23" s="143">
        <f>'Master Tab'!C35</f>
        <v>46054</v>
      </c>
      <c r="D23" t="s">
        <v>194</v>
      </c>
    </row>
    <row r="24" spans="2:4">
      <c r="B24" s="36"/>
      <c r="C24" s="27"/>
    </row>
    <row r="25" spans="2:4" ht="15.75" thickBot="1">
      <c r="B25" s="144"/>
      <c r="C25" s="145"/>
    </row>
    <row r="26" spans="2:4">
      <c r="B26" s="462" t="s">
        <v>205</v>
      </c>
      <c r="C26" s="462"/>
    </row>
    <row r="27" spans="2:4">
      <c r="B27" s="463"/>
      <c r="C27" s="463"/>
    </row>
  </sheetData>
  <mergeCells count="4">
    <mergeCell ref="B2:C2"/>
    <mergeCell ref="B3:C3"/>
    <mergeCell ref="B4:C4"/>
    <mergeCell ref="B26:C27"/>
  </mergeCells>
  <pageMargins left="0.7" right="0.7" top="0.75" bottom="0.75" header="0.3" footer="0.3"/>
  <pageSetup scale="63" fitToHeight="0" orientation="landscape" r:id="rId1"/>
  <headerFooter>
    <oddHeader>&amp;R&amp;"Times New Roman,Bold"&amp;10KyPSC Case No. 2025-00229
STAFF-DR-01-005(b) Attachment 3
Page &amp;P of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7C462-5C3B-4DF6-83E7-D2F92DEAB6EA}">
  <sheetPr>
    <tabColor rgb="FF0070C0"/>
  </sheetPr>
  <dimension ref="A1:G39"/>
  <sheetViews>
    <sheetView view="pageLayout" zoomScaleNormal="100" workbookViewId="0">
      <selection activeCell="E24" sqref="E24"/>
    </sheetView>
  </sheetViews>
  <sheetFormatPr defaultRowHeight="15"/>
  <cols>
    <col min="1" max="7" width="23" customWidth="1"/>
    <col min="12" max="12" width="61.28515625" customWidth="1"/>
  </cols>
  <sheetData>
    <row r="1" spans="1:7" ht="22.5" customHeight="1">
      <c r="A1" s="473" t="str">
        <f>'Master Tab'!C8</f>
        <v>Line AM07 Phase 3</v>
      </c>
      <c r="B1" s="474"/>
      <c r="C1" s="474"/>
      <c r="D1" s="474"/>
      <c r="E1" s="474"/>
      <c r="F1" s="474"/>
      <c r="G1" s="475"/>
    </row>
    <row r="2" spans="1:7" ht="22.5" customHeight="1">
      <c r="A2" s="476"/>
      <c r="B2" s="477"/>
      <c r="C2" s="477"/>
      <c r="D2" s="477"/>
      <c r="E2" s="477"/>
      <c r="F2" s="477"/>
      <c r="G2" s="478"/>
    </row>
    <row r="3" spans="1:7" ht="30" customHeight="1">
      <c r="A3" s="479" t="s">
        <v>41</v>
      </c>
      <c r="B3" s="480"/>
      <c r="C3" s="480"/>
      <c r="D3" s="480"/>
      <c r="E3" s="480"/>
      <c r="F3" s="480"/>
      <c r="G3" s="481"/>
    </row>
    <row r="4" spans="1:7" ht="30" customHeight="1">
      <c r="A4" s="482">
        <f>'Master Tab'!C9</f>
        <v>45427</v>
      </c>
      <c r="B4" s="480"/>
      <c r="C4" s="480"/>
      <c r="D4" s="480"/>
      <c r="E4" s="480"/>
      <c r="F4" s="480"/>
      <c r="G4" s="481"/>
    </row>
    <row r="5" spans="1:7">
      <c r="A5" s="21"/>
      <c r="B5" s="22"/>
      <c r="C5" s="22"/>
      <c r="D5" s="22"/>
      <c r="E5" s="22"/>
      <c r="F5" s="22" t="s">
        <v>42</v>
      </c>
      <c r="G5" s="23" t="str">
        <f>'Master Tab'!C6</f>
        <v>F-Initiate 60% Refresh</v>
      </c>
    </row>
    <row r="6" spans="1:7" ht="264" customHeight="1">
      <c r="A6" s="488" t="s">
        <v>852</v>
      </c>
      <c r="B6" s="489"/>
      <c r="C6" s="489"/>
      <c r="D6" s="489"/>
      <c r="E6" s="489"/>
      <c r="F6" s="489"/>
      <c r="G6" s="490"/>
    </row>
    <row r="7" spans="1:7">
      <c r="A7" s="486" t="s">
        <v>853</v>
      </c>
      <c r="B7" s="487"/>
      <c r="C7" s="487"/>
      <c r="D7" s="487"/>
      <c r="E7" s="487"/>
      <c r="F7" s="410"/>
      <c r="G7" s="411"/>
    </row>
    <row r="8" spans="1:7">
      <c r="A8" s="486" t="s">
        <v>759</v>
      </c>
      <c r="B8" s="487"/>
      <c r="C8" s="487"/>
      <c r="D8" s="487"/>
      <c r="E8" s="487"/>
      <c r="F8" s="410"/>
      <c r="G8" s="411"/>
    </row>
    <row r="9" spans="1:7">
      <c r="A9" s="486" t="s">
        <v>854</v>
      </c>
      <c r="B9" s="487"/>
      <c r="C9" s="487"/>
      <c r="D9" s="487"/>
      <c r="E9" s="487"/>
      <c r="F9" s="410"/>
      <c r="G9" s="411"/>
    </row>
    <row r="10" spans="1:7">
      <c r="A10" s="486" t="s">
        <v>855</v>
      </c>
      <c r="B10" s="487"/>
      <c r="C10" s="487"/>
      <c r="D10" s="487"/>
      <c r="E10" s="487"/>
      <c r="F10" s="410"/>
      <c r="G10" s="411"/>
    </row>
    <row r="11" spans="1:7">
      <c r="A11" s="486" t="s">
        <v>856</v>
      </c>
      <c r="B11" s="487"/>
      <c r="C11" s="487"/>
      <c r="D11" s="487"/>
      <c r="E11" s="487"/>
      <c r="F11" s="410"/>
      <c r="G11" s="411"/>
    </row>
    <row r="12" spans="1:7">
      <c r="A12" s="486" t="s">
        <v>857</v>
      </c>
      <c r="B12" s="487"/>
      <c r="C12" s="487"/>
      <c r="D12" s="487"/>
      <c r="E12" s="487"/>
      <c r="F12" s="410"/>
      <c r="G12" s="411"/>
    </row>
    <row r="13" spans="1:7">
      <c r="A13" s="486" t="s">
        <v>858</v>
      </c>
      <c r="B13" s="487"/>
      <c r="C13" s="487"/>
      <c r="D13" s="487"/>
      <c r="E13" s="487"/>
      <c r="F13" s="412"/>
      <c r="G13" s="413"/>
    </row>
    <row r="14" spans="1:7">
      <c r="A14" s="483" t="s">
        <v>859</v>
      </c>
      <c r="B14" s="484"/>
      <c r="C14" s="484"/>
      <c r="D14" s="484"/>
      <c r="E14" s="484"/>
      <c r="F14" s="484"/>
      <c r="G14" s="485"/>
    </row>
    <row r="15" spans="1:7">
      <c r="A15" s="486" t="s">
        <v>860</v>
      </c>
      <c r="B15" s="487"/>
      <c r="C15" s="487"/>
      <c r="D15" s="487"/>
      <c r="E15" s="487"/>
      <c r="F15" s="487"/>
      <c r="G15" s="491"/>
    </row>
    <row r="16" spans="1:7">
      <c r="A16" s="483" t="s">
        <v>861</v>
      </c>
      <c r="B16" s="484"/>
      <c r="C16" s="484"/>
      <c r="D16" s="484"/>
      <c r="E16" s="484"/>
      <c r="F16" s="484"/>
      <c r="G16" s="485"/>
    </row>
    <row r="17" spans="1:7">
      <c r="A17" s="486" t="s">
        <v>862</v>
      </c>
      <c r="B17" s="487"/>
      <c r="C17" s="487"/>
      <c r="D17" s="487"/>
      <c r="E17" s="487"/>
      <c r="F17" s="487"/>
      <c r="G17" s="491"/>
    </row>
    <row r="18" spans="1:7">
      <c r="A18" s="486" t="s">
        <v>863</v>
      </c>
      <c r="B18" s="487"/>
      <c r="C18" s="487"/>
      <c r="D18" s="487"/>
      <c r="E18" s="487"/>
      <c r="F18" s="487"/>
      <c r="G18" s="491"/>
    </row>
    <row r="19" spans="1:7">
      <c r="A19" s="486" t="s">
        <v>864</v>
      </c>
      <c r="B19" s="487"/>
      <c r="C19" s="487"/>
      <c r="D19" s="487"/>
      <c r="E19" s="487"/>
      <c r="F19" s="487"/>
      <c r="G19" s="491"/>
    </row>
    <row r="20" spans="1:7">
      <c r="A20" s="486" t="s">
        <v>865</v>
      </c>
      <c r="B20" s="487"/>
      <c r="C20" s="487"/>
      <c r="D20" s="487"/>
      <c r="E20" s="487"/>
      <c r="F20" s="487"/>
      <c r="G20" s="491"/>
    </row>
    <row r="21" spans="1:7">
      <c r="A21" s="492" t="s">
        <v>912</v>
      </c>
      <c r="B21" s="493"/>
      <c r="C21" s="493"/>
      <c r="D21" s="493"/>
      <c r="E21" s="493"/>
      <c r="F21" s="493"/>
      <c r="G21" s="494"/>
    </row>
    <row r="22" spans="1:7">
      <c r="A22" s="470" t="s">
        <v>916</v>
      </c>
      <c r="B22" s="471"/>
      <c r="C22" s="471"/>
      <c r="D22" s="471"/>
      <c r="E22" s="471"/>
      <c r="F22" s="471"/>
      <c r="G22" s="472"/>
    </row>
    <row r="23" spans="1:7" ht="34.5" customHeight="1">
      <c r="A23" s="495" t="s">
        <v>962</v>
      </c>
      <c r="B23" s="496"/>
      <c r="C23" s="496"/>
      <c r="D23" s="496"/>
      <c r="E23" s="496"/>
      <c r="F23" s="496"/>
      <c r="G23" s="497"/>
    </row>
    <row r="24" spans="1:7">
      <c r="A24" s="470" t="s">
        <v>917</v>
      </c>
      <c r="B24" s="471"/>
      <c r="C24" s="471"/>
      <c r="D24" s="471"/>
      <c r="E24" s="471"/>
      <c r="F24" s="471"/>
      <c r="G24" s="472"/>
    </row>
    <row r="25" spans="1:7">
      <c r="A25" s="467" t="s">
        <v>920</v>
      </c>
      <c r="B25" s="468"/>
      <c r="C25" s="468"/>
      <c r="D25" s="468"/>
      <c r="E25" s="468"/>
      <c r="F25" s="468"/>
      <c r="G25" s="469"/>
    </row>
    <row r="26" spans="1:7">
      <c r="A26" s="466" t="s">
        <v>927</v>
      </c>
      <c r="B26" s="466"/>
      <c r="C26" s="466"/>
      <c r="D26" s="466"/>
      <c r="E26" s="466"/>
      <c r="F26" s="466"/>
      <c r="G26" s="466"/>
    </row>
    <row r="27" spans="1:7" ht="58.9" customHeight="1">
      <c r="A27" s="465" t="s">
        <v>947</v>
      </c>
      <c r="B27" s="465"/>
      <c r="C27" s="465"/>
      <c r="D27" s="465"/>
      <c r="E27" s="465"/>
      <c r="F27" s="465"/>
      <c r="G27" s="465"/>
    </row>
    <row r="28" spans="1:7">
      <c r="A28" s="465" t="s">
        <v>928</v>
      </c>
      <c r="B28" s="465"/>
      <c r="C28" s="465"/>
      <c r="D28" s="465"/>
      <c r="E28" s="465"/>
      <c r="F28" s="465"/>
      <c r="G28" s="465"/>
    </row>
    <row r="29" spans="1:7">
      <c r="A29" s="465" t="s">
        <v>929</v>
      </c>
      <c r="B29" s="465"/>
      <c r="C29" s="465"/>
      <c r="D29" s="465"/>
      <c r="E29" s="465"/>
      <c r="F29" s="465"/>
      <c r="G29" s="465"/>
    </row>
    <row r="30" spans="1:7">
      <c r="A30" s="465" t="s">
        <v>931</v>
      </c>
      <c r="B30" s="465"/>
      <c r="C30" s="465"/>
      <c r="D30" s="465"/>
      <c r="E30" s="465"/>
      <c r="F30" s="465"/>
      <c r="G30" s="465"/>
    </row>
    <row r="31" spans="1:7">
      <c r="A31" s="465" t="s">
        <v>948</v>
      </c>
      <c r="B31" s="465"/>
      <c r="C31" s="465"/>
      <c r="D31" s="465"/>
      <c r="E31" s="465"/>
      <c r="F31" s="465"/>
      <c r="G31" s="465"/>
    </row>
    <row r="32" spans="1:7">
      <c r="A32" s="465" t="s">
        <v>954</v>
      </c>
      <c r="B32" s="465"/>
      <c r="C32" s="465"/>
      <c r="D32" s="465"/>
      <c r="E32" s="465"/>
      <c r="F32" s="465"/>
      <c r="G32" s="465"/>
    </row>
    <row r="33" spans="1:7">
      <c r="A33" s="465" t="s">
        <v>963</v>
      </c>
      <c r="B33" s="465"/>
      <c r="C33" s="465"/>
      <c r="D33" s="465"/>
      <c r="E33" s="465"/>
      <c r="F33" s="465"/>
      <c r="G33" s="465"/>
    </row>
    <row r="34" spans="1:7">
      <c r="A34" s="465" t="s">
        <v>968</v>
      </c>
      <c r="B34" s="465"/>
      <c r="C34" s="465"/>
      <c r="D34" s="465"/>
      <c r="E34" s="465"/>
      <c r="F34" s="465"/>
      <c r="G34" s="465"/>
    </row>
    <row r="35" spans="1:7">
      <c r="A35" s="464"/>
      <c r="B35" s="464"/>
      <c r="C35" s="464"/>
      <c r="D35" s="464"/>
      <c r="E35" s="464"/>
      <c r="F35" s="464"/>
      <c r="G35" s="464"/>
    </row>
    <row r="36" spans="1:7">
      <c r="A36" s="464"/>
      <c r="B36" s="464"/>
      <c r="C36" s="464"/>
      <c r="D36" s="464"/>
      <c r="E36" s="464"/>
      <c r="F36" s="464"/>
      <c r="G36" s="464"/>
    </row>
    <row r="37" spans="1:7">
      <c r="A37" s="464"/>
      <c r="B37" s="464"/>
      <c r="C37" s="464"/>
      <c r="D37" s="464"/>
      <c r="E37" s="464"/>
      <c r="F37" s="464"/>
      <c r="G37" s="464"/>
    </row>
    <row r="38" spans="1:7">
      <c r="A38" s="464"/>
      <c r="B38" s="464"/>
      <c r="C38" s="464"/>
      <c r="D38" s="464"/>
      <c r="E38" s="464"/>
      <c r="F38" s="464"/>
      <c r="G38" s="464"/>
    </row>
    <row r="39" spans="1:7">
      <c r="A39" s="464"/>
      <c r="B39" s="464"/>
      <c r="C39" s="464"/>
      <c r="D39" s="464"/>
      <c r="E39" s="464"/>
      <c r="F39" s="464"/>
      <c r="G39" s="464"/>
    </row>
  </sheetData>
  <sheetProtection formatCells="0" formatColumns="0" formatRows="0" insertColumns="0" insertRows="0" deleteColumns="0" deleteRows="0"/>
  <protectedRanges>
    <protectedRange algorithmName="SHA-512" hashValue="AcDTjHjA8gqQ6FTFjGrK90J4BwckDBvxuwCX4gUWLEmWeLRwaGJQDJl8J5bPdZ6hc+wqjBkbplny6z0gRCbD1w==" saltValue="K3wVTxL8ItBC6b7rKLJN4g==" spinCount="100000" sqref="A1:XFD5 F6:XFD13 H14:XFD17 A18:XFD1048576" name="Range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AcDTjHjA8gqQ6FTFjGrK90J4BwckDBvxuwCX4gUWLEmWeLRwaGJQDJl8J5bPdZ6hc+wqjBkbplny6z0gRCbD1w==" saltValue="K3wVTxL8ItBC6b7rKLJN4g==" spinCount="100000" sqref="A6:E13" name="Range1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AcDTjHjA8gqQ6FTFjGrK90J4BwckDBvxuwCX4gUWLEmWeLRwaGJQDJl8J5bPdZ6hc+wqjBkbplny6z0gRCbD1w==" saltValue="K3wVTxL8ItBC6b7rKLJN4g==" spinCount="100000" sqref="A14:G17" name="Range1_2"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s>
  <mergeCells count="37">
    <mergeCell ref="A29:G29"/>
    <mergeCell ref="A30:G30"/>
    <mergeCell ref="A31:G31"/>
    <mergeCell ref="A32:G32"/>
    <mergeCell ref="A33:G33"/>
    <mergeCell ref="A20:G20"/>
    <mergeCell ref="A21:G21"/>
    <mergeCell ref="A22:G22"/>
    <mergeCell ref="A23:G23"/>
    <mergeCell ref="A15:G15"/>
    <mergeCell ref="A16:G16"/>
    <mergeCell ref="A17:G17"/>
    <mergeCell ref="A18:G18"/>
    <mergeCell ref="A19:G19"/>
    <mergeCell ref="A1:G2"/>
    <mergeCell ref="A3:G3"/>
    <mergeCell ref="A4:G4"/>
    <mergeCell ref="A14:G14"/>
    <mergeCell ref="A7:E7"/>
    <mergeCell ref="A8:E8"/>
    <mergeCell ref="A9:E9"/>
    <mergeCell ref="A10:E10"/>
    <mergeCell ref="A11:E11"/>
    <mergeCell ref="A12:E12"/>
    <mergeCell ref="A13:E13"/>
    <mergeCell ref="A6:G6"/>
    <mergeCell ref="A26:G26"/>
    <mergeCell ref="A27:G27"/>
    <mergeCell ref="A28:G28"/>
    <mergeCell ref="A25:G25"/>
    <mergeCell ref="A24:G24"/>
    <mergeCell ref="A39:G39"/>
    <mergeCell ref="A34:G34"/>
    <mergeCell ref="A35:G35"/>
    <mergeCell ref="A36:G36"/>
    <mergeCell ref="A37:G37"/>
    <mergeCell ref="A38:G38"/>
  </mergeCells>
  <pageMargins left="0.7" right="0.7" top="0.75" bottom="0.75" header="0.3" footer="0.3"/>
  <pageSetup scale="63" orientation="landscape" r:id="rId1"/>
  <headerFooter>
    <oddHeader>&amp;R&amp;"Times New Roman,Bold"&amp;10KyPSC Case No. 2025-00229
STAFF-DR-01-005(b) Attachment 3
Page &amp;P of &amp;N</oddHeader>
  </headerFooter>
  <rowBreaks count="1" manualBreakCount="1">
    <brk id="35" max="16383" man="1"/>
  </rowBreaks>
  <colBreaks count="1" manualBreakCount="1">
    <brk id="8"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7EFBA-E35E-4222-8693-03057374AD29}">
  <sheetPr>
    <tabColor rgb="FF0070C0"/>
  </sheetPr>
  <dimension ref="B1:J34"/>
  <sheetViews>
    <sheetView view="pageLayout" zoomScaleNormal="100" workbookViewId="0">
      <selection activeCell="E24" sqref="E24"/>
    </sheetView>
  </sheetViews>
  <sheetFormatPr defaultRowHeight="15"/>
  <cols>
    <col min="1" max="1" width="2.85546875" customWidth="1"/>
    <col min="2" max="2" width="6.85546875" style="1" customWidth="1"/>
    <col min="3" max="3" width="8.5703125" style="1" bestFit="1" customWidth="1"/>
    <col min="4" max="4" width="10.7109375" style="1" bestFit="1" customWidth="1"/>
    <col min="5" max="5" width="52.7109375" style="1" customWidth="1"/>
    <col min="6" max="6" width="19.140625" style="1" bestFit="1" customWidth="1"/>
    <col min="7" max="7" width="17.7109375" style="1" bestFit="1" customWidth="1"/>
    <col min="8" max="8" width="15.28515625" style="1" bestFit="1" customWidth="1"/>
    <col min="9" max="9" width="19" style="1" bestFit="1" customWidth="1"/>
    <col min="10" max="10" width="20.28515625" style="1" bestFit="1" customWidth="1"/>
  </cols>
  <sheetData>
    <row r="1" spans="2:10">
      <c r="B1" s="35" t="s">
        <v>43</v>
      </c>
    </row>
    <row r="2" spans="2:10" ht="8.25" customHeight="1" thickBot="1"/>
    <row r="3" spans="2:10" ht="26.25">
      <c r="B3" s="498" t="s">
        <v>45</v>
      </c>
      <c r="C3" s="499"/>
      <c r="D3" s="499"/>
      <c r="E3" s="499"/>
      <c r="F3" s="499"/>
      <c r="G3" s="499"/>
      <c r="H3" s="499"/>
      <c r="I3" s="499"/>
      <c r="J3" s="500"/>
    </row>
    <row r="4" spans="2:10" ht="21">
      <c r="B4" s="458" t="str">
        <f>'Master Tab'!C8</f>
        <v>Line AM07 Phase 3</v>
      </c>
      <c r="C4" s="501"/>
      <c r="D4" s="501"/>
      <c r="E4" s="501"/>
      <c r="F4" s="501"/>
      <c r="G4" s="501"/>
      <c r="H4" s="501"/>
      <c r="I4" s="501"/>
      <c r="J4" s="459"/>
    </row>
    <row r="5" spans="2:10" ht="21">
      <c r="B5" s="458" t="s">
        <v>46</v>
      </c>
      <c r="C5" s="501"/>
      <c r="D5" s="501"/>
      <c r="E5" s="501"/>
      <c r="F5" s="501"/>
      <c r="G5" s="501"/>
      <c r="H5" s="501"/>
      <c r="I5" s="501"/>
      <c r="J5" s="459"/>
    </row>
    <row r="6" spans="2:10" ht="15.75" thickBot="1">
      <c r="B6" s="503"/>
      <c r="C6" s="504"/>
      <c r="D6" s="504"/>
      <c r="E6" s="504"/>
      <c r="F6" s="504"/>
      <c r="G6" s="502" t="s">
        <v>53</v>
      </c>
      <c r="H6" s="502"/>
      <c r="I6" s="502"/>
      <c r="J6" s="30" t="str">
        <f>'Master Tab'!C6</f>
        <v>F-Initiate 60% Refresh</v>
      </c>
    </row>
    <row r="7" spans="2:10" ht="26.25" customHeight="1" thickBot="1">
      <c r="B7" s="34" t="s">
        <v>47</v>
      </c>
      <c r="C7" s="34" t="s">
        <v>44</v>
      </c>
      <c r="D7" s="34" t="s">
        <v>48</v>
      </c>
      <c r="E7" s="34" t="s">
        <v>11</v>
      </c>
      <c r="F7" s="34" t="s">
        <v>49</v>
      </c>
      <c r="G7" s="34" t="s">
        <v>50</v>
      </c>
      <c r="H7" s="34" t="s">
        <v>51</v>
      </c>
      <c r="I7" s="34" t="s">
        <v>54</v>
      </c>
      <c r="J7" s="34" t="s">
        <v>52</v>
      </c>
    </row>
    <row r="8" spans="2:10" ht="30">
      <c r="B8" s="8">
        <v>1</v>
      </c>
      <c r="C8" s="28" t="s">
        <v>3</v>
      </c>
      <c r="D8" s="415">
        <v>44000</v>
      </c>
      <c r="E8" s="416" t="s">
        <v>902</v>
      </c>
      <c r="F8" s="31">
        <v>0</v>
      </c>
      <c r="G8" s="31">
        <v>0</v>
      </c>
      <c r="H8" s="31">
        <f t="shared" ref="H8:H13" si="0">G8-F8</f>
        <v>0</v>
      </c>
      <c r="I8" s="28" t="s">
        <v>903</v>
      </c>
      <c r="J8" s="9" t="s">
        <v>851</v>
      </c>
    </row>
    <row r="9" spans="2:10">
      <c r="B9" s="12">
        <v>2</v>
      </c>
      <c r="C9" s="3" t="s">
        <v>904</v>
      </c>
      <c r="D9" s="417">
        <v>44046</v>
      </c>
      <c r="E9" s="3" t="s">
        <v>905</v>
      </c>
      <c r="F9" s="32">
        <f>G8</f>
        <v>0</v>
      </c>
      <c r="G9" s="32">
        <v>47210100</v>
      </c>
      <c r="H9" s="32">
        <f t="shared" si="0"/>
        <v>47210100</v>
      </c>
      <c r="I9" s="3" t="s">
        <v>903</v>
      </c>
      <c r="J9" s="13" t="s">
        <v>906</v>
      </c>
    </row>
    <row r="10" spans="2:10">
      <c r="B10" s="12">
        <v>3</v>
      </c>
      <c r="C10" s="3" t="s">
        <v>907</v>
      </c>
      <c r="D10" s="417">
        <v>44394</v>
      </c>
      <c r="E10" s="3" t="s">
        <v>908</v>
      </c>
      <c r="F10" s="32">
        <f>G9</f>
        <v>47210100</v>
      </c>
      <c r="G10" s="32">
        <v>34045100</v>
      </c>
      <c r="H10" s="32">
        <f t="shared" si="0"/>
        <v>-13165000</v>
      </c>
      <c r="I10" s="3" t="s">
        <v>903</v>
      </c>
      <c r="J10" s="13" t="s">
        <v>906</v>
      </c>
    </row>
    <row r="11" spans="2:10" ht="30">
      <c r="B11" s="12">
        <v>4</v>
      </c>
      <c r="C11" s="3" t="s">
        <v>909</v>
      </c>
      <c r="D11" s="417">
        <v>45093</v>
      </c>
      <c r="E11" s="418" t="s">
        <v>910</v>
      </c>
      <c r="F11" s="32">
        <f>G10</f>
        <v>34045100</v>
      </c>
      <c r="G11" s="32">
        <v>50894400</v>
      </c>
      <c r="H11" s="32">
        <f t="shared" si="0"/>
        <v>16849300</v>
      </c>
      <c r="I11" s="3" t="s">
        <v>903</v>
      </c>
      <c r="J11" s="13" t="s">
        <v>851</v>
      </c>
    </row>
    <row r="12" spans="2:10" ht="30">
      <c r="B12" s="12">
        <v>5</v>
      </c>
      <c r="C12" s="3" t="s">
        <v>922</v>
      </c>
      <c r="D12" s="417">
        <v>45273</v>
      </c>
      <c r="E12" s="418" t="s">
        <v>923</v>
      </c>
      <c r="F12" s="32">
        <f>G11</f>
        <v>50894400</v>
      </c>
      <c r="G12" s="32">
        <v>58051500</v>
      </c>
      <c r="H12" s="32">
        <f t="shared" si="0"/>
        <v>7157100</v>
      </c>
      <c r="I12" s="3" t="s">
        <v>921</v>
      </c>
      <c r="J12" s="13" t="s">
        <v>911</v>
      </c>
    </row>
    <row r="13" spans="2:10" ht="90">
      <c r="B13" s="12">
        <v>6</v>
      </c>
      <c r="C13" s="3" t="s">
        <v>952</v>
      </c>
      <c r="D13" s="417">
        <v>45427</v>
      </c>
      <c r="E13" s="418" t="s">
        <v>974</v>
      </c>
      <c r="F13" s="32">
        <v>58051500</v>
      </c>
      <c r="G13" s="32">
        <v>51625600</v>
      </c>
      <c r="H13" s="32">
        <f t="shared" si="0"/>
        <v>-6425900</v>
      </c>
      <c r="I13" s="3" t="s">
        <v>953</v>
      </c>
      <c r="J13" s="13" t="s">
        <v>911</v>
      </c>
    </row>
    <row r="14" spans="2:10">
      <c r="B14" s="12">
        <v>7</v>
      </c>
      <c r="C14" s="3"/>
      <c r="D14" s="3"/>
      <c r="E14" s="3"/>
      <c r="F14" s="32"/>
      <c r="G14" s="32"/>
      <c r="H14" s="32"/>
      <c r="I14" s="3"/>
      <c r="J14" s="13"/>
    </row>
    <row r="15" spans="2:10">
      <c r="B15" s="12">
        <v>8</v>
      </c>
      <c r="C15" s="3"/>
      <c r="D15" s="3"/>
      <c r="E15" s="3"/>
      <c r="F15" s="32"/>
      <c r="G15" s="32"/>
      <c r="H15" s="32"/>
      <c r="I15" s="3"/>
      <c r="J15" s="13"/>
    </row>
    <row r="16" spans="2:10">
      <c r="B16" s="12">
        <v>9</v>
      </c>
      <c r="C16" s="3"/>
      <c r="D16" s="3"/>
      <c r="E16" s="3"/>
      <c r="F16" s="32"/>
      <c r="G16" s="32"/>
      <c r="H16" s="32"/>
      <c r="I16" s="3"/>
      <c r="J16" s="13"/>
    </row>
    <row r="17" spans="2:10">
      <c r="B17" s="12">
        <v>10</v>
      </c>
      <c r="C17" s="3"/>
      <c r="D17" s="3"/>
      <c r="E17" s="3"/>
      <c r="F17" s="32"/>
      <c r="G17" s="32"/>
      <c r="H17" s="32"/>
      <c r="I17" s="3"/>
      <c r="J17" s="13"/>
    </row>
    <row r="18" spans="2:10">
      <c r="B18" s="12">
        <v>11</v>
      </c>
      <c r="C18" s="3"/>
      <c r="D18" s="3"/>
      <c r="E18" s="3"/>
      <c r="F18" s="32"/>
      <c r="G18" s="32"/>
      <c r="H18" s="32"/>
      <c r="I18" s="3"/>
      <c r="J18" s="13"/>
    </row>
    <row r="19" spans="2:10">
      <c r="B19" s="12">
        <v>12</v>
      </c>
      <c r="C19" s="3"/>
      <c r="D19" s="3"/>
      <c r="E19" s="3"/>
      <c r="F19" s="32"/>
      <c r="G19" s="32"/>
      <c r="H19" s="32"/>
      <c r="I19" s="3"/>
      <c r="J19" s="13"/>
    </row>
    <row r="20" spans="2:10">
      <c r="B20" s="12">
        <v>13</v>
      </c>
      <c r="C20" s="3"/>
      <c r="D20" s="3"/>
      <c r="E20" s="3"/>
      <c r="F20" s="32"/>
      <c r="G20" s="32"/>
      <c r="H20" s="32"/>
      <c r="I20" s="3"/>
      <c r="J20" s="13"/>
    </row>
    <row r="21" spans="2:10">
      <c r="B21" s="12">
        <v>14</v>
      </c>
      <c r="C21" s="3"/>
      <c r="D21" s="3"/>
      <c r="E21" s="3"/>
      <c r="F21" s="32"/>
      <c r="G21" s="32"/>
      <c r="H21" s="32"/>
      <c r="I21" s="3"/>
      <c r="J21" s="13"/>
    </row>
    <row r="22" spans="2:10">
      <c r="B22" s="12">
        <v>15</v>
      </c>
      <c r="C22" s="3"/>
      <c r="D22" s="3"/>
      <c r="E22" s="3"/>
      <c r="F22" s="32"/>
      <c r="G22" s="32"/>
      <c r="H22" s="32"/>
      <c r="I22" s="3"/>
      <c r="J22" s="13"/>
    </row>
    <row r="23" spans="2:10">
      <c r="B23" s="12">
        <v>16</v>
      </c>
      <c r="C23" s="3"/>
      <c r="D23" s="3"/>
      <c r="E23" s="3"/>
      <c r="F23" s="32"/>
      <c r="G23" s="32"/>
      <c r="H23" s="32"/>
      <c r="I23" s="3"/>
      <c r="J23" s="13"/>
    </row>
    <row r="24" spans="2:10">
      <c r="B24" s="12">
        <v>17</v>
      </c>
      <c r="C24" s="3"/>
      <c r="D24" s="3"/>
      <c r="E24" s="3"/>
      <c r="F24" s="32"/>
      <c r="G24" s="32"/>
      <c r="H24" s="32"/>
      <c r="I24" s="3"/>
      <c r="J24" s="13"/>
    </row>
    <row r="25" spans="2:10">
      <c r="B25" s="12">
        <v>18</v>
      </c>
      <c r="C25" s="3"/>
      <c r="D25" s="3"/>
      <c r="E25" s="3"/>
      <c r="F25" s="32"/>
      <c r="G25" s="32"/>
      <c r="H25" s="32"/>
      <c r="I25" s="3"/>
      <c r="J25" s="13"/>
    </row>
    <row r="26" spans="2:10">
      <c r="B26" s="12">
        <v>19</v>
      </c>
      <c r="C26" s="3"/>
      <c r="D26" s="3"/>
      <c r="E26" s="3"/>
      <c r="F26" s="32"/>
      <c r="G26" s="32"/>
      <c r="H26" s="32"/>
      <c r="I26" s="3"/>
      <c r="J26" s="13"/>
    </row>
    <row r="27" spans="2:10">
      <c r="B27" s="12">
        <v>20</v>
      </c>
      <c r="C27" s="3"/>
      <c r="D27" s="3"/>
      <c r="E27" s="3"/>
      <c r="F27" s="32"/>
      <c r="G27" s="32"/>
      <c r="H27" s="32"/>
      <c r="I27" s="3"/>
      <c r="J27" s="13"/>
    </row>
    <row r="28" spans="2:10">
      <c r="B28" s="12">
        <v>21</v>
      </c>
      <c r="C28" s="3"/>
      <c r="D28" s="3"/>
      <c r="E28" s="3"/>
      <c r="F28" s="32"/>
      <c r="G28" s="32"/>
      <c r="H28" s="32"/>
      <c r="I28" s="3"/>
      <c r="J28" s="13"/>
    </row>
    <row r="29" spans="2:10">
      <c r="B29" s="12">
        <v>22</v>
      </c>
      <c r="C29" s="3"/>
      <c r="D29" s="3"/>
      <c r="E29" s="3"/>
      <c r="F29" s="32"/>
      <c r="G29" s="32"/>
      <c r="H29" s="32"/>
      <c r="I29" s="3"/>
      <c r="J29" s="13"/>
    </row>
    <row r="30" spans="2:10">
      <c r="B30" s="12">
        <v>23</v>
      </c>
      <c r="C30" s="3"/>
      <c r="D30" s="3"/>
      <c r="E30" s="3"/>
      <c r="F30" s="32"/>
      <c r="G30" s="32"/>
      <c r="H30" s="32"/>
      <c r="I30" s="3"/>
      <c r="J30" s="13"/>
    </row>
    <row r="31" spans="2:10">
      <c r="B31" s="12">
        <v>24</v>
      </c>
      <c r="C31" s="3"/>
      <c r="D31" s="3"/>
      <c r="E31" s="3"/>
      <c r="F31" s="32"/>
      <c r="G31" s="32"/>
      <c r="H31" s="32"/>
      <c r="I31" s="3"/>
      <c r="J31" s="13"/>
    </row>
    <row r="32" spans="2:10">
      <c r="B32" s="12">
        <v>25</v>
      </c>
      <c r="C32" s="3"/>
      <c r="D32" s="3"/>
      <c r="E32" s="3"/>
      <c r="F32" s="32"/>
      <c r="G32" s="32"/>
      <c r="H32" s="32"/>
      <c r="I32" s="3"/>
      <c r="J32" s="13"/>
    </row>
    <row r="33" spans="2:10">
      <c r="B33" s="12">
        <v>26</v>
      </c>
      <c r="C33" s="3"/>
      <c r="D33" s="3"/>
      <c r="E33" s="3"/>
      <c r="F33" s="32"/>
      <c r="G33" s="32"/>
      <c r="H33" s="32"/>
      <c r="I33" s="3"/>
      <c r="J33" s="13"/>
    </row>
    <row r="34" spans="2:10" ht="15.75" thickBot="1">
      <c r="B34" s="10"/>
      <c r="C34" s="29"/>
      <c r="D34" s="29"/>
      <c r="E34" s="29"/>
      <c r="F34" s="33"/>
      <c r="G34" s="33"/>
      <c r="H34" s="33"/>
      <c r="I34" s="29"/>
      <c r="J34" s="11"/>
    </row>
  </sheetData>
  <protectedRanges>
    <protectedRange algorithmName="SHA-512" hashValue="KUZzOaajJlYykLfdsNW3FRpKsbwmwpAr/41fapyxfUrNcEvkmZ8oJVUTFxWoCsp5Aq0HhUrDqg5xa6dvpONxhQ==" saltValue="1XzJvVSOwsMcfJsKA0bO2g==" spinCount="100000" sqref="B3:J7 B14:J34 B8:B12 B13:G13 I13:J13" name="Range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KUZzOaajJlYykLfdsNW3FRpKsbwmwpAr/41fapyxfUrNcEvkmZ8oJVUTFxWoCsp5Aq0HhUrDqg5xa6dvpONxhQ==" saltValue="1XzJvVSOwsMcfJsKA0bO2g==" spinCount="100000" sqref="C8:J10" name="Range1_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KUZzOaajJlYykLfdsNW3FRpKsbwmwpAr/41fapyxfUrNcEvkmZ8oJVUTFxWoCsp5Aq0HhUrDqg5xa6dvpONxhQ==" saltValue="1XzJvVSOwsMcfJsKA0bO2g==" spinCount="100000" sqref="C11:J12 H13" name="Range1_2" securityDescriptor="O:WDG:WDD:(A;;CC;;;S-1-5-21-577582919-1435025626-1914702595-4020469)(A;;CC;;;S-1-5-21-577582919-1435025626-1914702595-3758999)(A;;CC;;;S-1-5-21-577582919-1435025626-1914702595-3758875)(A;;CC;;;S-1-5-21-577582919-1435025626-1914702595-4023729)(A;;CC;;;S-1-5-21-577582919-1435025626-1914702595-3758127)"/>
  </protectedRanges>
  <mergeCells count="5">
    <mergeCell ref="B3:J3"/>
    <mergeCell ref="B4:J4"/>
    <mergeCell ref="B5:J5"/>
    <mergeCell ref="G6:I6"/>
    <mergeCell ref="B6:F6"/>
  </mergeCells>
  <pageMargins left="0.7" right="0.7" top="0.75" bottom="0.75" header="0.3" footer="0.3"/>
  <pageSetup scale="63" fitToHeight="0" orientation="landscape" r:id="rId1"/>
  <headerFooter>
    <oddHeader>&amp;R&amp;"Times New Roman,Bold"&amp;10KyPSC Case No. 2025-00229
STAFF-DR-01-005(b) Attachment 3
Page &amp;P of &amp;N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2B55C-E7A0-4F76-9B9E-95580C345972}">
  <sheetPr>
    <tabColor rgb="FF0070C0"/>
  </sheetPr>
  <dimension ref="A1:O73"/>
  <sheetViews>
    <sheetView view="pageLayout" zoomScaleNormal="100" workbookViewId="0">
      <selection activeCell="E24" sqref="E24"/>
    </sheetView>
  </sheetViews>
  <sheetFormatPr defaultRowHeight="15"/>
  <cols>
    <col min="1" max="1" width="0.7109375" customWidth="1"/>
    <col min="2" max="2" width="10.85546875" customWidth="1"/>
    <col min="3" max="3" width="26.28515625" customWidth="1"/>
    <col min="4" max="4" width="22.85546875" customWidth="1"/>
    <col min="5" max="5" width="1" customWidth="1"/>
    <col min="6" max="6" width="21.7109375" customWidth="1"/>
    <col min="7" max="10" width="21.7109375" style="1" customWidth="1"/>
    <col min="11" max="11" width="1" customWidth="1"/>
    <col min="12" max="12" width="21.7109375" customWidth="1"/>
    <col min="13" max="13" width="1.42578125" bestFit="1" customWidth="1"/>
    <col min="14" max="14" width="10.5703125" bestFit="1" customWidth="1"/>
    <col min="15" max="15" width="7" bestFit="1" customWidth="1"/>
  </cols>
  <sheetData>
    <row r="1" spans="1:13" ht="3.75" customHeight="1" thickBot="1">
      <c r="B1" s="4"/>
      <c r="C1" s="4"/>
      <c r="D1" s="4"/>
      <c r="E1" s="4"/>
      <c r="F1" s="4"/>
      <c r="G1" s="7"/>
      <c r="H1" s="7"/>
      <c r="I1" s="7"/>
      <c r="J1" s="7"/>
      <c r="K1" s="4"/>
      <c r="L1" s="4"/>
    </row>
    <row r="2" spans="1:13" ht="31.5">
      <c r="A2" s="27"/>
      <c r="B2" s="507" t="str">
        <f>'Master Tab'!C8</f>
        <v>Line AM07 Phase 3</v>
      </c>
      <c r="C2" s="507"/>
      <c r="D2" s="507"/>
      <c r="E2" s="507"/>
      <c r="F2" s="507"/>
      <c r="G2" s="507"/>
      <c r="H2" s="507"/>
      <c r="I2" s="507"/>
      <c r="J2" s="507"/>
      <c r="K2" s="507"/>
      <c r="L2" s="507"/>
      <c r="M2" s="36"/>
    </row>
    <row r="3" spans="1:13" ht="21">
      <c r="A3" s="27"/>
      <c r="B3" s="508" t="str">
        <f>'Master Tab'!C12</f>
        <v>Erlanger</v>
      </c>
      <c r="C3" s="509"/>
      <c r="D3" s="509"/>
      <c r="E3" s="509"/>
      <c r="F3" s="509"/>
      <c r="G3" s="509"/>
      <c r="H3" s="509"/>
      <c r="I3" s="509"/>
      <c r="J3" s="509"/>
      <c r="K3" s="509"/>
      <c r="L3" s="509"/>
      <c r="M3" s="36"/>
    </row>
    <row r="4" spans="1:13" ht="18.75">
      <c r="A4" s="27"/>
      <c r="B4" s="510" t="s">
        <v>55</v>
      </c>
      <c r="C4" s="510"/>
      <c r="D4" s="510"/>
      <c r="E4" s="510"/>
      <c r="F4" s="510"/>
      <c r="G4" s="510"/>
      <c r="H4" s="510"/>
      <c r="I4" s="510"/>
      <c r="J4" s="510"/>
      <c r="K4" s="510"/>
      <c r="L4" s="510"/>
      <c r="M4" s="36"/>
    </row>
    <row r="5" spans="1:13" ht="18.75">
      <c r="A5" s="27"/>
      <c r="B5" s="510" t="str">
        <f>'Master Tab'!C24</f>
        <v>GD70-Kentucky</v>
      </c>
      <c r="C5" s="510"/>
      <c r="D5" s="510"/>
      <c r="E5" s="510"/>
      <c r="F5" s="510"/>
      <c r="G5" s="510"/>
      <c r="H5" s="510"/>
      <c r="I5" s="510"/>
      <c r="J5" s="510"/>
      <c r="K5" s="510"/>
      <c r="L5" s="510"/>
      <c r="M5" s="36"/>
    </row>
    <row r="6" spans="1:13" ht="15.75" thickBot="1">
      <c r="A6" s="27"/>
      <c r="B6" s="514">
        <f>'Master Tab'!C9</f>
        <v>45427</v>
      </c>
      <c r="C6" s="515"/>
      <c r="D6" s="515"/>
      <c r="E6" s="515"/>
      <c r="F6" s="515"/>
      <c r="G6" s="515"/>
      <c r="H6" s="515"/>
      <c r="I6" s="515"/>
      <c r="J6" s="515"/>
      <c r="K6" s="515"/>
      <c r="L6" s="515"/>
      <c r="M6" s="36"/>
    </row>
    <row r="7" spans="1:13" ht="30" customHeight="1" thickBot="1">
      <c r="A7" s="27"/>
      <c r="B7" s="246" t="s">
        <v>2</v>
      </c>
      <c r="C7" s="245" t="str">
        <f>'Master Tab'!C6</f>
        <v>F-Initiate 60% Refresh</v>
      </c>
      <c r="D7" s="512" t="s">
        <v>56</v>
      </c>
      <c r="E7" s="54"/>
      <c r="F7" s="511" t="s">
        <v>57</v>
      </c>
      <c r="G7" s="511"/>
      <c r="H7" s="511"/>
      <c r="I7" s="511"/>
      <c r="J7" s="511"/>
      <c r="K7" s="56" t="s">
        <v>7</v>
      </c>
      <c r="L7" s="408" t="s">
        <v>58</v>
      </c>
      <c r="M7" s="36"/>
    </row>
    <row r="8" spans="1:13" ht="15.75" thickBot="1">
      <c r="A8" s="27"/>
      <c r="B8" s="44"/>
      <c r="C8" s="45"/>
      <c r="D8" s="513"/>
      <c r="E8" s="55"/>
      <c r="F8" s="118" t="s">
        <v>160</v>
      </c>
      <c r="G8" s="49" t="s">
        <v>866</v>
      </c>
      <c r="H8" s="49" t="s">
        <v>867</v>
      </c>
      <c r="I8" s="49" t="s">
        <v>868</v>
      </c>
      <c r="J8" s="516" t="s">
        <v>871</v>
      </c>
      <c r="K8" s="57"/>
      <c r="L8" s="52" t="s">
        <v>869</v>
      </c>
      <c r="M8" s="36"/>
    </row>
    <row r="9" spans="1:13" ht="15.75" thickBot="1">
      <c r="A9" s="27"/>
      <c r="B9" s="44"/>
      <c r="C9" s="45"/>
      <c r="D9" s="513"/>
      <c r="E9" s="55"/>
      <c r="F9" s="118" t="s">
        <v>161</v>
      </c>
      <c r="G9" s="49" t="s">
        <v>955</v>
      </c>
      <c r="H9" s="49" t="s">
        <v>956</v>
      </c>
      <c r="I9" s="49" t="s">
        <v>957</v>
      </c>
      <c r="J9" s="517"/>
      <c r="K9" s="57"/>
      <c r="L9" s="52" t="s">
        <v>870</v>
      </c>
      <c r="M9" s="36"/>
    </row>
    <row r="10" spans="1:13" ht="21.75" thickBot="1">
      <c r="A10" s="27"/>
      <c r="B10" s="46" t="s">
        <v>59</v>
      </c>
      <c r="C10" s="47" t="s">
        <v>11</v>
      </c>
      <c r="D10" s="513"/>
      <c r="E10" s="55"/>
      <c r="F10" s="50" t="s">
        <v>60</v>
      </c>
      <c r="G10" s="51" t="s">
        <v>90</v>
      </c>
      <c r="H10" s="51" t="s">
        <v>91</v>
      </c>
      <c r="I10" s="51" t="s">
        <v>92</v>
      </c>
      <c r="J10" s="51" t="s">
        <v>93</v>
      </c>
      <c r="K10" s="57"/>
      <c r="L10" s="53" t="s">
        <v>609</v>
      </c>
      <c r="M10" s="36"/>
    </row>
    <row r="11" spans="1:13">
      <c r="A11" s="27"/>
      <c r="B11" s="37" t="s">
        <v>61</v>
      </c>
      <c r="C11" s="40" t="s">
        <v>6</v>
      </c>
      <c r="D11" s="59">
        <f t="shared" ref="D11:D22" si="0">SUM(G11:L11)</f>
        <v>2325100</v>
      </c>
      <c r="E11" s="60"/>
      <c r="F11" s="61">
        <f t="shared" ref="F11:F22" si="1">SUM(G11:J11)</f>
        <v>2182200</v>
      </c>
      <c r="G11" s="61">
        <f>CEILING('24in AM07'!$I$26,100)</f>
        <v>1182200</v>
      </c>
      <c r="H11" s="61">
        <f>CEILING('20in UL06'!$I$27,100)</f>
        <v>285700</v>
      </c>
      <c r="I11" s="61">
        <f>CEILING('8in UL16'!$I$27,100)</f>
        <v>142900</v>
      </c>
      <c r="J11" s="61">
        <f>CEILING('Station 1'!$I$27,100)</f>
        <v>571400</v>
      </c>
      <c r="K11" s="62"/>
      <c r="L11" s="63">
        <f>CEILING('Demo 1'!$I$13,100)</f>
        <v>142900</v>
      </c>
      <c r="M11" s="36"/>
    </row>
    <row r="12" spans="1:13">
      <c r="A12" s="27"/>
      <c r="B12" s="38" t="s">
        <v>62</v>
      </c>
      <c r="C12" s="41" t="s">
        <v>358</v>
      </c>
      <c r="D12" s="64">
        <f t="shared" si="0"/>
        <v>1753100</v>
      </c>
      <c r="E12" s="60"/>
      <c r="F12" s="65">
        <f t="shared" si="1"/>
        <v>1753100</v>
      </c>
      <c r="G12" s="65">
        <f>SUM('24in AM07'!$H$29:$H$34)</f>
        <v>1500000</v>
      </c>
      <c r="H12" s="65">
        <f>SUM('20in UL06'!$H$30:$H$35)</f>
        <v>144000</v>
      </c>
      <c r="I12" s="65">
        <f>SUM('8in UL16'!$H$30:$H$35)</f>
        <v>21600</v>
      </c>
      <c r="J12" s="65">
        <f>SUM('Station 1'!$H$30:$H$35)</f>
        <v>87500</v>
      </c>
      <c r="K12" s="62"/>
      <c r="L12" s="66">
        <v>0</v>
      </c>
      <c r="M12" s="36" t="s">
        <v>7</v>
      </c>
    </row>
    <row r="13" spans="1:13">
      <c r="A13" s="27"/>
      <c r="B13" s="38" t="s">
        <v>62</v>
      </c>
      <c r="C13" s="41" t="s">
        <v>359</v>
      </c>
      <c r="D13" s="64">
        <f t="shared" si="0"/>
        <v>474900</v>
      </c>
      <c r="E13" s="60"/>
      <c r="F13" s="65">
        <f t="shared" si="1"/>
        <v>474900</v>
      </c>
      <c r="G13" s="65">
        <f>SUM('24in AM07'!$H$35:$H$40)</f>
        <v>406200</v>
      </c>
      <c r="H13" s="65">
        <f>SUM('20in UL06'!$H$36:$H$41)</f>
        <v>30000</v>
      </c>
      <c r="I13" s="65">
        <f>SUM('8in UL16'!$H$36:$H$41)</f>
        <v>17500</v>
      </c>
      <c r="J13" s="65">
        <f>SUM('Station 1'!$H$36:$H$41)</f>
        <v>21200</v>
      </c>
      <c r="K13" s="62"/>
      <c r="L13" s="66">
        <f>SUM('Demo 1'!$H$16:$H$18)</f>
        <v>0</v>
      </c>
      <c r="M13" s="36"/>
    </row>
    <row r="14" spans="1:13">
      <c r="A14" s="27"/>
      <c r="B14" s="38" t="s">
        <v>62</v>
      </c>
      <c r="C14" s="41" t="s">
        <v>63</v>
      </c>
      <c r="D14" s="64">
        <f t="shared" si="0"/>
        <v>438400</v>
      </c>
      <c r="E14" s="60"/>
      <c r="F14" s="65">
        <f t="shared" si="1"/>
        <v>438400</v>
      </c>
      <c r="G14" s="65">
        <f>SUM('24in AM07'!$H$41)</f>
        <v>238400</v>
      </c>
      <c r="H14" s="65">
        <f>SUM('20in UL06'!$H$42)</f>
        <v>90000</v>
      </c>
      <c r="I14" s="65">
        <f>SUM('8in UL16'!$H$42)</f>
        <v>10000</v>
      </c>
      <c r="J14" s="65">
        <f>SUM('Station 1'!$H$42)</f>
        <v>100000</v>
      </c>
      <c r="K14" s="62"/>
      <c r="L14" s="66">
        <f>'Demo 1'!$H$19</f>
        <v>0</v>
      </c>
      <c r="M14" s="36"/>
    </row>
    <row r="15" spans="1:13">
      <c r="A15" s="27"/>
      <c r="B15" s="38" t="s">
        <v>62</v>
      </c>
      <c r="C15" s="41" t="s">
        <v>64</v>
      </c>
      <c r="D15" s="64">
        <f t="shared" si="0"/>
        <v>90000</v>
      </c>
      <c r="E15" s="60"/>
      <c r="F15" s="65">
        <f t="shared" si="1"/>
        <v>90000</v>
      </c>
      <c r="G15" s="65">
        <f>SUM('24in AM07'!$H$42)</f>
        <v>60000</v>
      </c>
      <c r="H15" s="65">
        <f>SUM('20in UL06'!$H$43)</f>
        <v>30000</v>
      </c>
      <c r="I15" s="65">
        <f>SUM('8in UL16'!$H$43)</f>
        <v>0</v>
      </c>
      <c r="J15" s="65">
        <f>SUM('Station 1'!$H$43)</f>
        <v>0</v>
      </c>
      <c r="K15" s="62"/>
      <c r="L15" s="66">
        <v>0</v>
      </c>
      <c r="M15" s="36"/>
    </row>
    <row r="16" spans="1:13">
      <c r="A16" s="27"/>
      <c r="B16" s="38" t="s">
        <v>65</v>
      </c>
      <c r="C16" s="41" t="s">
        <v>66</v>
      </c>
      <c r="D16" s="64">
        <f t="shared" si="0"/>
        <v>4839200</v>
      </c>
      <c r="E16" s="60"/>
      <c r="F16" s="65">
        <f t="shared" si="1"/>
        <v>4833200</v>
      </c>
      <c r="G16" s="65">
        <f>CEILING('24in AM07'!$I$195,100)</f>
        <v>3910700</v>
      </c>
      <c r="H16" s="65">
        <f>CEILING('20in UL06'!$I$200,100)</f>
        <v>407500</v>
      </c>
      <c r="I16" s="65">
        <f>CEILING('8in UL16'!$I$200,100)</f>
        <v>78100</v>
      </c>
      <c r="J16" s="65">
        <f>CEILING('Station 1'!$I$140,100)</f>
        <v>436900</v>
      </c>
      <c r="K16" s="62"/>
      <c r="L16" s="66">
        <f>CEILING('Demo 1'!$I$54,100)</f>
        <v>6000</v>
      </c>
      <c r="M16" s="36"/>
    </row>
    <row r="17" spans="1:15">
      <c r="A17" s="27"/>
      <c r="B17" s="38" t="s">
        <v>67</v>
      </c>
      <c r="C17" s="41" t="s">
        <v>68</v>
      </c>
      <c r="D17" s="64">
        <f t="shared" si="0"/>
        <v>23420300</v>
      </c>
      <c r="E17" s="60"/>
      <c r="F17" s="65">
        <f t="shared" si="1"/>
        <v>23024300</v>
      </c>
      <c r="G17" s="65">
        <f>CEILING('24in AM07'!$I$168,100)</f>
        <v>20960100</v>
      </c>
      <c r="H17" s="65">
        <f>CEILING('20in UL06'!$I$172,100)</f>
        <v>1368100</v>
      </c>
      <c r="I17" s="65">
        <f>CEILING('8in UL16'!$I$171,100)</f>
        <v>696100</v>
      </c>
      <c r="J17" s="71">
        <v>0</v>
      </c>
      <c r="K17" s="62"/>
      <c r="L17" s="66">
        <f>CEILING('Demo 1'!$I$41,100)</f>
        <v>396000</v>
      </c>
      <c r="M17" s="36"/>
    </row>
    <row r="18" spans="1:15">
      <c r="A18" s="27"/>
      <c r="B18" s="38" t="s">
        <v>69</v>
      </c>
      <c r="C18" s="41" t="s">
        <v>70</v>
      </c>
      <c r="D18" s="64">
        <f t="shared" si="0"/>
        <v>2205000</v>
      </c>
      <c r="E18" s="60"/>
      <c r="F18" s="65">
        <f t="shared" si="1"/>
        <v>2205000</v>
      </c>
      <c r="G18" s="71">
        <v>0</v>
      </c>
      <c r="H18" s="71">
        <v>0</v>
      </c>
      <c r="I18" s="71">
        <v>0</v>
      </c>
      <c r="J18" s="65">
        <f>CEILING('Station 1'!$I$102,100)</f>
        <v>2205000</v>
      </c>
      <c r="K18" s="62"/>
      <c r="L18" s="130">
        <v>0</v>
      </c>
      <c r="M18" s="36"/>
    </row>
    <row r="19" spans="1:15">
      <c r="A19" s="27"/>
      <c r="B19" s="38" t="s">
        <v>204</v>
      </c>
      <c r="C19" s="41" t="s">
        <v>71</v>
      </c>
      <c r="D19" s="64">
        <f t="shared" si="0"/>
        <v>1613500</v>
      </c>
      <c r="E19" s="60"/>
      <c r="F19" s="65">
        <f t="shared" si="1"/>
        <v>1558000</v>
      </c>
      <c r="G19" s="65">
        <f>CEILING('24in AM07'!$H$171,100)</f>
        <v>1257700</v>
      </c>
      <c r="H19" s="65">
        <f>CEILING('20in UL06'!$H$175,100)</f>
        <v>82100</v>
      </c>
      <c r="I19" s="65">
        <f>CEILING('8in UL16'!$H$174,100)</f>
        <v>41800</v>
      </c>
      <c r="J19" s="65">
        <f>CEILING('Station 1'!$H$105,100)</f>
        <v>176400</v>
      </c>
      <c r="K19" s="62"/>
      <c r="L19" s="66">
        <f>CEILING('Demo 1'!$H$44,100)</f>
        <v>55500</v>
      </c>
      <c r="M19" s="36" t="s">
        <v>7</v>
      </c>
    </row>
    <row r="20" spans="1:15">
      <c r="A20" s="27"/>
      <c r="B20" s="38" t="s">
        <v>204</v>
      </c>
      <c r="C20" s="41" t="s">
        <v>558</v>
      </c>
      <c r="D20" s="64">
        <f t="shared" si="0"/>
        <v>389700</v>
      </c>
      <c r="E20" s="60"/>
      <c r="F20" s="65">
        <f t="shared" si="1"/>
        <v>389700</v>
      </c>
      <c r="G20" s="65">
        <f>CEILING('24in AM07'!$H$172,100)</f>
        <v>314500</v>
      </c>
      <c r="H20" s="65">
        <f>CEILING('20in UL06'!$H$176,100)</f>
        <v>20600</v>
      </c>
      <c r="I20" s="65">
        <f>CEILING('8in UL16'!$H$175,100)</f>
        <v>10500</v>
      </c>
      <c r="J20" s="65">
        <f>CEILING('Station 1'!$H$106,100)</f>
        <v>44100</v>
      </c>
      <c r="K20" s="62"/>
      <c r="L20" s="66">
        <f>CEILING('Demo 1'!$H$45,100)</f>
        <v>0</v>
      </c>
      <c r="M20" s="36" t="s">
        <v>7</v>
      </c>
    </row>
    <row r="21" spans="1:15">
      <c r="A21" s="27"/>
      <c r="B21" s="38" t="s">
        <v>72</v>
      </c>
      <c r="C21" s="41" t="s">
        <v>401</v>
      </c>
      <c r="D21" s="64">
        <f t="shared" si="0"/>
        <v>514000</v>
      </c>
      <c r="E21" s="60"/>
      <c r="F21" s="65">
        <f t="shared" si="1"/>
        <v>494000</v>
      </c>
      <c r="G21" s="65">
        <f>CEILING('24in AM07'!$H$5,100)</f>
        <v>174000</v>
      </c>
      <c r="H21" s="65">
        <f>CEILING('20in UL06'!$H$5,100)</f>
        <v>120000</v>
      </c>
      <c r="I21" s="65">
        <f>CEILING('8in UL16'!$H$5,100)</f>
        <v>120000</v>
      </c>
      <c r="J21" s="65">
        <f>CEILING('Station 1'!$H$5,100)</f>
        <v>80000</v>
      </c>
      <c r="K21" s="62"/>
      <c r="L21" s="66">
        <f>CEILING('Demo 1'!$H$5,100)</f>
        <v>20000</v>
      </c>
      <c r="M21" s="36" t="s">
        <v>7</v>
      </c>
    </row>
    <row r="22" spans="1:15" ht="15.75" thickBot="1">
      <c r="A22" s="27"/>
      <c r="B22" s="39" t="s">
        <v>74</v>
      </c>
      <c r="C22" s="42" t="s">
        <v>75</v>
      </c>
      <c r="D22" s="67">
        <f t="shared" si="0"/>
        <v>128000</v>
      </c>
      <c r="E22" s="60"/>
      <c r="F22" s="68">
        <f t="shared" si="1"/>
        <v>124000</v>
      </c>
      <c r="G22" s="68">
        <f>CEILING('24in AM07'!$H$6,100)</f>
        <v>44000</v>
      </c>
      <c r="H22" s="68">
        <f>CEILING('20in UL06'!$H$6,100)</f>
        <v>20000</v>
      </c>
      <c r="I22" s="68">
        <f>CEILING('8in UL16'!$H$6,100)</f>
        <v>20000</v>
      </c>
      <c r="J22" s="68">
        <f>CEILING('Station 1'!$H$6,100)</f>
        <v>40000</v>
      </c>
      <c r="K22" s="62"/>
      <c r="L22" s="69">
        <f>CEILING('Demo 1'!$H$6,100)</f>
        <v>4000</v>
      </c>
      <c r="M22" s="36"/>
    </row>
    <row r="23" spans="1:15" s="48" customFormat="1" ht="15.75" thickBot="1">
      <c r="A23" s="72"/>
      <c r="B23" s="520" t="s">
        <v>76</v>
      </c>
      <c r="C23" s="521"/>
      <c r="D23" s="73">
        <f>SUM(D11:D22)</f>
        <v>38191200</v>
      </c>
      <c r="E23" s="74"/>
      <c r="F23" s="75">
        <f t="shared" ref="F23:J23" si="2">SUM(F11:F22)</f>
        <v>37566800</v>
      </c>
      <c r="G23" s="75">
        <f t="shared" si="2"/>
        <v>30047800</v>
      </c>
      <c r="H23" s="75">
        <f t="shared" ref="H23" si="3">SUM(H11:H22)</f>
        <v>2598000</v>
      </c>
      <c r="I23" s="75">
        <f t="shared" si="2"/>
        <v>1158500</v>
      </c>
      <c r="J23" s="75">
        <f t="shared" si="2"/>
        <v>3762500</v>
      </c>
      <c r="K23" s="76"/>
      <c r="L23" s="75">
        <f>SUM(L11:L22)</f>
        <v>624400</v>
      </c>
      <c r="M23" s="251"/>
    </row>
    <row r="24" spans="1:15">
      <c r="A24" s="27"/>
      <c r="B24" s="37" t="s">
        <v>7</v>
      </c>
      <c r="C24" s="43" t="s">
        <v>77</v>
      </c>
      <c r="D24" s="70">
        <f>SUM(G24:L24)</f>
        <v>5728800</v>
      </c>
      <c r="E24" s="60"/>
      <c r="F24" s="61">
        <f>SUM(G24:J24)</f>
        <v>5635100</v>
      </c>
      <c r="G24" s="61">
        <f>CEILING('24in AM07'!$I$198,100)</f>
        <v>4507200</v>
      </c>
      <c r="H24" s="61">
        <f>CEILING('20in UL06'!$I$203,100)</f>
        <v>389700</v>
      </c>
      <c r="I24" s="61">
        <f>CEILING('8in UL16'!$I$203,100)</f>
        <v>173800</v>
      </c>
      <c r="J24" s="61">
        <f>CEILING('Station 1'!$I$143,100)</f>
        <v>564400</v>
      </c>
      <c r="K24" s="62"/>
      <c r="L24" s="63">
        <f>CEILING('Demo 1'!$I$57,100)</f>
        <v>93700</v>
      </c>
      <c r="M24" s="36"/>
    </row>
    <row r="25" spans="1:15" ht="15.75" thickBot="1">
      <c r="A25" s="27"/>
      <c r="B25" s="39" t="s">
        <v>7</v>
      </c>
      <c r="C25" s="42" t="s">
        <v>78</v>
      </c>
      <c r="D25" s="67">
        <f>SUM(G25:L25)</f>
        <v>691000</v>
      </c>
      <c r="E25" s="60"/>
      <c r="F25" s="68">
        <f>SUM(G25:J25)</f>
        <v>679700</v>
      </c>
      <c r="G25" s="68">
        <f>CEILING('24in AM07'!$I$197,100)</f>
        <v>563400</v>
      </c>
      <c r="H25" s="68">
        <f>CEILING('20in UL06'!$I$202,100)</f>
        <v>36800</v>
      </c>
      <c r="I25" s="68">
        <f>CEILING('8in UL16'!$I$202,100)</f>
        <v>18800</v>
      </c>
      <c r="J25" s="68">
        <f>CEILING('Station 1'!$I$142,100)</f>
        <v>60700</v>
      </c>
      <c r="K25" s="62"/>
      <c r="L25" s="69">
        <f>CEILING('Demo 1'!$I$56,100)</f>
        <v>11300</v>
      </c>
      <c r="M25" s="36"/>
    </row>
    <row r="26" spans="1:15" s="48" customFormat="1" ht="15.75" thickBot="1">
      <c r="A26" s="72"/>
      <c r="B26" s="524" t="s">
        <v>79</v>
      </c>
      <c r="C26" s="525"/>
      <c r="D26" s="158">
        <f>SUM(D24:D25)</f>
        <v>6419800</v>
      </c>
      <c r="E26" s="74"/>
      <c r="F26" s="160">
        <f t="shared" ref="F26:J26" si="4">SUM(F24:F25)</f>
        <v>6314800</v>
      </c>
      <c r="G26" s="160">
        <f t="shared" si="4"/>
        <v>5070600</v>
      </c>
      <c r="H26" s="160">
        <f t="shared" ref="H26" si="5">SUM(H24:H25)</f>
        <v>426500</v>
      </c>
      <c r="I26" s="160">
        <f t="shared" si="4"/>
        <v>192600</v>
      </c>
      <c r="J26" s="160">
        <f t="shared" si="4"/>
        <v>625100</v>
      </c>
      <c r="K26" s="76"/>
      <c r="L26" s="160">
        <f>SUM(L24:L25)</f>
        <v>105000</v>
      </c>
      <c r="M26" s="251"/>
    </row>
    <row r="27" spans="1:15" ht="5.25" customHeight="1" thickBot="1">
      <c r="B27" s="58"/>
      <c r="C27" s="162"/>
      <c r="D27" s="163"/>
      <c r="E27" s="62"/>
      <c r="F27" s="164"/>
      <c r="G27" s="164"/>
      <c r="H27" s="164"/>
      <c r="I27" s="164"/>
      <c r="J27" s="164"/>
      <c r="K27" s="62"/>
      <c r="L27" s="164"/>
      <c r="M27" s="36"/>
    </row>
    <row r="28" spans="1:15" s="48" customFormat="1" ht="15.75" thickBot="1">
      <c r="A28" s="72"/>
      <c r="B28" s="522" t="s">
        <v>80</v>
      </c>
      <c r="C28" s="523"/>
      <c r="D28" s="161">
        <f>SUM(D23,D26)</f>
        <v>44611000</v>
      </c>
      <c r="E28" s="74"/>
      <c r="F28" s="159">
        <f>SUM(F26,F23)</f>
        <v>43881600</v>
      </c>
      <c r="G28" s="159">
        <f t="shared" ref="G28:J28" si="6">SUM(G23,G26)</f>
        <v>35118400</v>
      </c>
      <c r="H28" s="159">
        <f t="shared" ref="H28" si="7">SUM(H23,H26)</f>
        <v>3024500</v>
      </c>
      <c r="I28" s="159">
        <f t="shared" si="6"/>
        <v>1351100</v>
      </c>
      <c r="J28" s="159">
        <f t="shared" si="6"/>
        <v>4387600</v>
      </c>
      <c r="K28" s="76"/>
      <c r="L28" s="159">
        <f>SUM(L23,L26)</f>
        <v>729400</v>
      </c>
      <c r="M28" s="251"/>
    </row>
    <row r="29" spans="1:15">
      <c r="A29" s="27"/>
      <c r="B29" s="38" t="s">
        <v>346</v>
      </c>
      <c r="C29" s="41" t="s">
        <v>81</v>
      </c>
      <c r="D29" s="64">
        <f>SUM(G29:L29)</f>
        <v>1832200</v>
      </c>
      <c r="E29" s="60"/>
      <c r="F29" s="65">
        <f>SUM(G29:J29)</f>
        <v>1832200</v>
      </c>
      <c r="G29" s="65">
        <f>CEILING((IF('Master Tab'!$C$10=1,AFUDC!$F$49,IF('Master Tab'!$C$10=2,AFUDC!$F$50,AFUDC!$F$51))*('Cost Report'!G23/'Cost Report'!$F$23))/2,100)</f>
        <v>1465400</v>
      </c>
      <c r="H29" s="65">
        <f>CEILING((IF('Master Tab'!$C$10=1,AFUDC!$F$49,IF('Master Tab'!$C$10=2,AFUDC!$F$50,AFUDC!$F$51))*('Cost Report'!H23/'Cost Report'!$F$23))/2,100)</f>
        <v>126800</v>
      </c>
      <c r="I29" s="65">
        <f>CEILING((IF('Master Tab'!$C$10=1,AFUDC!$F$49,IF('Master Tab'!$C$10=2,AFUDC!$F$50,AFUDC!$F$51))*('Cost Report'!I23/'Cost Report'!$F$23))/2,100)</f>
        <v>56500</v>
      </c>
      <c r="J29" s="65">
        <f>CEILING((IF('Master Tab'!$C$10=1,AFUDC!$F$49,IF('Master Tab'!$C$10=2,AFUDC!$F$50,AFUDC!$F$51))*('Cost Report'!J23/'Cost Report'!$F$23))/2,100)</f>
        <v>183500</v>
      </c>
      <c r="K29" s="62"/>
      <c r="L29" s="66">
        <v>0</v>
      </c>
      <c r="M29" s="36"/>
      <c r="N29" s="172" t="s">
        <v>89</v>
      </c>
      <c r="O29" s="172">
        <v>5.7500000000000002E-2</v>
      </c>
    </row>
    <row r="30" spans="1:15" ht="15.75" thickBot="1">
      <c r="A30" s="27"/>
      <c r="B30" s="39" t="s">
        <v>82</v>
      </c>
      <c r="C30" s="42" t="s">
        <v>83</v>
      </c>
      <c r="D30" s="67">
        <f>SUM(G30:L30)</f>
        <v>5182400</v>
      </c>
      <c r="E30" s="60"/>
      <c r="F30" s="68">
        <f>SUM(G30:J30)</f>
        <v>5081100</v>
      </c>
      <c r="G30" s="68">
        <f>CEILING((SUM(G11,G17:G22,G24:G25)*$O$30),100)</f>
        <v>4060500</v>
      </c>
      <c r="H30" s="68">
        <f>CEILING((SUM(H11,H17:H22,H24:H25)*$O$30),100)</f>
        <v>325300</v>
      </c>
      <c r="I30" s="68">
        <f>CEILING((SUM(I11,I17:I22,I24:I25)*$O$30),100)</f>
        <v>171400</v>
      </c>
      <c r="J30" s="68">
        <f>CEILING((SUM(J11,J17:J22,J24:J25)*$O$30),100)</f>
        <v>523900</v>
      </c>
      <c r="K30" s="62"/>
      <c r="L30" s="69">
        <f>CEILING((SUM(L11,L17:L22,L24:L25)*$O$30),100)</f>
        <v>101300</v>
      </c>
      <c r="M30" s="36"/>
      <c r="N30" s="172" t="s">
        <v>84</v>
      </c>
      <c r="O30" s="172">
        <v>0.14000000000000001</v>
      </c>
    </row>
    <row r="31" spans="1:15" s="48" customFormat="1" ht="15.75" thickBot="1">
      <c r="A31" s="72"/>
      <c r="B31" s="520" t="s">
        <v>85</v>
      </c>
      <c r="C31" s="521"/>
      <c r="D31" s="73">
        <f>SUM(D29:D30)</f>
        <v>7014600</v>
      </c>
      <c r="E31" s="74"/>
      <c r="F31" s="75">
        <f t="shared" ref="F31:J31" si="8">SUM(F29:F30)</f>
        <v>6913300</v>
      </c>
      <c r="G31" s="75">
        <f t="shared" si="8"/>
        <v>5525900</v>
      </c>
      <c r="H31" s="75">
        <f t="shared" ref="H31" si="9">SUM(H29:H30)</f>
        <v>452100</v>
      </c>
      <c r="I31" s="75">
        <f t="shared" si="8"/>
        <v>227900</v>
      </c>
      <c r="J31" s="75">
        <f t="shared" si="8"/>
        <v>707400</v>
      </c>
      <c r="K31" s="76"/>
      <c r="L31" s="75">
        <f>SUM(L29:L30)</f>
        <v>101300</v>
      </c>
      <c r="M31" s="251"/>
    </row>
    <row r="32" spans="1:15" s="48" customFormat="1" ht="30" customHeight="1" thickBot="1">
      <c r="B32" s="518" t="s">
        <v>86</v>
      </c>
      <c r="C32" s="519"/>
      <c r="D32" s="77">
        <f>SUM(D31,D28)</f>
        <v>51625600</v>
      </c>
      <c r="E32" s="74"/>
      <c r="F32" s="78">
        <f>SUM(F31,F28)</f>
        <v>50794900</v>
      </c>
      <c r="G32" s="78">
        <f t="shared" ref="G32:L32" si="10">SUM(G28,G31)</f>
        <v>40644300</v>
      </c>
      <c r="H32" s="78">
        <f>SUM(H28,H31)</f>
        <v>3476600</v>
      </c>
      <c r="I32" s="78">
        <f>SUM(I28,I31)</f>
        <v>1579000</v>
      </c>
      <c r="J32" s="78">
        <f t="shared" si="10"/>
        <v>5095000</v>
      </c>
      <c r="K32" s="79"/>
      <c r="L32" s="80">
        <f t="shared" si="10"/>
        <v>830700</v>
      </c>
      <c r="M32" s="251"/>
    </row>
    <row r="33" spans="2:12" ht="6.75" customHeight="1">
      <c r="E33" s="17"/>
    </row>
    <row r="34" spans="2:12" ht="6.75" customHeight="1">
      <c r="B34" s="505" t="s">
        <v>87</v>
      </c>
    </row>
    <row r="35" spans="2:12" ht="18" customHeight="1">
      <c r="B35" s="505"/>
      <c r="C35" s="506" t="s">
        <v>88</v>
      </c>
      <c r="D35" s="506"/>
      <c r="E35" s="506"/>
      <c r="F35" s="506"/>
      <c r="G35" s="506"/>
      <c r="H35" s="506"/>
      <c r="I35" s="506"/>
      <c r="J35" s="506"/>
      <c r="K35" s="506"/>
      <c r="L35" s="506"/>
    </row>
    <row r="36" spans="2:12">
      <c r="B36" s="505"/>
      <c r="C36" s="506" t="s">
        <v>914</v>
      </c>
      <c r="D36" s="506"/>
      <c r="E36" s="506"/>
      <c r="F36" s="506"/>
      <c r="G36" s="506"/>
      <c r="H36" s="506"/>
      <c r="I36" s="506"/>
      <c r="J36" s="506"/>
      <c r="K36" s="506"/>
      <c r="L36" s="506"/>
    </row>
    <row r="37" spans="2:12">
      <c r="B37" s="505"/>
      <c r="C37" s="506" t="s">
        <v>915</v>
      </c>
      <c r="D37" s="506"/>
      <c r="E37" s="506"/>
      <c r="F37" s="506"/>
      <c r="G37" s="506"/>
      <c r="H37" s="506"/>
      <c r="I37" s="506"/>
      <c r="J37" s="506"/>
      <c r="K37" s="506"/>
      <c r="L37" s="506"/>
    </row>
    <row r="38" spans="2:12">
      <c r="B38" s="505"/>
      <c r="C38" s="506" t="s">
        <v>924</v>
      </c>
      <c r="D38" s="506"/>
      <c r="E38" s="506"/>
      <c r="F38" s="506"/>
      <c r="G38" s="506"/>
      <c r="H38" s="506"/>
      <c r="I38" s="506"/>
      <c r="J38" s="506"/>
      <c r="K38" s="506"/>
      <c r="L38" s="506"/>
    </row>
    <row r="39" spans="2:12">
      <c r="C39" t="s">
        <v>7</v>
      </c>
    </row>
    <row r="40" spans="2:12">
      <c r="D40" s="393" t="s">
        <v>746</v>
      </c>
      <c r="E40" s="156"/>
      <c r="F40" s="394" t="s">
        <v>747</v>
      </c>
    </row>
    <row r="41" spans="2:12" ht="19.5" customHeight="1">
      <c r="C41" s="395" t="s">
        <v>722</v>
      </c>
      <c r="D41" s="389">
        <v>0.12</v>
      </c>
      <c r="E41" s="386">
        <v>0.09</v>
      </c>
      <c r="F41" s="392">
        <v>5.0200000000000002E-2</v>
      </c>
    </row>
    <row r="42" spans="2:12">
      <c r="C42" s="395" t="s">
        <v>748</v>
      </c>
      <c r="D42" s="389">
        <v>0.08</v>
      </c>
      <c r="E42" s="386">
        <v>0.1033</v>
      </c>
      <c r="F42" s="392">
        <v>6.9000000000000006E-2</v>
      </c>
    </row>
    <row r="43" spans="2:12">
      <c r="C43" s="395" t="s">
        <v>727</v>
      </c>
      <c r="D43" s="389">
        <v>0.12</v>
      </c>
      <c r="E43" s="386">
        <v>0.06</v>
      </c>
      <c r="F43" s="392">
        <v>4.5199999999999997E-2</v>
      </c>
    </row>
    <row r="44" spans="2:12">
      <c r="C44" s="395" t="s">
        <v>732</v>
      </c>
      <c r="D44" s="390">
        <v>0.12</v>
      </c>
      <c r="E44" s="386">
        <v>0.12</v>
      </c>
      <c r="F44" s="392">
        <v>5.0200000000000002E-2</v>
      </c>
    </row>
    <row r="45" spans="2:12">
      <c r="C45" s="395" t="s">
        <v>723</v>
      </c>
      <c r="D45" s="389">
        <v>0.12</v>
      </c>
      <c r="E45" s="387"/>
      <c r="F45" s="392">
        <v>4.5199999999999997E-2</v>
      </c>
    </row>
    <row r="46" spans="2:12">
      <c r="C46" s="395" t="s">
        <v>724</v>
      </c>
      <c r="D46" s="389">
        <v>0.12</v>
      </c>
      <c r="E46" s="387"/>
      <c r="F46" s="392">
        <v>4.5199999999999997E-2</v>
      </c>
    </row>
    <row r="47" spans="2:12">
      <c r="C47" s="395" t="s">
        <v>725</v>
      </c>
      <c r="D47" s="389">
        <v>0.12</v>
      </c>
      <c r="E47" s="387"/>
      <c r="F47" s="392">
        <v>4.5199999999999997E-2</v>
      </c>
    </row>
    <row r="48" spans="2:12">
      <c r="C48" s="395" t="s">
        <v>741</v>
      </c>
      <c r="D48" s="389">
        <v>0.12</v>
      </c>
      <c r="E48" s="387"/>
      <c r="F48" s="392">
        <v>6.8000000000000005E-2</v>
      </c>
    </row>
    <row r="49" spans="3:6">
      <c r="C49" s="395" t="s">
        <v>733</v>
      </c>
      <c r="D49" s="389">
        <v>0.02</v>
      </c>
      <c r="E49" s="387"/>
      <c r="F49" s="392">
        <v>6.8915000000000004E-2</v>
      </c>
    </row>
    <row r="50" spans="3:6">
      <c r="C50" s="395" t="s">
        <v>753</v>
      </c>
      <c r="D50" s="389">
        <v>0.08</v>
      </c>
      <c r="E50" s="387"/>
      <c r="F50" s="392">
        <v>6.9000000000000006E-2</v>
      </c>
    </row>
    <row r="51" spans="3:6">
      <c r="C51" s="395" t="s">
        <v>754</v>
      </c>
      <c r="D51" s="389">
        <v>0.02</v>
      </c>
      <c r="E51" s="387"/>
      <c r="F51" s="392">
        <v>6.8915000000000004E-2</v>
      </c>
    </row>
    <row r="52" spans="3:6">
      <c r="C52" s="395" t="s">
        <v>737</v>
      </c>
      <c r="D52" s="389">
        <v>0.08</v>
      </c>
      <c r="E52" s="387"/>
      <c r="F52" s="392">
        <v>6.9000000000000006E-2</v>
      </c>
    </row>
    <row r="53" spans="3:6">
      <c r="C53" s="395" t="s">
        <v>739</v>
      </c>
      <c r="D53" s="389">
        <v>0.08</v>
      </c>
      <c r="E53" s="387"/>
      <c r="F53" s="392">
        <v>6.9000000000000006E-2</v>
      </c>
    </row>
    <row r="54" spans="3:6">
      <c r="C54" s="395" t="s">
        <v>730</v>
      </c>
      <c r="D54" s="389">
        <v>0.08</v>
      </c>
      <c r="E54" s="387"/>
      <c r="F54" s="392">
        <v>6.9000000000000006E-2</v>
      </c>
    </row>
    <row r="55" spans="3:6">
      <c r="C55" s="395" t="s">
        <v>738</v>
      </c>
      <c r="D55" s="389">
        <v>0.08</v>
      </c>
      <c r="E55" s="387"/>
      <c r="F55" s="392">
        <v>6.9000000000000006E-2</v>
      </c>
    </row>
    <row r="56" spans="3:6">
      <c r="C56" s="395" t="s">
        <v>728</v>
      </c>
      <c r="D56" s="389">
        <v>0.08</v>
      </c>
      <c r="E56" s="387"/>
      <c r="F56" s="392">
        <v>6.9000000000000006E-2</v>
      </c>
    </row>
    <row r="57" spans="3:6">
      <c r="C57" s="395" t="s">
        <v>731</v>
      </c>
      <c r="D57" s="389">
        <v>0.12</v>
      </c>
      <c r="E57" s="387"/>
      <c r="F57" s="392">
        <v>6.8000000000000005E-2</v>
      </c>
    </row>
    <row r="58" spans="3:6">
      <c r="C58" s="395" t="s">
        <v>749</v>
      </c>
      <c r="D58" s="389">
        <v>0.02</v>
      </c>
      <c r="E58" s="387"/>
      <c r="F58" s="392">
        <v>6.8915000000000004E-2</v>
      </c>
    </row>
    <row r="59" spans="3:6">
      <c r="C59" s="395" t="s">
        <v>750</v>
      </c>
      <c r="D59" s="389">
        <v>0.08</v>
      </c>
      <c r="E59" s="387"/>
      <c r="F59" s="392">
        <v>6.9000000000000006E-2</v>
      </c>
    </row>
    <row r="60" spans="3:6">
      <c r="C60" s="395" t="s">
        <v>751</v>
      </c>
      <c r="D60" s="389">
        <v>0.08</v>
      </c>
      <c r="E60" s="387"/>
      <c r="F60" s="392">
        <v>6.9000000000000006E-2</v>
      </c>
    </row>
    <row r="61" spans="3:6">
      <c r="C61" s="395" t="s">
        <v>735</v>
      </c>
      <c r="D61" s="389">
        <v>0.08</v>
      </c>
      <c r="E61" s="387"/>
      <c r="F61" s="392">
        <v>6.9000000000000006E-2</v>
      </c>
    </row>
    <row r="62" spans="3:6">
      <c r="C62" s="395" t="s">
        <v>752</v>
      </c>
      <c r="D62" s="389">
        <v>0.08</v>
      </c>
      <c r="E62" s="387"/>
      <c r="F62" s="392">
        <v>6.9000000000000006E-2</v>
      </c>
    </row>
    <row r="63" spans="3:6">
      <c r="C63" s="395" t="s">
        <v>745</v>
      </c>
      <c r="D63" s="389">
        <v>0.08</v>
      </c>
      <c r="E63" s="387"/>
      <c r="F63" s="392">
        <v>6.9000000000000006E-2</v>
      </c>
    </row>
    <row r="64" spans="3:6">
      <c r="C64" s="395" t="s">
        <v>729</v>
      </c>
      <c r="D64" s="389">
        <v>0.1</v>
      </c>
      <c r="E64" s="387"/>
      <c r="F64" s="392">
        <v>6.8500000000000005E-2</v>
      </c>
    </row>
    <row r="65" spans="3:6">
      <c r="C65" s="395" t="s">
        <v>734</v>
      </c>
      <c r="D65" s="389">
        <v>0.08</v>
      </c>
      <c r="E65" s="387"/>
      <c r="F65" s="392">
        <v>6.9000000000000006E-2</v>
      </c>
    </row>
    <row r="66" spans="3:6">
      <c r="C66" s="395" t="s">
        <v>743</v>
      </c>
      <c r="D66" s="389">
        <v>0.08</v>
      </c>
      <c r="E66" s="387"/>
      <c r="F66" s="392">
        <v>6.9000000000000006E-2</v>
      </c>
    </row>
    <row r="67" spans="3:6">
      <c r="C67" s="395" t="s">
        <v>742</v>
      </c>
      <c r="D67" s="389">
        <v>0.08</v>
      </c>
      <c r="E67" s="387"/>
      <c r="F67" s="392">
        <v>6.9000000000000006E-2</v>
      </c>
    </row>
    <row r="68" spans="3:6">
      <c r="C68" s="395" t="s">
        <v>744</v>
      </c>
      <c r="D68" s="389">
        <v>0.12</v>
      </c>
      <c r="E68" s="387"/>
      <c r="F68" s="392">
        <v>6.8000000000000005E-2</v>
      </c>
    </row>
    <row r="69" spans="3:6">
      <c r="C69" s="395" t="s">
        <v>740</v>
      </c>
      <c r="D69" s="389">
        <v>0.08</v>
      </c>
      <c r="E69" s="387"/>
      <c r="F69" s="392">
        <v>7.1400000000000005E-2</v>
      </c>
    </row>
    <row r="70" spans="3:6">
      <c r="C70" s="395" t="s">
        <v>755</v>
      </c>
      <c r="D70" s="389">
        <v>0.08</v>
      </c>
      <c r="E70" s="387"/>
      <c r="F70" s="392">
        <v>6.9000000000000006E-2</v>
      </c>
    </row>
    <row r="71" spans="3:6">
      <c r="C71" s="395" t="s">
        <v>736</v>
      </c>
      <c r="D71" s="389">
        <v>0.08</v>
      </c>
      <c r="E71" s="387"/>
      <c r="F71" s="392">
        <v>6.9000000000000006E-2</v>
      </c>
    </row>
    <row r="72" spans="3:6">
      <c r="C72" s="395" t="s">
        <v>726</v>
      </c>
      <c r="D72" s="389">
        <v>0.12</v>
      </c>
      <c r="E72" s="387"/>
      <c r="F72" s="392">
        <v>4.5199999999999997E-2</v>
      </c>
    </row>
    <row r="73" spans="3:6">
      <c r="C73" s="396" t="s">
        <v>756</v>
      </c>
      <c r="D73" s="391">
        <v>0.12</v>
      </c>
      <c r="E73" s="388"/>
      <c r="F73" s="392">
        <v>6.8000000000000005E-2</v>
      </c>
    </row>
  </sheetData>
  <sheetProtection formatCells="0" formatColumns="0" formatRows="0" insertColumns="0" insertRows="0" deleteColumns="0" deleteRows="0"/>
  <protectedRanges>
    <protectedRange algorithmName="SHA-512" hashValue="yJ7YkBA2u/CLyu2V3VZTOOGQ6VlgGl1GQf3hwna+lgiECzFrbzmeW+wENCRbi04XT/jTCfPteaEsqqg9//hxFg==" saltValue="M/HQVSxuNTUSB1+aTa62cw==" spinCount="100000" sqref="A1:E1048576 F1:G7 F74:G1048576 M1:XFD1048576 F40:F73 K1:L7 F11:G39 F8:F10 K10:L1048576 K8:K9 H1:J1048576" name="Range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yJ7YkBA2u/CLyu2V3VZTOOGQ6VlgGl1GQf3hwna+lgiECzFrbzmeW+wENCRbi04XT/jTCfPteaEsqqg9//hxFg==" saltValue="M/HQVSxuNTUSB1+aTa62cw==" spinCount="100000" sqref="G8:G10" name="Range1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yJ7YkBA2u/CLyu2V3VZTOOGQ6VlgGl1GQf3hwna+lgiECzFrbzmeW+wENCRbi04XT/jTCfPteaEsqqg9//hxFg==" saltValue="M/HQVSxuNTUSB1+aTa62cw==" spinCount="100000" sqref="L8:L9" name="Range1_2"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s>
  <mergeCells count="18">
    <mergeCell ref="B32:C32"/>
    <mergeCell ref="B31:C31"/>
    <mergeCell ref="B28:C28"/>
    <mergeCell ref="B26:C26"/>
    <mergeCell ref="B23:C23"/>
    <mergeCell ref="B2:L2"/>
    <mergeCell ref="B3:L3"/>
    <mergeCell ref="B4:L4"/>
    <mergeCell ref="B5:L5"/>
    <mergeCell ref="F7:J7"/>
    <mergeCell ref="D7:D10"/>
    <mergeCell ref="B6:L6"/>
    <mergeCell ref="J8:J9"/>
    <mergeCell ref="B34:B38"/>
    <mergeCell ref="C35:L35"/>
    <mergeCell ref="C36:L36"/>
    <mergeCell ref="C37:L37"/>
    <mergeCell ref="C38:L38"/>
  </mergeCells>
  <pageMargins left="0.7" right="0.7" top="0.75" bottom="0.75" header="0.3" footer="0.3"/>
  <pageSetup scale="63" fitToHeight="0" orientation="landscape" r:id="rId1"/>
  <headerFooter>
    <oddHeader>&amp;R&amp;"Times New Roman,Bold"&amp;10KyPSC Case No. 2025-00229
STAFF-DR-01-005(b) Attachment 3
Page &amp;P of &amp;N</oddHeader>
  </headerFooter>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B1D54-3812-4554-B678-60749CA53F1B}">
  <sheetPr>
    <tabColor rgb="FFFFFF00"/>
  </sheetPr>
  <dimension ref="B1:V202"/>
  <sheetViews>
    <sheetView view="pageLayout" topLeftCell="E1" zoomScaleNormal="100" workbookViewId="0">
      <selection activeCell="E24" sqref="E24"/>
    </sheetView>
  </sheetViews>
  <sheetFormatPr defaultRowHeight="15"/>
  <cols>
    <col min="1" max="1" width="9.140625" customWidth="1"/>
    <col min="2" max="2" width="14.85546875" style="1" customWidth="1"/>
    <col min="3" max="3" width="41.85546875" style="228" customWidth="1"/>
    <col min="4" max="4" width="11.5703125" style="139" customWidth="1"/>
    <col min="5" max="5" width="17.85546875" style="1" customWidth="1"/>
    <col min="6" max="6" width="13" style="86" customWidth="1"/>
    <col min="7" max="7" width="0.85546875" style="86" customWidth="1"/>
    <col min="8" max="8" width="16.28515625" style="86" customWidth="1"/>
    <col min="9" max="9" width="21.140625" style="86" customWidth="1"/>
    <col min="10" max="10" width="3.7109375" customWidth="1"/>
  </cols>
  <sheetData>
    <row r="1" spans="2:17" ht="23.25">
      <c r="B1" s="119"/>
      <c r="C1" s="528" t="str">
        <f>'Master Tab'!$C$8</f>
        <v>Line AM07 Phase 3</v>
      </c>
      <c r="D1" s="528"/>
      <c r="E1" s="528"/>
      <c r="F1" s="528"/>
      <c r="G1" s="528"/>
      <c r="H1" s="120"/>
      <c r="I1" s="121"/>
    </row>
    <row r="2" spans="2:17" ht="19.5" thickBot="1">
      <c r="B2" s="345">
        <f>'Master Tab'!$C$9</f>
        <v>45427</v>
      </c>
      <c r="C2" s="527" t="str">
        <f>'Master Tab'!$C$28</f>
        <v>24''</v>
      </c>
      <c r="D2" s="527"/>
      <c r="E2" s="527"/>
      <c r="F2" s="527"/>
      <c r="G2" s="527"/>
      <c r="H2" s="122" t="s">
        <v>94</v>
      </c>
      <c r="I2" s="123" t="str">
        <f>'Master Tab'!$C$6</f>
        <v>F-Initiate 60% Refresh</v>
      </c>
    </row>
    <row r="3" spans="2:17" ht="15.75" thickBot="1">
      <c r="B3" s="125" t="s">
        <v>95</v>
      </c>
      <c r="C3" s="124" t="s">
        <v>96</v>
      </c>
      <c r="D3" s="131" t="s">
        <v>97</v>
      </c>
      <c r="E3" s="125" t="s">
        <v>98</v>
      </c>
      <c r="F3" s="126" t="s">
        <v>99</v>
      </c>
      <c r="G3" s="126"/>
      <c r="H3" s="126" t="s">
        <v>177</v>
      </c>
      <c r="I3" s="126" t="s">
        <v>100</v>
      </c>
      <c r="K3" s="506" t="s">
        <v>101</v>
      </c>
      <c r="L3" s="506"/>
      <c r="M3" s="506"/>
      <c r="N3" s="506"/>
      <c r="O3" s="506"/>
      <c r="P3" s="506"/>
      <c r="Q3" s="506"/>
    </row>
    <row r="4" spans="2:17" ht="15.75">
      <c r="B4" s="94" t="s">
        <v>102</v>
      </c>
      <c r="C4" s="226"/>
      <c r="D4" s="132"/>
      <c r="E4" s="83"/>
      <c r="F4" s="84"/>
      <c r="G4" s="84"/>
      <c r="H4" s="84"/>
      <c r="I4" s="93"/>
      <c r="K4" s="526" t="s">
        <v>157</v>
      </c>
      <c r="L4" s="526"/>
      <c r="M4" s="526"/>
      <c r="N4" s="526"/>
      <c r="O4" s="526"/>
      <c r="P4" s="526"/>
      <c r="Q4" s="526"/>
    </row>
    <row r="5" spans="2:17">
      <c r="B5" s="12" t="s">
        <v>593</v>
      </c>
      <c r="C5" s="2" t="s">
        <v>73</v>
      </c>
      <c r="D5" s="129">
        <f>'Master Tab'!$C$17</f>
        <v>40</v>
      </c>
      <c r="E5" s="92" t="s">
        <v>320</v>
      </c>
      <c r="F5" s="85">
        <v>4350</v>
      </c>
      <c r="G5" s="104" t="s">
        <v>7</v>
      </c>
      <c r="H5" s="85">
        <f>CEILING(F5*D5,100)</f>
        <v>174000</v>
      </c>
      <c r="I5" s="105"/>
    </row>
    <row r="6" spans="2:17">
      <c r="B6" s="12" t="s">
        <v>594</v>
      </c>
      <c r="C6" s="2" t="s">
        <v>104</v>
      </c>
      <c r="D6" s="129">
        <f>'Master Tab'!$C$17</f>
        <v>40</v>
      </c>
      <c r="E6" s="92" t="s">
        <v>320</v>
      </c>
      <c r="F6" s="85">
        <v>1100</v>
      </c>
      <c r="G6" s="104" t="s">
        <v>7</v>
      </c>
      <c r="H6" s="85">
        <f>CEILING(F6*D6,100)</f>
        <v>44000</v>
      </c>
      <c r="I6" s="105"/>
      <c r="K6" t="s">
        <v>339</v>
      </c>
    </row>
    <row r="7" spans="2:17" ht="15.75">
      <c r="B7" s="94" t="s">
        <v>106</v>
      </c>
      <c r="C7" s="81"/>
      <c r="D7" s="132"/>
      <c r="E7" s="83"/>
      <c r="F7" s="84"/>
      <c r="G7" s="84"/>
      <c r="H7" s="84"/>
      <c r="I7" s="93">
        <f>CEILING(SUM(H5:H6),100)</f>
        <v>218000</v>
      </c>
    </row>
    <row r="8" spans="2:17" ht="8.25" customHeight="1">
      <c r="B8" s="350"/>
      <c r="C8" s="107"/>
      <c r="D8" s="133"/>
      <c r="E8" s="106"/>
      <c r="F8" s="108"/>
      <c r="G8" s="108"/>
      <c r="H8" s="108"/>
      <c r="I8" s="109"/>
    </row>
    <row r="9" spans="2:17" ht="15.75">
      <c r="B9" s="94" t="s">
        <v>107</v>
      </c>
      <c r="C9" s="81"/>
      <c r="D9" s="132"/>
      <c r="E9" s="83"/>
      <c r="F9" s="84"/>
      <c r="G9" s="84"/>
      <c r="H9" s="84"/>
      <c r="I9" s="93"/>
    </row>
    <row r="10" spans="2:17">
      <c r="B10" s="12" t="s">
        <v>565</v>
      </c>
      <c r="C10" s="419" t="s">
        <v>960</v>
      </c>
      <c r="D10" s="129">
        <v>1</v>
      </c>
      <c r="E10" s="420" t="s">
        <v>119</v>
      </c>
      <c r="F10" s="421">
        <v>1142637</v>
      </c>
      <c r="G10" s="422"/>
      <c r="H10" s="421">
        <f t="shared" ref="H10:H25" si="0">F10*D10</f>
        <v>1142637</v>
      </c>
      <c r="I10" s="105"/>
      <c r="K10" s="384">
        <v>0</v>
      </c>
      <c r="L10" s="383" t="s">
        <v>717</v>
      </c>
      <c r="M10" s="308"/>
    </row>
    <row r="11" spans="2:17">
      <c r="B11" s="12" t="s">
        <v>568</v>
      </c>
      <c r="C11" s="419" t="s">
        <v>958</v>
      </c>
      <c r="D11" s="129">
        <v>1</v>
      </c>
      <c r="E11" s="420" t="s">
        <v>119</v>
      </c>
      <c r="F11" s="421">
        <v>34535</v>
      </c>
      <c r="G11" s="422"/>
      <c r="H11" s="421">
        <f t="shared" si="0"/>
        <v>34535</v>
      </c>
      <c r="I11" s="105"/>
    </row>
    <row r="12" spans="2:17">
      <c r="B12" s="12" t="s">
        <v>570</v>
      </c>
      <c r="C12" s="2" t="s">
        <v>571</v>
      </c>
      <c r="D12" s="129">
        <f>((($I$43+$I$168+$I$195)*K10)/F12)*0.002</f>
        <v>0</v>
      </c>
      <c r="E12" s="92" t="s">
        <v>103</v>
      </c>
      <c r="F12" s="85">
        <v>125</v>
      </c>
      <c r="G12" s="104"/>
      <c r="H12" s="85">
        <f t="shared" si="0"/>
        <v>0</v>
      </c>
      <c r="I12" s="105"/>
    </row>
    <row r="13" spans="2:17">
      <c r="B13" s="12" t="s">
        <v>572</v>
      </c>
      <c r="C13" s="2" t="s">
        <v>573</v>
      </c>
      <c r="D13" s="129">
        <f>((($I$43+$I$168+$I$195)*K10)/F13)*0.007</f>
        <v>0</v>
      </c>
      <c r="E13" s="92" t="s">
        <v>103</v>
      </c>
      <c r="F13" s="85">
        <v>125</v>
      </c>
      <c r="G13" s="104"/>
      <c r="H13" s="85">
        <f t="shared" si="0"/>
        <v>0</v>
      </c>
      <c r="I13" s="105"/>
    </row>
    <row r="14" spans="2:17">
      <c r="B14" s="12" t="s">
        <v>574</v>
      </c>
      <c r="C14" s="2" t="s">
        <v>575</v>
      </c>
      <c r="D14" s="129">
        <f>((($I$43+$I$168+$I$195)*K10)/F14)*0.112</f>
        <v>0</v>
      </c>
      <c r="E14" s="92" t="s">
        <v>103</v>
      </c>
      <c r="F14" s="85">
        <v>125</v>
      </c>
      <c r="G14" s="104"/>
      <c r="H14" s="85">
        <f t="shared" si="0"/>
        <v>0</v>
      </c>
      <c r="I14" s="105"/>
    </row>
    <row r="15" spans="2:17">
      <c r="B15" s="12" t="s">
        <v>576</v>
      </c>
      <c r="C15" s="2" t="s">
        <v>577</v>
      </c>
      <c r="D15" s="129">
        <f>((($I$43+$I$168+$I$195)*K10)/F15)*0.046</f>
        <v>0</v>
      </c>
      <c r="E15" s="92" t="s">
        <v>103</v>
      </c>
      <c r="F15" s="85">
        <v>125</v>
      </c>
      <c r="G15" s="104"/>
      <c r="H15" s="85">
        <f t="shared" si="0"/>
        <v>0</v>
      </c>
      <c r="I15" s="105"/>
    </row>
    <row r="16" spans="2:17">
      <c r="B16" s="12" t="s">
        <v>578</v>
      </c>
      <c r="C16" s="2" t="s">
        <v>604</v>
      </c>
      <c r="D16" s="129">
        <f>((($I$43+$I$168+$I$195)*K10)/F16)*0.04</f>
        <v>0</v>
      </c>
      <c r="E16" s="92" t="s">
        <v>103</v>
      </c>
      <c r="F16" s="85">
        <v>125</v>
      </c>
      <c r="G16" s="104"/>
      <c r="H16" s="85">
        <f t="shared" si="0"/>
        <v>0</v>
      </c>
      <c r="I16" s="105"/>
    </row>
    <row r="17" spans="2:13">
      <c r="B17" s="12" t="s">
        <v>579</v>
      </c>
      <c r="C17" s="419" t="s">
        <v>959</v>
      </c>
      <c r="D17" s="129">
        <v>1</v>
      </c>
      <c r="E17" s="420" t="s">
        <v>119</v>
      </c>
      <c r="F17" s="421">
        <v>5000</v>
      </c>
      <c r="G17" s="422"/>
      <c r="H17" s="421">
        <f t="shared" ref="H17" si="1">F17*D17</f>
        <v>5000</v>
      </c>
      <c r="I17" s="105"/>
    </row>
    <row r="18" spans="2:13">
      <c r="B18" s="12" t="s">
        <v>586</v>
      </c>
      <c r="C18" s="2" t="s">
        <v>108</v>
      </c>
      <c r="D18" s="129">
        <f>((($I$43+$I$168+$I$195)*K10)/F18)*0.092</f>
        <v>0</v>
      </c>
      <c r="E18" s="92" t="s">
        <v>103</v>
      </c>
      <c r="F18" s="85">
        <v>125</v>
      </c>
      <c r="G18" s="104"/>
      <c r="H18" s="85">
        <f t="shared" si="0"/>
        <v>0</v>
      </c>
      <c r="I18" s="105"/>
    </row>
    <row r="19" spans="2:13">
      <c r="B19" s="12" t="s">
        <v>587</v>
      </c>
      <c r="C19" s="2" t="s">
        <v>109</v>
      </c>
      <c r="D19" s="129">
        <f>((($I$43+$I$168+$I$195)*K10)/F19)*0</f>
        <v>0</v>
      </c>
      <c r="E19" s="92" t="s">
        <v>103</v>
      </c>
      <c r="F19" s="85">
        <v>125</v>
      </c>
      <c r="G19" s="104"/>
      <c r="H19" s="85">
        <f t="shared" si="0"/>
        <v>0</v>
      </c>
      <c r="I19" s="105"/>
    </row>
    <row r="20" spans="2:13">
      <c r="B20" s="12" t="s">
        <v>588</v>
      </c>
      <c r="C20" s="2" t="s">
        <v>581</v>
      </c>
      <c r="D20" s="129">
        <f>((($I$43+$I$168+$I$195)*K10)/F20)*0.002</f>
        <v>0</v>
      </c>
      <c r="E20" s="92" t="s">
        <v>103</v>
      </c>
      <c r="F20" s="85">
        <v>125</v>
      </c>
      <c r="G20" s="104"/>
      <c r="H20" s="85">
        <f t="shared" si="0"/>
        <v>0</v>
      </c>
      <c r="I20" s="105"/>
    </row>
    <row r="21" spans="2:13">
      <c r="B21" s="12" t="s">
        <v>589</v>
      </c>
      <c r="C21" s="2" t="s">
        <v>582</v>
      </c>
      <c r="D21" s="129">
        <f>((($I$43+$I$168+$I$195)*K10)/F21)*0.017</f>
        <v>0</v>
      </c>
      <c r="E21" s="92" t="s">
        <v>103</v>
      </c>
      <c r="F21" s="85">
        <v>125</v>
      </c>
      <c r="G21" s="104"/>
      <c r="H21" s="85">
        <f t="shared" si="0"/>
        <v>0</v>
      </c>
      <c r="I21" s="105"/>
    </row>
    <row r="22" spans="2:13">
      <c r="B22" s="12" t="s">
        <v>590</v>
      </c>
      <c r="C22" s="2" t="s">
        <v>583</v>
      </c>
      <c r="D22" s="129">
        <f>((($I$43+$I$168+$I$195)*K10)/F22)*0.13</f>
        <v>0</v>
      </c>
      <c r="E22" s="92" t="s">
        <v>103</v>
      </c>
      <c r="F22" s="85">
        <v>125</v>
      </c>
      <c r="G22" s="104"/>
      <c r="H22" s="85">
        <f t="shared" si="0"/>
        <v>0</v>
      </c>
      <c r="I22" s="105"/>
    </row>
    <row r="23" spans="2:13">
      <c r="B23" s="12" t="s">
        <v>591</v>
      </c>
      <c r="C23" s="2" t="s">
        <v>584</v>
      </c>
      <c r="D23" s="129">
        <f>((($I$43+$I$168+$I$195)*K10)/F23)*0.42</f>
        <v>0</v>
      </c>
      <c r="E23" s="92" t="s">
        <v>103</v>
      </c>
      <c r="F23" s="85">
        <v>125</v>
      </c>
      <c r="G23" s="104"/>
      <c r="H23" s="85">
        <f t="shared" si="0"/>
        <v>0</v>
      </c>
      <c r="I23" s="105"/>
    </row>
    <row r="24" spans="2:13">
      <c r="B24" s="12" t="s">
        <v>591</v>
      </c>
      <c r="C24" s="2" t="s">
        <v>585</v>
      </c>
      <c r="D24" s="129">
        <f>((($I$43+$I$168+$I$195)*K10)/F24)*0.012</f>
        <v>0</v>
      </c>
      <c r="E24" s="92" t="s">
        <v>103</v>
      </c>
      <c r="F24" s="85">
        <v>125</v>
      </c>
      <c r="G24" s="104"/>
      <c r="H24" s="85">
        <f t="shared" si="0"/>
        <v>0</v>
      </c>
      <c r="I24" s="105"/>
    </row>
    <row r="25" spans="2:13">
      <c r="B25" s="12" t="s">
        <v>592</v>
      </c>
      <c r="C25" s="2" t="s">
        <v>110</v>
      </c>
      <c r="D25" s="136">
        <v>0</v>
      </c>
      <c r="E25" s="165" t="s">
        <v>119</v>
      </c>
      <c r="F25" s="85">
        <v>0</v>
      </c>
      <c r="G25" s="104"/>
      <c r="H25" s="85">
        <f t="shared" si="0"/>
        <v>0</v>
      </c>
      <c r="I25" s="105"/>
      <c r="K25" t="s">
        <v>206</v>
      </c>
    </row>
    <row r="26" spans="2:13" ht="15.75">
      <c r="B26" s="94" t="s">
        <v>111</v>
      </c>
      <c r="C26" s="81"/>
      <c r="D26" s="132"/>
      <c r="E26" s="83"/>
      <c r="F26" s="84"/>
      <c r="G26" s="84"/>
      <c r="H26" s="110"/>
      <c r="I26" s="93">
        <f>CEILING(SUM(H10:H25),100)</f>
        <v>1182200</v>
      </c>
    </row>
    <row r="27" spans="2:13" ht="8.25" customHeight="1">
      <c r="B27" s="350"/>
      <c r="C27" s="107"/>
      <c r="D27" s="133"/>
      <c r="E27" s="106"/>
      <c r="F27" s="108"/>
      <c r="G27" s="108"/>
      <c r="H27" s="108"/>
      <c r="I27" s="109"/>
    </row>
    <row r="28" spans="2:13" ht="15.75">
      <c r="B28" s="94" t="s">
        <v>112</v>
      </c>
      <c r="C28" s="81"/>
      <c r="D28" s="132"/>
      <c r="E28" s="83"/>
      <c r="F28" s="84"/>
      <c r="G28" s="84"/>
      <c r="H28" s="84"/>
      <c r="I28" s="93"/>
    </row>
    <row r="29" spans="2:13">
      <c r="B29" s="12" t="s">
        <v>595</v>
      </c>
      <c r="C29" s="2" t="s">
        <v>350</v>
      </c>
      <c r="D29" s="134">
        <v>0</v>
      </c>
      <c r="E29" s="3" t="s">
        <v>113</v>
      </c>
      <c r="F29" s="85">
        <v>0</v>
      </c>
      <c r="G29" s="104"/>
      <c r="H29" s="85">
        <f t="shared" ref="H29:H42" si="2">CEILING(F29*D29,100)</f>
        <v>0</v>
      </c>
      <c r="I29" s="105"/>
      <c r="M29" t="s">
        <v>7</v>
      </c>
    </row>
    <row r="30" spans="2:13">
      <c r="B30" s="12" t="s">
        <v>595</v>
      </c>
      <c r="C30" s="2" t="s">
        <v>351</v>
      </c>
      <c r="D30" s="134"/>
      <c r="E30" s="3" t="s">
        <v>113</v>
      </c>
      <c r="F30" s="85">
        <v>125000</v>
      </c>
      <c r="G30" s="104"/>
      <c r="H30" s="85">
        <f>CEILING(F30*D30,100)</f>
        <v>0</v>
      </c>
      <c r="I30" s="105"/>
      <c r="K30" t="s">
        <v>362</v>
      </c>
    </row>
    <row r="31" spans="2:13">
      <c r="B31" s="12" t="s">
        <v>596</v>
      </c>
      <c r="C31" s="2" t="s">
        <v>352</v>
      </c>
      <c r="D31" s="134">
        <v>0</v>
      </c>
      <c r="E31" s="3" t="s">
        <v>113</v>
      </c>
      <c r="F31" s="112">
        <f>F29*1.2</f>
        <v>0</v>
      </c>
      <c r="G31" s="104"/>
      <c r="H31" s="85">
        <f t="shared" si="2"/>
        <v>0</v>
      </c>
      <c r="I31" s="105"/>
    </row>
    <row r="32" spans="2:13">
      <c r="B32" s="12" t="s">
        <v>596</v>
      </c>
      <c r="C32" s="2" t="s">
        <v>355</v>
      </c>
      <c r="D32" s="134">
        <v>10</v>
      </c>
      <c r="E32" s="3" t="s">
        <v>113</v>
      </c>
      <c r="F32" s="112">
        <f>F30*1.2</f>
        <v>150000</v>
      </c>
      <c r="G32" s="104"/>
      <c r="H32" s="85">
        <f>CEILING(F32*D32,100)</f>
        <v>1500000</v>
      </c>
      <c r="I32" s="105"/>
    </row>
    <row r="33" spans="2:11">
      <c r="B33" s="12" t="s">
        <v>596</v>
      </c>
      <c r="C33" s="2" t="s">
        <v>353</v>
      </c>
      <c r="D33" s="134">
        <v>0</v>
      </c>
      <c r="E33" s="3" t="s">
        <v>113</v>
      </c>
      <c r="F33" s="112">
        <f>F29*1.4</f>
        <v>0</v>
      </c>
      <c r="G33" s="104"/>
      <c r="H33" s="85">
        <f t="shared" si="2"/>
        <v>0</v>
      </c>
      <c r="I33" s="105"/>
    </row>
    <row r="34" spans="2:11">
      <c r="B34" s="12" t="s">
        <v>596</v>
      </c>
      <c r="C34" s="2" t="s">
        <v>356</v>
      </c>
      <c r="D34" s="134">
        <v>0</v>
      </c>
      <c r="E34" s="3" t="s">
        <v>113</v>
      </c>
      <c r="F34" s="112">
        <f>F30*1.4</f>
        <v>175000</v>
      </c>
      <c r="G34" s="104"/>
      <c r="H34" s="85">
        <f>CEILING(F34*D34,100)</f>
        <v>0</v>
      </c>
      <c r="I34" s="105"/>
    </row>
    <row r="35" spans="2:11">
      <c r="B35" s="12" t="s">
        <v>592</v>
      </c>
      <c r="C35" s="2" t="s">
        <v>364</v>
      </c>
      <c r="D35" s="134">
        <v>0</v>
      </c>
      <c r="E35" s="3" t="s">
        <v>113</v>
      </c>
      <c r="F35" s="112">
        <f>F29*0.25</f>
        <v>0</v>
      </c>
      <c r="G35" s="104"/>
      <c r="H35" s="85">
        <f t="shared" si="2"/>
        <v>0</v>
      </c>
      <c r="I35" s="105"/>
    </row>
    <row r="36" spans="2:11">
      <c r="B36" s="12" t="s">
        <v>592</v>
      </c>
      <c r="C36" s="2" t="s">
        <v>365</v>
      </c>
      <c r="D36" s="134">
        <v>10</v>
      </c>
      <c r="E36" s="3" t="s">
        <v>113</v>
      </c>
      <c r="F36" s="112">
        <f>F30*0.25</f>
        <v>31250</v>
      </c>
      <c r="G36" s="104"/>
      <c r="H36" s="85">
        <f>CEILING(F36*D36,100)</f>
        <v>312500</v>
      </c>
      <c r="I36" s="105"/>
    </row>
    <row r="37" spans="2:11">
      <c r="B37" s="12" t="s">
        <v>597</v>
      </c>
      <c r="C37" s="2" t="s">
        <v>321</v>
      </c>
      <c r="D37" s="134">
        <v>4</v>
      </c>
      <c r="E37" s="3" t="s">
        <v>138</v>
      </c>
      <c r="F37" s="85">
        <v>10000</v>
      </c>
      <c r="G37" s="104"/>
      <c r="H37" s="85">
        <f t="shared" si="2"/>
        <v>40000</v>
      </c>
      <c r="I37" s="105"/>
    </row>
    <row r="38" spans="2:11">
      <c r="B38" s="12" t="s">
        <v>592</v>
      </c>
      <c r="C38" s="2" t="s">
        <v>322</v>
      </c>
      <c r="D38" s="129">
        <f>'[8]Master Tab'!C19+2</f>
        <v>12</v>
      </c>
      <c r="E38" s="3" t="s">
        <v>349</v>
      </c>
      <c r="F38" s="85">
        <v>4200</v>
      </c>
      <c r="G38" s="104"/>
      <c r="H38" s="85">
        <f t="shared" si="2"/>
        <v>50400</v>
      </c>
      <c r="I38" s="105"/>
      <c r="K38" t="s">
        <v>348</v>
      </c>
    </row>
    <row r="39" spans="2:11">
      <c r="B39" s="12" t="s">
        <v>598</v>
      </c>
      <c r="C39" s="2" t="s">
        <v>360</v>
      </c>
      <c r="D39" s="129">
        <f>D41</f>
        <v>1</v>
      </c>
      <c r="E39" s="3" t="s">
        <v>114</v>
      </c>
      <c r="F39" s="85">
        <v>3250</v>
      </c>
      <c r="G39" s="104"/>
      <c r="H39" s="85">
        <f t="shared" si="2"/>
        <v>3300</v>
      </c>
      <c r="I39" s="105"/>
      <c r="K39" t="s">
        <v>407</v>
      </c>
    </row>
    <row r="40" spans="2:11">
      <c r="B40" s="12" t="s">
        <v>598</v>
      </c>
      <c r="C40" s="2" t="s">
        <v>406</v>
      </c>
      <c r="D40" s="134">
        <v>0</v>
      </c>
      <c r="E40" s="3" t="s">
        <v>113</v>
      </c>
      <c r="F40" s="85">
        <v>0</v>
      </c>
      <c r="G40" s="104"/>
      <c r="H40" s="85">
        <f>CEILING(F40*D40,100)</f>
        <v>0</v>
      </c>
      <c r="I40" s="105"/>
      <c r="K40" t="s">
        <v>361</v>
      </c>
    </row>
    <row r="41" spans="2:11">
      <c r="B41" s="12" t="s">
        <v>599</v>
      </c>
      <c r="C41" s="419" t="s">
        <v>918</v>
      </c>
      <c r="D41" s="423">
        <v>1</v>
      </c>
      <c r="E41" s="424" t="s">
        <v>119</v>
      </c>
      <c r="F41" s="421">
        <v>238384</v>
      </c>
      <c r="G41" s="422"/>
      <c r="H41" s="421">
        <f t="shared" si="2"/>
        <v>238400</v>
      </c>
      <c r="I41" s="105"/>
    </row>
    <row r="42" spans="2:11">
      <c r="B42" s="12" t="s">
        <v>599</v>
      </c>
      <c r="C42" s="2" t="s">
        <v>115</v>
      </c>
      <c r="D42" s="129">
        <v>2</v>
      </c>
      <c r="E42" s="92" t="s">
        <v>114</v>
      </c>
      <c r="F42" s="85">
        <v>30000</v>
      </c>
      <c r="G42" s="104"/>
      <c r="H42" s="85">
        <f t="shared" si="2"/>
        <v>60000</v>
      </c>
      <c r="I42" s="105"/>
      <c r="K42" t="s">
        <v>250</v>
      </c>
    </row>
    <row r="43" spans="2:11" ht="15.75">
      <c r="B43" s="94" t="s">
        <v>116</v>
      </c>
      <c r="C43" s="81"/>
      <c r="D43" s="132"/>
      <c r="E43" s="83"/>
      <c r="F43" s="84"/>
      <c r="G43" s="110"/>
      <c r="H43" s="84"/>
      <c r="I43" s="93">
        <f>SUM(H29:H42)</f>
        <v>2204600</v>
      </c>
    </row>
    <row r="44" spans="2:11" ht="8.25" customHeight="1">
      <c r="B44" s="350"/>
      <c r="C44" s="107"/>
      <c r="D44" s="133"/>
      <c r="E44" s="106"/>
      <c r="F44" s="108"/>
      <c r="G44" s="108"/>
      <c r="H44" s="108"/>
      <c r="I44" s="109"/>
    </row>
    <row r="45" spans="2:11" ht="15.75">
      <c r="B45" s="94" t="s">
        <v>117</v>
      </c>
      <c r="C45" s="81"/>
      <c r="D45" s="135">
        <v>17770</v>
      </c>
      <c r="E45" s="90" t="s">
        <v>118</v>
      </c>
      <c r="F45" s="91"/>
      <c r="G45" s="84"/>
      <c r="H45" s="84"/>
      <c r="I45" s="93"/>
    </row>
    <row r="46" spans="2:11">
      <c r="B46" s="12">
        <v>820</v>
      </c>
      <c r="C46" s="2" t="s">
        <v>120</v>
      </c>
      <c r="D46" s="136">
        <v>1</v>
      </c>
      <c r="E46" s="92" t="s">
        <v>119</v>
      </c>
      <c r="F46" s="112">
        <f>(SUM(H47:H167)*K46)</f>
        <v>1905461.9000000001</v>
      </c>
      <c r="G46" s="104"/>
      <c r="H46" s="85">
        <f>F46*D46</f>
        <v>1905461.9000000001</v>
      </c>
      <c r="I46" s="105"/>
      <c r="K46" s="113">
        <v>0.1</v>
      </c>
    </row>
    <row r="47" spans="2:11">
      <c r="B47" s="12">
        <v>821</v>
      </c>
      <c r="C47" s="2" t="s">
        <v>213</v>
      </c>
      <c r="D47" s="134">
        <v>20</v>
      </c>
      <c r="E47" s="3" t="s">
        <v>225</v>
      </c>
      <c r="F47" s="85">
        <v>40250</v>
      </c>
      <c r="G47" s="104"/>
      <c r="H47" s="85">
        <f t="shared" ref="H47:H167" si="3">F47*D47</f>
        <v>805000</v>
      </c>
      <c r="I47" s="105"/>
      <c r="K47" t="s">
        <v>326</v>
      </c>
    </row>
    <row r="48" spans="2:11">
      <c r="B48" s="12">
        <v>821</v>
      </c>
      <c r="C48" s="2" t="s">
        <v>214</v>
      </c>
      <c r="D48" s="134">
        <v>0</v>
      </c>
      <c r="E48" s="3" t="s">
        <v>225</v>
      </c>
      <c r="F48" s="85">
        <v>0</v>
      </c>
      <c r="G48" s="104"/>
      <c r="H48" s="85">
        <f t="shared" si="3"/>
        <v>0</v>
      </c>
      <c r="I48" s="105"/>
      <c r="K48" t="s">
        <v>325</v>
      </c>
    </row>
    <row r="49" spans="2:12">
      <c r="B49" s="12">
        <v>829</v>
      </c>
      <c r="C49" s="2" t="s">
        <v>130</v>
      </c>
      <c r="D49" s="423">
        <v>15726</v>
      </c>
      <c r="E49" s="3" t="s">
        <v>125</v>
      </c>
      <c r="F49" s="85">
        <v>565</v>
      </c>
      <c r="G49" s="104"/>
      <c r="H49" s="85">
        <f t="shared" si="3"/>
        <v>8885190</v>
      </c>
      <c r="I49" s="105"/>
      <c r="L49" t="s">
        <v>7</v>
      </c>
    </row>
    <row r="50" spans="2:12">
      <c r="B50" s="12">
        <v>829</v>
      </c>
      <c r="C50" s="2" t="s">
        <v>666</v>
      </c>
      <c r="D50" s="134">
        <v>0</v>
      </c>
      <c r="E50" s="3" t="s">
        <v>125</v>
      </c>
      <c r="F50" s="85">
        <v>0</v>
      </c>
      <c r="G50" s="104"/>
      <c r="H50" s="85">
        <f t="shared" si="3"/>
        <v>0</v>
      </c>
      <c r="I50" s="105"/>
      <c r="K50" t="s">
        <v>760</v>
      </c>
    </row>
    <row r="51" spans="2:12">
      <c r="B51" s="12">
        <v>830</v>
      </c>
      <c r="C51" s="2" t="s">
        <v>131</v>
      </c>
      <c r="D51" s="134">
        <v>0</v>
      </c>
      <c r="E51" s="3" t="s">
        <v>125</v>
      </c>
      <c r="F51" s="85">
        <v>0</v>
      </c>
      <c r="G51" s="104"/>
      <c r="H51" s="85">
        <f t="shared" si="3"/>
        <v>0</v>
      </c>
      <c r="I51" s="105"/>
    </row>
    <row r="52" spans="2:12">
      <c r="B52" s="12">
        <v>825</v>
      </c>
      <c r="C52" s="2" t="s">
        <v>126</v>
      </c>
      <c r="D52" s="134">
        <v>0</v>
      </c>
      <c r="E52" s="3" t="s">
        <v>125</v>
      </c>
      <c r="F52" s="85">
        <v>0</v>
      </c>
      <c r="G52" s="104"/>
      <c r="H52" s="85">
        <f t="shared" si="3"/>
        <v>0</v>
      </c>
      <c r="I52" s="105"/>
    </row>
    <row r="53" spans="2:12">
      <c r="B53" s="12">
        <v>826</v>
      </c>
      <c r="C53" s="419" t="s">
        <v>127</v>
      </c>
      <c r="D53" s="423">
        <v>296</v>
      </c>
      <c r="E53" s="424" t="s">
        <v>125</v>
      </c>
      <c r="F53" s="421">
        <v>4325</v>
      </c>
      <c r="G53" s="422"/>
      <c r="H53" s="421">
        <f t="shared" si="3"/>
        <v>1280200</v>
      </c>
      <c r="I53" s="105"/>
    </row>
    <row r="54" spans="2:12">
      <c r="B54" s="12">
        <v>827</v>
      </c>
      <c r="C54" s="2" t="s">
        <v>128</v>
      </c>
      <c r="D54" s="134"/>
      <c r="E54" s="3" t="s">
        <v>125</v>
      </c>
      <c r="F54" s="85">
        <v>0</v>
      </c>
      <c r="G54" s="104"/>
      <c r="H54" s="85">
        <f t="shared" si="3"/>
        <v>0</v>
      </c>
      <c r="I54" s="105"/>
      <c r="K54" t="s">
        <v>258</v>
      </c>
    </row>
    <row r="55" spans="2:12" ht="30">
      <c r="B55" s="12">
        <v>828</v>
      </c>
      <c r="C55" s="425" t="s">
        <v>919</v>
      </c>
      <c r="D55" s="423">
        <v>1748</v>
      </c>
      <c r="E55" s="244" t="s">
        <v>125</v>
      </c>
      <c r="F55" s="242">
        <v>1900</v>
      </c>
      <c r="G55" s="426"/>
      <c r="H55" s="242">
        <f>F55*D55</f>
        <v>3321200</v>
      </c>
      <c r="I55" s="105"/>
      <c r="K55" t="s">
        <v>258</v>
      </c>
    </row>
    <row r="56" spans="2:12">
      <c r="B56" s="12">
        <v>828</v>
      </c>
      <c r="C56" s="2" t="s">
        <v>721</v>
      </c>
      <c r="D56" s="423">
        <v>1748</v>
      </c>
      <c r="E56" s="3" t="s">
        <v>125</v>
      </c>
      <c r="F56" s="85">
        <v>170</v>
      </c>
      <c r="G56" s="104"/>
      <c r="H56" s="85">
        <f>F56*D56</f>
        <v>297160</v>
      </c>
      <c r="I56" s="105"/>
      <c r="K56" t="s">
        <v>761</v>
      </c>
    </row>
    <row r="57" spans="2:12">
      <c r="B57" s="12">
        <v>822</v>
      </c>
      <c r="C57" s="2" t="s">
        <v>215</v>
      </c>
      <c r="D57" s="134">
        <v>0</v>
      </c>
      <c r="E57" s="3" t="s">
        <v>167</v>
      </c>
      <c r="F57" s="85">
        <v>0</v>
      </c>
      <c r="G57" s="104"/>
      <c r="H57" s="85">
        <f>F57*D57</f>
        <v>0</v>
      </c>
      <c r="I57" s="105"/>
    </row>
    <row r="58" spans="2:12">
      <c r="B58" s="12">
        <v>822</v>
      </c>
      <c r="C58" s="419" t="s">
        <v>216</v>
      </c>
      <c r="D58" s="423">
        <v>771</v>
      </c>
      <c r="E58" s="424" t="s">
        <v>167</v>
      </c>
      <c r="F58" s="421">
        <v>275</v>
      </c>
      <c r="G58" s="422"/>
      <c r="H58" s="421">
        <f>F58*D58</f>
        <v>212025</v>
      </c>
      <c r="I58" s="105"/>
    </row>
    <row r="59" spans="2:12">
      <c r="B59" s="12">
        <v>829</v>
      </c>
      <c r="C59" s="2" t="s">
        <v>765</v>
      </c>
      <c r="D59" s="134">
        <v>0</v>
      </c>
      <c r="E59" s="3" t="s">
        <v>138</v>
      </c>
      <c r="F59" s="85">
        <v>0</v>
      </c>
      <c r="G59" s="104"/>
      <c r="H59" s="85">
        <f t="shared" ref="H59:H60" si="4">F59*D59</f>
        <v>0</v>
      </c>
      <c r="I59" s="105"/>
    </row>
    <row r="60" spans="2:12">
      <c r="B60" s="12">
        <v>829</v>
      </c>
      <c r="C60" s="2" t="s">
        <v>767</v>
      </c>
      <c r="D60" s="134">
        <v>0</v>
      </c>
      <c r="E60" s="3" t="s">
        <v>125</v>
      </c>
      <c r="F60" s="85">
        <v>0</v>
      </c>
      <c r="G60" s="104"/>
      <c r="H60" s="85">
        <f t="shared" si="4"/>
        <v>0</v>
      </c>
      <c r="I60" s="105"/>
    </row>
    <row r="61" spans="2:12">
      <c r="B61" s="12">
        <v>829</v>
      </c>
      <c r="C61" s="2" t="s">
        <v>815</v>
      </c>
      <c r="D61" s="134">
        <v>0</v>
      </c>
      <c r="E61" s="3" t="s">
        <v>138</v>
      </c>
      <c r="F61" s="85">
        <v>18000</v>
      </c>
      <c r="G61" s="104"/>
      <c r="H61" s="85">
        <f t="shared" ref="H61" si="5">F61*D61</f>
        <v>0</v>
      </c>
      <c r="I61" s="105"/>
    </row>
    <row r="62" spans="2:12">
      <c r="B62" s="12">
        <v>829</v>
      </c>
      <c r="C62" s="2" t="s">
        <v>762</v>
      </c>
      <c r="D62" s="134">
        <v>2</v>
      </c>
      <c r="E62" s="3" t="s">
        <v>138</v>
      </c>
      <c r="F62" s="85">
        <v>54139</v>
      </c>
      <c r="G62" s="104"/>
      <c r="H62" s="85">
        <f t="shared" ref="H62" si="6">F62*D62</f>
        <v>108278</v>
      </c>
      <c r="I62" s="105"/>
      <c r="K62" t="s">
        <v>764</v>
      </c>
    </row>
    <row r="63" spans="2:12">
      <c r="B63" s="12">
        <v>829</v>
      </c>
      <c r="C63" s="2" t="s">
        <v>217</v>
      </c>
      <c r="D63" s="134">
        <v>0</v>
      </c>
      <c r="E63" s="3" t="s">
        <v>622</v>
      </c>
      <c r="F63" s="85">
        <v>40</v>
      </c>
      <c r="G63" s="104"/>
      <c r="H63" s="85">
        <f t="shared" si="3"/>
        <v>0</v>
      </c>
      <c r="I63" s="105"/>
      <c r="K63" t="s">
        <v>763</v>
      </c>
    </row>
    <row r="64" spans="2:12">
      <c r="B64" s="12">
        <v>829</v>
      </c>
      <c r="C64" s="2" t="s">
        <v>218</v>
      </c>
      <c r="D64" s="134">
        <v>0</v>
      </c>
      <c r="E64" s="3" t="s">
        <v>125</v>
      </c>
      <c r="F64" s="85">
        <v>0</v>
      </c>
      <c r="G64" s="104"/>
      <c r="H64" s="85">
        <f t="shared" si="3"/>
        <v>0</v>
      </c>
      <c r="I64" s="105"/>
      <c r="K64" t="s">
        <v>374</v>
      </c>
    </row>
    <row r="65" spans="2:11">
      <c r="B65" s="12">
        <v>829</v>
      </c>
      <c r="C65" s="2" t="s">
        <v>219</v>
      </c>
      <c r="D65" s="134">
        <v>0</v>
      </c>
      <c r="E65" s="3" t="s">
        <v>125</v>
      </c>
      <c r="F65" s="85">
        <v>0</v>
      </c>
      <c r="G65" s="104"/>
      <c r="H65" s="85">
        <f t="shared" si="3"/>
        <v>0</v>
      </c>
      <c r="I65" s="105"/>
      <c r="K65" t="s">
        <v>687</v>
      </c>
    </row>
    <row r="66" spans="2:11">
      <c r="B66" s="12">
        <v>829</v>
      </c>
      <c r="C66" s="2" t="s">
        <v>610</v>
      </c>
      <c r="D66" s="134">
        <v>0</v>
      </c>
      <c r="E66" s="3" t="s">
        <v>167</v>
      </c>
      <c r="F66" s="85">
        <v>0</v>
      </c>
      <c r="G66" s="104"/>
      <c r="H66" s="85">
        <f t="shared" si="3"/>
        <v>0</v>
      </c>
      <c r="I66" s="105"/>
      <c r="K66" t="s">
        <v>688</v>
      </c>
    </row>
    <row r="67" spans="2:11">
      <c r="B67" s="12">
        <v>822</v>
      </c>
      <c r="C67" s="419" t="s">
        <v>220</v>
      </c>
      <c r="D67" s="423">
        <v>1543</v>
      </c>
      <c r="E67" s="424" t="s">
        <v>125</v>
      </c>
      <c r="F67" s="421">
        <v>20</v>
      </c>
      <c r="G67" s="422"/>
      <c r="H67" s="421">
        <f t="shared" si="3"/>
        <v>30860</v>
      </c>
      <c r="I67" s="105"/>
      <c r="K67" t="s">
        <v>373</v>
      </c>
    </row>
    <row r="68" spans="2:11">
      <c r="B68" s="12">
        <v>831</v>
      </c>
      <c r="C68" s="2" t="s">
        <v>221</v>
      </c>
      <c r="D68" s="134">
        <v>0</v>
      </c>
      <c r="E68" s="3" t="s">
        <v>138</v>
      </c>
      <c r="F68" s="85">
        <v>0</v>
      </c>
      <c r="G68" s="104"/>
      <c r="H68" s="85">
        <f t="shared" si="3"/>
        <v>0</v>
      </c>
      <c r="I68" s="105"/>
      <c r="K68" t="s">
        <v>694</v>
      </c>
    </row>
    <row r="69" spans="2:11">
      <c r="B69" s="12">
        <v>831</v>
      </c>
      <c r="C69" s="2" t="s">
        <v>222</v>
      </c>
      <c r="D69" s="134">
        <v>0</v>
      </c>
      <c r="E69" s="3" t="s">
        <v>138</v>
      </c>
      <c r="F69" s="85">
        <v>0</v>
      </c>
      <c r="G69" s="104"/>
      <c r="H69" s="85">
        <f t="shared" si="3"/>
        <v>0</v>
      </c>
      <c r="I69" s="105"/>
      <c r="K69" t="s">
        <v>695</v>
      </c>
    </row>
    <row r="70" spans="2:11">
      <c r="B70" s="12">
        <v>831</v>
      </c>
      <c r="C70" s="2" t="s">
        <v>223</v>
      </c>
      <c r="D70" s="134">
        <v>0</v>
      </c>
      <c r="E70" s="3" t="s">
        <v>125</v>
      </c>
      <c r="F70" s="85">
        <v>0</v>
      </c>
      <c r="G70" s="104"/>
      <c r="H70" s="85">
        <f t="shared" si="3"/>
        <v>0</v>
      </c>
      <c r="I70" s="105"/>
      <c r="K70" t="s">
        <v>688</v>
      </c>
    </row>
    <row r="71" spans="2:11">
      <c r="B71" s="12">
        <v>837</v>
      </c>
      <c r="C71" s="2" t="s">
        <v>549</v>
      </c>
      <c r="D71" s="134">
        <v>17770</v>
      </c>
      <c r="E71" s="3" t="s">
        <v>125</v>
      </c>
      <c r="F71" s="85">
        <v>19</v>
      </c>
      <c r="G71" s="104"/>
      <c r="H71" s="85">
        <f t="shared" si="3"/>
        <v>337630</v>
      </c>
      <c r="I71" s="105"/>
      <c r="K71" t="s">
        <v>689</v>
      </c>
    </row>
    <row r="72" spans="2:11">
      <c r="B72" s="12">
        <v>837</v>
      </c>
      <c r="C72" s="2" t="s">
        <v>224</v>
      </c>
      <c r="D72" s="134">
        <v>1</v>
      </c>
      <c r="E72" s="3" t="s">
        <v>138</v>
      </c>
      <c r="F72" s="85">
        <v>20400</v>
      </c>
      <c r="G72" s="104"/>
      <c r="H72" s="85">
        <f t="shared" si="3"/>
        <v>20400</v>
      </c>
      <c r="I72" s="105"/>
      <c r="K72" t="s">
        <v>375</v>
      </c>
    </row>
    <row r="73" spans="2:11">
      <c r="B73" s="12">
        <v>835</v>
      </c>
      <c r="C73" s="419" t="s">
        <v>611</v>
      </c>
      <c r="D73" s="423">
        <v>15726</v>
      </c>
      <c r="E73" s="424" t="s">
        <v>125</v>
      </c>
      <c r="F73" s="421">
        <v>14</v>
      </c>
      <c r="G73" s="422"/>
      <c r="H73" s="421">
        <f t="shared" si="3"/>
        <v>220164</v>
      </c>
      <c r="I73" s="105"/>
      <c r="K73" t="s">
        <v>772</v>
      </c>
    </row>
    <row r="74" spans="2:11">
      <c r="B74" s="12">
        <v>833</v>
      </c>
      <c r="C74" s="419" t="s">
        <v>165</v>
      </c>
      <c r="D74" s="423">
        <v>19518</v>
      </c>
      <c r="E74" s="424" t="s">
        <v>119</v>
      </c>
      <c r="F74" s="421">
        <v>32</v>
      </c>
      <c r="G74" s="422"/>
      <c r="H74" s="421">
        <f t="shared" si="3"/>
        <v>624576</v>
      </c>
      <c r="I74" s="105"/>
      <c r="K74" t="s">
        <v>768</v>
      </c>
    </row>
    <row r="75" spans="2:11">
      <c r="B75" s="12">
        <v>833</v>
      </c>
      <c r="C75" s="2" t="s">
        <v>667</v>
      </c>
      <c r="D75" s="134">
        <v>0</v>
      </c>
      <c r="E75" s="3" t="s">
        <v>119</v>
      </c>
      <c r="F75" s="85">
        <v>25000</v>
      </c>
      <c r="G75" s="104"/>
      <c r="H75" s="85">
        <f t="shared" si="3"/>
        <v>0</v>
      </c>
      <c r="I75" s="105"/>
      <c r="K75" t="s">
        <v>389</v>
      </c>
    </row>
    <row r="76" spans="2:11">
      <c r="B76" s="12">
        <v>834</v>
      </c>
      <c r="C76" s="2" t="s">
        <v>133</v>
      </c>
      <c r="D76" s="134">
        <f>D45</f>
        <v>17770</v>
      </c>
      <c r="E76" s="3" t="s">
        <v>119</v>
      </c>
      <c r="F76" s="85">
        <v>3</v>
      </c>
      <c r="G76" s="104"/>
      <c r="H76" s="85">
        <f t="shared" si="3"/>
        <v>53310</v>
      </c>
      <c r="I76" s="105"/>
      <c r="K76" t="s">
        <v>769</v>
      </c>
    </row>
    <row r="77" spans="2:11">
      <c r="B77" s="12">
        <v>837</v>
      </c>
      <c r="C77" s="2" t="s">
        <v>612</v>
      </c>
      <c r="D77" s="134">
        <v>0</v>
      </c>
      <c r="E77" s="3" t="s">
        <v>125</v>
      </c>
      <c r="F77" s="85">
        <v>0</v>
      </c>
      <c r="G77" s="104"/>
      <c r="H77" s="85">
        <f t="shared" si="3"/>
        <v>0</v>
      </c>
      <c r="I77" s="105"/>
      <c r="K77" t="s">
        <v>688</v>
      </c>
    </row>
    <row r="78" spans="2:11">
      <c r="B78" s="12">
        <v>837</v>
      </c>
      <c r="C78" s="2" t="s">
        <v>718</v>
      </c>
      <c r="D78" s="134">
        <v>0</v>
      </c>
      <c r="E78" s="3" t="s">
        <v>125</v>
      </c>
      <c r="F78" s="85">
        <v>0</v>
      </c>
      <c r="G78" s="104"/>
      <c r="H78" s="85">
        <f t="shared" si="3"/>
        <v>0</v>
      </c>
      <c r="I78" s="105"/>
      <c r="K78" t="s">
        <v>688</v>
      </c>
    </row>
    <row r="79" spans="2:11">
      <c r="B79" s="12">
        <v>837</v>
      </c>
      <c r="C79" s="2" t="s">
        <v>613</v>
      </c>
      <c r="D79" s="134">
        <v>0</v>
      </c>
      <c r="E79" s="3" t="s">
        <v>125</v>
      </c>
      <c r="F79" s="85">
        <v>0</v>
      </c>
      <c r="G79" s="104"/>
      <c r="H79" s="85">
        <f t="shared" si="3"/>
        <v>0</v>
      </c>
      <c r="I79" s="105"/>
      <c r="K79" t="s">
        <v>688</v>
      </c>
    </row>
    <row r="80" spans="2:11">
      <c r="B80" s="12">
        <v>829</v>
      </c>
      <c r="C80" s="2" t="s">
        <v>614</v>
      </c>
      <c r="D80" s="134">
        <v>10</v>
      </c>
      <c r="E80" s="3" t="s">
        <v>119</v>
      </c>
      <c r="F80" s="85">
        <v>1500</v>
      </c>
      <c r="G80" s="104"/>
      <c r="H80" s="85">
        <f t="shared" si="3"/>
        <v>15000</v>
      </c>
      <c r="I80" s="105"/>
      <c r="K80" t="s">
        <v>770</v>
      </c>
    </row>
    <row r="81" spans="2:11">
      <c r="B81" s="12">
        <v>829</v>
      </c>
      <c r="C81" s="2" t="s">
        <v>615</v>
      </c>
      <c r="D81" s="134">
        <v>0</v>
      </c>
      <c r="E81" s="3" t="s">
        <v>620</v>
      </c>
      <c r="F81" s="85">
        <v>0</v>
      </c>
      <c r="G81" s="104"/>
      <c r="H81" s="85">
        <f t="shared" si="3"/>
        <v>0</v>
      </c>
      <c r="I81" s="105"/>
      <c r="K81" t="s">
        <v>690</v>
      </c>
    </row>
    <row r="82" spans="2:11">
      <c r="B82" s="12">
        <v>829</v>
      </c>
      <c r="C82" s="2" t="s">
        <v>616</v>
      </c>
      <c r="D82" s="134">
        <v>0</v>
      </c>
      <c r="E82" s="3" t="s">
        <v>621</v>
      </c>
      <c r="F82" s="85">
        <v>0</v>
      </c>
      <c r="G82" s="104"/>
      <c r="H82" s="85">
        <f t="shared" si="3"/>
        <v>0</v>
      </c>
      <c r="I82" s="105"/>
      <c r="K82" t="s">
        <v>688</v>
      </c>
    </row>
    <row r="83" spans="2:11">
      <c r="B83" s="12">
        <v>829</v>
      </c>
      <c r="C83" s="2" t="s">
        <v>617</v>
      </c>
      <c r="D83" s="134">
        <v>0</v>
      </c>
      <c r="E83" s="3" t="s">
        <v>138</v>
      </c>
      <c r="F83" s="85">
        <v>0</v>
      </c>
      <c r="G83" s="104"/>
      <c r="H83" s="85">
        <f t="shared" si="3"/>
        <v>0</v>
      </c>
      <c r="I83" s="105"/>
      <c r="K83" t="s">
        <v>688</v>
      </c>
    </row>
    <row r="84" spans="2:11">
      <c r="B84" s="12">
        <v>837</v>
      </c>
      <c r="C84" s="2" t="s">
        <v>618</v>
      </c>
      <c r="D84" s="134">
        <v>5</v>
      </c>
      <c r="E84" s="3" t="s">
        <v>138</v>
      </c>
      <c r="F84" s="85">
        <v>1000</v>
      </c>
      <c r="G84" s="104"/>
      <c r="H84" s="85">
        <f t="shared" si="3"/>
        <v>5000</v>
      </c>
      <c r="I84" s="105"/>
      <c r="K84" t="s">
        <v>771</v>
      </c>
    </row>
    <row r="85" spans="2:11">
      <c r="B85" s="12">
        <v>829</v>
      </c>
      <c r="C85" s="2" t="s">
        <v>619</v>
      </c>
      <c r="D85" s="134">
        <v>0</v>
      </c>
      <c r="E85" s="3" t="s">
        <v>125</v>
      </c>
      <c r="F85" s="85">
        <v>0</v>
      </c>
      <c r="G85" s="104"/>
      <c r="H85" s="85">
        <f t="shared" si="3"/>
        <v>0</v>
      </c>
      <c r="I85" s="105"/>
      <c r="K85" t="s">
        <v>688</v>
      </c>
    </row>
    <row r="86" spans="2:11">
      <c r="B86" s="12">
        <v>630</v>
      </c>
      <c r="C86" s="419" t="s">
        <v>226</v>
      </c>
      <c r="D86" s="423">
        <v>15726</v>
      </c>
      <c r="E86" s="424" t="s">
        <v>125</v>
      </c>
      <c r="F86" s="421">
        <v>16</v>
      </c>
      <c r="G86" s="422"/>
      <c r="H86" s="421">
        <f t="shared" si="3"/>
        <v>251616</v>
      </c>
      <c r="I86" s="105"/>
      <c r="K86" t="s">
        <v>773</v>
      </c>
    </row>
    <row r="87" spans="2:11">
      <c r="B87" s="12">
        <v>630</v>
      </c>
      <c r="C87" s="2" t="s">
        <v>623</v>
      </c>
      <c r="D87" s="134">
        <v>0</v>
      </c>
      <c r="E87" s="3" t="s">
        <v>125</v>
      </c>
      <c r="F87" s="85">
        <v>0</v>
      </c>
      <c r="G87" s="104"/>
      <c r="H87" s="85">
        <f t="shared" si="3"/>
        <v>0</v>
      </c>
      <c r="I87" s="105"/>
      <c r="K87" t="s">
        <v>688</v>
      </c>
    </row>
    <row r="88" spans="2:11">
      <c r="B88" s="12">
        <v>630</v>
      </c>
      <c r="C88" s="2" t="s">
        <v>624</v>
      </c>
      <c r="D88" s="134">
        <v>0</v>
      </c>
      <c r="E88" s="3" t="s">
        <v>125</v>
      </c>
      <c r="F88" s="85">
        <v>0</v>
      </c>
      <c r="G88" s="104"/>
      <c r="H88" s="85">
        <f t="shared" si="3"/>
        <v>0</v>
      </c>
      <c r="I88" s="105"/>
      <c r="K88" t="s">
        <v>688</v>
      </c>
    </row>
    <row r="89" spans="2:11">
      <c r="B89" s="12">
        <v>630</v>
      </c>
      <c r="C89" s="2" t="s">
        <v>227</v>
      </c>
      <c r="D89" s="134">
        <v>0</v>
      </c>
      <c r="E89" s="3" t="s">
        <v>236</v>
      </c>
      <c r="F89" s="85">
        <v>0</v>
      </c>
      <c r="G89" s="104"/>
      <c r="H89" s="85">
        <f t="shared" si="3"/>
        <v>0</v>
      </c>
      <c r="I89" s="105"/>
      <c r="K89" t="s">
        <v>376</v>
      </c>
    </row>
    <row r="90" spans="2:11">
      <c r="B90" s="12">
        <v>630</v>
      </c>
      <c r="C90" s="2" t="s">
        <v>625</v>
      </c>
      <c r="D90" s="134">
        <v>0</v>
      </c>
      <c r="E90" s="3" t="s">
        <v>236</v>
      </c>
      <c r="F90" s="85">
        <v>0</v>
      </c>
      <c r="G90" s="104"/>
      <c r="H90" s="85">
        <f t="shared" si="3"/>
        <v>0</v>
      </c>
      <c r="I90" s="105"/>
      <c r="K90" t="s">
        <v>688</v>
      </c>
    </row>
    <row r="91" spans="2:11">
      <c r="B91" s="12">
        <v>630</v>
      </c>
      <c r="C91" s="2" t="s">
        <v>626</v>
      </c>
      <c r="D91" s="134">
        <v>0</v>
      </c>
      <c r="E91" s="3" t="s">
        <v>236</v>
      </c>
      <c r="F91" s="85">
        <v>0</v>
      </c>
      <c r="G91" s="104"/>
      <c r="H91" s="85">
        <f t="shared" si="3"/>
        <v>0</v>
      </c>
      <c r="I91" s="105"/>
      <c r="K91" t="s">
        <v>688</v>
      </c>
    </row>
    <row r="92" spans="2:11">
      <c r="B92" s="12">
        <v>630</v>
      </c>
      <c r="C92" s="2" t="s">
        <v>627</v>
      </c>
      <c r="D92" s="134">
        <v>0</v>
      </c>
      <c r="E92" s="3" t="s">
        <v>236</v>
      </c>
      <c r="F92" s="85">
        <v>0</v>
      </c>
      <c r="G92" s="104"/>
      <c r="H92" s="85">
        <f t="shared" si="3"/>
        <v>0</v>
      </c>
      <c r="I92" s="105"/>
      <c r="K92" t="s">
        <v>688</v>
      </c>
    </row>
    <row r="93" spans="2:11">
      <c r="B93" s="12">
        <v>630</v>
      </c>
      <c r="C93" s="2" t="s">
        <v>628</v>
      </c>
      <c r="D93" s="134">
        <v>0</v>
      </c>
      <c r="E93" s="3" t="s">
        <v>236</v>
      </c>
      <c r="F93" s="85">
        <v>0</v>
      </c>
      <c r="G93" s="104"/>
      <c r="H93" s="85">
        <f t="shared" si="3"/>
        <v>0</v>
      </c>
      <c r="I93" s="105"/>
      <c r="K93" t="s">
        <v>688</v>
      </c>
    </row>
    <row r="94" spans="2:11">
      <c r="B94" s="12">
        <v>630</v>
      </c>
      <c r="C94" s="2" t="s">
        <v>629</v>
      </c>
      <c r="D94" s="134">
        <v>0</v>
      </c>
      <c r="E94" s="3" t="s">
        <v>236</v>
      </c>
      <c r="F94" s="141">
        <v>0</v>
      </c>
      <c r="G94" s="104"/>
      <c r="H94" s="85">
        <f t="shared" si="3"/>
        <v>0</v>
      </c>
      <c r="I94" s="105"/>
      <c r="K94" t="s">
        <v>688</v>
      </c>
    </row>
    <row r="95" spans="2:11">
      <c r="B95" s="12">
        <v>630</v>
      </c>
      <c r="C95" s="2" t="s">
        <v>630</v>
      </c>
      <c r="D95" s="134">
        <v>0</v>
      </c>
      <c r="E95" s="3" t="s">
        <v>236</v>
      </c>
      <c r="F95" s="141">
        <v>0</v>
      </c>
      <c r="G95" s="104"/>
      <c r="H95" s="85">
        <f t="shared" si="3"/>
        <v>0</v>
      </c>
      <c r="I95" s="105"/>
      <c r="K95" t="s">
        <v>688</v>
      </c>
    </row>
    <row r="96" spans="2:11">
      <c r="B96" s="12">
        <v>630</v>
      </c>
      <c r="C96" s="2" t="s">
        <v>228</v>
      </c>
      <c r="D96" s="134">
        <v>0</v>
      </c>
      <c r="E96" s="3" t="s">
        <v>237</v>
      </c>
      <c r="F96" s="85">
        <v>0</v>
      </c>
      <c r="G96" s="104"/>
      <c r="H96" s="85">
        <f t="shared" si="3"/>
        <v>0</v>
      </c>
      <c r="I96" s="105"/>
      <c r="K96" t="s">
        <v>688</v>
      </c>
    </row>
    <row r="97" spans="2:11">
      <c r="B97" s="12">
        <v>630</v>
      </c>
      <c r="C97" s="2" t="s">
        <v>229</v>
      </c>
      <c r="D97" s="134">
        <v>100</v>
      </c>
      <c r="E97" s="3" t="s">
        <v>237</v>
      </c>
      <c r="F97" s="85">
        <v>67</v>
      </c>
      <c r="G97" s="104"/>
      <c r="H97" s="85">
        <f t="shared" si="3"/>
        <v>6700</v>
      </c>
      <c r="I97" s="105"/>
      <c r="K97" t="s">
        <v>774</v>
      </c>
    </row>
    <row r="98" spans="2:11">
      <c r="B98" s="12">
        <v>630</v>
      </c>
      <c r="C98" s="2" t="s">
        <v>230</v>
      </c>
      <c r="D98" s="134">
        <v>350</v>
      </c>
      <c r="E98" s="3" t="s">
        <v>236</v>
      </c>
      <c r="F98" s="85">
        <v>7</v>
      </c>
      <c r="G98" s="104"/>
      <c r="H98" s="85">
        <f t="shared" si="3"/>
        <v>2450</v>
      </c>
      <c r="I98" s="105"/>
      <c r="K98" t="s">
        <v>775</v>
      </c>
    </row>
    <row r="99" spans="2:11">
      <c r="B99" s="12">
        <v>630</v>
      </c>
      <c r="C99" s="2" t="s">
        <v>122</v>
      </c>
      <c r="D99" s="134">
        <v>800</v>
      </c>
      <c r="E99" s="3" t="s">
        <v>238</v>
      </c>
      <c r="F99" s="85">
        <v>7</v>
      </c>
      <c r="G99" s="104"/>
      <c r="H99" s="85">
        <f t="shared" si="3"/>
        <v>5600</v>
      </c>
      <c r="I99" s="105"/>
      <c r="K99" t="s">
        <v>776</v>
      </c>
    </row>
    <row r="100" spans="2:11">
      <c r="B100" s="12">
        <v>630</v>
      </c>
      <c r="C100" s="2" t="s">
        <v>631</v>
      </c>
      <c r="D100" s="134">
        <v>0</v>
      </c>
      <c r="E100" s="3" t="s">
        <v>655</v>
      </c>
      <c r="F100" s="85">
        <v>0</v>
      </c>
      <c r="G100" s="104"/>
      <c r="H100" s="85">
        <f t="shared" si="3"/>
        <v>0</v>
      </c>
      <c r="I100" s="105"/>
      <c r="K100" t="s">
        <v>688</v>
      </c>
    </row>
    <row r="101" spans="2:11">
      <c r="B101" s="12">
        <v>630</v>
      </c>
      <c r="C101" s="2" t="s">
        <v>632</v>
      </c>
      <c r="D101" s="134">
        <v>0</v>
      </c>
      <c r="E101" s="3" t="s">
        <v>138</v>
      </c>
      <c r="F101" s="85">
        <v>0</v>
      </c>
      <c r="G101" s="104"/>
      <c r="H101" s="85">
        <f t="shared" si="3"/>
        <v>0</v>
      </c>
      <c r="I101" s="105"/>
      <c r="K101" t="s">
        <v>688</v>
      </c>
    </row>
    <row r="102" spans="2:11">
      <c r="B102" s="12">
        <v>630</v>
      </c>
      <c r="C102" s="2" t="s">
        <v>633</v>
      </c>
      <c r="D102" s="134">
        <v>0</v>
      </c>
      <c r="E102" s="3" t="s">
        <v>138</v>
      </c>
      <c r="F102" s="85">
        <v>0</v>
      </c>
      <c r="G102" s="104"/>
      <c r="H102" s="85">
        <f t="shared" si="3"/>
        <v>0</v>
      </c>
      <c r="I102" s="105"/>
      <c r="K102" t="s">
        <v>688</v>
      </c>
    </row>
    <row r="103" spans="2:11">
      <c r="B103" s="12">
        <v>630</v>
      </c>
      <c r="C103" s="2" t="s">
        <v>231</v>
      </c>
      <c r="D103" s="134">
        <v>0</v>
      </c>
      <c r="E103" s="3" t="s">
        <v>138</v>
      </c>
      <c r="F103" s="85">
        <v>0</v>
      </c>
      <c r="G103" s="104"/>
      <c r="H103" s="85">
        <f t="shared" si="3"/>
        <v>0</v>
      </c>
      <c r="I103" s="105"/>
      <c r="K103" t="s">
        <v>688</v>
      </c>
    </row>
    <row r="104" spans="2:11">
      <c r="B104" s="12">
        <v>630</v>
      </c>
      <c r="C104" s="2" t="s">
        <v>634</v>
      </c>
      <c r="D104" s="134">
        <v>0</v>
      </c>
      <c r="E104" s="3" t="s">
        <v>138</v>
      </c>
      <c r="F104" s="85">
        <v>0</v>
      </c>
      <c r="G104" s="104"/>
      <c r="H104" s="85">
        <f t="shared" si="3"/>
        <v>0</v>
      </c>
      <c r="I104" s="105"/>
      <c r="K104" t="s">
        <v>688</v>
      </c>
    </row>
    <row r="105" spans="2:11">
      <c r="B105" s="12">
        <v>630</v>
      </c>
      <c r="C105" s="2" t="s">
        <v>635</v>
      </c>
      <c r="D105" s="134">
        <v>100</v>
      </c>
      <c r="E105" s="3" t="s">
        <v>653</v>
      </c>
      <c r="F105" s="85">
        <v>700</v>
      </c>
      <c r="G105" s="104"/>
      <c r="H105" s="85">
        <f t="shared" si="3"/>
        <v>70000</v>
      </c>
      <c r="I105" s="105"/>
      <c r="K105" t="s">
        <v>779</v>
      </c>
    </row>
    <row r="106" spans="2:11">
      <c r="B106" s="12">
        <v>630</v>
      </c>
      <c r="C106" s="2" t="s">
        <v>636</v>
      </c>
      <c r="D106" s="134">
        <v>0</v>
      </c>
      <c r="E106" s="3" t="s">
        <v>653</v>
      </c>
      <c r="F106" s="85">
        <v>0</v>
      </c>
      <c r="G106" s="104"/>
      <c r="H106" s="85">
        <f t="shared" si="3"/>
        <v>0</v>
      </c>
      <c r="I106" s="105"/>
      <c r="K106" t="s">
        <v>688</v>
      </c>
    </row>
    <row r="107" spans="2:11">
      <c r="B107" s="12">
        <v>630</v>
      </c>
      <c r="C107" s="2" t="s">
        <v>232</v>
      </c>
      <c r="D107" s="134">
        <v>0</v>
      </c>
      <c r="E107" s="3" t="s">
        <v>138</v>
      </c>
      <c r="F107" s="85">
        <v>0</v>
      </c>
      <c r="G107" s="104"/>
      <c r="H107" s="85">
        <f t="shared" si="3"/>
        <v>0</v>
      </c>
      <c r="I107" s="105"/>
      <c r="K107" t="s">
        <v>691</v>
      </c>
    </row>
    <row r="108" spans="2:11">
      <c r="B108" s="12">
        <v>630</v>
      </c>
      <c r="C108" s="2" t="s">
        <v>233</v>
      </c>
      <c r="D108" s="134">
        <v>871200</v>
      </c>
      <c r="E108" s="3" t="s">
        <v>247</v>
      </c>
      <c r="F108" s="141">
        <v>0.1</v>
      </c>
      <c r="G108" s="104"/>
      <c r="H108" s="85">
        <f t="shared" si="3"/>
        <v>87120</v>
      </c>
      <c r="I108" s="105"/>
      <c r="K108" t="s">
        <v>692</v>
      </c>
    </row>
    <row r="109" spans="2:11">
      <c r="B109" s="12">
        <v>630</v>
      </c>
      <c r="C109" s="2" t="s">
        <v>234</v>
      </c>
      <c r="D109" s="134">
        <v>871200</v>
      </c>
      <c r="E109" s="3" t="s">
        <v>247</v>
      </c>
      <c r="F109" s="141">
        <v>7.0000000000000007E-2</v>
      </c>
      <c r="G109" s="104"/>
      <c r="H109" s="85">
        <f t="shared" si="3"/>
        <v>60984.000000000007</v>
      </c>
      <c r="I109" s="105"/>
      <c r="K109" t="s">
        <v>692</v>
      </c>
    </row>
    <row r="110" spans="2:11">
      <c r="B110" s="12">
        <v>630</v>
      </c>
      <c r="C110" s="2" t="s">
        <v>235</v>
      </c>
      <c r="D110" s="134">
        <v>0</v>
      </c>
      <c r="E110" s="3" t="s">
        <v>138</v>
      </c>
      <c r="F110" s="85">
        <v>0</v>
      </c>
      <c r="G110" s="104"/>
      <c r="H110" s="85">
        <f t="shared" si="3"/>
        <v>0</v>
      </c>
      <c r="I110" s="105"/>
      <c r="K110" t="s">
        <v>693</v>
      </c>
    </row>
    <row r="111" spans="2:11">
      <c r="B111" s="12">
        <v>630</v>
      </c>
      <c r="C111" s="2" t="s">
        <v>637</v>
      </c>
      <c r="D111" s="134">
        <v>0</v>
      </c>
      <c r="E111" s="3" t="s">
        <v>124</v>
      </c>
      <c r="F111" s="85">
        <v>0</v>
      </c>
      <c r="G111" s="104"/>
      <c r="H111" s="85">
        <f t="shared" si="3"/>
        <v>0</v>
      </c>
      <c r="I111" s="105"/>
      <c r="K111" t="s">
        <v>688</v>
      </c>
    </row>
    <row r="112" spans="2:11">
      <c r="B112" s="12">
        <v>630</v>
      </c>
      <c r="C112" s="2" t="s">
        <v>638</v>
      </c>
      <c r="D112" s="134">
        <v>0</v>
      </c>
      <c r="E112" s="3" t="s">
        <v>138</v>
      </c>
      <c r="F112" s="85">
        <v>0</v>
      </c>
      <c r="G112" s="104"/>
      <c r="H112" s="85">
        <f t="shared" si="3"/>
        <v>0</v>
      </c>
      <c r="I112" s="105"/>
      <c r="K112" t="s">
        <v>688</v>
      </c>
    </row>
    <row r="113" spans="2:11">
      <c r="B113" s="12">
        <v>630</v>
      </c>
      <c r="C113" s="2" t="s">
        <v>639</v>
      </c>
      <c r="D113" s="134">
        <v>0</v>
      </c>
      <c r="E113" s="3" t="s">
        <v>138</v>
      </c>
      <c r="F113" s="85">
        <v>0</v>
      </c>
      <c r="G113" s="104"/>
      <c r="H113" s="85">
        <f t="shared" si="3"/>
        <v>0</v>
      </c>
      <c r="I113" s="105"/>
      <c r="K113" t="s">
        <v>688</v>
      </c>
    </row>
    <row r="114" spans="2:11">
      <c r="B114" s="12">
        <v>630</v>
      </c>
      <c r="C114" s="2" t="s">
        <v>640</v>
      </c>
      <c r="D114" s="134">
        <v>0</v>
      </c>
      <c r="E114" s="3" t="s">
        <v>138</v>
      </c>
      <c r="F114" s="85">
        <v>0</v>
      </c>
      <c r="G114" s="104"/>
      <c r="H114" s="85">
        <f t="shared" si="3"/>
        <v>0</v>
      </c>
      <c r="I114" s="105"/>
      <c r="K114" t="s">
        <v>688</v>
      </c>
    </row>
    <row r="115" spans="2:11">
      <c r="B115" s="12">
        <v>630</v>
      </c>
      <c r="C115" s="2" t="s">
        <v>641</v>
      </c>
      <c r="D115" s="134">
        <v>0</v>
      </c>
      <c r="E115" s="3" t="s">
        <v>138</v>
      </c>
      <c r="F115" s="85">
        <v>0</v>
      </c>
      <c r="G115" s="104"/>
      <c r="H115" s="85">
        <f t="shared" si="3"/>
        <v>0</v>
      </c>
      <c r="I115" s="105"/>
      <c r="K115" t="s">
        <v>688</v>
      </c>
    </row>
    <row r="116" spans="2:11">
      <c r="B116" s="12">
        <v>630</v>
      </c>
      <c r="C116" s="2" t="s">
        <v>642</v>
      </c>
      <c r="D116" s="134">
        <v>0</v>
      </c>
      <c r="E116" s="3" t="s">
        <v>138</v>
      </c>
      <c r="F116" s="85">
        <v>0</v>
      </c>
      <c r="G116" s="104"/>
      <c r="H116" s="85">
        <f t="shared" si="3"/>
        <v>0</v>
      </c>
      <c r="I116" s="105"/>
      <c r="K116" t="s">
        <v>688</v>
      </c>
    </row>
    <row r="117" spans="2:11">
      <c r="B117" s="12">
        <v>630</v>
      </c>
      <c r="C117" s="2" t="s">
        <v>643</v>
      </c>
      <c r="D117" s="134">
        <v>0</v>
      </c>
      <c r="E117" s="3" t="s">
        <v>138</v>
      </c>
      <c r="F117" s="85">
        <v>0</v>
      </c>
      <c r="G117" s="104"/>
      <c r="H117" s="85">
        <f t="shared" si="3"/>
        <v>0</v>
      </c>
      <c r="I117" s="105"/>
      <c r="K117" t="s">
        <v>688</v>
      </c>
    </row>
    <row r="118" spans="2:11">
      <c r="B118" s="12">
        <v>630</v>
      </c>
      <c r="C118" s="2" t="s">
        <v>644</v>
      </c>
      <c r="D118" s="134">
        <v>0</v>
      </c>
      <c r="E118" s="3" t="s">
        <v>138</v>
      </c>
      <c r="F118" s="85">
        <v>0</v>
      </c>
      <c r="G118" s="104"/>
      <c r="H118" s="85">
        <f t="shared" si="3"/>
        <v>0</v>
      </c>
      <c r="I118" s="105"/>
      <c r="K118" t="s">
        <v>688</v>
      </c>
    </row>
    <row r="119" spans="2:11">
      <c r="B119" s="12">
        <v>630</v>
      </c>
      <c r="C119" s="2" t="s">
        <v>645</v>
      </c>
      <c r="D119" s="134">
        <v>0</v>
      </c>
      <c r="E119" s="3" t="s">
        <v>138</v>
      </c>
      <c r="F119" s="85">
        <v>0</v>
      </c>
      <c r="G119" s="104"/>
      <c r="H119" s="85">
        <f t="shared" si="3"/>
        <v>0</v>
      </c>
      <c r="I119" s="105"/>
      <c r="K119" t="s">
        <v>688</v>
      </c>
    </row>
    <row r="120" spans="2:11">
      <c r="B120" s="12">
        <v>630</v>
      </c>
      <c r="C120" s="2" t="s">
        <v>646</v>
      </c>
      <c r="D120" s="134">
        <v>0</v>
      </c>
      <c r="E120" s="3" t="s">
        <v>138</v>
      </c>
      <c r="F120" s="85">
        <v>0</v>
      </c>
      <c r="G120" s="104"/>
      <c r="H120" s="85">
        <f t="shared" si="3"/>
        <v>0</v>
      </c>
      <c r="I120" s="105"/>
      <c r="K120" t="s">
        <v>688</v>
      </c>
    </row>
    <row r="121" spans="2:11">
      <c r="B121" s="12">
        <v>630</v>
      </c>
      <c r="C121" s="2" t="s">
        <v>647</v>
      </c>
      <c r="D121" s="134">
        <v>0</v>
      </c>
      <c r="E121" s="3" t="s">
        <v>138</v>
      </c>
      <c r="F121" s="85">
        <v>0</v>
      </c>
      <c r="G121" s="104"/>
      <c r="H121" s="85">
        <f t="shared" si="3"/>
        <v>0</v>
      </c>
      <c r="I121" s="105"/>
      <c r="K121" t="s">
        <v>688</v>
      </c>
    </row>
    <row r="122" spans="2:11">
      <c r="B122" s="12">
        <v>630</v>
      </c>
      <c r="C122" s="2" t="s">
        <v>648</v>
      </c>
      <c r="D122" s="134">
        <v>0</v>
      </c>
      <c r="E122" s="3" t="s">
        <v>138</v>
      </c>
      <c r="F122" s="85">
        <v>0</v>
      </c>
      <c r="G122" s="104"/>
      <c r="H122" s="85">
        <f t="shared" si="3"/>
        <v>0</v>
      </c>
      <c r="I122" s="105"/>
      <c r="K122" t="s">
        <v>688</v>
      </c>
    </row>
    <row r="123" spans="2:11">
      <c r="B123" s="12">
        <v>630</v>
      </c>
      <c r="C123" s="2" t="s">
        <v>649</v>
      </c>
      <c r="D123" s="134">
        <v>0</v>
      </c>
      <c r="E123" s="3" t="s">
        <v>654</v>
      </c>
      <c r="F123" s="85">
        <v>0</v>
      </c>
      <c r="G123" s="104"/>
      <c r="H123" s="85">
        <f t="shared" si="3"/>
        <v>0</v>
      </c>
      <c r="I123" s="105"/>
      <c r="K123" t="s">
        <v>688</v>
      </c>
    </row>
    <row r="124" spans="2:11">
      <c r="B124" s="12">
        <v>630</v>
      </c>
      <c r="C124" s="2" t="s">
        <v>650</v>
      </c>
      <c r="D124" s="134">
        <v>0</v>
      </c>
      <c r="E124" s="3" t="s">
        <v>621</v>
      </c>
      <c r="F124" s="85">
        <v>0</v>
      </c>
      <c r="G124" s="104"/>
      <c r="H124" s="85">
        <f t="shared" si="3"/>
        <v>0</v>
      </c>
      <c r="I124" s="105"/>
      <c r="K124" t="s">
        <v>688</v>
      </c>
    </row>
    <row r="125" spans="2:11">
      <c r="B125" s="12">
        <v>630</v>
      </c>
      <c r="C125" s="2" t="s">
        <v>651</v>
      </c>
      <c r="D125" s="134">
        <v>0</v>
      </c>
      <c r="E125" s="3" t="s">
        <v>621</v>
      </c>
      <c r="F125" s="85">
        <v>0</v>
      </c>
      <c r="G125" s="104"/>
      <c r="H125" s="85">
        <f t="shared" si="3"/>
        <v>0</v>
      </c>
      <c r="I125" s="105"/>
      <c r="K125" t="s">
        <v>688</v>
      </c>
    </row>
    <row r="126" spans="2:11">
      <c r="B126" s="12">
        <v>630</v>
      </c>
      <c r="C126" s="2" t="s">
        <v>652</v>
      </c>
      <c r="D126" s="134">
        <v>4</v>
      </c>
      <c r="E126" s="3" t="s">
        <v>138</v>
      </c>
      <c r="F126" s="85">
        <v>4500</v>
      </c>
      <c r="G126" s="104"/>
      <c r="H126" s="85">
        <f t="shared" si="3"/>
        <v>18000</v>
      </c>
      <c r="I126" s="105"/>
      <c r="K126" t="s">
        <v>780</v>
      </c>
    </row>
    <row r="127" spans="2:11">
      <c r="B127" s="12">
        <v>831</v>
      </c>
      <c r="C127" s="2" t="s">
        <v>239</v>
      </c>
      <c r="D127" s="134">
        <v>0</v>
      </c>
      <c r="E127" s="3" t="s">
        <v>138</v>
      </c>
      <c r="F127" s="85">
        <v>0</v>
      </c>
      <c r="G127" s="104"/>
      <c r="H127" s="85">
        <f t="shared" si="3"/>
        <v>0</v>
      </c>
      <c r="I127" s="105"/>
      <c r="K127" t="s">
        <v>377</v>
      </c>
    </row>
    <row r="128" spans="2:11">
      <c r="B128" s="12">
        <v>832</v>
      </c>
      <c r="C128" s="2" t="s">
        <v>240</v>
      </c>
      <c r="D128" s="134">
        <v>0</v>
      </c>
      <c r="E128" s="3" t="s">
        <v>138</v>
      </c>
      <c r="F128" s="85">
        <v>0</v>
      </c>
      <c r="G128" s="104"/>
      <c r="H128" s="85">
        <f t="shared" si="3"/>
        <v>0</v>
      </c>
      <c r="I128" s="105"/>
      <c r="K128" t="s">
        <v>696</v>
      </c>
    </row>
    <row r="129" spans="2:22">
      <c r="B129" s="12">
        <v>832</v>
      </c>
      <c r="C129" s="2" t="s">
        <v>241</v>
      </c>
      <c r="D129" s="134">
        <v>0</v>
      </c>
      <c r="E129" s="3" t="s">
        <v>125</v>
      </c>
      <c r="F129" s="85">
        <v>0</v>
      </c>
      <c r="G129" s="104"/>
      <c r="H129" s="85">
        <f t="shared" si="3"/>
        <v>0</v>
      </c>
      <c r="I129" s="105"/>
      <c r="K129" t="s">
        <v>668</v>
      </c>
    </row>
    <row r="130" spans="2:22">
      <c r="B130" s="12">
        <v>832</v>
      </c>
      <c r="C130" s="2" t="s">
        <v>242</v>
      </c>
      <c r="D130" s="134">
        <v>0</v>
      </c>
      <c r="E130" s="3" t="s">
        <v>125</v>
      </c>
      <c r="F130" s="85">
        <v>0</v>
      </c>
      <c r="G130" s="104"/>
      <c r="H130" s="85">
        <f t="shared" si="3"/>
        <v>0</v>
      </c>
      <c r="I130" s="105"/>
    </row>
    <row r="131" spans="2:22">
      <c r="B131" s="12">
        <v>832</v>
      </c>
      <c r="C131" s="2" t="s">
        <v>243</v>
      </c>
      <c r="D131" s="134">
        <v>0</v>
      </c>
      <c r="E131" s="3" t="s">
        <v>125</v>
      </c>
      <c r="F131" s="85">
        <v>0</v>
      </c>
      <c r="G131" s="104"/>
      <c r="H131" s="85">
        <f t="shared" si="3"/>
        <v>0</v>
      </c>
      <c r="I131" s="105"/>
      <c r="K131" t="s">
        <v>697</v>
      </c>
    </row>
    <row r="132" spans="2:22">
      <c r="B132" s="12">
        <v>832</v>
      </c>
      <c r="C132" s="2" t="s">
        <v>244</v>
      </c>
      <c r="D132" s="134">
        <v>0</v>
      </c>
      <c r="E132" s="3" t="s">
        <v>125</v>
      </c>
      <c r="F132" s="85">
        <v>0</v>
      </c>
      <c r="G132" s="104"/>
      <c r="H132" s="85">
        <f t="shared" si="3"/>
        <v>0</v>
      </c>
      <c r="I132" s="105"/>
      <c r="K132" t="s">
        <v>781</v>
      </c>
    </row>
    <row r="133" spans="2:22">
      <c r="B133" s="12">
        <v>832</v>
      </c>
      <c r="C133" s="419" t="s">
        <v>245</v>
      </c>
      <c r="D133" s="423">
        <v>3000</v>
      </c>
      <c r="E133" s="424" t="s">
        <v>125</v>
      </c>
      <c r="F133" s="421">
        <v>145</v>
      </c>
      <c r="G133" s="422"/>
      <c r="H133" s="421">
        <f t="shared" si="3"/>
        <v>435000</v>
      </c>
      <c r="I133" s="105"/>
      <c r="K133" t="s">
        <v>698</v>
      </c>
    </row>
    <row r="134" spans="2:22">
      <c r="B134" s="12">
        <v>832</v>
      </c>
      <c r="C134" s="2" t="s">
        <v>656</v>
      </c>
      <c r="D134" s="134">
        <v>0</v>
      </c>
      <c r="E134" s="3" t="s">
        <v>237</v>
      </c>
      <c r="F134" s="85">
        <v>0</v>
      </c>
      <c r="G134" s="104"/>
      <c r="H134" s="85">
        <f t="shared" si="3"/>
        <v>0</v>
      </c>
      <c r="I134" s="105"/>
      <c r="K134" t="s">
        <v>688</v>
      </c>
    </row>
    <row r="135" spans="2:22">
      <c r="B135" s="12">
        <v>832</v>
      </c>
      <c r="C135" s="2" t="s">
        <v>782</v>
      </c>
      <c r="D135" s="134">
        <v>0</v>
      </c>
      <c r="E135" s="3" t="s">
        <v>247</v>
      </c>
      <c r="F135" s="85">
        <v>0</v>
      </c>
      <c r="G135" s="104"/>
      <c r="H135" s="85">
        <f t="shared" ref="H135" si="7">F135*D135</f>
        <v>0</v>
      </c>
      <c r="I135" s="105"/>
      <c r="K135" t="s">
        <v>699</v>
      </c>
    </row>
    <row r="136" spans="2:22">
      <c r="B136" s="12">
        <v>832</v>
      </c>
      <c r="C136" s="2" t="s">
        <v>783</v>
      </c>
      <c r="D136" s="134">
        <v>0</v>
      </c>
      <c r="E136" s="3" t="s">
        <v>247</v>
      </c>
      <c r="F136" s="85">
        <v>0</v>
      </c>
      <c r="G136" s="104"/>
      <c r="H136" s="85">
        <f t="shared" si="3"/>
        <v>0</v>
      </c>
      <c r="I136" s="105"/>
      <c r="K136" t="s">
        <v>699</v>
      </c>
    </row>
    <row r="137" spans="2:22">
      <c r="B137" s="12">
        <v>832</v>
      </c>
      <c r="C137" s="2" t="s">
        <v>659</v>
      </c>
      <c r="D137" s="134">
        <v>0</v>
      </c>
      <c r="E137" s="3" t="s">
        <v>378</v>
      </c>
      <c r="F137" s="85">
        <v>0</v>
      </c>
      <c r="G137" s="104"/>
      <c r="H137" s="85">
        <f t="shared" si="3"/>
        <v>0</v>
      </c>
      <c r="I137" s="105"/>
      <c r="K137" t="s">
        <v>688</v>
      </c>
    </row>
    <row r="138" spans="2:22">
      <c r="B138" s="12">
        <v>832</v>
      </c>
      <c r="C138" s="2" t="s">
        <v>660</v>
      </c>
      <c r="D138" s="134">
        <v>0</v>
      </c>
      <c r="E138" s="3" t="s">
        <v>378</v>
      </c>
      <c r="F138" s="85">
        <v>5000</v>
      </c>
      <c r="G138" s="104"/>
      <c r="H138" s="85">
        <f t="shared" si="3"/>
        <v>0</v>
      </c>
      <c r="I138" s="105"/>
      <c r="K138" t="s">
        <v>700</v>
      </c>
    </row>
    <row r="139" spans="2:22">
      <c r="B139" s="12">
        <v>832</v>
      </c>
      <c r="C139" s="2" t="s">
        <v>383</v>
      </c>
      <c r="D139" s="134">
        <v>0</v>
      </c>
      <c r="E139" s="3" t="s">
        <v>138</v>
      </c>
      <c r="F139" s="85">
        <v>750</v>
      </c>
      <c r="G139" s="104"/>
      <c r="H139" s="85">
        <f t="shared" si="3"/>
        <v>0</v>
      </c>
      <c r="I139" s="105"/>
      <c r="K139" t="s">
        <v>701</v>
      </c>
    </row>
    <row r="140" spans="2:22">
      <c r="B140" s="12">
        <v>832</v>
      </c>
      <c r="C140" s="2" t="s">
        <v>382</v>
      </c>
      <c r="D140" s="134">
        <v>0</v>
      </c>
      <c r="E140" s="3" t="s">
        <v>378</v>
      </c>
      <c r="F140" s="85">
        <v>0</v>
      </c>
      <c r="G140" s="104"/>
      <c r="H140" s="85">
        <f t="shared" si="3"/>
        <v>0</v>
      </c>
      <c r="I140" s="105"/>
      <c r="K140" t="s">
        <v>384</v>
      </c>
    </row>
    <row r="141" spans="2:22">
      <c r="B141" s="12">
        <v>832</v>
      </c>
      <c r="C141" s="2" t="s">
        <v>661</v>
      </c>
      <c r="D141" s="134">
        <v>45</v>
      </c>
      <c r="E141" s="3" t="s">
        <v>378</v>
      </c>
      <c r="F141" s="85">
        <v>5000</v>
      </c>
      <c r="G141" s="104"/>
      <c r="H141" s="85">
        <f t="shared" si="3"/>
        <v>225000</v>
      </c>
      <c r="I141" s="105"/>
    </row>
    <row r="142" spans="2:22">
      <c r="B142" s="12">
        <v>832</v>
      </c>
      <c r="C142" s="2" t="s">
        <v>662</v>
      </c>
      <c r="D142" s="134">
        <v>90</v>
      </c>
      <c r="E142" s="3" t="s">
        <v>378</v>
      </c>
      <c r="F142" s="85">
        <v>100</v>
      </c>
      <c r="G142" s="104"/>
      <c r="H142" s="85">
        <f t="shared" si="3"/>
        <v>9000</v>
      </c>
      <c r="I142" s="105"/>
    </row>
    <row r="143" spans="2:22">
      <c r="B143" s="12">
        <v>832</v>
      </c>
      <c r="C143" s="2" t="s">
        <v>663</v>
      </c>
      <c r="D143" s="134">
        <v>90</v>
      </c>
      <c r="E143" s="3" t="s">
        <v>378</v>
      </c>
      <c r="F143" s="85">
        <v>100</v>
      </c>
      <c r="G143" s="104"/>
      <c r="H143" s="85">
        <f t="shared" si="3"/>
        <v>9000</v>
      </c>
      <c r="I143" s="105"/>
      <c r="V143" s="385"/>
    </row>
    <row r="144" spans="2:22">
      <c r="B144" s="12">
        <v>832</v>
      </c>
      <c r="C144" s="2" t="s">
        <v>664</v>
      </c>
      <c r="D144" s="134">
        <v>0</v>
      </c>
      <c r="E144" s="3" t="s">
        <v>167</v>
      </c>
      <c r="F144" s="85">
        <v>0</v>
      </c>
      <c r="G144" s="104"/>
      <c r="H144" s="85">
        <f t="shared" si="3"/>
        <v>0</v>
      </c>
      <c r="I144" s="105"/>
      <c r="K144" t="s">
        <v>688</v>
      </c>
    </row>
    <row r="145" spans="2:11">
      <c r="B145" s="12">
        <v>832</v>
      </c>
      <c r="C145" s="2" t="s">
        <v>665</v>
      </c>
      <c r="D145" s="134">
        <v>0</v>
      </c>
      <c r="E145" s="3" t="s">
        <v>378</v>
      </c>
      <c r="F145" s="85">
        <v>0</v>
      </c>
      <c r="G145" s="104"/>
      <c r="H145" s="85">
        <f t="shared" si="3"/>
        <v>0</v>
      </c>
      <c r="I145" s="105"/>
      <c r="K145" t="s">
        <v>688</v>
      </c>
    </row>
    <row r="146" spans="2:11">
      <c r="B146" s="12">
        <v>837</v>
      </c>
      <c r="C146" s="2" t="s">
        <v>550</v>
      </c>
      <c r="D146" s="134">
        <v>1</v>
      </c>
      <c r="E146" s="3" t="s">
        <v>138</v>
      </c>
      <c r="F146" s="85">
        <v>45000</v>
      </c>
      <c r="G146" s="104"/>
      <c r="H146" s="85">
        <f>F146*D146</f>
        <v>45000</v>
      </c>
      <c r="I146" s="105"/>
      <c r="K146" t="s">
        <v>551</v>
      </c>
    </row>
    <row r="147" spans="2:11">
      <c r="B147" s="12">
        <v>837</v>
      </c>
      <c r="C147" s="2" t="s">
        <v>552</v>
      </c>
      <c r="D147" s="134">
        <v>0</v>
      </c>
      <c r="E147" s="3" t="s">
        <v>553</v>
      </c>
      <c r="F147" s="85">
        <v>9000</v>
      </c>
      <c r="G147" s="104"/>
      <c r="H147" s="85">
        <f>F147*D147</f>
        <v>0</v>
      </c>
      <c r="I147" s="105"/>
      <c r="K147" t="s">
        <v>405</v>
      </c>
    </row>
    <row r="148" spans="2:11">
      <c r="B148" s="12">
        <v>837</v>
      </c>
      <c r="C148" s="2" t="s">
        <v>554</v>
      </c>
      <c r="D148" s="134">
        <v>2.9</v>
      </c>
      <c r="E148" s="3" t="s">
        <v>553</v>
      </c>
      <c r="F148" s="85">
        <v>6000</v>
      </c>
      <c r="G148" s="104"/>
      <c r="H148" s="85">
        <f>F148*D148</f>
        <v>17400</v>
      </c>
      <c r="I148" s="105"/>
      <c r="K148" t="s">
        <v>405</v>
      </c>
    </row>
    <row r="149" spans="2:11">
      <c r="B149" s="12"/>
      <c r="C149" s="2" t="s">
        <v>195</v>
      </c>
      <c r="D149" s="134">
        <v>1</v>
      </c>
      <c r="E149" s="3" t="s">
        <v>138</v>
      </c>
      <c r="F149" s="85">
        <v>347030</v>
      </c>
      <c r="G149" s="104"/>
      <c r="H149" s="85">
        <f t="shared" ref="H149:H163" si="8">F149*D149</f>
        <v>347030</v>
      </c>
      <c r="I149" s="105"/>
      <c r="K149" t="s">
        <v>336</v>
      </c>
    </row>
    <row r="150" spans="2:11">
      <c r="B150" s="12"/>
      <c r="C150" s="2" t="s">
        <v>784</v>
      </c>
      <c r="D150" s="134">
        <v>1</v>
      </c>
      <c r="E150" s="3" t="s">
        <v>138</v>
      </c>
      <c r="F150" s="85">
        <v>7500</v>
      </c>
      <c r="G150" s="104"/>
      <c r="H150" s="85">
        <f t="shared" ref="H150" si="9">F150*D150</f>
        <v>7500</v>
      </c>
      <c r="I150" s="105"/>
    </row>
    <row r="151" spans="2:11">
      <c r="B151" s="12"/>
      <c r="C151" s="2" t="s">
        <v>386</v>
      </c>
      <c r="D151" s="134">
        <v>1</v>
      </c>
      <c r="E151" s="3" t="s">
        <v>138</v>
      </c>
      <c r="F151" s="85">
        <v>100000</v>
      </c>
      <c r="G151" s="104"/>
      <c r="H151" s="85">
        <f t="shared" si="8"/>
        <v>100000</v>
      </c>
      <c r="I151" s="105"/>
      <c r="K151" t="s">
        <v>669</v>
      </c>
    </row>
    <row r="152" spans="2:11">
      <c r="B152" s="12"/>
      <c r="C152" s="2" t="s">
        <v>387</v>
      </c>
      <c r="D152" s="134">
        <v>1</v>
      </c>
      <c r="E152" s="3" t="s">
        <v>138</v>
      </c>
      <c r="F152" s="85">
        <v>50000</v>
      </c>
      <c r="G152" s="104"/>
      <c r="H152" s="85">
        <f t="shared" si="8"/>
        <v>50000</v>
      </c>
      <c r="I152" s="105"/>
      <c r="K152" t="s">
        <v>669</v>
      </c>
    </row>
    <row r="153" spans="2:11">
      <c r="B153" s="12"/>
      <c r="C153" s="2" t="s">
        <v>402</v>
      </c>
      <c r="D153" s="134">
        <v>1</v>
      </c>
      <c r="E153" s="3" t="s">
        <v>138</v>
      </c>
      <c r="F153" s="85">
        <v>21000</v>
      </c>
      <c r="G153" s="104"/>
      <c r="H153" s="85">
        <f t="shared" si="8"/>
        <v>21000</v>
      </c>
      <c r="I153" s="105"/>
      <c r="K153" t="s">
        <v>669</v>
      </c>
    </row>
    <row r="154" spans="2:11">
      <c r="B154" s="12"/>
      <c r="C154" s="2" t="s">
        <v>248</v>
      </c>
      <c r="D154" s="134">
        <v>0</v>
      </c>
      <c r="E154" s="3" t="s">
        <v>138</v>
      </c>
      <c r="F154" s="85">
        <v>0</v>
      </c>
      <c r="G154" s="104"/>
      <c r="H154" s="85">
        <f t="shared" si="8"/>
        <v>0</v>
      </c>
      <c r="I154" s="105"/>
    </row>
    <row r="155" spans="2:11">
      <c r="B155" s="12"/>
      <c r="C155" s="2" t="s">
        <v>785</v>
      </c>
      <c r="D155" s="134">
        <v>0</v>
      </c>
      <c r="E155" s="3" t="s">
        <v>138</v>
      </c>
      <c r="F155" s="85">
        <v>30000</v>
      </c>
      <c r="G155" s="104"/>
      <c r="H155" s="85">
        <f t="shared" ref="H155" si="10">F155*D155</f>
        <v>0</v>
      </c>
      <c r="I155" s="105"/>
    </row>
    <row r="156" spans="2:11">
      <c r="B156" s="12"/>
      <c r="C156" s="2" t="s">
        <v>556</v>
      </c>
      <c r="D156" s="134">
        <v>1</v>
      </c>
      <c r="E156" s="3" t="s">
        <v>119</v>
      </c>
      <c r="F156" s="85">
        <v>25000</v>
      </c>
      <c r="G156" s="104"/>
      <c r="H156" s="85">
        <f t="shared" si="8"/>
        <v>25000</v>
      </c>
      <c r="I156" s="105"/>
      <c r="K156" t="s">
        <v>557</v>
      </c>
    </row>
    <row r="157" spans="2:11">
      <c r="B157" s="12"/>
      <c r="C157" s="2" t="s">
        <v>249</v>
      </c>
      <c r="D157" s="134">
        <v>5</v>
      </c>
      <c r="E157" s="3" t="s">
        <v>113</v>
      </c>
      <c r="F157" s="85">
        <v>65000</v>
      </c>
      <c r="G157" s="104"/>
      <c r="H157" s="85">
        <f t="shared" si="8"/>
        <v>325000</v>
      </c>
      <c r="I157" s="105"/>
      <c r="K157" t="s">
        <v>786</v>
      </c>
    </row>
    <row r="158" spans="2:11">
      <c r="B158" s="12"/>
      <c r="C158" s="2" t="s">
        <v>385</v>
      </c>
      <c r="D158" s="134">
        <v>0</v>
      </c>
      <c r="E158" s="3" t="s">
        <v>138</v>
      </c>
      <c r="F158" s="85">
        <v>20000</v>
      </c>
      <c r="G158" s="104"/>
      <c r="H158" s="85">
        <f t="shared" si="8"/>
        <v>0</v>
      </c>
      <c r="I158" s="105"/>
    </row>
    <row r="159" spans="2:11">
      <c r="B159" s="12"/>
      <c r="C159" s="419" t="s">
        <v>949</v>
      </c>
      <c r="D159" s="423">
        <v>1</v>
      </c>
      <c r="E159" s="424" t="s">
        <v>119</v>
      </c>
      <c r="F159" s="421">
        <v>67510</v>
      </c>
      <c r="G159" s="422"/>
      <c r="H159" s="421">
        <f t="shared" si="8"/>
        <v>67510</v>
      </c>
      <c r="I159" s="105"/>
    </row>
    <row r="160" spans="2:11">
      <c r="B160" s="12"/>
      <c r="C160" s="2" t="s">
        <v>766</v>
      </c>
      <c r="D160" s="134">
        <v>4</v>
      </c>
      <c r="E160" s="3" t="s">
        <v>138</v>
      </c>
      <c r="F160" s="85">
        <v>40000</v>
      </c>
      <c r="G160" s="104"/>
      <c r="H160" s="85">
        <f t="shared" ref="H160" si="11">F160*D160</f>
        <v>160000</v>
      </c>
      <c r="I160" s="105"/>
    </row>
    <row r="161" spans="2:13">
      <c r="B161" s="12"/>
      <c r="C161" s="2" t="s">
        <v>135</v>
      </c>
      <c r="D161" s="134">
        <v>4</v>
      </c>
      <c r="E161" s="3" t="s">
        <v>138</v>
      </c>
      <c r="F161" s="85">
        <v>10750</v>
      </c>
      <c r="G161" s="104"/>
      <c r="H161" s="85">
        <f t="shared" si="8"/>
        <v>43000</v>
      </c>
      <c r="I161" s="105"/>
    </row>
    <row r="162" spans="2:13">
      <c r="B162" s="12"/>
      <c r="C162" s="2" t="s">
        <v>379</v>
      </c>
      <c r="D162" s="134">
        <v>0</v>
      </c>
      <c r="E162" s="3" t="s">
        <v>138</v>
      </c>
      <c r="F162" s="85">
        <v>0</v>
      </c>
      <c r="G162" s="104"/>
      <c r="H162" s="85">
        <f t="shared" si="8"/>
        <v>0</v>
      </c>
      <c r="I162" s="105"/>
    </row>
    <row r="163" spans="2:13">
      <c r="B163" s="12"/>
      <c r="C163" s="2" t="s">
        <v>380</v>
      </c>
      <c r="D163" s="134">
        <v>4</v>
      </c>
      <c r="E163" s="3" t="s">
        <v>138</v>
      </c>
      <c r="F163" s="85">
        <v>74100</v>
      </c>
      <c r="G163" s="104"/>
      <c r="H163" s="85">
        <f t="shared" si="8"/>
        <v>296400</v>
      </c>
      <c r="I163" s="105"/>
    </row>
    <row r="164" spans="2:13">
      <c r="B164" s="12"/>
      <c r="C164" s="2" t="s">
        <v>381</v>
      </c>
      <c r="D164" s="134">
        <v>2</v>
      </c>
      <c r="E164" s="3" t="s">
        <v>138</v>
      </c>
      <c r="F164" s="85">
        <v>21800</v>
      </c>
      <c r="G164" s="104"/>
      <c r="H164" s="85">
        <f t="shared" si="3"/>
        <v>43600</v>
      </c>
      <c r="I164" s="105"/>
    </row>
    <row r="165" spans="2:13">
      <c r="B165" s="12"/>
      <c r="C165" s="2" t="s">
        <v>777</v>
      </c>
      <c r="D165" s="134">
        <v>1</v>
      </c>
      <c r="E165" s="3" t="s">
        <v>138</v>
      </c>
      <c r="F165" s="85">
        <v>60000</v>
      </c>
      <c r="G165" s="104"/>
      <c r="H165" s="85">
        <f t="shared" si="3"/>
        <v>60000</v>
      </c>
      <c r="I165" s="105"/>
      <c r="K165" t="s">
        <v>778</v>
      </c>
    </row>
    <row r="166" spans="2:13">
      <c r="B166" s="12"/>
      <c r="C166" s="2" t="s">
        <v>134</v>
      </c>
      <c r="D166" s="134">
        <v>1748</v>
      </c>
      <c r="E166" s="3" t="s">
        <v>125</v>
      </c>
      <c r="F166" s="85">
        <v>17</v>
      </c>
      <c r="G166" s="104"/>
      <c r="H166" s="85">
        <f t="shared" si="3"/>
        <v>29716</v>
      </c>
      <c r="I166" s="105"/>
    </row>
    <row r="167" spans="2:13">
      <c r="B167" s="12"/>
      <c r="C167" s="2" t="s">
        <v>253</v>
      </c>
      <c r="D167" s="134">
        <v>1</v>
      </c>
      <c r="E167" s="3" t="s">
        <v>337</v>
      </c>
      <c r="F167" s="85">
        <v>20000</v>
      </c>
      <c r="G167" s="104"/>
      <c r="H167" s="85">
        <f t="shared" si="3"/>
        <v>20000</v>
      </c>
      <c r="I167" s="105"/>
      <c r="K167" t="s">
        <v>338</v>
      </c>
    </row>
    <row r="168" spans="2:13" ht="15.75">
      <c r="B168" s="94" t="s">
        <v>605</v>
      </c>
      <c r="C168" s="81"/>
      <c r="D168" s="132"/>
      <c r="E168" s="83"/>
      <c r="F168" s="84"/>
      <c r="G168" s="84"/>
      <c r="H168" s="110"/>
      <c r="I168" s="93">
        <f>CEILING(SUM(H46:H167),100)</f>
        <v>20960100</v>
      </c>
    </row>
    <row r="169" spans="2:13">
      <c r="B169" s="350"/>
      <c r="C169" s="107"/>
      <c r="D169" s="133"/>
      <c r="E169" s="106"/>
      <c r="F169" s="108"/>
      <c r="G169" s="108"/>
      <c r="H169" s="108"/>
      <c r="I169" s="109"/>
    </row>
    <row r="170" spans="2:13" ht="15.75">
      <c r="B170" s="94" t="s">
        <v>139</v>
      </c>
      <c r="C170" s="81"/>
      <c r="D170" s="132"/>
      <c r="E170" s="83"/>
      <c r="F170" s="84"/>
      <c r="G170" s="84"/>
      <c r="H170" s="84"/>
      <c r="I170" s="93"/>
    </row>
    <row r="171" spans="2:13">
      <c r="B171" s="12" t="s">
        <v>600</v>
      </c>
      <c r="C171" s="2" t="s">
        <v>140</v>
      </c>
      <c r="D171" s="129">
        <f>($I$168*K171)/$F$171</f>
        <v>1497.15</v>
      </c>
      <c r="E171" s="92" t="s">
        <v>141</v>
      </c>
      <c r="F171" s="85">
        <v>840</v>
      </c>
      <c r="G171" s="104"/>
      <c r="H171" s="85">
        <f>F171*D171</f>
        <v>1257606</v>
      </c>
      <c r="I171" s="105"/>
      <c r="K171" s="384">
        <v>0.06</v>
      </c>
      <c r="L171" s="383" t="s">
        <v>719</v>
      </c>
      <c r="M171" s="308"/>
    </row>
    <row r="172" spans="2:13">
      <c r="B172" s="12" t="s">
        <v>601</v>
      </c>
      <c r="C172" s="2" t="s">
        <v>142</v>
      </c>
      <c r="D172" s="129">
        <f>($I$168*K172)/$F$172</f>
        <v>157.20075</v>
      </c>
      <c r="E172" s="92" t="s">
        <v>136</v>
      </c>
      <c r="F172" s="85">
        <v>2000</v>
      </c>
      <c r="G172" s="104"/>
      <c r="H172" s="85">
        <f>F172*D172</f>
        <v>314401.5</v>
      </c>
      <c r="I172" s="105"/>
      <c r="K172" s="429">
        <v>1.4999999999999999E-2</v>
      </c>
      <c r="L172" s="383" t="s">
        <v>720</v>
      </c>
      <c r="M172" s="308"/>
    </row>
    <row r="173" spans="2:13" ht="15.75">
      <c r="B173" s="94" t="s">
        <v>143</v>
      </c>
      <c r="C173" s="81"/>
      <c r="D173" s="132"/>
      <c r="E173" s="83"/>
      <c r="F173" s="84"/>
      <c r="G173" s="84"/>
      <c r="H173" s="110"/>
      <c r="I173" s="93">
        <f>CEILING(SUM(H171:H172),100)</f>
        <v>1572100</v>
      </c>
    </row>
    <row r="174" spans="2:13">
      <c r="B174" s="350"/>
      <c r="C174" s="107"/>
      <c r="D174" s="133"/>
      <c r="E174" s="106"/>
      <c r="F174" s="108"/>
      <c r="G174" s="108"/>
      <c r="H174" s="108"/>
      <c r="I174" s="109"/>
    </row>
    <row r="175" spans="2:13" ht="15.75">
      <c r="B175" s="94" t="s">
        <v>144</v>
      </c>
      <c r="C175" s="81"/>
      <c r="D175" s="132"/>
      <c r="E175" s="83"/>
      <c r="F175" s="84"/>
      <c r="G175" s="84"/>
      <c r="H175" s="84"/>
      <c r="I175" s="93"/>
    </row>
    <row r="176" spans="2:13">
      <c r="B176" s="347"/>
      <c r="C176" s="114" t="s">
        <v>145</v>
      </c>
      <c r="D176" s="137"/>
      <c r="E176" s="348"/>
      <c r="F176" s="115"/>
      <c r="G176" s="116"/>
      <c r="H176" s="115"/>
      <c r="I176" s="117"/>
    </row>
    <row r="177" spans="2:11">
      <c r="B177" s="12" t="s">
        <v>602</v>
      </c>
      <c r="C177" s="2" t="s">
        <v>872</v>
      </c>
      <c r="D177" s="134">
        <v>17770</v>
      </c>
      <c r="E177" s="3" t="s">
        <v>125</v>
      </c>
      <c r="F177" s="85">
        <v>120</v>
      </c>
      <c r="G177" s="104"/>
      <c r="H177" s="85">
        <f>F177*D177</f>
        <v>2132400</v>
      </c>
      <c r="I177" s="105"/>
      <c r="K177" t="s">
        <v>788</v>
      </c>
    </row>
    <row r="178" spans="2:11">
      <c r="B178" s="12" t="s">
        <v>602</v>
      </c>
      <c r="C178" s="2" t="s">
        <v>873</v>
      </c>
      <c r="D178" s="134">
        <v>0</v>
      </c>
      <c r="E178" s="3" t="s">
        <v>125</v>
      </c>
      <c r="F178" s="85">
        <v>124</v>
      </c>
      <c r="G178" s="104"/>
      <c r="H178" s="85">
        <f>F178*D178</f>
        <v>0</v>
      </c>
      <c r="I178" s="105"/>
      <c r="K178" t="s">
        <v>787</v>
      </c>
    </row>
    <row r="179" spans="2:11">
      <c r="B179" s="12" t="s">
        <v>602</v>
      </c>
      <c r="C179" s="227" t="s">
        <v>874</v>
      </c>
      <c r="D179" s="225">
        <v>120</v>
      </c>
      <c r="E179" s="3" t="s">
        <v>125</v>
      </c>
      <c r="F179" s="85">
        <v>112</v>
      </c>
      <c r="G179" s="104"/>
      <c r="H179" s="85">
        <f>F179*D179</f>
        <v>13440</v>
      </c>
      <c r="I179" s="105"/>
      <c r="K179" t="s">
        <v>789</v>
      </c>
    </row>
    <row r="180" spans="2:11">
      <c r="B180" s="347"/>
      <c r="C180" s="114" t="s">
        <v>147</v>
      </c>
      <c r="D180" s="137"/>
      <c r="E180" s="348"/>
      <c r="F180" s="115"/>
      <c r="G180" s="116"/>
      <c r="H180" s="115"/>
      <c r="I180" s="117"/>
    </row>
    <row r="181" spans="2:11">
      <c r="B181" s="12" t="s">
        <v>602</v>
      </c>
      <c r="C181" s="2" t="s">
        <v>875</v>
      </c>
      <c r="D181" s="134">
        <v>20</v>
      </c>
      <c r="E181" s="3" t="s">
        <v>138</v>
      </c>
      <c r="F181" s="85">
        <v>1500</v>
      </c>
      <c r="G181" s="104"/>
      <c r="H181" s="85">
        <f>F181*D181</f>
        <v>30000</v>
      </c>
      <c r="I181" s="105"/>
    </row>
    <row r="182" spans="2:11">
      <c r="B182" s="12" t="s">
        <v>602</v>
      </c>
      <c r="C182" s="2" t="s">
        <v>876</v>
      </c>
      <c r="D182" s="134">
        <v>20</v>
      </c>
      <c r="E182" s="3" t="s">
        <v>138</v>
      </c>
      <c r="F182" s="85">
        <v>8029</v>
      </c>
      <c r="G182" s="104"/>
      <c r="H182" s="85">
        <f>F182*D182</f>
        <v>160580</v>
      </c>
      <c r="I182" s="105"/>
    </row>
    <row r="183" spans="2:11">
      <c r="B183" s="347"/>
      <c r="C183" s="114" t="s">
        <v>196</v>
      </c>
      <c r="D183" s="137"/>
      <c r="E183" s="348"/>
      <c r="F183" s="115"/>
      <c r="G183" s="116"/>
      <c r="H183" s="115"/>
      <c r="I183" s="117"/>
    </row>
    <row r="184" spans="2:11">
      <c r="B184" s="12" t="s">
        <v>603</v>
      </c>
      <c r="C184" s="2" t="s">
        <v>877</v>
      </c>
      <c r="D184" s="134">
        <v>4</v>
      </c>
      <c r="E184" s="3" t="s">
        <v>138</v>
      </c>
      <c r="F184" s="85">
        <v>44300</v>
      </c>
      <c r="G184" s="104"/>
      <c r="H184" s="85">
        <f>F184*D184</f>
        <v>177200</v>
      </c>
      <c r="I184" s="105"/>
    </row>
    <row r="185" spans="2:11">
      <c r="B185" s="12" t="s">
        <v>603</v>
      </c>
      <c r="C185" s="2" t="s">
        <v>878</v>
      </c>
      <c r="D185" s="134">
        <v>0</v>
      </c>
      <c r="E185" s="3" t="s">
        <v>138</v>
      </c>
      <c r="F185" s="85">
        <v>0</v>
      </c>
      <c r="G185" s="104"/>
      <c r="H185" s="85">
        <f>F185*D185</f>
        <v>0</v>
      </c>
      <c r="I185" s="105"/>
    </row>
    <row r="186" spans="2:11">
      <c r="B186" s="12" t="s">
        <v>603</v>
      </c>
      <c r="C186" s="2" t="s">
        <v>879</v>
      </c>
      <c r="D186" s="134">
        <v>0</v>
      </c>
      <c r="E186" s="3" t="s">
        <v>138</v>
      </c>
      <c r="F186" s="85">
        <v>0</v>
      </c>
      <c r="G186" s="104"/>
      <c r="H186" s="85">
        <f>F186*D186</f>
        <v>0</v>
      </c>
      <c r="I186" s="105"/>
    </row>
    <row r="187" spans="2:11">
      <c r="B187" s="12" t="s">
        <v>603</v>
      </c>
      <c r="C187" s="2" t="s">
        <v>880</v>
      </c>
      <c r="D187" s="134">
        <v>1</v>
      </c>
      <c r="E187" s="3" t="s">
        <v>138</v>
      </c>
      <c r="F187" s="85">
        <v>252030</v>
      </c>
      <c r="G187" s="104"/>
      <c r="H187" s="85">
        <f>F187*D187</f>
        <v>252030</v>
      </c>
      <c r="I187" s="105"/>
    </row>
    <row r="188" spans="2:11">
      <c r="B188" s="347"/>
      <c r="C188" s="114" t="s">
        <v>158</v>
      </c>
      <c r="D188" s="137" t="s">
        <v>7</v>
      </c>
      <c r="E188" s="348" t="s">
        <v>7</v>
      </c>
      <c r="F188" s="115" t="s">
        <v>7</v>
      </c>
      <c r="G188" s="116"/>
      <c r="H188" s="115" t="s">
        <v>7</v>
      </c>
      <c r="I188" s="117"/>
    </row>
    <row r="189" spans="2:11">
      <c r="B189" s="12"/>
      <c r="C189" s="2" t="s">
        <v>790</v>
      </c>
      <c r="D189" s="134">
        <v>1</v>
      </c>
      <c r="E189" s="3" t="s">
        <v>138</v>
      </c>
      <c r="F189" s="85">
        <v>20000</v>
      </c>
      <c r="G189" s="104"/>
      <c r="H189" s="85">
        <f t="shared" ref="H189:H194" si="12">F189*D189</f>
        <v>20000</v>
      </c>
      <c r="I189" s="105"/>
      <c r="K189" t="s">
        <v>791</v>
      </c>
    </row>
    <row r="190" spans="2:11">
      <c r="B190" s="12"/>
      <c r="C190" s="2" t="s">
        <v>555</v>
      </c>
      <c r="D190" s="134">
        <f>D146</f>
        <v>1</v>
      </c>
      <c r="E190" s="3" t="s">
        <v>138</v>
      </c>
      <c r="F190" s="85">
        <v>45000</v>
      </c>
      <c r="G190" s="104"/>
      <c r="H190" s="85">
        <f t="shared" si="12"/>
        <v>45000</v>
      </c>
      <c r="I190" s="105"/>
      <c r="K190" t="s">
        <v>551</v>
      </c>
    </row>
    <row r="191" spans="2:11">
      <c r="B191" s="12"/>
      <c r="C191" s="2" t="s">
        <v>682</v>
      </c>
      <c r="D191" s="134">
        <v>1</v>
      </c>
      <c r="E191" s="3" t="s">
        <v>138</v>
      </c>
      <c r="F191" s="85">
        <v>75000</v>
      </c>
      <c r="G191" s="104"/>
      <c r="H191" s="85">
        <f t="shared" si="12"/>
        <v>75000</v>
      </c>
      <c r="I191" s="105"/>
      <c r="K191" t="s">
        <v>683</v>
      </c>
    </row>
    <row r="192" spans="2:11">
      <c r="B192" s="12" t="s">
        <v>603</v>
      </c>
      <c r="C192" s="2" t="s">
        <v>400</v>
      </c>
      <c r="D192" s="134">
        <v>1748</v>
      </c>
      <c r="E192" s="3" t="s">
        <v>125</v>
      </c>
      <c r="F192" s="85">
        <v>170</v>
      </c>
      <c r="G192" s="104"/>
      <c r="H192" s="85">
        <f t="shared" si="12"/>
        <v>297160</v>
      </c>
      <c r="I192" s="105"/>
      <c r="K192" t="s">
        <v>792</v>
      </c>
    </row>
    <row r="193" spans="2:16">
      <c r="B193" s="12" t="s">
        <v>602</v>
      </c>
      <c r="C193" s="2" t="s">
        <v>149</v>
      </c>
      <c r="D193" s="134">
        <v>1</v>
      </c>
      <c r="E193" s="92" t="s">
        <v>105</v>
      </c>
      <c r="F193" s="112">
        <f>SUM(H176:H192)*0.1</f>
        <v>320281</v>
      </c>
      <c r="G193" s="104"/>
      <c r="H193" s="85">
        <f t="shared" si="12"/>
        <v>320281</v>
      </c>
      <c r="I193" s="105"/>
    </row>
    <row r="194" spans="2:16">
      <c r="B194" s="12" t="s">
        <v>602</v>
      </c>
      <c r="C194" s="2" t="s">
        <v>793</v>
      </c>
      <c r="D194" s="134">
        <v>1</v>
      </c>
      <c r="E194" s="92" t="s">
        <v>105</v>
      </c>
      <c r="F194" s="112">
        <f>SUM(H176:H193)*0.11</f>
        <v>387540.01</v>
      </c>
      <c r="G194" s="104"/>
      <c r="H194" s="85">
        <f t="shared" si="12"/>
        <v>387540.01</v>
      </c>
      <c r="I194" s="105"/>
    </row>
    <row r="195" spans="2:16" ht="16.5" thickBot="1">
      <c r="B195" s="94" t="s">
        <v>150</v>
      </c>
      <c r="C195" s="82"/>
      <c r="D195" s="132"/>
      <c r="E195" s="83"/>
      <c r="F195" s="87"/>
      <c r="G195" s="87"/>
      <c r="H195" s="111"/>
      <c r="I195" s="101">
        <f>CEILING(SUM(H176:H194),100)</f>
        <v>3910700</v>
      </c>
    </row>
    <row r="196" spans="2:16" ht="16.5" thickBot="1">
      <c r="B196" s="536" t="s">
        <v>151</v>
      </c>
      <c r="C196" s="537"/>
      <c r="D196" s="537"/>
      <c r="E196" s="537"/>
      <c r="F196" s="537"/>
      <c r="G196" s="537"/>
      <c r="H196" s="538"/>
      <c r="I196" s="103">
        <f>SUM(I7,I26,I43,I168,I173,I195)</f>
        <v>30047700</v>
      </c>
    </row>
    <row r="197" spans="2:16" ht="15.75" thickBot="1">
      <c r="B197" s="534" t="s">
        <v>153</v>
      </c>
      <c r="C197" s="535"/>
      <c r="D197" s="166">
        <f>'Master Tab'!C29</f>
        <v>0</v>
      </c>
      <c r="E197" s="167" t="s">
        <v>159</v>
      </c>
      <c r="F197" s="168">
        <f>'Master Tab'!C30</f>
        <v>2.5000000000000001E-2</v>
      </c>
      <c r="G197" s="97"/>
      <c r="H197" s="102"/>
      <c r="I197" s="95">
        <f>CEILING(-(FV(F197,D197,0,SUM(I195,I43,I26,I7),1))-(SUM(I195,I43,I26,I7)),100)+CEILING(-(FV(F197,D197+1,0,SUM(I173,I168),1))-(SUM(I173,I168)),100)</f>
        <v>563400</v>
      </c>
      <c r="K197" s="506"/>
      <c r="L197" s="506"/>
      <c r="M197" s="506"/>
      <c r="N197" s="506"/>
      <c r="O197" s="506"/>
      <c r="P197" s="506"/>
    </row>
    <row r="198" spans="2:16" ht="15.75" thickBot="1">
      <c r="B198" s="532" t="s">
        <v>152</v>
      </c>
      <c r="C198" s="533"/>
      <c r="D198" s="138"/>
      <c r="E198" s="100"/>
      <c r="F198" s="169">
        <f>'Master Tab'!C31</f>
        <v>0.15</v>
      </c>
      <c r="G198" s="88"/>
      <c r="H198" s="102"/>
      <c r="I198" s="98">
        <f>CEILING((I196)*F198,100)</f>
        <v>4507200</v>
      </c>
    </row>
    <row r="199" spans="2:16" ht="19.5" thickBot="1">
      <c r="B199" s="529" t="s">
        <v>154</v>
      </c>
      <c r="C199" s="530"/>
      <c r="D199" s="530"/>
      <c r="E199" s="530"/>
      <c r="F199" s="530"/>
      <c r="G199" s="530"/>
      <c r="H199" s="531"/>
      <c r="I199" s="96">
        <f>SUM(I196:I198)</f>
        <v>35118300</v>
      </c>
    </row>
    <row r="200" spans="2:16">
      <c r="B200" s="1" t="s">
        <v>7</v>
      </c>
      <c r="C200" s="228" t="s">
        <v>7</v>
      </c>
    </row>
    <row r="201" spans="2:16">
      <c r="B201" s="1" t="s">
        <v>7</v>
      </c>
      <c r="C201" s="228" t="s">
        <v>7</v>
      </c>
      <c r="H201" s="86" t="s">
        <v>155</v>
      </c>
      <c r="I201" s="86">
        <f>I199/D45</f>
        <v>1976.2689926842993</v>
      </c>
    </row>
    <row r="202" spans="2:16">
      <c r="H202" s="86" t="s">
        <v>156</v>
      </c>
      <c r="I202" s="86">
        <f>I199/(D45/5280)</f>
        <v>10434700.2813731</v>
      </c>
    </row>
  </sheetData>
  <sheetProtection formatCells="0" formatColumns="0" formatRows="0" insertColumns="0" insertRows="0" deleteColumns="0" deleteRows="0"/>
  <protectedRanges>
    <protectedRange algorithmName="SHA-512" hashValue="IbmNoH/XH9GZlitwFdFY+V3LGy1xQ3NuyVDz7GZtIth0KYgNC0Qiwte8wkicOU0jJryaYhOoqvkAD5QQLEfb1g==" saltValue="AzvUTwuISd6SY3rDKW9o1w==" spinCount="100000" sqref="B198:XFD1048576 D197:XFD197 B25:XFD28 A1:XFD9 B168:XFD170 A166:A188 L166:XFD167 B193:XFD196 A192:A1048576 A10:J10 N10:XFD10 B173:XFD176 B171:J172 N171:XFD172 A189:B191 A25:A118 L46:XFD118 B43:XFD44 B29:C42 G29:XFD42 B45:C45 E45:XFD45 B192 B177:B188 G177:XFD192 A11:XFD24" name="Range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TgN2v4D1fCFeftgjUK9pEnAKUNQeBvGTEn7HgMYP3TgK+Lnb8CEJvr9mDUM9krxFyvgX1rqREi6Bj66egkIy9w==" saltValue="VQoFCzDNmxNbXYp+WTQXog==" spinCount="100000" sqref="B197:C197" name="Range1_1" securityDescriptor="O:WDG:WDD:(A;;CC;;;S-1-5-21-577582919-1435025626-1914702595-3940917)(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L119:XFD165 A119:A165" name="Range1_2"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B46:J46 K46:K52 K54:K55 K63:K65 K68:K69 K76:K77 B146:B148 B71 K82:K83 K144:K145 K57 B72:C145 K136:K142 B149:C167 B47:C70 G47:J55 G76:J84 G71:K75 G85:K135 G57:J58 G56:K56 G63:J70 G136:J145 G149:K167 G59:K62" name="Range1_4_2"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C146:C148" name="Range1_4_1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C71" name="Range1_5"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G146:K148" name="Range1_6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K10:M10 K171:M172" name="Range1_1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D29:F42" name="Range1_3"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D45" name="Range1_4"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D85:F145 D149:F167 D47:F83" name="Range1_4_2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D146:F148" name="Range1_6_1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D84:F84" name="Range1_7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C177:F192" name="Range1_6"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s>
  <mergeCells count="9">
    <mergeCell ref="K4:Q4"/>
    <mergeCell ref="C2:G2"/>
    <mergeCell ref="C1:G1"/>
    <mergeCell ref="K3:Q3"/>
    <mergeCell ref="B199:H199"/>
    <mergeCell ref="B198:C198"/>
    <mergeCell ref="B197:C197"/>
    <mergeCell ref="B196:H196"/>
    <mergeCell ref="K197:P197"/>
  </mergeCells>
  <pageMargins left="0.7" right="0.7" top="0.75" bottom="0.75" header="0.3" footer="0.3"/>
  <pageSetup scale="63" fitToHeight="0" orientation="landscape" r:id="rId1"/>
  <headerFooter>
    <oddHeader>&amp;R&amp;"Times New Roman,Bold"&amp;10KyPSC Case No. 2025-00229
STAFF-DR-01-005(b) Attachment 3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A3D28-F13D-4AB0-BB4F-185A52944F34}">
  <sheetPr>
    <tabColor rgb="FFFFFF00"/>
  </sheetPr>
  <dimension ref="B1:Q207"/>
  <sheetViews>
    <sheetView view="pageLayout" topLeftCell="E1" zoomScaleNormal="100" workbookViewId="0">
      <selection activeCell="E24" sqref="E24"/>
    </sheetView>
  </sheetViews>
  <sheetFormatPr defaultRowHeight="15"/>
  <cols>
    <col min="1" max="1" width="9.140625" customWidth="1"/>
    <col min="2" max="2" width="14.85546875" style="1" customWidth="1"/>
    <col min="3" max="3" width="41.85546875" style="228" customWidth="1"/>
    <col min="4" max="4" width="11.5703125" style="139" customWidth="1"/>
    <col min="5" max="5" width="17.85546875" style="1" customWidth="1"/>
    <col min="6" max="6" width="13" style="86" customWidth="1"/>
    <col min="7" max="7" width="0.85546875" style="86" customWidth="1"/>
    <col min="8" max="8" width="16.28515625" style="86" customWidth="1"/>
    <col min="9" max="9" width="21.140625" style="86" customWidth="1"/>
    <col min="10" max="10" width="3.7109375" customWidth="1"/>
  </cols>
  <sheetData>
    <row r="1" spans="2:17" ht="23.25">
      <c r="B1" s="119"/>
      <c r="C1" s="528" t="str">
        <f>'Master Tab'!$C$8</f>
        <v>Line AM07 Phase 3</v>
      </c>
      <c r="D1" s="528"/>
      <c r="E1" s="528"/>
      <c r="F1" s="528"/>
      <c r="G1" s="528"/>
      <c r="H1" s="120"/>
      <c r="I1" s="121"/>
    </row>
    <row r="2" spans="2:17" ht="19.5" thickBot="1">
      <c r="B2" s="345">
        <f>'Master Tab'!$C$9</f>
        <v>45427</v>
      </c>
      <c r="C2" s="527" t="str">
        <f>'Master Tab'!$C$28</f>
        <v>24''</v>
      </c>
      <c r="D2" s="527"/>
      <c r="E2" s="527"/>
      <c r="F2" s="527"/>
      <c r="G2" s="527"/>
      <c r="H2" s="122" t="s">
        <v>94</v>
      </c>
      <c r="I2" s="123" t="str">
        <f>'Master Tab'!$C$6</f>
        <v>F-Initiate 60% Refresh</v>
      </c>
    </row>
    <row r="3" spans="2:17" ht="15.75" thickBot="1">
      <c r="B3" s="125" t="s">
        <v>95</v>
      </c>
      <c r="C3" s="124" t="s">
        <v>96</v>
      </c>
      <c r="D3" s="131" t="s">
        <v>97</v>
      </c>
      <c r="E3" s="125" t="s">
        <v>98</v>
      </c>
      <c r="F3" s="126" t="s">
        <v>99</v>
      </c>
      <c r="G3" s="126"/>
      <c r="H3" s="126" t="s">
        <v>177</v>
      </c>
      <c r="I3" s="126" t="s">
        <v>100</v>
      </c>
      <c r="K3" s="506" t="s">
        <v>101</v>
      </c>
      <c r="L3" s="506"/>
      <c r="M3" s="506"/>
      <c r="N3" s="506"/>
      <c r="O3" s="506"/>
      <c r="P3" s="506"/>
      <c r="Q3" s="506"/>
    </row>
    <row r="4" spans="2:17" ht="15.75">
      <c r="B4" s="94" t="s">
        <v>102</v>
      </c>
      <c r="C4" s="226"/>
      <c r="D4" s="132"/>
      <c r="E4" s="83"/>
      <c r="F4" s="84"/>
      <c r="G4" s="84"/>
      <c r="H4" s="84"/>
      <c r="I4" s="93"/>
      <c r="K4" s="526" t="s">
        <v>157</v>
      </c>
      <c r="L4" s="526"/>
      <c r="M4" s="526"/>
      <c r="N4" s="526"/>
      <c r="O4" s="526"/>
      <c r="P4" s="526"/>
      <c r="Q4" s="526"/>
    </row>
    <row r="5" spans="2:17">
      <c r="B5" s="12" t="s">
        <v>593</v>
      </c>
      <c r="C5" s="2" t="s">
        <v>73</v>
      </c>
      <c r="D5" s="129">
        <f>'Master Tab'!$C$17</f>
        <v>40</v>
      </c>
      <c r="E5" s="92" t="s">
        <v>320</v>
      </c>
      <c r="F5" s="85">
        <v>3000</v>
      </c>
      <c r="G5" s="104" t="s">
        <v>7</v>
      </c>
      <c r="H5" s="85">
        <f>CEILING(F5*D5,100)</f>
        <v>120000</v>
      </c>
      <c r="I5" s="105"/>
    </row>
    <row r="6" spans="2:17">
      <c r="B6" s="12" t="s">
        <v>594</v>
      </c>
      <c r="C6" s="2" t="s">
        <v>104</v>
      </c>
      <c r="D6" s="129">
        <f>'Master Tab'!$C$17</f>
        <v>40</v>
      </c>
      <c r="E6" s="92" t="s">
        <v>320</v>
      </c>
      <c r="F6" s="85">
        <v>500</v>
      </c>
      <c r="G6" s="104" t="s">
        <v>7</v>
      </c>
      <c r="H6" s="85">
        <f>CEILING(F6*D6,100)</f>
        <v>20000</v>
      </c>
      <c r="I6" s="105"/>
      <c r="K6" t="s">
        <v>339</v>
      </c>
    </row>
    <row r="7" spans="2:17" ht="15.75">
      <c r="B7" s="94" t="s">
        <v>106</v>
      </c>
      <c r="C7" s="81"/>
      <c r="D7" s="132"/>
      <c r="E7" s="83"/>
      <c r="F7" s="84"/>
      <c r="G7" s="84"/>
      <c r="H7" s="84"/>
      <c r="I7" s="93">
        <f>CEILING(SUM(H5:H6),100)</f>
        <v>140000</v>
      </c>
    </row>
    <row r="8" spans="2:17" ht="8.25" customHeight="1">
      <c r="B8" s="350"/>
      <c r="C8" s="107"/>
      <c r="D8" s="133"/>
      <c r="E8" s="106"/>
      <c r="F8" s="108"/>
      <c r="G8" s="108"/>
      <c r="H8" s="108"/>
      <c r="I8" s="109"/>
    </row>
    <row r="9" spans="2:17" ht="15.75">
      <c r="B9" s="94" t="s">
        <v>107</v>
      </c>
      <c r="C9" s="81"/>
      <c r="D9" s="132"/>
      <c r="E9" s="83"/>
      <c r="F9" s="84"/>
      <c r="G9" s="84"/>
      <c r="H9" s="84"/>
      <c r="I9" s="93"/>
    </row>
    <row r="10" spans="2:17">
      <c r="B10" s="12" t="s">
        <v>565</v>
      </c>
      <c r="C10" s="419" t="s">
        <v>960</v>
      </c>
      <c r="D10" s="129">
        <v>1</v>
      </c>
      <c r="E10" s="420" t="s">
        <v>119</v>
      </c>
      <c r="F10" s="421">
        <v>142830</v>
      </c>
      <c r="G10" s="422"/>
      <c r="H10" s="421">
        <f t="shared" ref="H10:H26" si="0">F10*D10</f>
        <v>142830</v>
      </c>
      <c r="I10" s="105"/>
      <c r="K10" s="384">
        <v>0</v>
      </c>
      <c r="L10" s="383" t="s">
        <v>717</v>
      </c>
      <c r="M10" s="308"/>
    </row>
    <row r="11" spans="2:17">
      <c r="B11" s="12" t="s">
        <v>566</v>
      </c>
      <c r="C11" s="2" t="s">
        <v>567</v>
      </c>
      <c r="D11" s="129">
        <f>((($I$44+$I$171+$I$200)*K10)/F11)*0.011</f>
        <v>0</v>
      </c>
      <c r="E11" s="92" t="s">
        <v>103</v>
      </c>
      <c r="F11" s="85">
        <v>125</v>
      </c>
      <c r="G11" s="104"/>
      <c r="H11" s="85">
        <f t="shared" si="0"/>
        <v>0</v>
      </c>
      <c r="I11" s="105"/>
    </row>
    <row r="12" spans="2:17">
      <c r="B12" s="12" t="s">
        <v>568</v>
      </c>
      <c r="C12" s="2" t="s">
        <v>569</v>
      </c>
      <c r="D12" s="129">
        <f>((($I$44+$I$171+$I$200)*K10)/F12)*0.043</f>
        <v>0</v>
      </c>
      <c r="E12" s="92" t="s">
        <v>103</v>
      </c>
      <c r="F12" s="85">
        <v>125</v>
      </c>
      <c r="G12" s="104"/>
      <c r="H12" s="85">
        <f t="shared" si="0"/>
        <v>0</v>
      </c>
      <c r="I12" s="105"/>
    </row>
    <row r="13" spans="2:17">
      <c r="B13" s="12" t="s">
        <v>570</v>
      </c>
      <c r="C13" s="2" t="s">
        <v>571</v>
      </c>
      <c r="D13" s="129">
        <f>((($I$44+$I$171+$I$200)*K10)/F13)*0.002</f>
        <v>0</v>
      </c>
      <c r="E13" s="92" t="s">
        <v>103</v>
      </c>
      <c r="F13" s="85">
        <v>125</v>
      </c>
      <c r="G13" s="104"/>
      <c r="H13" s="85">
        <f t="shared" si="0"/>
        <v>0</v>
      </c>
      <c r="I13" s="105"/>
    </row>
    <row r="14" spans="2:17">
      <c r="B14" s="12" t="s">
        <v>572</v>
      </c>
      <c r="C14" s="2" t="s">
        <v>573</v>
      </c>
      <c r="D14" s="129">
        <f>((($I$44+$I$171+$I$200)*K10)/F14)*0.007</f>
        <v>0</v>
      </c>
      <c r="E14" s="92" t="s">
        <v>103</v>
      </c>
      <c r="F14" s="85">
        <v>125</v>
      </c>
      <c r="G14" s="104"/>
      <c r="H14" s="85">
        <f t="shared" si="0"/>
        <v>0</v>
      </c>
      <c r="I14" s="105"/>
    </row>
    <row r="15" spans="2:17">
      <c r="B15" s="12" t="s">
        <v>574</v>
      </c>
      <c r="C15" s="2" t="s">
        <v>575</v>
      </c>
      <c r="D15" s="129">
        <f>((($I$44+$I$171+$I$200)*K10)/F15)*0.112</f>
        <v>0</v>
      </c>
      <c r="E15" s="92" t="s">
        <v>103</v>
      </c>
      <c r="F15" s="85">
        <v>125</v>
      </c>
      <c r="G15" s="104"/>
      <c r="H15" s="85">
        <f t="shared" si="0"/>
        <v>0</v>
      </c>
      <c r="I15" s="105"/>
    </row>
    <row r="16" spans="2:17">
      <c r="B16" s="12" t="s">
        <v>576</v>
      </c>
      <c r="C16" s="2" t="s">
        <v>577</v>
      </c>
      <c r="D16" s="129">
        <f>((($I$44+$I$171+$I$200)*K10)/F16)*0.046</f>
        <v>0</v>
      </c>
      <c r="E16" s="92" t="s">
        <v>103</v>
      </c>
      <c r="F16" s="85">
        <v>125</v>
      </c>
      <c r="G16" s="104"/>
      <c r="H16" s="85">
        <f t="shared" si="0"/>
        <v>0</v>
      </c>
      <c r="I16" s="105"/>
    </row>
    <row r="17" spans="2:13">
      <c r="B17" s="12" t="s">
        <v>578</v>
      </c>
      <c r="C17" s="2" t="s">
        <v>604</v>
      </c>
      <c r="D17" s="129">
        <f>((($I$44+$I$171+$I$200)*K10)/F17)*0.04</f>
        <v>0</v>
      </c>
      <c r="E17" s="92" t="s">
        <v>103</v>
      </c>
      <c r="F17" s="85">
        <v>125</v>
      </c>
      <c r="G17" s="104"/>
      <c r="H17" s="85">
        <f t="shared" si="0"/>
        <v>0</v>
      </c>
      <c r="I17" s="105"/>
    </row>
    <row r="18" spans="2:13">
      <c r="B18" s="12" t="s">
        <v>579</v>
      </c>
      <c r="C18" s="2" t="s">
        <v>580</v>
      </c>
      <c r="D18" s="129">
        <f>((($I$44+$I$171+$I$200)*K10)/F18)*0.055</f>
        <v>0</v>
      </c>
      <c r="E18" s="92" t="s">
        <v>103</v>
      </c>
      <c r="F18" s="85">
        <v>125</v>
      </c>
      <c r="G18" s="104"/>
      <c r="H18" s="85">
        <f t="shared" si="0"/>
        <v>0</v>
      </c>
      <c r="I18" s="105"/>
    </row>
    <row r="19" spans="2:13">
      <c r="B19" s="12" t="s">
        <v>586</v>
      </c>
      <c r="C19" s="2" t="s">
        <v>108</v>
      </c>
      <c r="D19" s="129">
        <f>((($I$44+$I$171+$I$200)*K10)/F19)*0.092</f>
        <v>0</v>
      </c>
      <c r="E19" s="92" t="s">
        <v>103</v>
      </c>
      <c r="F19" s="85">
        <v>125</v>
      </c>
      <c r="G19" s="104"/>
      <c r="H19" s="85">
        <f t="shared" si="0"/>
        <v>0</v>
      </c>
      <c r="I19" s="105"/>
    </row>
    <row r="20" spans="2:13">
      <c r="B20" s="12" t="s">
        <v>587</v>
      </c>
      <c r="C20" s="2" t="s">
        <v>109</v>
      </c>
      <c r="D20" s="129">
        <f>((($I$44+$I$171+$I$200)*K10)/F20)*0</f>
        <v>0</v>
      </c>
      <c r="E20" s="92" t="s">
        <v>103</v>
      </c>
      <c r="F20" s="85">
        <v>125</v>
      </c>
      <c r="G20" s="104"/>
      <c r="H20" s="85">
        <f t="shared" si="0"/>
        <v>0</v>
      </c>
      <c r="I20" s="105"/>
    </row>
    <row r="21" spans="2:13">
      <c r="B21" s="12" t="s">
        <v>588</v>
      </c>
      <c r="C21" s="2" t="s">
        <v>581</v>
      </c>
      <c r="D21" s="129">
        <f>((($I$44+$I$171+$I$200)*K10)/F21)*0.002</f>
        <v>0</v>
      </c>
      <c r="E21" s="92" t="s">
        <v>103</v>
      </c>
      <c r="F21" s="85">
        <v>125</v>
      </c>
      <c r="G21" s="104"/>
      <c r="H21" s="85">
        <f t="shared" si="0"/>
        <v>0</v>
      </c>
      <c r="I21" s="105"/>
    </row>
    <row r="22" spans="2:13">
      <c r="B22" s="12" t="s">
        <v>589</v>
      </c>
      <c r="C22" s="2" t="s">
        <v>582</v>
      </c>
      <c r="D22" s="129">
        <f>((($I$44+$I$171+$I$200)*K10)/F22)*0.017</f>
        <v>0</v>
      </c>
      <c r="E22" s="92" t="s">
        <v>103</v>
      </c>
      <c r="F22" s="85">
        <v>125</v>
      </c>
      <c r="G22" s="104"/>
      <c r="H22" s="85">
        <f t="shared" si="0"/>
        <v>0</v>
      </c>
      <c r="I22" s="105"/>
    </row>
    <row r="23" spans="2:13">
      <c r="B23" s="12" t="s">
        <v>590</v>
      </c>
      <c r="C23" s="2" t="s">
        <v>583</v>
      </c>
      <c r="D23" s="129">
        <f>((($I$44+$I$171+$I$200)*K10)/F23)*0.13</f>
        <v>0</v>
      </c>
      <c r="E23" s="92" t="s">
        <v>103</v>
      </c>
      <c r="F23" s="85">
        <v>125</v>
      </c>
      <c r="G23" s="104"/>
      <c r="H23" s="85">
        <f t="shared" si="0"/>
        <v>0</v>
      </c>
      <c r="I23" s="105"/>
    </row>
    <row r="24" spans="2:13">
      <c r="B24" s="12" t="s">
        <v>591</v>
      </c>
      <c r="C24" s="2" t="s">
        <v>584</v>
      </c>
      <c r="D24" s="129">
        <f>((($I$44+$I$171+$I$200)*K10)/F24)*0.42</f>
        <v>0</v>
      </c>
      <c r="E24" s="92" t="s">
        <v>103</v>
      </c>
      <c r="F24" s="85">
        <v>125</v>
      </c>
      <c r="G24" s="104"/>
      <c r="H24" s="85">
        <f t="shared" si="0"/>
        <v>0</v>
      </c>
      <c r="I24" s="105"/>
    </row>
    <row r="25" spans="2:13">
      <c r="B25" s="12" t="s">
        <v>591</v>
      </c>
      <c r="C25" s="2" t="s">
        <v>585</v>
      </c>
      <c r="D25" s="129">
        <f>((($I$44+$I$171+$I$200)*K10)/F25)*0.012</f>
        <v>0</v>
      </c>
      <c r="E25" s="92" t="s">
        <v>103</v>
      </c>
      <c r="F25" s="85">
        <v>125</v>
      </c>
      <c r="G25" s="104"/>
      <c r="H25" s="85">
        <f t="shared" si="0"/>
        <v>0</v>
      </c>
      <c r="I25" s="105"/>
    </row>
    <row r="26" spans="2:13">
      <c r="B26" s="12" t="s">
        <v>592</v>
      </c>
      <c r="C26" s="2" t="s">
        <v>110</v>
      </c>
      <c r="D26" s="136">
        <v>0</v>
      </c>
      <c r="E26" s="165" t="s">
        <v>119</v>
      </c>
      <c r="F26" s="85">
        <v>0</v>
      </c>
      <c r="G26" s="104"/>
      <c r="H26" s="85">
        <f t="shared" si="0"/>
        <v>0</v>
      </c>
      <c r="I26" s="105"/>
      <c r="K26" t="s">
        <v>206</v>
      </c>
    </row>
    <row r="27" spans="2:13" ht="15.75">
      <c r="B27" s="94" t="s">
        <v>111</v>
      </c>
      <c r="C27" s="81"/>
      <c r="D27" s="132"/>
      <c r="E27" s="83"/>
      <c r="F27" s="84"/>
      <c r="G27" s="84"/>
      <c r="H27" s="110"/>
      <c r="I27" s="93">
        <f>CEILING(SUM(H10:H26),100)</f>
        <v>142900</v>
      </c>
    </row>
    <row r="28" spans="2:13" ht="8.25" customHeight="1">
      <c r="B28" s="350"/>
      <c r="C28" s="107"/>
      <c r="D28" s="133"/>
      <c r="E28" s="106"/>
      <c r="F28" s="108"/>
      <c r="G28" s="108"/>
      <c r="H28" s="108"/>
      <c r="I28" s="109"/>
    </row>
    <row r="29" spans="2:13" ht="15.75">
      <c r="B29" s="94" t="s">
        <v>112</v>
      </c>
      <c r="C29" s="81"/>
      <c r="D29" s="132"/>
      <c r="E29" s="83"/>
      <c r="F29" s="84"/>
      <c r="G29" s="84"/>
      <c r="H29" s="84"/>
      <c r="I29" s="93"/>
    </row>
    <row r="30" spans="2:13">
      <c r="B30" s="12" t="s">
        <v>595</v>
      </c>
      <c r="C30" s="2" t="s">
        <v>350</v>
      </c>
      <c r="D30" s="134">
        <v>0</v>
      </c>
      <c r="E30" s="3" t="s">
        <v>113</v>
      </c>
      <c r="F30" s="85">
        <v>60000</v>
      </c>
      <c r="G30" s="104"/>
      <c r="H30" s="85">
        <f t="shared" ref="H30:H43" si="1">CEILING(F30*D30,100)</f>
        <v>0</v>
      </c>
      <c r="I30" s="105"/>
      <c r="M30" t="s">
        <v>7</v>
      </c>
    </row>
    <row r="31" spans="2:13">
      <c r="B31" s="12" t="s">
        <v>595</v>
      </c>
      <c r="C31" s="2" t="s">
        <v>351</v>
      </c>
      <c r="D31" s="134">
        <v>0</v>
      </c>
      <c r="E31" s="3" t="s">
        <v>113</v>
      </c>
      <c r="F31" s="85">
        <v>0</v>
      </c>
      <c r="G31" s="104"/>
      <c r="H31" s="85">
        <f t="shared" si="1"/>
        <v>0</v>
      </c>
      <c r="I31" s="105"/>
      <c r="K31" t="s">
        <v>362</v>
      </c>
    </row>
    <row r="32" spans="2:13">
      <c r="B32" s="12" t="s">
        <v>596</v>
      </c>
      <c r="C32" s="2" t="s">
        <v>352</v>
      </c>
      <c r="D32" s="414">
        <v>0.3</v>
      </c>
      <c r="E32" s="3" t="s">
        <v>113</v>
      </c>
      <c r="F32" s="112">
        <f>F30*1.2</f>
        <v>72000</v>
      </c>
      <c r="G32" s="104"/>
      <c r="H32" s="85">
        <f t="shared" si="1"/>
        <v>21600</v>
      </c>
      <c r="I32" s="105"/>
    </row>
    <row r="33" spans="2:12">
      <c r="B33" s="12" t="s">
        <v>596</v>
      </c>
      <c r="C33" s="2" t="s">
        <v>355</v>
      </c>
      <c r="D33" s="134">
        <v>0</v>
      </c>
      <c r="E33" s="3" t="s">
        <v>113</v>
      </c>
      <c r="F33" s="112">
        <f>F31*1.2</f>
        <v>0</v>
      </c>
      <c r="G33" s="104"/>
      <c r="H33" s="85">
        <f t="shared" si="1"/>
        <v>0</v>
      </c>
      <c r="I33" s="105"/>
    </row>
    <row r="34" spans="2:12">
      <c r="B34" s="12" t="s">
        <v>596</v>
      </c>
      <c r="C34" s="2" t="s">
        <v>353</v>
      </c>
      <c r="D34" s="134">
        <v>0</v>
      </c>
      <c r="E34" s="3" t="s">
        <v>113</v>
      </c>
      <c r="F34" s="112">
        <f>F30*1.4</f>
        <v>84000</v>
      </c>
      <c r="G34" s="104"/>
      <c r="H34" s="85">
        <f t="shared" si="1"/>
        <v>0</v>
      </c>
      <c r="I34" s="105"/>
    </row>
    <row r="35" spans="2:12">
      <c r="B35" s="12" t="s">
        <v>596</v>
      </c>
      <c r="C35" s="2" t="s">
        <v>356</v>
      </c>
      <c r="D35" s="134">
        <v>0</v>
      </c>
      <c r="E35" s="3" t="s">
        <v>113</v>
      </c>
      <c r="F35" s="112">
        <f>F31*1.4</f>
        <v>0</v>
      </c>
      <c r="G35" s="104"/>
      <c r="H35" s="85">
        <f t="shared" si="1"/>
        <v>0</v>
      </c>
      <c r="I35" s="105"/>
    </row>
    <row r="36" spans="2:12">
      <c r="B36" s="12" t="s">
        <v>592</v>
      </c>
      <c r="C36" s="2" t="s">
        <v>364</v>
      </c>
      <c r="D36" s="414">
        <v>0.5</v>
      </c>
      <c r="E36" s="3" t="s">
        <v>113</v>
      </c>
      <c r="F36" s="112">
        <f>F30*0.25</f>
        <v>15000</v>
      </c>
      <c r="G36" s="104"/>
      <c r="H36" s="85">
        <f t="shared" si="1"/>
        <v>7500</v>
      </c>
      <c r="I36" s="105"/>
    </row>
    <row r="37" spans="2:12">
      <c r="B37" s="12" t="s">
        <v>592</v>
      </c>
      <c r="C37" s="2" t="s">
        <v>365</v>
      </c>
      <c r="D37" s="134">
        <v>0</v>
      </c>
      <c r="E37" s="3" t="s">
        <v>113</v>
      </c>
      <c r="F37" s="112">
        <f>F31*0.25</f>
        <v>0</v>
      </c>
      <c r="G37" s="104"/>
      <c r="H37" s="85">
        <f t="shared" si="1"/>
        <v>0</v>
      </c>
      <c r="I37" s="105"/>
    </row>
    <row r="38" spans="2:12">
      <c r="B38" s="12" t="s">
        <v>597</v>
      </c>
      <c r="C38" s="2" t="s">
        <v>321</v>
      </c>
      <c r="D38" s="134">
        <v>1</v>
      </c>
      <c r="E38" s="3" t="s">
        <v>138</v>
      </c>
      <c r="F38" s="85">
        <v>10000</v>
      </c>
      <c r="G38" s="104"/>
      <c r="H38" s="85">
        <f t="shared" si="1"/>
        <v>10000</v>
      </c>
      <c r="I38" s="105"/>
    </row>
    <row r="39" spans="2:12">
      <c r="B39" s="12" t="s">
        <v>592</v>
      </c>
      <c r="C39" s="2" t="s">
        <v>322</v>
      </c>
      <c r="D39" s="134">
        <v>0</v>
      </c>
      <c r="E39" s="3" t="s">
        <v>349</v>
      </c>
      <c r="F39" s="85">
        <v>4200</v>
      </c>
      <c r="G39" s="104"/>
      <c r="H39" s="85">
        <f t="shared" si="1"/>
        <v>0</v>
      </c>
      <c r="I39" s="105"/>
      <c r="K39" t="s">
        <v>348</v>
      </c>
    </row>
    <row r="40" spans="2:12">
      <c r="B40" s="12" t="s">
        <v>598</v>
      </c>
      <c r="C40" s="2" t="s">
        <v>360</v>
      </c>
      <c r="D40" s="129">
        <v>0</v>
      </c>
      <c r="E40" s="3" t="s">
        <v>114</v>
      </c>
      <c r="F40" s="85">
        <v>3250</v>
      </c>
      <c r="G40" s="104"/>
      <c r="H40" s="85">
        <f t="shared" si="1"/>
        <v>0</v>
      </c>
      <c r="I40" s="105"/>
      <c r="K40" t="s">
        <v>407</v>
      </c>
    </row>
    <row r="41" spans="2:12">
      <c r="B41" s="12" t="s">
        <v>598</v>
      </c>
      <c r="C41" s="2" t="s">
        <v>406</v>
      </c>
      <c r="D41" s="134">
        <v>0</v>
      </c>
      <c r="E41" s="3" t="s">
        <v>113</v>
      </c>
      <c r="F41" s="85">
        <v>0</v>
      </c>
      <c r="G41" s="104"/>
      <c r="H41" s="85">
        <f t="shared" si="1"/>
        <v>0</v>
      </c>
      <c r="I41" s="105"/>
      <c r="K41" t="s">
        <v>361</v>
      </c>
    </row>
    <row r="42" spans="2:12">
      <c r="B42" s="12" t="s">
        <v>599</v>
      </c>
      <c r="C42" s="419" t="s">
        <v>918</v>
      </c>
      <c r="D42" s="423">
        <v>1</v>
      </c>
      <c r="E42" s="424" t="s">
        <v>119</v>
      </c>
      <c r="F42" s="421">
        <v>10000</v>
      </c>
      <c r="G42" s="422"/>
      <c r="H42" s="421">
        <f t="shared" si="1"/>
        <v>10000</v>
      </c>
      <c r="I42" s="105"/>
    </row>
    <row r="43" spans="2:12">
      <c r="B43" s="12" t="s">
        <v>599</v>
      </c>
      <c r="C43" s="2" t="s">
        <v>115</v>
      </c>
      <c r="D43" s="129">
        <v>0</v>
      </c>
      <c r="E43" s="92" t="s">
        <v>114</v>
      </c>
      <c r="F43" s="85">
        <v>30000</v>
      </c>
      <c r="G43" s="104"/>
      <c r="H43" s="85">
        <f t="shared" si="1"/>
        <v>0</v>
      </c>
      <c r="I43" s="105"/>
      <c r="K43" t="s">
        <v>250</v>
      </c>
    </row>
    <row r="44" spans="2:12" ht="15.75">
      <c r="B44" s="94" t="s">
        <v>116</v>
      </c>
      <c r="C44" s="81"/>
      <c r="D44" s="132"/>
      <c r="E44" s="83"/>
      <c r="F44" s="84"/>
      <c r="G44" s="110"/>
      <c r="H44" s="84"/>
      <c r="I44" s="93">
        <f>SUM(H30:H43)</f>
        <v>49100</v>
      </c>
    </row>
    <row r="45" spans="2:12" ht="8.25" customHeight="1">
      <c r="B45" s="350"/>
      <c r="C45" s="107"/>
      <c r="D45" s="133"/>
      <c r="E45" s="106"/>
      <c r="F45" s="108"/>
      <c r="G45" s="108"/>
      <c r="H45" s="108"/>
      <c r="I45" s="109"/>
    </row>
    <row r="46" spans="2:12" ht="15.75">
      <c r="B46" s="94" t="s">
        <v>117</v>
      </c>
      <c r="C46" s="81"/>
      <c r="D46" s="135">
        <v>548</v>
      </c>
      <c r="E46" s="90" t="s">
        <v>118</v>
      </c>
      <c r="F46" s="91"/>
      <c r="G46" s="84"/>
      <c r="H46" s="84"/>
      <c r="I46" s="93"/>
    </row>
    <row r="47" spans="2:12">
      <c r="B47" s="12">
        <v>820</v>
      </c>
      <c r="C47" s="2" t="s">
        <v>120</v>
      </c>
      <c r="D47" s="136">
        <v>1</v>
      </c>
      <c r="E47" s="92" t="s">
        <v>119</v>
      </c>
      <c r="F47" s="112">
        <f>(SUM(H48:H170)*K47)</f>
        <v>63273.3</v>
      </c>
      <c r="G47" s="104"/>
      <c r="H47" s="85">
        <f>F47*D47</f>
        <v>63273.3</v>
      </c>
      <c r="I47" s="105"/>
      <c r="K47" s="113">
        <v>0.1</v>
      </c>
      <c r="L47" t="s">
        <v>121</v>
      </c>
    </row>
    <row r="48" spans="2:12">
      <c r="B48" s="12">
        <v>821</v>
      </c>
      <c r="C48" s="2" t="s">
        <v>213</v>
      </c>
      <c r="D48" s="134">
        <v>1</v>
      </c>
      <c r="E48" s="3" t="s">
        <v>225</v>
      </c>
      <c r="F48" s="85">
        <v>40250</v>
      </c>
      <c r="G48" s="104"/>
      <c r="H48" s="85">
        <f t="shared" ref="H48:H170" si="2">F48*D48</f>
        <v>40250</v>
      </c>
      <c r="I48" s="105"/>
      <c r="K48" t="s">
        <v>326</v>
      </c>
    </row>
    <row r="49" spans="2:12">
      <c r="B49" s="12">
        <v>821</v>
      </c>
      <c r="C49" s="2" t="s">
        <v>214</v>
      </c>
      <c r="D49" s="134">
        <v>1</v>
      </c>
      <c r="E49" s="3" t="s">
        <v>225</v>
      </c>
      <c r="F49" s="85">
        <v>39900</v>
      </c>
      <c r="G49" s="104"/>
      <c r="H49" s="85">
        <f t="shared" si="2"/>
        <v>39900</v>
      </c>
      <c r="I49" s="105"/>
      <c r="K49" t="s">
        <v>325</v>
      </c>
    </row>
    <row r="50" spans="2:12">
      <c r="B50" s="12">
        <v>829</v>
      </c>
      <c r="C50" s="2" t="s">
        <v>964</v>
      </c>
      <c r="D50" s="134">
        <v>548</v>
      </c>
      <c r="E50" s="3" t="s">
        <v>125</v>
      </c>
      <c r="F50" s="85">
        <v>285</v>
      </c>
      <c r="G50" s="104"/>
      <c r="H50" s="85">
        <f t="shared" si="2"/>
        <v>156180</v>
      </c>
      <c r="I50" s="105"/>
      <c r="L50" t="s">
        <v>7</v>
      </c>
    </row>
    <row r="51" spans="2:12">
      <c r="B51" s="12">
        <v>829</v>
      </c>
      <c r="C51" s="2" t="s">
        <v>965</v>
      </c>
      <c r="D51" s="134">
        <v>79</v>
      </c>
      <c r="E51" s="3" t="s">
        <v>125</v>
      </c>
      <c r="F51" s="85">
        <v>260</v>
      </c>
      <c r="G51" s="104"/>
      <c r="H51" s="85">
        <f t="shared" si="2"/>
        <v>20540</v>
      </c>
      <c r="I51" s="105"/>
      <c r="K51" t="s">
        <v>760</v>
      </c>
    </row>
    <row r="52" spans="2:12">
      <c r="B52" s="12">
        <v>830</v>
      </c>
      <c r="C52" s="2" t="s">
        <v>131</v>
      </c>
      <c r="D52" s="134">
        <v>0</v>
      </c>
      <c r="E52" s="3" t="s">
        <v>125</v>
      </c>
      <c r="F52" s="85">
        <v>360</v>
      </c>
      <c r="G52" s="104"/>
      <c r="H52" s="85">
        <f t="shared" si="2"/>
        <v>0</v>
      </c>
      <c r="I52" s="105"/>
    </row>
    <row r="53" spans="2:12">
      <c r="B53" s="12">
        <v>825</v>
      </c>
      <c r="C53" s="2" t="s">
        <v>126</v>
      </c>
      <c r="D53" s="134">
        <v>0</v>
      </c>
      <c r="E53" s="3" t="s">
        <v>125</v>
      </c>
      <c r="F53" s="85">
        <v>0</v>
      </c>
      <c r="G53" s="104"/>
      <c r="H53" s="85">
        <f t="shared" si="2"/>
        <v>0</v>
      </c>
      <c r="I53" s="105"/>
    </row>
    <row r="54" spans="2:12">
      <c r="B54" s="12">
        <v>826</v>
      </c>
      <c r="C54" s="2" t="s">
        <v>127</v>
      </c>
      <c r="D54" s="134">
        <v>0</v>
      </c>
      <c r="E54" s="3" t="s">
        <v>125</v>
      </c>
      <c r="F54" s="85">
        <v>0</v>
      </c>
      <c r="G54" s="104"/>
      <c r="H54" s="85">
        <f t="shared" si="2"/>
        <v>0</v>
      </c>
      <c r="I54" s="105"/>
    </row>
    <row r="55" spans="2:12">
      <c r="B55" s="12">
        <v>827</v>
      </c>
      <c r="C55" s="2" t="s">
        <v>128</v>
      </c>
      <c r="D55" s="134">
        <v>0</v>
      </c>
      <c r="E55" s="3" t="s">
        <v>125</v>
      </c>
      <c r="F55" s="85">
        <v>0</v>
      </c>
      <c r="G55" s="104"/>
      <c r="H55" s="85">
        <f t="shared" si="2"/>
        <v>0</v>
      </c>
      <c r="I55" s="105"/>
      <c r="K55" t="s">
        <v>258</v>
      </c>
    </row>
    <row r="56" spans="2:12">
      <c r="B56" s="12">
        <v>828</v>
      </c>
      <c r="C56" s="2" t="s">
        <v>129</v>
      </c>
      <c r="D56" s="134">
        <v>0</v>
      </c>
      <c r="E56" s="3" t="s">
        <v>125</v>
      </c>
      <c r="F56" s="85">
        <v>1140</v>
      </c>
      <c r="G56" s="104"/>
      <c r="H56" s="85">
        <f>F56*D56</f>
        <v>0</v>
      </c>
      <c r="I56" s="105"/>
      <c r="K56" t="s">
        <v>258</v>
      </c>
    </row>
    <row r="57" spans="2:12">
      <c r="B57" s="12">
        <v>828</v>
      </c>
      <c r="C57" s="2" t="s">
        <v>721</v>
      </c>
      <c r="D57" s="134">
        <v>0</v>
      </c>
      <c r="E57" s="3" t="s">
        <v>125</v>
      </c>
      <c r="F57" s="85">
        <v>170</v>
      </c>
      <c r="G57" s="104"/>
      <c r="H57" s="85">
        <f>F57*D57</f>
        <v>0</v>
      </c>
      <c r="I57" s="105"/>
      <c r="K57" t="s">
        <v>761</v>
      </c>
    </row>
    <row r="58" spans="2:12">
      <c r="B58" s="12">
        <v>822</v>
      </c>
      <c r="C58" s="2" t="s">
        <v>215</v>
      </c>
      <c r="D58" s="134">
        <v>0</v>
      </c>
      <c r="E58" s="3" t="s">
        <v>167</v>
      </c>
      <c r="F58" s="85">
        <v>0</v>
      </c>
      <c r="G58" s="104"/>
      <c r="H58" s="85">
        <f>F58*D58</f>
        <v>0</v>
      </c>
      <c r="I58" s="105"/>
    </row>
    <row r="59" spans="2:12">
      <c r="B59" s="12">
        <v>822</v>
      </c>
      <c r="C59" s="2" t="s">
        <v>216</v>
      </c>
      <c r="D59" s="134">
        <v>0</v>
      </c>
      <c r="E59" s="3" t="s">
        <v>167</v>
      </c>
      <c r="F59" s="85">
        <v>275</v>
      </c>
      <c r="G59" s="104"/>
      <c r="H59" s="85">
        <f>F59*D59</f>
        <v>0</v>
      </c>
      <c r="I59" s="105"/>
    </row>
    <row r="60" spans="2:12">
      <c r="B60" s="12">
        <v>829</v>
      </c>
      <c r="C60" s="2" t="s">
        <v>765</v>
      </c>
      <c r="D60" s="134">
        <v>0</v>
      </c>
      <c r="E60" s="3" t="s">
        <v>138</v>
      </c>
      <c r="F60" s="85">
        <v>0</v>
      </c>
      <c r="G60" s="104"/>
      <c r="H60" s="85">
        <f t="shared" ref="H60:H63" si="3">F60*D60</f>
        <v>0</v>
      </c>
      <c r="I60" s="105"/>
    </row>
    <row r="61" spans="2:12">
      <c r="B61" s="12">
        <v>829</v>
      </c>
      <c r="C61" s="2" t="s">
        <v>767</v>
      </c>
      <c r="D61" s="134">
        <v>0</v>
      </c>
      <c r="E61" s="3" t="s">
        <v>125</v>
      </c>
      <c r="F61" s="85">
        <v>0</v>
      </c>
      <c r="G61" s="104"/>
      <c r="H61" s="85">
        <f t="shared" si="3"/>
        <v>0</v>
      </c>
      <c r="I61" s="105"/>
    </row>
    <row r="62" spans="2:12">
      <c r="B62" s="12">
        <v>829</v>
      </c>
      <c r="C62" s="2" t="s">
        <v>815</v>
      </c>
      <c r="D62" s="134">
        <v>0</v>
      </c>
      <c r="E62" s="3" t="s">
        <v>138</v>
      </c>
      <c r="F62" s="85">
        <v>18000</v>
      </c>
      <c r="G62" s="104"/>
      <c r="H62" s="85">
        <f t="shared" si="3"/>
        <v>0</v>
      </c>
      <c r="I62" s="105"/>
    </row>
    <row r="63" spans="2:12">
      <c r="B63" s="12">
        <v>829</v>
      </c>
      <c r="C63" s="2" t="s">
        <v>762</v>
      </c>
      <c r="D63" s="134">
        <v>0</v>
      </c>
      <c r="E63" s="3" t="s">
        <v>138</v>
      </c>
      <c r="F63" s="85">
        <v>54139</v>
      </c>
      <c r="G63" s="104"/>
      <c r="H63" s="85">
        <f t="shared" si="3"/>
        <v>0</v>
      </c>
      <c r="I63" s="105"/>
      <c r="K63" t="s">
        <v>764</v>
      </c>
    </row>
    <row r="64" spans="2:12">
      <c r="B64" s="12">
        <v>829</v>
      </c>
      <c r="C64" s="2" t="s">
        <v>217</v>
      </c>
      <c r="D64" s="134">
        <v>0</v>
      </c>
      <c r="E64" s="3" t="s">
        <v>622</v>
      </c>
      <c r="F64" s="85">
        <v>40</v>
      </c>
      <c r="G64" s="104"/>
      <c r="H64" s="85">
        <f t="shared" si="2"/>
        <v>0</v>
      </c>
      <c r="I64" s="105"/>
      <c r="K64" t="s">
        <v>763</v>
      </c>
    </row>
    <row r="65" spans="2:11">
      <c r="B65" s="12">
        <v>829</v>
      </c>
      <c r="C65" s="2" t="s">
        <v>218</v>
      </c>
      <c r="D65" s="134">
        <v>0</v>
      </c>
      <c r="E65" s="3" t="s">
        <v>125</v>
      </c>
      <c r="F65" s="85">
        <v>0</v>
      </c>
      <c r="G65" s="104"/>
      <c r="H65" s="85">
        <f t="shared" si="2"/>
        <v>0</v>
      </c>
      <c r="I65" s="105"/>
      <c r="K65" t="s">
        <v>374</v>
      </c>
    </row>
    <row r="66" spans="2:11">
      <c r="B66" s="12">
        <v>829</v>
      </c>
      <c r="C66" s="2" t="s">
        <v>219</v>
      </c>
      <c r="D66" s="134">
        <v>0</v>
      </c>
      <c r="E66" s="3" t="s">
        <v>125</v>
      </c>
      <c r="F66" s="85">
        <v>0</v>
      </c>
      <c r="G66" s="104"/>
      <c r="H66" s="85">
        <f t="shared" si="2"/>
        <v>0</v>
      </c>
      <c r="I66" s="105"/>
      <c r="K66" t="s">
        <v>687</v>
      </c>
    </row>
    <row r="67" spans="2:11">
      <c r="B67" s="12">
        <v>829</v>
      </c>
      <c r="C67" s="2" t="s">
        <v>610</v>
      </c>
      <c r="D67" s="134">
        <v>0</v>
      </c>
      <c r="E67" s="3" t="s">
        <v>167</v>
      </c>
      <c r="F67" s="85">
        <v>0</v>
      </c>
      <c r="G67" s="104"/>
      <c r="H67" s="85">
        <f t="shared" si="2"/>
        <v>0</v>
      </c>
      <c r="I67" s="105"/>
      <c r="K67" t="s">
        <v>688</v>
      </c>
    </row>
    <row r="68" spans="2:11">
      <c r="B68" s="12">
        <v>822</v>
      </c>
      <c r="C68" s="2" t="s">
        <v>220</v>
      </c>
      <c r="D68" s="134">
        <v>0</v>
      </c>
      <c r="E68" s="3" t="s">
        <v>125</v>
      </c>
      <c r="F68" s="85">
        <v>20</v>
      </c>
      <c r="G68" s="104"/>
      <c r="H68" s="85">
        <f t="shared" si="2"/>
        <v>0</v>
      </c>
      <c r="I68" s="105"/>
      <c r="K68" t="s">
        <v>373</v>
      </c>
    </row>
    <row r="69" spans="2:11">
      <c r="B69" s="12">
        <v>831</v>
      </c>
      <c r="C69" s="2" t="s">
        <v>221</v>
      </c>
      <c r="D69" s="134">
        <v>0</v>
      </c>
      <c r="E69" s="3" t="s">
        <v>138</v>
      </c>
      <c r="F69" s="85">
        <v>0</v>
      </c>
      <c r="G69" s="104"/>
      <c r="H69" s="85">
        <f t="shared" si="2"/>
        <v>0</v>
      </c>
      <c r="I69" s="105"/>
      <c r="K69" t="s">
        <v>694</v>
      </c>
    </row>
    <row r="70" spans="2:11">
      <c r="B70" s="12">
        <v>831</v>
      </c>
      <c r="C70" s="2" t="s">
        <v>222</v>
      </c>
      <c r="D70" s="134">
        <v>0</v>
      </c>
      <c r="E70" s="3" t="s">
        <v>138</v>
      </c>
      <c r="F70" s="85">
        <v>0</v>
      </c>
      <c r="G70" s="104"/>
      <c r="H70" s="85">
        <f t="shared" si="2"/>
        <v>0</v>
      </c>
      <c r="I70" s="105"/>
      <c r="K70" t="s">
        <v>695</v>
      </c>
    </row>
    <row r="71" spans="2:11">
      <c r="B71" s="12">
        <v>831</v>
      </c>
      <c r="C71" s="2" t="s">
        <v>223</v>
      </c>
      <c r="D71" s="134">
        <v>0</v>
      </c>
      <c r="E71" s="3" t="s">
        <v>125</v>
      </c>
      <c r="F71" s="85">
        <v>0</v>
      </c>
      <c r="G71" s="104"/>
      <c r="H71" s="85">
        <f t="shared" si="2"/>
        <v>0</v>
      </c>
      <c r="I71" s="105"/>
      <c r="K71" t="s">
        <v>688</v>
      </c>
    </row>
    <row r="72" spans="2:11">
      <c r="B72" s="12">
        <v>837</v>
      </c>
      <c r="C72" s="2" t="s">
        <v>549</v>
      </c>
      <c r="D72" s="134">
        <v>0</v>
      </c>
      <c r="E72" s="3" t="s">
        <v>125</v>
      </c>
      <c r="F72" s="85">
        <v>19</v>
      </c>
      <c r="G72" s="104"/>
      <c r="H72" s="85">
        <f t="shared" si="2"/>
        <v>0</v>
      </c>
      <c r="I72" s="105"/>
      <c r="K72" t="s">
        <v>689</v>
      </c>
    </row>
    <row r="73" spans="2:11">
      <c r="B73" s="12">
        <v>837</v>
      </c>
      <c r="C73" s="2" t="s">
        <v>224</v>
      </c>
      <c r="D73" s="134">
        <v>0</v>
      </c>
      <c r="E73" s="3" t="s">
        <v>138</v>
      </c>
      <c r="F73" s="85">
        <v>20400</v>
      </c>
      <c r="G73" s="104"/>
      <c r="H73" s="85">
        <f t="shared" si="2"/>
        <v>0</v>
      </c>
      <c r="I73" s="105"/>
      <c r="K73" t="s">
        <v>375</v>
      </c>
    </row>
    <row r="74" spans="2:11">
      <c r="B74" s="12">
        <v>835</v>
      </c>
      <c r="C74" s="2" t="s">
        <v>611</v>
      </c>
      <c r="D74" s="134">
        <v>627</v>
      </c>
      <c r="E74" s="3" t="s">
        <v>125</v>
      </c>
      <c r="F74" s="85">
        <v>14</v>
      </c>
      <c r="G74" s="104"/>
      <c r="H74" s="85">
        <f t="shared" si="2"/>
        <v>8778</v>
      </c>
      <c r="I74" s="105"/>
      <c r="K74" t="s">
        <v>772</v>
      </c>
    </row>
    <row r="75" spans="2:11">
      <c r="B75" s="12">
        <v>833</v>
      </c>
      <c r="C75" s="2" t="s">
        <v>165</v>
      </c>
      <c r="D75" s="134">
        <v>1</v>
      </c>
      <c r="E75" s="3" t="s">
        <v>119</v>
      </c>
      <c r="F75" s="85">
        <v>100000</v>
      </c>
      <c r="G75" s="104"/>
      <c r="H75" s="85">
        <f t="shared" si="2"/>
        <v>100000</v>
      </c>
      <c r="I75" s="105"/>
      <c r="K75" t="s">
        <v>768</v>
      </c>
    </row>
    <row r="76" spans="2:11">
      <c r="B76" s="12">
        <v>833</v>
      </c>
      <c r="C76" s="2" t="s">
        <v>667</v>
      </c>
      <c r="D76" s="134">
        <v>0</v>
      </c>
      <c r="E76" s="3" t="s">
        <v>119</v>
      </c>
      <c r="F76" s="85">
        <v>25000</v>
      </c>
      <c r="G76" s="104"/>
      <c r="H76" s="85">
        <f t="shared" si="2"/>
        <v>0</v>
      </c>
      <c r="I76" s="105"/>
      <c r="K76" t="s">
        <v>389</v>
      </c>
    </row>
    <row r="77" spans="2:11">
      <c r="B77" s="12">
        <v>834</v>
      </c>
      <c r="C77" s="2" t="s">
        <v>133</v>
      </c>
      <c r="D77" s="134">
        <v>1</v>
      </c>
      <c r="E77" s="3" t="s">
        <v>119</v>
      </c>
      <c r="F77" s="85">
        <v>20000</v>
      </c>
      <c r="G77" s="104"/>
      <c r="H77" s="85">
        <f t="shared" si="2"/>
        <v>20000</v>
      </c>
      <c r="I77" s="105"/>
      <c r="K77" t="s">
        <v>769</v>
      </c>
    </row>
    <row r="78" spans="2:11">
      <c r="B78" s="12">
        <v>837</v>
      </c>
      <c r="C78" s="2" t="s">
        <v>612</v>
      </c>
      <c r="D78" s="134">
        <v>0</v>
      </c>
      <c r="E78" s="3" t="s">
        <v>125</v>
      </c>
      <c r="F78" s="85">
        <v>0</v>
      </c>
      <c r="G78" s="104"/>
      <c r="H78" s="85">
        <f t="shared" si="2"/>
        <v>0</v>
      </c>
      <c r="I78" s="105"/>
      <c r="K78" t="s">
        <v>688</v>
      </c>
    </row>
    <row r="79" spans="2:11">
      <c r="B79" s="12">
        <v>837</v>
      </c>
      <c r="C79" s="2" t="s">
        <v>718</v>
      </c>
      <c r="D79" s="134">
        <v>0</v>
      </c>
      <c r="E79" s="3" t="s">
        <v>125</v>
      </c>
      <c r="F79" s="85">
        <v>0</v>
      </c>
      <c r="G79" s="104"/>
      <c r="H79" s="85">
        <f t="shared" si="2"/>
        <v>0</v>
      </c>
      <c r="I79" s="105"/>
      <c r="K79" t="s">
        <v>688</v>
      </c>
    </row>
    <row r="80" spans="2:11">
      <c r="B80" s="12">
        <v>837</v>
      </c>
      <c r="C80" s="2" t="s">
        <v>613</v>
      </c>
      <c r="D80" s="134">
        <v>0</v>
      </c>
      <c r="E80" s="3" t="s">
        <v>125</v>
      </c>
      <c r="F80" s="85">
        <v>0</v>
      </c>
      <c r="G80" s="104"/>
      <c r="H80" s="85">
        <f t="shared" si="2"/>
        <v>0</v>
      </c>
      <c r="I80" s="105"/>
      <c r="K80" t="s">
        <v>688</v>
      </c>
    </row>
    <row r="81" spans="2:11">
      <c r="B81" s="12">
        <v>829</v>
      </c>
      <c r="C81" s="2" t="s">
        <v>614</v>
      </c>
      <c r="D81" s="134">
        <v>1</v>
      </c>
      <c r="E81" s="3" t="s">
        <v>119</v>
      </c>
      <c r="F81" s="85">
        <v>1500</v>
      </c>
      <c r="G81" s="104"/>
      <c r="H81" s="85">
        <f t="shared" si="2"/>
        <v>1500</v>
      </c>
      <c r="I81" s="105"/>
      <c r="K81" t="s">
        <v>770</v>
      </c>
    </row>
    <row r="82" spans="2:11">
      <c r="B82" s="12">
        <v>829</v>
      </c>
      <c r="C82" s="2" t="s">
        <v>615</v>
      </c>
      <c r="D82" s="134">
        <v>0</v>
      </c>
      <c r="E82" s="3" t="s">
        <v>620</v>
      </c>
      <c r="F82" s="85">
        <v>0</v>
      </c>
      <c r="G82" s="104"/>
      <c r="H82" s="85">
        <f t="shared" si="2"/>
        <v>0</v>
      </c>
      <c r="I82" s="105"/>
      <c r="K82" t="s">
        <v>690</v>
      </c>
    </row>
    <row r="83" spans="2:11">
      <c r="B83" s="12">
        <v>829</v>
      </c>
      <c r="C83" s="2" t="s">
        <v>616</v>
      </c>
      <c r="D83" s="134">
        <v>0</v>
      </c>
      <c r="E83" s="3" t="s">
        <v>621</v>
      </c>
      <c r="F83" s="85">
        <v>0</v>
      </c>
      <c r="G83" s="104"/>
      <c r="H83" s="85">
        <f t="shared" si="2"/>
        <v>0</v>
      </c>
      <c r="I83" s="105"/>
      <c r="K83" t="s">
        <v>688</v>
      </c>
    </row>
    <row r="84" spans="2:11">
      <c r="B84" s="12">
        <v>829</v>
      </c>
      <c r="C84" s="2" t="s">
        <v>617</v>
      </c>
      <c r="D84" s="134">
        <v>0</v>
      </c>
      <c r="E84" s="3" t="s">
        <v>138</v>
      </c>
      <c r="F84" s="85">
        <v>0</v>
      </c>
      <c r="G84" s="104"/>
      <c r="H84" s="85">
        <f t="shared" si="2"/>
        <v>0</v>
      </c>
      <c r="I84" s="105"/>
      <c r="K84" t="s">
        <v>688</v>
      </c>
    </row>
    <row r="85" spans="2:11">
      <c r="B85" s="12">
        <v>837</v>
      </c>
      <c r="C85" s="2" t="s">
        <v>618</v>
      </c>
      <c r="D85" s="134">
        <v>1</v>
      </c>
      <c r="E85" s="3" t="s">
        <v>138</v>
      </c>
      <c r="F85" s="85">
        <v>1000</v>
      </c>
      <c r="G85" s="104"/>
      <c r="H85" s="85">
        <f t="shared" si="2"/>
        <v>1000</v>
      </c>
      <c r="I85" s="105"/>
      <c r="K85" t="s">
        <v>771</v>
      </c>
    </row>
    <row r="86" spans="2:11">
      <c r="B86" s="12">
        <v>829</v>
      </c>
      <c r="C86" s="2" t="s">
        <v>619</v>
      </c>
      <c r="D86" s="134">
        <v>0</v>
      </c>
      <c r="E86" s="3" t="s">
        <v>125</v>
      </c>
      <c r="F86" s="85">
        <v>0</v>
      </c>
      <c r="G86" s="104"/>
      <c r="H86" s="85">
        <f t="shared" si="2"/>
        <v>0</v>
      </c>
      <c r="I86" s="105"/>
      <c r="K86" t="s">
        <v>688</v>
      </c>
    </row>
    <row r="87" spans="2:11">
      <c r="B87" s="12">
        <v>630</v>
      </c>
      <c r="C87" s="2" t="s">
        <v>226</v>
      </c>
      <c r="D87" s="134">
        <v>1254</v>
      </c>
      <c r="E87" s="3" t="s">
        <v>125</v>
      </c>
      <c r="F87" s="85">
        <v>16</v>
      </c>
      <c r="G87" s="104"/>
      <c r="H87" s="85">
        <f t="shared" si="2"/>
        <v>20064</v>
      </c>
      <c r="I87" s="105"/>
      <c r="K87" t="s">
        <v>773</v>
      </c>
    </row>
    <row r="88" spans="2:11">
      <c r="B88" s="12">
        <v>630</v>
      </c>
      <c r="C88" s="2" t="s">
        <v>623</v>
      </c>
      <c r="D88" s="134">
        <v>0</v>
      </c>
      <c r="E88" s="3" t="s">
        <v>125</v>
      </c>
      <c r="F88" s="85">
        <v>0</v>
      </c>
      <c r="G88" s="104"/>
      <c r="H88" s="85">
        <f t="shared" si="2"/>
        <v>0</v>
      </c>
      <c r="I88" s="105"/>
      <c r="K88" t="s">
        <v>688</v>
      </c>
    </row>
    <row r="89" spans="2:11">
      <c r="B89" s="12">
        <v>630</v>
      </c>
      <c r="C89" s="2" t="s">
        <v>624</v>
      </c>
      <c r="D89" s="134">
        <v>0</v>
      </c>
      <c r="E89" s="3" t="s">
        <v>125</v>
      </c>
      <c r="F89" s="85">
        <v>0</v>
      </c>
      <c r="G89" s="104"/>
      <c r="H89" s="85">
        <f t="shared" si="2"/>
        <v>0</v>
      </c>
      <c r="I89" s="105"/>
      <c r="K89" t="s">
        <v>688</v>
      </c>
    </row>
    <row r="90" spans="2:11">
      <c r="B90" s="12">
        <v>630</v>
      </c>
      <c r="C90" s="2" t="s">
        <v>227</v>
      </c>
      <c r="D90" s="134">
        <v>0</v>
      </c>
      <c r="E90" s="3" t="s">
        <v>236</v>
      </c>
      <c r="F90" s="85">
        <v>0</v>
      </c>
      <c r="G90" s="104"/>
      <c r="H90" s="85">
        <f t="shared" si="2"/>
        <v>0</v>
      </c>
      <c r="I90" s="105"/>
      <c r="K90" t="s">
        <v>376</v>
      </c>
    </row>
    <row r="91" spans="2:11">
      <c r="B91" s="12">
        <v>630</v>
      </c>
      <c r="C91" s="2" t="s">
        <v>625</v>
      </c>
      <c r="D91" s="134">
        <v>0</v>
      </c>
      <c r="E91" s="3" t="s">
        <v>236</v>
      </c>
      <c r="F91" s="85">
        <v>0</v>
      </c>
      <c r="G91" s="104"/>
      <c r="H91" s="85">
        <f t="shared" si="2"/>
        <v>0</v>
      </c>
      <c r="I91" s="105"/>
      <c r="K91" t="s">
        <v>688</v>
      </c>
    </row>
    <row r="92" spans="2:11">
      <c r="B92" s="12">
        <v>630</v>
      </c>
      <c r="C92" s="2" t="s">
        <v>626</v>
      </c>
      <c r="D92" s="134">
        <v>0</v>
      </c>
      <c r="E92" s="3" t="s">
        <v>236</v>
      </c>
      <c r="F92" s="85">
        <v>0</v>
      </c>
      <c r="G92" s="104"/>
      <c r="H92" s="85">
        <f t="shared" si="2"/>
        <v>0</v>
      </c>
      <c r="I92" s="105"/>
      <c r="K92" t="s">
        <v>688</v>
      </c>
    </row>
    <row r="93" spans="2:11">
      <c r="B93" s="12">
        <v>630</v>
      </c>
      <c r="C93" s="2" t="s">
        <v>627</v>
      </c>
      <c r="D93" s="134">
        <v>0</v>
      </c>
      <c r="E93" s="3" t="s">
        <v>236</v>
      </c>
      <c r="F93" s="85">
        <v>0</v>
      </c>
      <c r="G93" s="104"/>
      <c r="H93" s="85">
        <f t="shared" si="2"/>
        <v>0</v>
      </c>
      <c r="I93" s="105"/>
      <c r="K93" t="s">
        <v>688</v>
      </c>
    </row>
    <row r="94" spans="2:11">
      <c r="B94" s="12">
        <v>630</v>
      </c>
      <c r="C94" s="2" t="s">
        <v>628</v>
      </c>
      <c r="D94" s="134">
        <v>0</v>
      </c>
      <c r="E94" s="3" t="s">
        <v>236</v>
      </c>
      <c r="F94" s="85">
        <v>0</v>
      </c>
      <c r="G94" s="104"/>
      <c r="H94" s="85">
        <f t="shared" si="2"/>
        <v>0</v>
      </c>
      <c r="I94" s="105"/>
      <c r="K94" t="s">
        <v>688</v>
      </c>
    </row>
    <row r="95" spans="2:11">
      <c r="B95" s="12">
        <v>630</v>
      </c>
      <c r="C95" s="2" t="s">
        <v>629</v>
      </c>
      <c r="D95" s="134">
        <v>0</v>
      </c>
      <c r="E95" s="3" t="s">
        <v>236</v>
      </c>
      <c r="F95" s="141">
        <v>0</v>
      </c>
      <c r="G95" s="104"/>
      <c r="H95" s="85">
        <f t="shared" si="2"/>
        <v>0</v>
      </c>
      <c r="I95" s="105"/>
      <c r="K95" t="s">
        <v>688</v>
      </c>
    </row>
    <row r="96" spans="2:11">
      <c r="B96" s="12">
        <v>630</v>
      </c>
      <c r="C96" s="2" t="s">
        <v>630</v>
      </c>
      <c r="D96" s="134">
        <v>0</v>
      </c>
      <c r="E96" s="3" t="s">
        <v>236</v>
      </c>
      <c r="F96" s="141">
        <v>0</v>
      </c>
      <c r="G96" s="104"/>
      <c r="H96" s="85">
        <f t="shared" si="2"/>
        <v>0</v>
      </c>
      <c r="I96" s="105"/>
      <c r="K96" t="s">
        <v>688</v>
      </c>
    </row>
    <row r="97" spans="2:11">
      <c r="B97" s="12">
        <v>630</v>
      </c>
      <c r="C97" s="2" t="s">
        <v>228</v>
      </c>
      <c r="D97" s="134">
        <v>0</v>
      </c>
      <c r="E97" s="3" t="s">
        <v>237</v>
      </c>
      <c r="F97" s="85">
        <v>0</v>
      </c>
      <c r="G97" s="104"/>
      <c r="H97" s="85">
        <f t="shared" si="2"/>
        <v>0</v>
      </c>
      <c r="I97" s="105"/>
      <c r="K97" t="s">
        <v>688</v>
      </c>
    </row>
    <row r="98" spans="2:11">
      <c r="B98" s="12">
        <v>630</v>
      </c>
      <c r="C98" s="2" t="s">
        <v>229</v>
      </c>
      <c r="D98" s="134">
        <v>0</v>
      </c>
      <c r="E98" s="3" t="s">
        <v>237</v>
      </c>
      <c r="F98" s="85">
        <v>67</v>
      </c>
      <c r="G98" s="104"/>
      <c r="H98" s="85">
        <f t="shared" si="2"/>
        <v>0</v>
      </c>
      <c r="I98" s="105"/>
      <c r="K98" t="s">
        <v>774</v>
      </c>
    </row>
    <row r="99" spans="2:11">
      <c r="B99" s="12">
        <v>630</v>
      </c>
      <c r="C99" s="2" t="s">
        <v>230</v>
      </c>
      <c r="D99" s="134">
        <v>0</v>
      </c>
      <c r="E99" s="3" t="s">
        <v>236</v>
      </c>
      <c r="F99" s="85">
        <v>7</v>
      </c>
      <c r="G99" s="104"/>
      <c r="H99" s="85">
        <f t="shared" si="2"/>
        <v>0</v>
      </c>
      <c r="I99" s="105"/>
      <c r="K99" t="s">
        <v>775</v>
      </c>
    </row>
    <row r="100" spans="2:11">
      <c r="B100" s="12">
        <v>630</v>
      </c>
      <c r="C100" s="2" t="s">
        <v>122</v>
      </c>
      <c r="D100" s="134">
        <v>400</v>
      </c>
      <c r="E100" s="3" t="s">
        <v>238</v>
      </c>
      <c r="F100" s="85">
        <v>7</v>
      </c>
      <c r="G100" s="104"/>
      <c r="H100" s="85">
        <f t="shared" si="2"/>
        <v>2800</v>
      </c>
      <c r="I100" s="105"/>
      <c r="K100" t="s">
        <v>776</v>
      </c>
    </row>
    <row r="101" spans="2:11">
      <c r="B101" s="12">
        <v>630</v>
      </c>
      <c r="C101" s="2" t="s">
        <v>631</v>
      </c>
      <c r="D101" s="134">
        <v>0</v>
      </c>
      <c r="E101" s="3" t="s">
        <v>655</v>
      </c>
      <c r="F101" s="85">
        <v>0</v>
      </c>
      <c r="G101" s="104"/>
      <c r="H101" s="85">
        <f t="shared" si="2"/>
        <v>0</v>
      </c>
      <c r="I101" s="105"/>
      <c r="K101" t="s">
        <v>688</v>
      </c>
    </row>
    <row r="102" spans="2:11">
      <c r="B102" s="12">
        <v>630</v>
      </c>
      <c r="C102" s="2" t="s">
        <v>632</v>
      </c>
      <c r="D102" s="134">
        <v>0</v>
      </c>
      <c r="E102" s="3" t="s">
        <v>138</v>
      </c>
      <c r="F102" s="85">
        <v>0</v>
      </c>
      <c r="G102" s="104"/>
      <c r="H102" s="85">
        <f t="shared" si="2"/>
        <v>0</v>
      </c>
      <c r="I102" s="105"/>
      <c r="K102" t="s">
        <v>688</v>
      </c>
    </row>
    <row r="103" spans="2:11">
      <c r="B103" s="12">
        <v>630</v>
      </c>
      <c r="C103" s="2" t="s">
        <v>633</v>
      </c>
      <c r="D103" s="134">
        <v>0</v>
      </c>
      <c r="E103" s="3" t="s">
        <v>138</v>
      </c>
      <c r="F103" s="85">
        <v>0</v>
      </c>
      <c r="G103" s="104"/>
      <c r="H103" s="85">
        <f t="shared" si="2"/>
        <v>0</v>
      </c>
      <c r="I103" s="105"/>
      <c r="K103" t="s">
        <v>688</v>
      </c>
    </row>
    <row r="104" spans="2:11">
      <c r="B104" s="12">
        <v>630</v>
      </c>
      <c r="C104" s="2" t="s">
        <v>231</v>
      </c>
      <c r="D104" s="134">
        <v>0</v>
      </c>
      <c r="E104" s="3" t="s">
        <v>138</v>
      </c>
      <c r="F104" s="85">
        <v>0</v>
      </c>
      <c r="G104" s="104"/>
      <c r="H104" s="85">
        <f t="shared" si="2"/>
        <v>0</v>
      </c>
      <c r="I104" s="105"/>
      <c r="K104" t="s">
        <v>688</v>
      </c>
    </row>
    <row r="105" spans="2:11">
      <c r="B105" s="12">
        <v>630</v>
      </c>
      <c r="C105" s="2" t="s">
        <v>634</v>
      </c>
      <c r="D105" s="134">
        <v>0</v>
      </c>
      <c r="E105" s="3" t="s">
        <v>138</v>
      </c>
      <c r="F105" s="85">
        <v>0</v>
      </c>
      <c r="G105" s="104"/>
      <c r="H105" s="85">
        <f t="shared" si="2"/>
        <v>0</v>
      </c>
      <c r="I105" s="105"/>
      <c r="K105" t="s">
        <v>688</v>
      </c>
    </row>
    <row r="106" spans="2:11">
      <c r="B106" s="12">
        <v>630</v>
      </c>
      <c r="C106" s="2" t="s">
        <v>635</v>
      </c>
      <c r="D106" s="134">
        <v>100</v>
      </c>
      <c r="E106" s="3" t="s">
        <v>653</v>
      </c>
      <c r="F106" s="85">
        <v>700</v>
      </c>
      <c r="G106" s="104"/>
      <c r="H106" s="85">
        <f t="shared" si="2"/>
        <v>70000</v>
      </c>
      <c r="I106" s="105"/>
      <c r="K106" t="s">
        <v>779</v>
      </c>
    </row>
    <row r="107" spans="2:11">
      <c r="B107" s="12">
        <v>630</v>
      </c>
      <c r="C107" s="2" t="s">
        <v>636</v>
      </c>
      <c r="D107" s="134">
        <v>0</v>
      </c>
      <c r="E107" s="3" t="s">
        <v>653</v>
      </c>
      <c r="F107" s="85">
        <v>0</v>
      </c>
      <c r="G107" s="104"/>
      <c r="H107" s="85">
        <f t="shared" si="2"/>
        <v>0</v>
      </c>
      <c r="I107" s="105"/>
      <c r="K107" t="s">
        <v>688</v>
      </c>
    </row>
    <row r="108" spans="2:11">
      <c r="B108" s="12">
        <v>630</v>
      </c>
      <c r="C108" s="2" t="s">
        <v>232</v>
      </c>
      <c r="D108" s="134">
        <v>0</v>
      </c>
      <c r="E108" s="3" t="s">
        <v>138</v>
      </c>
      <c r="F108" s="85">
        <v>0</v>
      </c>
      <c r="G108" s="104"/>
      <c r="H108" s="85">
        <f t="shared" si="2"/>
        <v>0</v>
      </c>
      <c r="I108" s="105"/>
      <c r="K108" t="s">
        <v>691</v>
      </c>
    </row>
    <row r="109" spans="2:11">
      <c r="B109" s="12">
        <v>630</v>
      </c>
      <c r="C109" s="2" t="s">
        <v>233</v>
      </c>
      <c r="D109" s="134">
        <v>50000</v>
      </c>
      <c r="E109" s="3" t="s">
        <v>247</v>
      </c>
      <c r="F109" s="141">
        <v>0.1</v>
      </c>
      <c r="G109" s="104"/>
      <c r="H109" s="85">
        <f t="shared" si="2"/>
        <v>5000</v>
      </c>
      <c r="I109" s="105"/>
      <c r="K109" t="s">
        <v>692</v>
      </c>
    </row>
    <row r="110" spans="2:11">
      <c r="B110" s="12">
        <v>630</v>
      </c>
      <c r="C110" s="2" t="s">
        <v>234</v>
      </c>
      <c r="D110" s="134">
        <v>50000</v>
      </c>
      <c r="E110" s="3" t="s">
        <v>247</v>
      </c>
      <c r="F110" s="141">
        <v>7.0000000000000007E-2</v>
      </c>
      <c r="G110" s="104"/>
      <c r="H110" s="85">
        <f t="shared" si="2"/>
        <v>3500.0000000000005</v>
      </c>
      <c r="I110" s="105"/>
      <c r="K110" t="s">
        <v>692</v>
      </c>
    </row>
    <row r="111" spans="2:11">
      <c r="B111" s="12">
        <v>630</v>
      </c>
      <c r="C111" s="2" t="s">
        <v>235</v>
      </c>
      <c r="D111" s="134">
        <v>0</v>
      </c>
      <c r="E111" s="3" t="s">
        <v>138</v>
      </c>
      <c r="F111" s="85">
        <v>0</v>
      </c>
      <c r="G111" s="104"/>
      <c r="H111" s="85">
        <f t="shared" si="2"/>
        <v>0</v>
      </c>
      <c r="I111" s="105"/>
      <c r="K111" t="s">
        <v>693</v>
      </c>
    </row>
    <row r="112" spans="2:11">
      <c r="B112" s="12">
        <v>630</v>
      </c>
      <c r="C112" s="2" t="s">
        <v>637</v>
      </c>
      <c r="D112" s="134">
        <v>0</v>
      </c>
      <c r="E112" s="3" t="s">
        <v>124</v>
      </c>
      <c r="F112" s="85">
        <v>0</v>
      </c>
      <c r="G112" s="104"/>
      <c r="H112" s="85">
        <f t="shared" si="2"/>
        <v>0</v>
      </c>
      <c r="I112" s="105"/>
      <c r="K112" t="s">
        <v>688</v>
      </c>
    </row>
    <row r="113" spans="2:11">
      <c r="B113" s="12">
        <v>630</v>
      </c>
      <c r="C113" s="2" t="s">
        <v>638</v>
      </c>
      <c r="D113" s="134">
        <v>0</v>
      </c>
      <c r="E113" s="3" t="s">
        <v>138</v>
      </c>
      <c r="F113" s="85">
        <v>0</v>
      </c>
      <c r="G113" s="104"/>
      <c r="H113" s="85">
        <f t="shared" si="2"/>
        <v>0</v>
      </c>
      <c r="I113" s="105"/>
      <c r="K113" t="s">
        <v>688</v>
      </c>
    </row>
    <row r="114" spans="2:11">
      <c r="B114" s="12">
        <v>630</v>
      </c>
      <c r="C114" s="2" t="s">
        <v>639</v>
      </c>
      <c r="D114" s="134">
        <v>0</v>
      </c>
      <c r="E114" s="3" t="s">
        <v>138</v>
      </c>
      <c r="F114" s="85">
        <v>0</v>
      </c>
      <c r="G114" s="104"/>
      <c r="H114" s="85">
        <f t="shared" si="2"/>
        <v>0</v>
      </c>
      <c r="I114" s="105"/>
      <c r="K114" t="s">
        <v>688</v>
      </c>
    </row>
    <row r="115" spans="2:11">
      <c r="B115" s="12">
        <v>630</v>
      </c>
      <c r="C115" s="2" t="s">
        <v>640</v>
      </c>
      <c r="D115" s="134">
        <v>0</v>
      </c>
      <c r="E115" s="3" t="s">
        <v>138</v>
      </c>
      <c r="F115" s="85">
        <v>0</v>
      </c>
      <c r="G115" s="104"/>
      <c r="H115" s="85">
        <f t="shared" si="2"/>
        <v>0</v>
      </c>
      <c r="I115" s="105"/>
      <c r="K115" t="s">
        <v>688</v>
      </c>
    </row>
    <row r="116" spans="2:11">
      <c r="B116" s="12">
        <v>630</v>
      </c>
      <c r="C116" s="2" t="s">
        <v>641</v>
      </c>
      <c r="D116" s="134">
        <v>0</v>
      </c>
      <c r="E116" s="3" t="s">
        <v>138</v>
      </c>
      <c r="F116" s="85">
        <v>0</v>
      </c>
      <c r="G116" s="104"/>
      <c r="H116" s="85">
        <f t="shared" si="2"/>
        <v>0</v>
      </c>
      <c r="I116" s="105"/>
      <c r="K116" t="s">
        <v>688</v>
      </c>
    </row>
    <row r="117" spans="2:11">
      <c r="B117" s="12">
        <v>630</v>
      </c>
      <c r="C117" s="2" t="s">
        <v>642</v>
      </c>
      <c r="D117" s="134">
        <v>0</v>
      </c>
      <c r="E117" s="3" t="s">
        <v>138</v>
      </c>
      <c r="F117" s="85">
        <v>0</v>
      </c>
      <c r="G117" s="104"/>
      <c r="H117" s="85">
        <f t="shared" si="2"/>
        <v>0</v>
      </c>
      <c r="I117" s="105"/>
      <c r="K117" t="s">
        <v>688</v>
      </c>
    </row>
    <row r="118" spans="2:11">
      <c r="B118" s="12">
        <v>630</v>
      </c>
      <c r="C118" s="2" t="s">
        <v>643</v>
      </c>
      <c r="D118" s="134">
        <v>0</v>
      </c>
      <c r="E118" s="3" t="s">
        <v>138</v>
      </c>
      <c r="F118" s="85">
        <v>0</v>
      </c>
      <c r="G118" s="104"/>
      <c r="H118" s="85">
        <f t="shared" si="2"/>
        <v>0</v>
      </c>
      <c r="I118" s="105"/>
      <c r="K118" t="s">
        <v>688</v>
      </c>
    </row>
    <row r="119" spans="2:11">
      <c r="B119" s="12">
        <v>630</v>
      </c>
      <c r="C119" s="2" t="s">
        <v>644</v>
      </c>
      <c r="D119" s="134">
        <v>0</v>
      </c>
      <c r="E119" s="3" t="s">
        <v>138</v>
      </c>
      <c r="F119" s="85">
        <v>0</v>
      </c>
      <c r="G119" s="104"/>
      <c r="H119" s="85">
        <f t="shared" si="2"/>
        <v>0</v>
      </c>
      <c r="I119" s="105"/>
      <c r="K119" t="s">
        <v>688</v>
      </c>
    </row>
    <row r="120" spans="2:11">
      <c r="B120" s="12">
        <v>630</v>
      </c>
      <c r="C120" s="2" t="s">
        <v>645</v>
      </c>
      <c r="D120" s="134">
        <v>0</v>
      </c>
      <c r="E120" s="3" t="s">
        <v>138</v>
      </c>
      <c r="F120" s="85">
        <v>0</v>
      </c>
      <c r="G120" s="104"/>
      <c r="H120" s="85">
        <f t="shared" si="2"/>
        <v>0</v>
      </c>
      <c r="I120" s="105"/>
      <c r="K120" t="s">
        <v>688</v>
      </c>
    </row>
    <row r="121" spans="2:11">
      <c r="B121" s="12">
        <v>630</v>
      </c>
      <c r="C121" s="2" t="s">
        <v>646</v>
      </c>
      <c r="D121" s="134">
        <v>0</v>
      </c>
      <c r="E121" s="3" t="s">
        <v>138</v>
      </c>
      <c r="F121" s="85">
        <v>0</v>
      </c>
      <c r="G121" s="104"/>
      <c r="H121" s="85">
        <f t="shared" si="2"/>
        <v>0</v>
      </c>
      <c r="I121" s="105"/>
      <c r="K121" t="s">
        <v>688</v>
      </c>
    </row>
    <row r="122" spans="2:11">
      <c r="B122" s="12">
        <v>630</v>
      </c>
      <c r="C122" s="2" t="s">
        <v>647</v>
      </c>
      <c r="D122" s="134">
        <v>0</v>
      </c>
      <c r="E122" s="3" t="s">
        <v>138</v>
      </c>
      <c r="F122" s="85">
        <v>0</v>
      </c>
      <c r="G122" s="104"/>
      <c r="H122" s="85">
        <f t="shared" si="2"/>
        <v>0</v>
      </c>
      <c r="I122" s="105"/>
      <c r="K122" t="s">
        <v>688</v>
      </c>
    </row>
    <row r="123" spans="2:11">
      <c r="B123" s="12">
        <v>630</v>
      </c>
      <c r="C123" s="2" t="s">
        <v>648</v>
      </c>
      <c r="D123" s="134">
        <v>0</v>
      </c>
      <c r="E123" s="3" t="s">
        <v>138</v>
      </c>
      <c r="F123" s="85">
        <v>0</v>
      </c>
      <c r="G123" s="104"/>
      <c r="H123" s="85">
        <f t="shared" si="2"/>
        <v>0</v>
      </c>
      <c r="I123" s="105"/>
      <c r="K123" t="s">
        <v>688</v>
      </c>
    </row>
    <row r="124" spans="2:11">
      <c r="B124" s="12">
        <v>630</v>
      </c>
      <c r="C124" s="2" t="s">
        <v>649</v>
      </c>
      <c r="D124" s="134">
        <v>0</v>
      </c>
      <c r="E124" s="3" t="s">
        <v>654</v>
      </c>
      <c r="F124" s="85">
        <v>0</v>
      </c>
      <c r="G124" s="104"/>
      <c r="H124" s="85">
        <f t="shared" si="2"/>
        <v>0</v>
      </c>
      <c r="I124" s="105"/>
      <c r="K124" t="s">
        <v>688</v>
      </c>
    </row>
    <row r="125" spans="2:11">
      <c r="B125" s="12">
        <v>630</v>
      </c>
      <c r="C125" s="2" t="s">
        <v>650</v>
      </c>
      <c r="D125" s="134">
        <v>0</v>
      </c>
      <c r="E125" s="3" t="s">
        <v>621</v>
      </c>
      <c r="F125" s="85">
        <v>0</v>
      </c>
      <c r="G125" s="104"/>
      <c r="H125" s="85">
        <f t="shared" si="2"/>
        <v>0</v>
      </c>
      <c r="I125" s="105"/>
      <c r="K125" t="s">
        <v>688</v>
      </c>
    </row>
    <row r="126" spans="2:11">
      <c r="B126" s="12">
        <v>630</v>
      </c>
      <c r="C126" s="2" t="s">
        <v>651</v>
      </c>
      <c r="D126" s="134">
        <v>0</v>
      </c>
      <c r="E126" s="3" t="s">
        <v>621</v>
      </c>
      <c r="F126" s="85">
        <v>0</v>
      </c>
      <c r="G126" s="104"/>
      <c r="H126" s="85">
        <f t="shared" si="2"/>
        <v>0</v>
      </c>
      <c r="I126" s="105"/>
      <c r="K126" t="s">
        <v>688</v>
      </c>
    </row>
    <row r="127" spans="2:11">
      <c r="B127" s="12">
        <v>630</v>
      </c>
      <c r="C127" s="2" t="s">
        <v>652</v>
      </c>
      <c r="D127" s="134">
        <v>1</v>
      </c>
      <c r="E127" s="3" t="s">
        <v>138</v>
      </c>
      <c r="F127" s="85">
        <v>4500</v>
      </c>
      <c r="G127" s="104"/>
      <c r="H127" s="85">
        <f t="shared" si="2"/>
        <v>4500</v>
      </c>
      <c r="I127" s="105"/>
      <c r="K127" t="s">
        <v>780</v>
      </c>
    </row>
    <row r="128" spans="2:11">
      <c r="B128" s="12">
        <v>831</v>
      </c>
      <c r="C128" s="2" t="s">
        <v>239</v>
      </c>
      <c r="D128" s="134">
        <v>0</v>
      </c>
      <c r="E128" s="3" t="s">
        <v>138</v>
      </c>
      <c r="F128" s="85">
        <v>0</v>
      </c>
      <c r="G128" s="104"/>
      <c r="H128" s="85">
        <f t="shared" si="2"/>
        <v>0</v>
      </c>
      <c r="I128" s="105"/>
      <c r="K128" t="s">
        <v>377</v>
      </c>
    </row>
    <row r="129" spans="2:11">
      <c r="B129" s="12">
        <v>832</v>
      </c>
      <c r="C129" s="2" t="s">
        <v>240</v>
      </c>
      <c r="D129" s="134">
        <v>0</v>
      </c>
      <c r="E129" s="3" t="s">
        <v>138</v>
      </c>
      <c r="F129" s="85">
        <v>0</v>
      </c>
      <c r="G129" s="104"/>
      <c r="H129" s="85">
        <f t="shared" si="2"/>
        <v>0</v>
      </c>
      <c r="I129" s="105"/>
      <c r="K129" t="s">
        <v>696</v>
      </c>
    </row>
    <row r="130" spans="2:11">
      <c r="B130" s="12">
        <v>832</v>
      </c>
      <c r="C130" s="2" t="s">
        <v>241</v>
      </c>
      <c r="D130" s="134">
        <v>0</v>
      </c>
      <c r="E130" s="3" t="s">
        <v>125</v>
      </c>
      <c r="F130" s="85">
        <v>0</v>
      </c>
      <c r="G130" s="104"/>
      <c r="H130" s="85">
        <f t="shared" si="2"/>
        <v>0</v>
      </c>
      <c r="I130" s="105"/>
      <c r="K130" t="s">
        <v>668</v>
      </c>
    </row>
    <row r="131" spans="2:11">
      <c r="B131" s="12">
        <v>832</v>
      </c>
      <c r="C131" s="2" t="s">
        <v>242</v>
      </c>
      <c r="D131" s="134">
        <v>0</v>
      </c>
      <c r="E131" s="3" t="s">
        <v>125</v>
      </c>
      <c r="F131" s="85">
        <v>0</v>
      </c>
      <c r="G131" s="104"/>
      <c r="H131" s="85">
        <f t="shared" si="2"/>
        <v>0</v>
      </c>
      <c r="I131" s="105"/>
    </row>
    <row r="132" spans="2:11">
      <c r="B132" s="12">
        <v>832</v>
      </c>
      <c r="C132" s="2" t="s">
        <v>243</v>
      </c>
      <c r="D132" s="134">
        <v>0</v>
      </c>
      <c r="E132" s="3" t="s">
        <v>125</v>
      </c>
      <c r="F132" s="85">
        <v>0</v>
      </c>
      <c r="G132" s="104"/>
      <c r="H132" s="85">
        <f t="shared" si="2"/>
        <v>0</v>
      </c>
      <c r="I132" s="105"/>
      <c r="K132" t="s">
        <v>697</v>
      </c>
    </row>
    <row r="133" spans="2:11">
      <c r="B133" s="12">
        <v>832</v>
      </c>
      <c r="C133" s="2" t="s">
        <v>244</v>
      </c>
      <c r="D133" s="134">
        <v>0</v>
      </c>
      <c r="E133" s="3" t="s">
        <v>125</v>
      </c>
      <c r="F133" s="85">
        <v>0</v>
      </c>
      <c r="G133" s="104"/>
      <c r="H133" s="85">
        <f t="shared" si="2"/>
        <v>0</v>
      </c>
      <c r="I133" s="105"/>
      <c r="K133" t="s">
        <v>781</v>
      </c>
    </row>
    <row r="134" spans="2:11">
      <c r="B134" s="12">
        <v>832</v>
      </c>
      <c r="C134" s="2" t="s">
        <v>245</v>
      </c>
      <c r="D134" s="134">
        <v>50</v>
      </c>
      <c r="E134" s="3" t="s">
        <v>125</v>
      </c>
      <c r="F134" s="85">
        <v>145</v>
      </c>
      <c r="G134" s="104"/>
      <c r="H134" s="85">
        <f t="shared" si="2"/>
        <v>7250</v>
      </c>
      <c r="I134" s="105"/>
      <c r="K134" t="s">
        <v>698</v>
      </c>
    </row>
    <row r="135" spans="2:11">
      <c r="B135" s="12">
        <v>832</v>
      </c>
      <c r="C135" s="2" t="s">
        <v>656</v>
      </c>
      <c r="D135" s="134">
        <v>0</v>
      </c>
      <c r="E135" s="3" t="s">
        <v>237</v>
      </c>
      <c r="F135" s="85">
        <v>0</v>
      </c>
      <c r="G135" s="104"/>
      <c r="H135" s="85">
        <f t="shared" si="2"/>
        <v>0</v>
      </c>
      <c r="I135" s="105"/>
      <c r="K135" t="s">
        <v>688</v>
      </c>
    </row>
    <row r="136" spans="2:11">
      <c r="B136" s="12">
        <v>832</v>
      </c>
      <c r="C136" s="2" t="s">
        <v>782</v>
      </c>
      <c r="D136" s="134">
        <v>0</v>
      </c>
      <c r="E136" s="3" t="s">
        <v>247</v>
      </c>
      <c r="F136" s="85">
        <v>0</v>
      </c>
      <c r="G136" s="104"/>
      <c r="H136" s="85">
        <f t="shared" si="2"/>
        <v>0</v>
      </c>
      <c r="I136" s="105"/>
      <c r="K136" t="s">
        <v>699</v>
      </c>
    </row>
    <row r="137" spans="2:11">
      <c r="B137" s="12">
        <v>832</v>
      </c>
      <c r="C137" s="2" t="s">
        <v>783</v>
      </c>
      <c r="D137" s="134">
        <v>0</v>
      </c>
      <c r="E137" s="3" t="s">
        <v>247</v>
      </c>
      <c r="F137" s="85">
        <v>0</v>
      </c>
      <c r="G137" s="104"/>
      <c r="H137" s="85">
        <f t="shared" si="2"/>
        <v>0</v>
      </c>
      <c r="I137" s="105"/>
      <c r="K137" t="s">
        <v>699</v>
      </c>
    </row>
    <row r="138" spans="2:11">
      <c r="B138" s="12">
        <v>832</v>
      </c>
      <c r="C138" s="2" t="s">
        <v>659</v>
      </c>
      <c r="D138" s="134">
        <v>0</v>
      </c>
      <c r="E138" s="3" t="s">
        <v>378</v>
      </c>
      <c r="F138" s="85">
        <v>0</v>
      </c>
      <c r="G138" s="104"/>
      <c r="H138" s="85">
        <f t="shared" si="2"/>
        <v>0</v>
      </c>
      <c r="I138" s="105"/>
      <c r="K138" t="s">
        <v>688</v>
      </c>
    </row>
    <row r="139" spans="2:11">
      <c r="B139" s="12">
        <v>832</v>
      </c>
      <c r="C139" s="2" t="s">
        <v>660</v>
      </c>
      <c r="D139" s="134">
        <v>0</v>
      </c>
      <c r="E139" s="3" t="s">
        <v>378</v>
      </c>
      <c r="F139" s="85">
        <v>5000</v>
      </c>
      <c r="G139" s="104"/>
      <c r="H139" s="85">
        <f t="shared" si="2"/>
        <v>0</v>
      </c>
      <c r="I139" s="105"/>
      <c r="K139" t="s">
        <v>700</v>
      </c>
    </row>
    <row r="140" spans="2:11">
      <c r="B140" s="12">
        <v>832</v>
      </c>
      <c r="C140" s="2" t="s">
        <v>383</v>
      </c>
      <c r="D140" s="134">
        <v>0</v>
      </c>
      <c r="E140" s="3" t="s">
        <v>138</v>
      </c>
      <c r="F140" s="85">
        <v>750</v>
      </c>
      <c r="G140" s="104"/>
      <c r="H140" s="85">
        <f t="shared" si="2"/>
        <v>0</v>
      </c>
      <c r="I140" s="105"/>
      <c r="K140" t="s">
        <v>701</v>
      </c>
    </row>
    <row r="141" spans="2:11">
      <c r="B141" s="12">
        <v>832</v>
      </c>
      <c r="C141" s="2" t="s">
        <v>382</v>
      </c>
      <c r="D141" s="134">
        <v>0</v>
      </c>
      <c r="E141" s="3" t="s">
        <v>378</v>
      </c>
      <c r="F141" s="85">
        <v>0</v>
      </c>
      <c r="G141" s="104"/>
      <c r="H141" s="85">
        <f t="shared" si="2"/>
        <v>0</v>
      </c>
      <c r="I141" s="105"/>
      <c r="K141" t="s">
        <v>384</v>
      </c>
    </row>
    <row r="142" spans="2:11">
      <c r="B142" s="12">
        <v>832</v>
      </c>
      <c r="C142" s="2" t="s">
        <v>661</v>
      </c>
      <c r="D142" s="134">
        <v>0</v>
      </c>
      <c r="E142" s="3" t="s">
        <v>378</v>
      </c>
      <c r="F142" s="85">
        <v>5000</v>
      </c>
      <c r="G142" s="104"/>
      <c r="H142" s="85">
        <f t="shared" si="2"/>
        <v>0</v>
      </c>
      <c r="I142" s="105"/>
    </row>
    <row r="143" spans="2:11">
      <c r="B143" s="12">
        <v>832</v>
      </c>
      <c r="C143" s="2" t="s">
        <v>662</v>
      </c>
      <c r="D143" s="134">
        <v>0</v>
      </c>
      <c r="E143" s="3" t="s">
        <v>378</v>
      </c>
      <c r="F143" s="85">
        <v>100</v>
      </c>
      <c r="G143" s="104"/>
      <c r="H143" s="85">
        <f t="shared" si="2"/>
        <v>0</v>
      </c>
      <c r="I143" s="105"/>
    </row>
    <row r="144" spans="2:11">
      <c r="B144" s="12">
        <v>832</v>
      </c>
      <c r="C144" s="2" t="s">
        <v>663</v>
      </c>
      <c r="D144" s="134">
        <v>0</v>
      </c>
      <c r="E144" s="3" t="s">
        <v>378</v>
      </c>
      <c r="F144" s="85">
        <v>100</v>
      </c>
      <c r="G144" s="104"/>
      <c r="H144" s="85">
        <f t="shared" si="2"/>
        <v>0</v>
      </c>
      <c r="I144" s="105"/>
    </row>
    <row r="145" spans="2:11">
      <c r="B145" s="12">
        <v>832</v>
      </c>
      <c r="C145" s="2" t="s">
        <v>664</v>
      </c>
      <c r="D145" s="134">
        <v>0</v>
      </c>
      <c r="E145" s="3" t="s">
        <v>167</v>
      </c>
      <c r="F145" s="85">
        <v>0</v>
      </c>
      <c r="G145" s="104"/>
      <c r="H145" s="85">
        <f t="shared" si="2"/>
        <v>0</v>
      </c>
      <c r="I145" s="105"/>
      <c r="K145" t="s">
        <v>688</v>
      </c>
    </row>
    <row r="146" spans="2:11">
      <c r="B146" s="12">
        <v>832</v>
      </c>
      <c r="C146" s="2" t="s">
        <v>665</v>
      </c>
      <c r="D146" s="134">
        <v>0</v>
      </c>
      <c r="E146" s="3" t="s">
        <v>378</v>
      </c>
      <c r="F146" s="85">
        <v>0</v>
      </c>
      <c r="G146" s="104"/>
      <c r="H146" s="85">
        <f t="shared" si="2"/>
        <v>0</v>
      </c>
      <c r="I146" s="105"/>
      <c r="K146" t="s">
        <v>688</v>
      </c>
    </row>
    <row r="147" spans="2:11">
      <c r="B147" s="12">
        <v>837</v>
      </c>
      <c r="C147" s="2" t="s">
        <v>550</v>
      </c>
      <c r="D147" s="134">
        <v>1</v>
      </c>
      <c r="E147" s="3" t="s">
        <v>138</v>
      </c>
      <c r="F147" s="85">
        <v>10000</v>
      </c>
      <c r="G147" s="104"/>
      <c r="H147" s="85">
        <f>F147*D147</f>
        <v>10000</v>
      </c>
      <c r="I147" s="105"/>
      <c r="K147" t="s">
        <v>551</v>
      </c>
    </row>
    <row r="148" spans="2:11">
      <c r="B148" s="12">
        <v>837</v>
      </c>
      <c r="C148" s="2" t="s">
        <v>552</v>
      </c>
      <c r="D148" s="134">
        <v>1</v>
      </c>
      <c r="E148" s="3" t="s">
        <v>553</v>
      </c>
      <c r="F148" s="85">
        <v>9000</v>
      </c>
      <c r="G148" s="104"/>
      <c r="H148" s="85">
        <f>F148*D148</f>
        <v>9000</v>
      </c>
      <c r="I148" s="105"/>
      <c r="K148" t="s">
        <v>405</v>
      </c>
    </row>
    <row r="149" spans="2:11">
      <c r="B149" s="12">
        <v>837</v>
      </c>
      <c r="C149" s="2" t="s">
        <v>554</v>
      </c>
      <c r="D149" s="134">
        <v>0</v>
      </c>
      <c r="E149" s="3" t="s">
        <v>553</v>
      </c>
      <c r="F149" s="85">
        <v>6000</v>
      </c>
      <c r="G149" s="104"/>
      <c r="H149" s="85">
        <f>F149*D149</f>
        <v>0</v>
      </c>
      <c r="I149" s="105"/>
      <c r="K149" t="s">
        <v>405</v>
      </c>
    </row>
    <row r="150" spans="2:11">
      <c r="B150" s="12"/>
      <c r="C150" s="2" t="s">
        <v>195</v>
      </c>
      <c r="D150" s="134">
        <v>0</v>
      </c>
      <c r="E150" s="3" t="s">
        <v>138</v>
      </c>
      <c r="F150" s="85">
        <v>273884</v>
      </c>
      <c r="G150" s="104"/>
      <c r="H150" s="85">
        <f t="shared" ref="H150:H166" si="4">F150*D150</f>
        <v>0</v>
      </c>
      <c r="I150" s="105"/>
      <c r="K150" t="s">
        <v>336</v>
      </c>
    </row>
    <row r="151" spans="2:11">
      <c r="B151" s="12"/>
      <c r="C151" s="2" t="s">
        <v>784</v>
      </c>
      <c r="D151" s="134">
        <v>0</v>
      </c>
      <c r="E151" s="3" t="s">
        <v>138</v>
      </c>
      <c r="F151" s="85">
        <v>7500</v>
      </c>
      <c r="G151" s="104"/>
      <c r="H151" s="85">
        <f t="shared" si="4"/>
        <v>0</v>
      </c>
      <c r="I151" s="105"/>
    </row>
    <row r="152" spans="2:11">
      <c r="B152" s="12"/>
      <c r="C152" s="2" t="s">
        <v>386</v>
      </c>
      <c r="D152" s="134">
        <v>0</v>
      </c>
      <c r="E152" s="3" t="s">
        <v>138</v>
      </c>
      <c r="F152" s="85">
        <v>100000</v>
      </c>
      <c r="G152" s="104"/>
      <c r="H152" s="85">
        <f t="shared" si="4"/>
        <v>0</v>
      </c>
      <c r="I152" s="105"/>
      <c r="K152" t="s">
        <v>669</v>
      </c>
    </row>
    <row r="153" spans="2:11">
      <c r="B153" s="12"/>
      <c r="C153" s="2" t="s">
        <v>387</v>
      </c>
      <c r="D153" s="134">
        <v>0</v>
      </c>
      <c r="E153" s="3" t="s">
        <v>138</v>
      </c>
      <c r="F153" s="85">
        <v>50000</v>
      </c>
      <c r="G153" s="104"/>
      <c r="H153" s="85">
        <f t="shared" si="4"/>
        <v>0</v>
      </c>
      <c r="I153" s="105"/>
      <c r="K153" t="s">
        <v>669</v>
      </c>
    </row>
    <row r="154" spans="2:11">
      <c r="B154" s="12"/>
      <c r="C154" s="2" t="s">
        <v>402</v>
      </c>
      <c r="D154" s="134">
        <v>0</v>
      </c>
      <c r="E154" s="3" t="s">
        <v>138</v>
      </c>
      <c r="F154" s="85">
        <v>21000</v>
      </c>
      <c r="G154" s="104"/>
      <c r="H154" s="85">
        <f t="shared" si="4"/>
        <v>0</v>
      </c>
      <c r="I154" s="105"/>
      <c r="K154" t="s">
        <v>669</v>
      </c>
    </row>
    <row r="155" spans="2:11">
      <c r="B155" s="12"/>
      <c r="C155" s="2" t="s">
        <v>248</v>
      </c>
      <c r="D155" s="134">
        <v>0</v>
      </c>
      <c r="E155" s="3" t="s">
        <v>138</v>
      </c>
      <c r="F155" s="85">
        <v>0</v>
      </c>
      <c r="G155" s="104"/>
      <c r="H155" s="85">
        <f t="shared" si="4"/>
        <v>0</v>
      </c>
      <c r="I155" s="105"/>
    </row>
    <row r="156" spans="2:11">
      <c r="B156" s="12"/>
      <c r="C156" s="2" t="s">
        <v>785</v>
      </c>
      <c r="D156" s="134">
        <v>0</v>
      </c>
      <c r="E156" s="3" t="s">
        <v>138</v>
      </c>
      <c r="F156" s="85">
        <v>30000</v>
      </c>
      <c r="G156" s="104"/>
      <c r="H156" s="85">
        <f t="shared" si="4"/>
        <v>0</v>
      </c>
      <c r="I156" s="105"/>
    </row>
    <row r="157" spans="2:11">
      <c r="B157" s="12"/>
      <c r="C157" s="2" t="s">
        <v>556</v>
      </c>
      <c r="D157" s="134">
        <v>0</v>
      </c>
      <c r="E157" s="3" t="s">
        <v>119</v>
      </c>
      <c r="F157" s="85">
        <v>25000</v>
      </c>
      <c r="G157" s="104"/>
      <c r="H157" s="85">
        <f t="shared" si="4"/>
        <v>0</v>
      </c>
      <c r="I157" s="105"/>
      <c r="K157" t="s">
        <v>557</v>
      </c>
    </row>
    <row r="158" spans="2:11">
      <c r="B158" s="12"/>
      <c r="C158" s="2" t="s">
        <v>249</v>
      </c>
      <c r="D158" s="134">
        <v>0</v>
      </c>
      <c r="E158" s="3" t="s">
        <v>113</v>
      </c>
      <c r="F158" s="85">
        <v>65000</v>
      </c>
      <c r="G158" s="104"/>
      <c r="H158" s="85">
        <f t="shared" si="4"/>
        <v>0</v>
      </c>
      <c r="I158" s="105"/>
      <c r="K158" t="s">
        <v>786</v>
      </c>
    </row>
    <row r="159" spans="2:11">
      <c r="B159" s="12"/>
      <c r="C159" s="2" t="s">
        <v>385</v>
      </c>
      <c r="D159" s="134">
        <v>0</v>
      </c>
      <c r="E159" s="3" t="s">
        <v>138</v>
      </c>
      <c r="F159" s="85">
        <v>20000</v>
      </c>
      <c r="G159" s="104"/>
      <c r="H159" s="85">
        <f t="shared" si="4"/>
        <v>0</v>
      </c>
      <c r="I159" s="105"/>
    </row>
    <row r="160" spans="2:11">
      <c r="B160" s="12"/>
      <c r="C160" s="2" t="s">
        <v>132</v>
      </c>
      <c r="D160" s="134">
        <v>0</v>
      </c>
      <c r="E160" s="3" t="s">
        <v>119</v>
      </c>
      <c r="F160" s="85">
        <v>0</v>
      </c>
      <c r="G160" s="104"/>
      <c r="H160" s="85">
        <f t="shared" si="4"/>
        <v>0</v>
      </c>
      <c r="I160" s="105"/>
    </row>
    <row r="161" spans="2:13">
      <c r="B161" s="12"/>
      <c r="C161" s="2" t="s">
        <v>941</v>
      </c>
      <c r="D161" s="134">
        <v>1</v>
      </c>
      <c r="E161" s="3" t="s">
        <v>138</v>
      </c>
      <c r="F161" s="85">
        <v>43937</v>
      </c>
      <c r="G161" s="104"/>
      <c r="H161" s="85">
        <f t="shared" si="4"/>
        <v>43937</v>
      </c>
      <c r="I161" s="105"/>
    </row>
    <row r="162" spans="2:13">
      <c r="B162" s="12"/>
      <c r="C162" s="2" t="s">
        <v>942</v>
      </c>
      <c r="D162" s="134">
        <v>1</v>
      </c>
      <c r="E162" s="3" t="s">
        <v>138</v>
      </c>
      <c r="F162" s="85">
        <v>32494</v>
      </c>
      <c r="G162" s="104"/>
      <c r="H162" s="85">
        <f t="shared" ref="H162" si="5">F162*D162</f>
        <v>32494</v>
      </c>
      <c r="I162" s="105"/>
    </row>
    <row r="163" spans="2:13">
      <c r="B163" s="12"/>
      <c r="C163" s="2" t="s">
        <v>943</v>
      </c>
      <c r="D163" s="134">
        <v>1</v>
      </c>
      <c r="E163" s="3" t="s">
        <v>138</v>
      </c>
      <c r="F163" s="85">
        <v>15500</v>
      </c>
      <c r="G163" s="104"/>
      <c r="H163" s="85">
        <f t="shared" si="4"/>
        <v>15500</v>
      </c>
      <c r="I163" s="105"/>
    </row>
    <row r="164" spans="2:13">
      <c r="B164" s="12"/>
      <c r="C164" s="2" t="s">
        <v>944</v>
      </c>
      <c r="D164" s="134">
        <v>1</v>
      </c>
      <c r="E164" s="3" t="s">
        <v>138</v>
      </c>
      <c r="F164" s="85">
        <v>15440</v>
      </c>
      <c r="G164" s="104"/>
      <c r="H164" s="85">
        <f t="shared" ref="H164" si="6">F164*D164</f>
        <v>15440</v>
      </c>
      <c r="I164" s="105"/>
    </row>
    <row r="165" spans="2:13">
      <c r="B165" s="12"/>
      <c r="C165" s="2" t="s">
        <v>945</v>
      </c>
      <c r="D165" s="134">
        <v>1</v>
      </c>
      <c r="E165" s="3" t="s">
        <v>138</v>
      </c>
      <c r="F165" s="85">
        <v>2550</v>
      </c>
      <c r="G165" s="104"/>
      <c r="H165" s="85">
        <f t="shared" si="4"/>
        <v>2550</v>
      </c>
      <c r="I165" s="105"/>
    </row>
    <row r="166" spans="2:13">
      <c r="B166" s="12"/>
      <c r="C166" s="2" t="s">
        <v>946</v>
      </c>
      <c r="D166" s="134">
        <v>1</v>
      </c>
      <c r="E166" s="3" t="s">
        <v>138</v>
      </c>
      <c r="F166" s="85">
        <v>2550</v>
      </c>
      <c r="G166" s="104"/>
      <c r="H166" s="85">
        <f t="shared" si="4"/>
        <v>2550</v>
      </c>
      <c r="I166" s="105"/>
    </row>
    <row r="167" spans="2:13">
      <c r="B167" s="12"/>
      <c r="C167" s="2" t="s">
        <v>381</v>
      </c>
      <c r="D167" s="134">
        <v>0</v>
      </c>
      <c r="E167" s="3" t="s">
        <v>138</v>
      </c>
      <c r="F167" s="85">
        <v>21800</v>
      </c>
      <c r="G167" s="104"/>
      <c r="H167" s="85">
        <f t="shared" si="2"/>
        <v>0</v>
      </c>
      <c r="I167" s="105"/>
    </row>
    <row r="168" spans="2:13">
      <c r="B168" s="12"/>
      <c r="C168" s="2" t="s">
        <v>777</v>
      </c>
      <c r="D168" s="134">
        <v>0</v>
      </c>
      <c r="E168" s="3" t="s">
        <v>138</v>
      </c>
      <c r="F168" s="85">
        <v>60000</v>
      </c>
      <c r="G168" s="104"/>
      <c r="H168" s="85">
        <f t="shared" si="2"/>
        <v>0</v>
      </c>
      <c r="I168" s="105"/>
      <c r="K168" t="s">
        <v>778</v>
      </c>
    </row>
    <row r="169" spans="2:13">
      <c r="B169" s="12"/>
      <c r="C169" s="2" t="s">
        <v>134</v>
      </c>
      <c r="D169" s="134">
        <v>0</v>
      </c>
      <c r="E169" s="3" t="s">
        <v>125</v>
      </c>
      <c r="F169" s="85">
        <v>17</v>
      </c>
      <c r="G169" s="104"/>
      <c r="H169" s="85">
        <f t="shared" si="2"/>
        <v>0</v>
      </c>
      <c r="I169" s="105"/>
    </row>
    <row r="170" spans="2:13">
      <c r="B170" s="12"/>
      <c r="C170" s="2" t="s">
        <v>253</v>
      </c>
      <c r="D170" s="134">
        <v>0</v>
      </c>
      <c r="E170" s="3" t="s">
        <v>337</v>
      </c>
      <c r="F170" s="85">
        <v>20000</v>
      </c>
      <c r="G170" s="104"/>
      <c r="H170" s="85">
        <f t="shared" si="2"/>
        <v>0</v>
      </c>
      <c r="I170" s="105"/>
      <c r="K170" t="s">
        <v>338</v>
      </c>
    </row>
    <row r="171" spans="2:13" ht="15.75">
      <c r="B171" s="94" t="s">
        <v>605</v>
      </c>
      <c r="C171" s="81"/>
      <c r="D171" s="132"/>
      <c r="E171" s="83"/>
      <c r="F171" s="84"/>
      <c r="G171" s="84"/>
      <c r="H171" s="110"/>
      <c r="I171" s="93">
        <f>CEILING(SUM(H47:H170),100)</f>
        <v>696100</v>
      </c>
    </row>
    <row r="172" spans="2:13">
      <c r="B172" s="350"/>
      <c r="C172" s="107"/>
      <c r="D172" s="133"/>
      <c r="E172" s="106"/>
      <c r="F172" s="108"/>
      <c r="G172" s="108"/>
      <c r="H172" s="108"/>
      <c r="I172" s="109"/>
    </row>
    <row r="173" spans="2:13" ht="15.75">
      <c r="B173" s="94" t="s">
        <v>139</v>
      </c>
      <c r="C173" s="81"/>
      <c r="D173" s="132"/>
      <c r="E173" s="83"/>
      <c r="F173" s="84"/>
      <c r="G173" s="84"/>
      <c r="H173" s="84"/>
      <c r="I173" s="93"/>
    </row>
    <row r="174" spans="2:13">
      <c r="B174" s="12" t="s">
        <v>600</v>
      </c>
      <c r="C174" s="2" t="s">
        <v>140</v>
      </c>
      <c r="D174" s="129">
        <f>($I$171*K174)/$F$174</f>
        <v>49.721428571428568</v>
      </c>
      <c r="E174" s="92" t="s">
        <v>141</v>
      </c>
      <c r="F174" s="85">
        <v>840</v>
      </c>
      <c r="G174" s="104"/>
      <c r="H174" s="85">
        <f>F174*D174</f>
        <v>41766</v>
      </c>
      <c r="I174" s="105"/>
      <c r="K174" s="384">
        <v>0.06</v>
      </c>
      <c r="L174" s="383" t="s">
        <v>719</v>
      </c>
      <c r="M174" s="308"/>
    </row>
    <row r="175" spans="2:13">
      <c r="B175" s="12" t="s">
        <v>601</v>
      </c>
      <c r="C175" s="2" t="s">
        <v>142</v>
      </c>
      <c r="D175" s="129">
        <f>($I$171*K175)/$F$175</f>
        <v>5.2207499999999998</v>
      </c>
      <c r="E175" s="92" t="s">
        <v>136</v>
      </c>
      <c r="F175" s="85">
        <v>2000</v>
      </c>
      <c r="G175" s="104"/>
      <c r="H175" s="85">
        <f>F175*D175</f>
        <v>10441.5</v>
      </c>
      <c r="I175" s="105"/>
      <c r="K175" s="429">
        <v>1.4999999999999999E-2</v>
      </c>
      <c r="L175" s="383" t="s">
        <v>720</v>
      </c>
      <c r="M175" s="308"/>
    </row>
    <row r="176" spans="2:13" ht="15.75">
      <c r="B176" s="94" t="s">
        <v>143</v>
      </c>
      <c r="C176" s="81"/>
      <c r="D176" s="132"/>
      <c r="E176" s="83"/>
      <c r="F176" s="84"/>
      <c r="G176" s="84"/>
      <c r="H176" s="110"/>
      <c r="I176" s="93">
        <f>CEILING(SUM(H174:H175),100)</f>
        <v>52300</v>
      </c>
    </row>
    <row r="177" spans="2:9">
      <c r="B177" s="350"/>
      <c r="C177" s="107"/>
      <c r="D177" s="133"/>
      <c r="E177" s="106"/>
      <c r="F177" s="108"/>
      <c r="G177" s="108"/>
      <c r="H177" s="108"/>
      <c r="I177" s="109"/>
    </row>
    <row r="178" spans="2:9" ht="15.75">
      <c r="B178" s="94" t="s">
        <v>144</v>
      </c>
      <c r="C178" s="81"/>
      <c r="D178" s="132"/>
      <c r="E178" s="83"/>
      <c r="F178" s="84"/>
      <c r="G178" s="84"/>
      <c r="H178" s="84"/>
      <c r="I178" s="93"/>
    </row>
    <row r="179" spans="2:9">
      <c r="B179" s="347"/>
      <c r="C179" s="114" t="s">
        <v>145</v>
      </c>
      <c r="D179" s="137"/>
      <c r="E179" s="348"/>
      <c r="F179" s="115"/>
      <c r="G179" s="116"/>
      <c r="H179" s="115"/>
      <c r="I179" s="117"/>
    </row>
    <row r="180" spans="2:9">
      <c r="B180" s="12" t="s">
        <v>602</v>
      </c>
      <c r="C180" s="2" t="s">
        <v>886</v>
      </c>
      <c r="D180" s="134">
        <v>548</v>
      </c>
      <c r="E180" s="3" t="s">
        <v>125</v>
      </c>
      <c r="F180" s="85">
        <v>54</v>
      </c>
      <c r="G180" s="104"/>
      <c r="H180" s="85">
        <f>F180*D180</f>
        <v>29592</v>
      </c>
      <c r="I180" s="105"/>
    </row>
    <row r="181" spans="2:9">
      <c r="B181" s="12" t="s">
        <v>602</v>
      </c>
      <c r="C181" s="419" t="s">
        <v>966</v>
      </c>
      <c r="D181" s="423">
        <v>80</v>
      </c>
      <c r="E181" s="424" t="s">
        <v>125</v>
      </c>
      <c r="F181" s="421">
        <v>44</v>
      </c>
      <c r="G181" s="422"/>
      <c r="H181" s="421">
        <f>F181*D181</f>
        <v>3520</v>
      </c>
      <c r="I181" s="105"/>
    </row>
    <row r="182" spans="2:9">
      <c r="B182" s="12" t="s">
        <v>602</v>
      </c>
      <c r="C182" s="2" t="s">
        <v>146</v>
      </c>
      <c r="D182" s="134">
        <v>0</v>
      </c>
      <c r="E182" s="3" t="s">
        <v>125</v>
      </c>
      <c r="F182" s="85">
        <v>0</v>
      </c>
      <c r="G182" s="104"/>
      <c r="H182" s="85">
        <f>F182*D182</f>
        <v>0</v>
      </c>
      <c r="I182" s="105"/>
    </row>
    <row r="183" spans="2:9">
      <c r="B183" s="12" t="s">
        <v>602</v>
      </c>
      <c r="C183" s="227" t="s">
        <v>168</v>
      </c>
      <c r="D183" s="225">
        <v>0</v>
      </c>
      <c r="E183" s="3" t="s">
        <v>125</v>
      </c>
      <c r="F183" s="85">
        <v>0</v>
      </c>
      <c r="G183" s="104"/>
      <c r="H183" s="85">
        <f>F183*D183</f>
        <v>0</v>
      </c>
      <c r="I183" s="105"/>
    </row>
    <row r="184" spans="2:9">
      <c r="B184" s="347"/>
      <c r="C184" s="114" t="s">
        <v>147</v>
      </c>
      <c r="D184" s="137"/>
      <c r="E184" s="348"/>
      <c r="F184" s="115"/>
      <c r="G184" s="116"/>
      <c r="H184" s="115"/>
      <c r="I184" s="117"/>
    </row>
    <row r="185" spans="2:9">
      <c r="B185" s="12" t="s">
        <v>602</v>
      </c>
      <c r="C185" s="2" t="s">
        <v>887</v>
      </c>
      <c r="D185" s="134">
        <v>0</v>
      </c>
      <c r="E185" s="3" t="s">
        <v>138</v>
      </c>
      <c r="F185" s="85">
        <v>0</v>
      </c>
      <c r="G185" s="104"/>
      <c r="H185" s="85">
        <f>F185*D185</f>
        <v>0</v>
      </c>
      <c r="I185" s="105"/>
    </row>
    <row r="186" spans="2:9">
      <c r="B186" s="12" t="s">
        <v>602</v>
      </c>
      <c r="C186" s="2" t="s">
        <v>888</v>
      </c>
      <c r="D186" s="134">
        <v>2</v>
      </c>
      <c r="E186" s="3" t="s">
        <v>138</v>
      </c>
      <c r="F186" s="85">
        <v>764</v>
      </c>
      <c r="G186" s="104"/>
      <c r="H186" s="85">
        <f>F186*D186</f>
        <v>1528</v>
      </c>
      <c r="I186" s="105"/>
    </row>
    <row r="187" spans="2:9">
      <c r="B187" s="428" t="s">
        <v>602</v>
      </c>
      <c r="C187" s="419" t="s">
        <v>967</v>
      </c>
      <c r="D187" s="423">
        <v>2</v>
      </c>
      <c r="E187" s="424" t="s">
        <v>138</v>
      </c>
      <c r="F187" s="421">
        <v>424</v>
      </c>
      <c r="G187" s="422"/>
      <c r="H187" s="421">
        <f>F187*D187</f>
        <v>848</v>
      </c>
      <c r="I187" s="105"/>
    </row>
    <row r="188" spans="2:9">
      <c r="B188" s="347"/>
      <c r="C188" s="114" t="s">
        <v>196</v>
      </c>
      <c r="D188" s="137"/>
      <c r="E188" s="348"/>
      <c r="F188" s="115"/>
      <c r="G188" s="116"/>
      <c r="H188" s="115"/>
      <c r="I188" s="117"/>
    </row>
    <row r="189" spans="2:9">
      <c r="B189" s="12" t="s">
        <v>603</v>
      </c>
      <c r="C189" s="419" t="s">
        <v>950</v>
      </c>
      <c r="D189" s="423">
        <v>1</v>
      </c>
      <c r="E189" s="424" t="s">
        <v>138</v>
      </c>
      <c r="F189" s="421">
        <v>7403</v>
      </c>
      <c r="G189" s="422"/>
      <c r="H189" s="421">
        <f>F189*D189</f>
        <v>7403</v>
      </c>
      <c r="I189" s="105"/>
    </row>
    <row r="190" spans="2:9">
      <c r="B190" s="12" t="s">
        <v>603</v>
      </c>
      <c r="C190" s="419" t="s">
        <v>933</v>
      </c>
      <c r="D190" s="423">
        <v>1</v>
      </c>
      <c r="E190" s="424" t="s">
        <v>138</v>
      </c>
      <c r="F190" s="421">
        <v>11004</v>
      </c>
      <c r="G190" s="422"/>
      <c r="H190" s="421">
        <f>F190*D190</f>
        <v>11004</v>
      </c>
      <c r="I190" s="105"/>
    </row>
    <row r="191" spans="2:9">
      <c r="B191" s="12" t="s">
        <v>603</v>
      </c>
      <c r="C191" s="2" t="s">
        <v>197</v>
      </c>
      <c r="D191" s="134">
        <v>0</v>
      </c>
      <c r="E191" s="3" t="s">
        <v>138</v>
      </c>
      <c r="F191" s="85">
        <v>0</v>
      </c>
      <c r="G191" s="104"/>
      <c r="H191" s="85">
        <f>F191*D191</f>
        <v>0</v>
      </c>
      <c r="I191" s="105"/>
    </row>
    <row r="192" spans="2:9">
      <c r="B192" s="12" t="s">
        <v>603</v>
      </c>
      <c r="C192" s="2" t="s">
        <v>198</v>
      </c>
      <c r="D192" s="134">
        <v>0</v>
      </c>
      <c r="E192" s="3" t="s">
        <v>138</v>
      </c>
      <c r="F192" s="85">
        <v>0</v>
      </c>
      <c r="G192" s="104"/>
      <c r="H192" s="85">
        <f>F192*D192</f>
        <v>0</v>
      </c>
      <c r="I192" s="105"/>
    </row>
    <row r="193" spans="2:16">
      <c r="B193" s="347"/>
      <c r="C193" s="114" t="s">
        <v>158</v>
      </c>
      <c r="D193" s="137" t="s">
        <v>7</v>
      </c>
      <c r="E193" s="348" t="s">
        <v>7</v>
      </c>
      <c r="F193" s="115" t="s">
        <v>7</v>
      </c>
      <c r="G193" s="116"/>
      <c r="H193" s="115" t="s">
        <v>7</v>
      </c>
      <c r="I193" s="117"/>
    </row>
    <row r="194" spans="2:16">
      <c r="B194" s="12"/>
      <c r="C194" s="2" t="s">
        <v>790</v>
      </c>
      <c r="D194" s="134">
        <f>D146</f>
        <v>0</v>
      </c>
      <c r="E194" s="3" t="s">
        <v>138</v>
      </c>
      <c r="F194" s="85">
        <v>20000</v>
      </c>
      <c r="G194" s="104"/>
      <c r="H194" s="85">
        <f t="shared" ref="H194:H199" si="7">F194*D194</f>
        <v>0</v>
      </c>
      <c r="I194" s="105"/>
      <c r="K194" t="s">
        <v>551</v>
      </c>
    </row>
    <row r="195" spans="2:16">
      <c r="B195" s="12"/>
      <c r="C195" s="2" t="s">
        <v>555</v>
      </c>
      <c r="D195" s="134">
        <f>D147</f>
        <v>1</v>
      </c>
      <c r="E195" s="3" t="s">
        <v>138</v>
      </c>
      <c r="F195" s="85">
        <v>10000</v>
      </c>
      <c r="G195" s="104"/>
      <c r="H195" s="85">
        <f t="shared" si="7"/>
        <v>10000</v>
      </c>
      <c r="I195" s="105"/>
      <c r="K195" t="s">
        <v>551</v>
      </c>
    </row>
    <row r="196" spans="2:16">
      <c r="B196" s="12"/>
      <c r="C196" s="2" t="s">
        <v>682</v>
      </c>
      <c r="D196" s="134">
        <f>D76</f>
        <v>0</v>
      </c>
      <c r="E196" s="3" t="s">
        <v>138</v>
      </c>
      <c r="F196" s="85">
        <v>75000</v>
      </c>
      <c r="G196" s="104"/>
      <c r="H196" s="85">
        <f t="shared" si="7"/>
        <v>0</v>
      </c>
      <c r="I196" s="105"/>
      <c r="K196" t="s">
        <v>683</v>
      </c>
    </row>
    <row r="197" spans="2:16">
      <c r="B197" s="12" t="s">
        <v>603</v>
      </c>
      <c r="C197" s="2" t="s">
        <v>400</v>
      </c>
      <c r="D197" s="134">
        <v>0</v>
      </c>
      <c r="E197" s="3" t="s">
        <v>125</v>
      </c>
      <c r="F197" s="85">
        <v>0</v>
      </c>
      <c r="G197" s="104"/>
      <c r="H197" s="85">
        <f t="shared" si="7"/>
        <v>0</v>
      </c>
      <c r="I197" s="105"/>
    </row>
    <row r="198" spans="2:16">
      <c r="B198" s="12" t="s">
        <v>602</v>
      </c>
      <c r="C198" s="2" t="s">
        <v>149</v>
      </c>
      <c r="D198" s="134">
        <v>1</v>
      </c>
      <c r="E198" s="92" t="s">
        <v>105</v>
      </c>
      <c r="F198" s="112">
        <f>SUM(H179:H197)*0.1</f>
        <v>6389.5</v>
      </c>
      <c r="G198" s="104"/>
      <c r="H198" s="85">
        <f t="shared" si="7"/>
        <v>6389.5</v>
      </c>
      <c r="I198" s="105"/>
    </row>
    <row r="199" spans="2:16">
      <c r="B199" s="12" t="s">
        <v>602</v>
      </c>
      <c r="C199" s="2" t="s">
        <v>793</v>
      </c>
      <c r="D199" s="134">
        <v>1</v>
      </c>
      <c r="E199" s="92" t="s">
        <v>105</v>
      </c>
      <c r="F199" s="112">
        <f>SUM(H179:H198)*0.11</f>
        <v>7731.2950000000001</v>
      </c>
      <c r="G199" s="104"/>
      <c r="H199" s="85">
        <f t="shared" si="7"/>
        <v>7731.2950000000001</v>
      </c>
      <c r="I199" s="105"/>
    </row>
    <row r="200" spans="2:16" ht="16.5" thickBot="1">
      <c r="B200" s="94" t="s">
        <v>150</v>
      </c>
      <c r="C200" s="82"/>
      <c r="D200" s="132"/>
      <c r="E200" s="83"/>
      <c r="F200" s="87"/>
      <c r="G200" s="87"/>
      <c r="H200" s="111"/>
      <c r="I200" s="101">
        <f>CEILING(SUM(H179:H199),100)</f>
        <v>78100</v>
      </c>
    </row>
    <row r="201" spans="2:16" ht="16.5" thickBot="1">
      <c r="B201" s="536" t="s">
        <v>151</v>
      </c>
      <c r="C201" s="537"/>
      <c r="D201" s="537"/>
      <c r="E201" s="537"/>
      <c r="F201" s="537"/>
      <c r="G201" s="537"/>
      <c r="H201" s="538"/>
      <c r="I201" s="103">
        <f>SUM(I7,I27,I44,I171,I176,I200)</f>
        <v>1158500</v>
      </c>
    </row>
    <row r="202" spans="2:16" ht="15.75" thickBot="1">
      <c r="B202" s="534" t="s">
        <v>153</v>
      </c>
      <c r="C202" s="535"/>
      <c r="D202" s="166">
        <f>'Master Tab'!C29</f>
        <v>0</v>
      </c>
      <c r="E202" s="167" t="s">
        <v>159</v>
      </c>
      <c r="F202" s="168">
        <f>'Master Tab'!C30</f>
        <v>2.5000000000000001E-2</v>
      </c>
      <c r="G202" s="97"/>
      <c r="H202" s="102"/>
      <c r="I202" s="95">
        <f>CEILING(-(FV(F202,D202,0,SUM(I200,I44,I27,I7),1))-(SUM(I200,I44,I27,I7)),100)+CEILING(-(FV(F202,D202+1,0,SUM(I176,I171),1))-(SUM(I176,I171)),100)</f>
        <v>18800</v>
      </c>
      <c r="K202" s="506"/>
      <c r="L202" s="506"/>
      <c r="M202" s="506"/>
      <c r="N202" s="506"/>
      <c r="O202" s="506"/>
      <c r="P202" s="506"/>
    </row>
    <row r="203" spans="2:16" ht="15.75" thickBot="1">
      <c r="B203" s="532" t="s">
        <v>152</v>
      </c>
      <c r="C203" s="533"/>
      <c r="D203" s="138"/>
      <c r="E203" s="100"/>
      <c r="F203" s="169">
        <f>'Master Tab'!C31</f>
        <v>0.15</v>
      </c>
      <c r="G203" s="88"/>
      <c r="H203" s="102"/>
      <c r="I203" s="98">
        <f>CEILING((I201)*F203,100)</f>
        <v>173800</v>
      </c>
    </row>
    <row r="204" spans="2:16" ht="19.5" thickBot="1">
      <c r="B204" s="529" t="s">
        <v>154</v>
      </c>
      <c r="C204" s="530"/>
      <c r="D204" s="530"/>
      <c r="E204" s="530"/>
      <c r="F204" s="530"/>
      <c r="G204" s="530"/>
      <c r="H204" s="531"/>
      <c r="I204" s="96">
        <f>SUM(I201:I203)</f>
        <v>1351100</v>
      </c>
    </row>
    <row r="205" spans="2:16">
      <c r="B205" s="1" t="s">
        <v>7</v>
      </c>
      <c r="C205" s="228" t="s">
        <v>7</v>
      </c>
    </row>
    <row r="206" spans="2:16">
      <c r="B206" s="1" t="s">
        <v>7</v>
      </c>
      <c r="C206" s="228" t="s">
        <v>7</v>
      </c>
      <c r="H206" s="86" t="s">
        <v>155</v>
      </c>
      <c r="I206" s="86">
        <f>I204/D46</f>
        <v>2465.5109489051097</v>
      </c>
    </row>
    <row r="207" spans="2:16">
      <c r="H207" s="86" t="s">
        <v>156</v>
      </c>
      <c r="I207" s="86">
        <f>I204/(D46/5280)</f>
        <v>13017897.810218979</v>
      </c>
    </row>
  </sheetData>
  <sheetProtection formatCells="0" formatColumns="0" formatRows="0" insertColumns="0" insertRows="0" deleteColumns="0" deleteRows="0"/>
  <protectedRanges>
    <protectedRange algorithmName="SHA-512" hashValue="IbmNoH/XH9GZlitwFdFY+V3LGy1xQ3NuyVDz7GZtIth0KYgNC0Qiwte8wkicOU0jJryaYhOoqvkAD5QQLEfb1g==" saltValue="AzvUTwuISd6SY3rDKW9o1w==" spinCount="100000" sqref="B203:XFD1048576 D202:XFD202 A1:XFD4 A5:E6 G6:XFD6 B172:XFD173 C171:XFD171 A7:XFD9 L47:XFD47 A47:A56 B198:XFD198 A197:A1048576 A26:XFD29 N10:XFD10 A10:C25 E11:XFD25 E10:J10 B176:XFD179 B174:C175 N174:XFD175 R5:XFD5 M58:XFD61 A58:A61 M48:XFD56 G197:XFD197 B200:XFD201 B199 G199:XFD199 M63:XFD170 A63:A195 A44:XFD46 A30:C43 G30:XFD43 G180:XFD195" name="Range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TgN2v4D1fCFeftgjUK9pEnAKUNQeBvGTEn7HgMYP3TgK+Lnb8CEJvr9mDUM9krxFyvgX1rqREi6Bj66egkIy9w==" saltValue="VQoFCzDNmxNbXYp+WTQXog==" spinCount="100000" sqref="B202:C202" name="Range1_1" securityDescriptor="O:WDG:WDD:(A;;CC;;;S-1-5-21-577582919-1435025626-1914702595-3940917)(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B171" name="Range1_3"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B47:K47" name="Range1_4"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A196 G196:XFD196" name="Range1_8"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K10:M10" name="Range1_1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D10:D25" name="Range1_9"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D174:J175" name="Range1_10"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L174:M175" name="Range1_11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A57 M57:XFD57" name="Range1_12"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G5:Q5" name="Range1_13"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F6" name="Range1_14"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L169:L170 L48:L61 L63:L119" name="Range1_2"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L120:L168" name="Range1_2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K48:K53 K55:K56 K64:K66 K69:K70 D72:E72 K77:K78 B85:C85 B147:B149 B72 B73:E84 K83:K84 K145:K146 K58 B48:E61 B86:E146 K137:K143 B63:E71 G48:J56 G77:J85 G72:K76 G86:K136 G58:J59 G57:K57 G64:J71 G60:K61 G137:J146 G63:K63 B150:E170 G150:K170" name="Range1_4_2_4"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C147:C149" name="Range1_4_1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C72" name="Range1_5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D147:E149 G147:K149" name="Range1_6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D85:E85" name="Range1_7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B180:F197" name="Range1_15"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C199:F199" name="Range1_16"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A62 L62:XFD62" name="Range1_5"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B62:E62 G62:K62" name="Range1_4_2"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F5" name="Range1_7_2"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K174:K175" name="Range1_11_2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D43:E43 D30:F42" name="Range1_17"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F43" name="Range1_6_2"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F86:F146 F48:F84 F150:F170" name="Range1_4_2_1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F147:F149" name="Range1_6_1_1_1"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 algorithmName="SHA-512" hashValue="IbmNoH/XH9GZlitwFdFY+V3LGy1xQ3NuyVDz7GZtIth0KYgNC0Qiwte8wkicOU0jJryaYhOoqvkAD5QQLEfb1g==" saltValue="AzvUTwuISd6SY3rDKW9o1w==" spinCount="100000" sqref="F85" name="Range1_7_1_2" securityDescriptor="O:WDG:WDD:(A;;CC;;;S-1-5-21-577582919-1435025626-1914702595-3940917)(A;;CC;;;S-1-5-21-577582919-1435025626-1914702595-3758127)(A;;CC;;;S-1-5-21-577582919-1435025626-1914702595-3758875)(A;;CC;;;S-1-5-21-577582919-1435025626-1914702595-3758999)(A;;CC;;;S-1-5-21-577582919-1435025626-1914702595-4020469)(A;;CC;;;S-1-5-21-577582919-1435025626-1914702595-4023729)"/>
  </protectedRanges>
  <mergeCells count="9">
    <mergeCell ref="B203:C203"/>
    <mergeCell ref="B204:H204"/>
    <mergeCell ref="C1:G1"/>
    <mergeCell ref="C2:G2"/>
    <mergeCell ref="K3:Q3"/>
    <mergeCell ref="K4:Q4"/>
    <mergeCell ref="B201:H201"/>
    <mergeCell ref="B202:C202"/>
    <mergeCell ref="K202:P202"/>
  </mergeCells>
  <pageMargins left="0.7" right="0.7" top="0.75" bottom="0.75" header="0.3" footer="0.3"/>
  <pageSetup scale="63" fitToHeight="0" orientation="landscape" r:id="rId1"/>
  <headerFooter>
    <oddHeader>&amp;R&amp;"Times New Roman,Bold"&amp;10KyPSC Case No. 2025-00229
STAFF-DR-01-005(b) Attachment 3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Witness xmlns="2612a682-5ffb-4b9c-9555-017618935178">Seiter</Witnes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C8F9251C502B146B2B676A4E4DCE5BB" ma:contentTypeVersion="4" ma:contentTypeDescription="Create a new document." ma:contentTypeScope="" ma:versionID="4de23ef8f6c9bdacef4f4bddb876842f">
  <xsd:schema xmlns:xsd="http://www.w3.org/2001/XMLSchema" xmlns:xs="http://www.w3.org/2001/XMLSchema" xmlns:p="http://schemas.microsoft.com/office/2006/metadata/properties" xmlns:ns2="2612a682-5ffb-4b9c-9555-017618935178" xmlns:ns3="3c9d8c27-8a6d-4d9e-a15e-ef5d28c114af" targetNamespace="http://schemas.microsoft.com/office/2006/metadata/properties" ma:root="true" ma:fieldsID="147db5eb7ec7a17abbdcc7f7c35c2451" ns2:_="" ns3:_="">
    <xsd:import namespace="2612a682-5ffb-4b9c-9555-017618935178"/>
    <xsd:import namespace="3c9d8c27-8a6d-4d9e-a15e-ef5d28c114af"/>
    <xsd:element name="properties">
      <xsd:complexType>
        <xsd:sequence>
          <xsd:element name="documentManagement">
            <xsd:complexType>
              <xsd:all>
                <xsd:element ref="ns2:Witnes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2a682-5ffb-4b9c-9555-017618935178" elementFormDefault="qualified">
    <xsd:import namespace="http://schemas.microsoft.com/office/2006/documentManagement/types"/>
    <xsd:import namespace="http://schemas.microsoft.com/office/infopath/2007/PartnerControls"/>
    <xsd:element name="Witness" ma:index="9" nillable="true" ma:displayName="Witness" ma:internalName="Witnes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d8c27-8a6d-4d9e-a15e-ef5d28c114a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011AF0-A71E-44BE-8D53-95908F311F74}">
  <ds:schemaRefs>
    <ds:schemaRef ds:uri="http://schemas.openxmlformats.org/package/2006/metadata/core-properties"/>
    <ds:schemaRef ds:uri="http://schemas.microsoft.com/office/2006/documentManagement/types"/>
    <ds:schemaRef ds:uri="http://purl.org/dc/terms/"/>
    <ds:schemaRef ds:uri="2612a682-5ffb-4b9c-9555-017618935178"/>
    <ds:schemaRef ds:uri="http://www.w3.org/XML/1998/namespace"/>
    <ds:schemaRef ds:uri="http://schemas.microsoft.com/office/2006/metadata/properties"/>
    <ds:schemaRef ds:uri="http://purl.org/dc/dcmitype/"/>
    <ds:schemaRef ds:uri="http://purl.org/dc/elements/1.1/"/>
    <ds:schemaRef ds:uri="http://schemas.microsoft.com/office/infopath/2007/PartnerControls"/>
    <ds:schemaRef ds:uri="3c9d8c27-8a6d-4d9e-a15e-ef5d28c114af"/>
  </ds:schemaRefs>
</ds:datastoreItem>
</file>

<file path=customXml/itemProps2.xml><?xml version="1.0" encoding="utf-8"?>
<ds:datastoreItem xmlns:ds="http://schemas.openxmlformats.org/officeDocument/2006/customXml" ds:itemID="{C034AF6F-B872-4140-94B7-04B7CEE524EE}">
  <ds:schemaRefs>
    <ds:schemaRef ds:uri="http://schemas.microsoft.com/sharepoint/v3/contenttype/forms"/>
  </ds:schemaRefs>
</ds:datastoreItem>
</file>

<file path=customXml/itemProps3.xml><?xml version="1.0" encoding="utf-8"?>
<ds:datastoreItem xmlns:ds="http://schemas.openxmlformats.org/officeDocument/2006/customXml" ds:itemID="{C68F9AE2-BAC6-4420-B988-25D3F96296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2a682-5ffb-4b9c-9555-017618935178"/>
    <ds:schemaRef ds:uri="3c9d8c27-8a6d-4d9e-a15e-ef5d28c114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11</vt:i4>
      </vt:variant>
    </vt:vector>
  </HeadingPairs>
  <TitlesOfParts>
    <vt:vector size="27" baseType="lpstr">
      <vt:lpstr>First Sheet</vt:lpstr>
      <vt:lpstr>Master Tab</vt:lpstr>
      <vt:lpstr>Estimate Uncertainty Tool</vt:lpstr>
      <vt:lpstr>Finance Breakdown</vt:lpstr>
      <vt:lpstr>Assumptions</vt:lpstr>
      <vt:lpstr>Cost Change Log</vt:lpstr>
      <vt:lpstr>Cost Report</vt:lpstr>
      <vt:lpstr>24in AM07</vt:lpstr>
      <vt:lpstr>8in UL16</vt:lpstr>
      <vt:lpstr>20in UL06</vt:lpstr>
      <vt:lpstr>Station 1</vt:lpstr>
      <vt:lpstr>Demo 1</vt:lpstr>
      <vt:lpstr>Dropdown Values</vt:lpstr>
      <vt:lpstr>EJ Questionaire</vt:lpstr>
      <vt:lpstr>PE Level of Risk Template</vt:lpstr>
      <vt:lpstr>AFUDC</vt:lpstr>
      <vt:lpstr>Parcels</vt:lpstr>
      <vt:lpstr>'20in UL06'!Print_Area</vt:lpstr>
      <vt:lpstr>'24in AM07'!Print_Area</vt:lpstr>
      <vt:lpstr>'8in UL16'!Print_Area</vt:lpstr>
      <vt:lpstr>Assumptions!Print_Area</vt:lpstr>
      <vt:lpstr>'Cost Report'!Print_Area</vt:lpstr>
      <vt:lpstr>'Demo 1'!Print_Area</vt:lpstr>
      <vt:lpstr>'Dropdown Values'!Print_Area</vt:lpstr>
      <vt:lpstr>'Estimate Uncertainty Tool'!Print_Area</vt:lpstr>
      <vt:lpstr>'Master Tab'!Print_Area</vt:lpstr>
      <vt:lpstr>'Station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Exhibit 5(c) - Phase 3 Current Estimate</dc:subject>
  <dc:creator>Long, Garrett W.</dc:creator>
  <cp:lastModifiedBy>Sunderman, Minna</cp:lastModifiedBy>
  <cp:lastPrinted>2025-09-30T17:53:50Z</cp:lastPrinted>
  <dcterms:created xsi:type="dcterms:W3CDTF">2020-09-21T11:54:44Z</dcterms:created>
  <dcterms:modified xsi:type="dcterms:W3CDTF">2025-09-30T17:54:03Z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0x0101005C8F9251C502B146B2B676A4E4DCE5BB</vt:lpwstr>
  </property>
  <property fmtid="{D5CDD505-2E9C-101B-9397-08002B2CF9AE}" pid="3" name="tax_rate" linkTarget="prop_tax_rate">
    <vt:lpwstr>#REF!</vt:lpwstr>
  </property>
</Properties>
</file>