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team.duke-energy.com/sites/OHKYRegDiscovery/KY/202500xxx DEK Rider PMM Phase 4 Application/Discovery/STAFF's 1st Set of Data Requests/STAFF-DR-01-005(b) Attachments/"/>
    </mc:Choice>
  </mc:AlternateContent>
  <xr:revisionPtr revIDLastSave="0" documentId="13_ncr:1_{00DB439F-41E8-4BDD-9F6B-3B95F3017291}" xr6:coauthVersionLast="47" xr6:coauthVersionMax="47" xr10:uidLastSave="{00000000-0000-0000-0000-000000000000}"/>
  <bookViews>
    <workbookView xWindow="-120" yWindow="-120" windowWidth="29040" windowHeight="15720" firstSheet="3" activeTab="10" xr2:uid="{05B0F650-E780-479E-86BD-F9625817C56A}"/>
  </bookViews>
  <sheets>
    <sheet name="First Sheet" sheetId="24" r:id="rId1"/>
    <sheet name="Check List" sheetId="1" r:id="rId2"/>
    <sheet name="Typical%Check" sheetId="25" r:id="rId3"/>
    <sheet name="Master Tab" sheetId="2" r:id="rId4"/>
    <sheet name="Estimate Uncertainty Tool" sheetId="23" r:id="rId5"/>
    <sheet name="Finance Breakdown" sheetId="22" r:id="rId6"/>
    <sheet name="Assumptions" sheetId="3" r:id="rId7"/>
    <sheet name="Cost Change Log" sheetId="4" r:id="rId8"/>
    <sheet name="Cost Report" sheetId="5" r:id="rId9"/>
    <sheet name="Pipeline 1" sheetId="6" r:id="rId10"/>
    <sheet name="Demo 1" sheetId="16" r:id="rId11"/>
  </sheets>
  <definedNames>
    <definedName name="_xlnm.Print_Area" localSheetId="1">'Check List'!$A$1:$E$40</definedName>
    <definedName name="_xlnm.Print_Area" localSheetId="8">'Cost Report'!$A$1:$I$37</definedName>
    <definedName name="_xlnm.Print_Area" localSheetId="10">'Demo 1'!$A$1:$J$58</definedName>
    <definedName name="_xlnm.Print_Area" localSheetId="4">'Estimate Uncertainty Tool'!$B$1:$G$47</definedName>
    <definedName name="_xlnm.Print_Area" localSheetId="3">'Master Tab'!$A$4:$D$33</definedName>
    <definedName name="_xlnm.Print_Area" localSheetId="9">'Pipeline 1'!$A$1:$J$131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2" i="6" l="1"/>
  <c r="G22" i="6" l="1"/>
  <c r="I22" i="6" s="1"/>
  <c r="I20" i="6"/>
  <c r="I18" i="6"/>
  <c r="G7" i="23" l="1"/>
  <c r="E24" i="6" l="1"/>
  <c r="D3" i="24" l="1"/>
  <c r="D4" i="24"/>
  <c r="D5" i="24"/>
  <c r="D6" i="24"/>
  <c r="D7" i="24"/>
  <c r="D8" i="24"/>
  <c r="D9" i="24"/>
  <c r="D10" i="24"/>
  <c r="D11" i="24"/>
  <c r="D12" i="24"/>
  <c r="D2" i="24"/>
  <c r="B3" i="24"/>
  <c r="B4" i="24"/>
  <c r="B5" i="24"/>
  <c r="B6" i="24"/>
  <c r="B7" i="24"/>
  <c r="B8" i="24"/>
  <c r="B9" i="24"/>
  <c r="B10" i="24"/>
  <c r="B11" i="24"/>
  <c r="B12" i="24"/>
  <c r="B2" i="24"/>
  <c r="I123" i="6" l="1"/>
  <c r="I122" i="6"/>
  <c r="I121" i="6"/>
  <c r="I120" i="6"/>
  <c r="I118" i="6"/>
  <c r="I117" i="6"/>
  <c r="I115" i="6"/>
  <c r="I114" i="6"/>
  <c r="I113" i="6"/>
  <c r="I103"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3" i="6"/>
  <c r="I62" i="6"/>
  <c r="I61" i="6"/>
  <c r="I60" i="6"/>
  <c r="I59" i="6"/>
  <c r="I58" i="6"/>
  <c r="I57" i="6"/>
  <c r="I55" i="6"/>
  <c r="I54" i="6"/>
  <c r="I53" i="6"/>
  <c r="I52" i="6"/>
  <c r="I51" i="6"/>
  <c r="I50" i="6"/>
  <c r="I49" i="6"/>
  <c r="I48" i="6"/>
  <c r="I47" i="6"/>
  <c r="I46" i="6"/>
  <c r="I45" i="6"/>
  <c r="I44" i="6"/>
  <c r="I43" i="6"/>
  <c r="I42" i="6"/>
  <c r="I41" i="6"/>
  <c r="I40" i="6"/>
  <c r="I39" i="6"/>
  <c r="I38" i="6"/>
  <c r="I37" i="6"/>
  <c r="I36" i="6"/>
  <c r="I35" i="6"/>
  <c r="I34" i="6"/>
  <c r="I32" i="6"/>
  <c r="I31" i="6"/>
  <c r="E26" i="6"/>
  <c r="I26" i="6" s="1"/>
  <c r="G15" i="5" s="1"/>
  <c r="I25" i="6"/>
  <c r="G14" i="5" s="1"/>
  <c r="I24" i="6"/>
  <c r="G13" i="5" s="1"/>
  <c r="I23" i="6"/>
  <c r="G21" i="6"/>
  <c r="I21" i="6" s="1"/>
  <c r="I19" i="6"/>
  <c r="I17" i="6"/>
  <c r="I16" i="6"/>
  <c r="G12" i="5" s="1"/>
  <c r="I12" i="6"/>
  <c r="E6" i="6"/>
  <c r="I6" i="6" s="1"/>
  <c r="E5" i="6"/>
  <c r="I5" i="6" s="1"/>
  <c r="J27" i="6" l="1"/>
  <c r="J7" i="6"/>
  <c r="O3" i="25"/>
  <c r="B3" i="25"/>
  <c r="B2" i="25"/>
  <c r="B5" i="1" l="1"/>
  <c r="E23" i="16"/>
  <c r="G19" i="16"/>
  <c r="I19" i="16" s="1"/>
  <c r="I21" i="16"/>
  <c r="I20" i="16"/>
  <c r="I18" i="16"/>
  <c r="E6" i="16"/>
  <c r="E5" i="16"/>
  <c r="C31" i="2"/>
  <c r="C32" i="2" s="1"/>
  <c r="E3" i="24" l="1"/>
  <c r="E11" i="24"/>
  <c r="E9" i="24"/>
  <c r="E4" i="24"/>
  <c r="E12" i="24"/>
  <c r="E7" i="24"/>
  <c r="E10" i="24"/>
  <c r="E5" i="24"/>
  <c r="E2" i="24"/>
  <c r="E6" i="24"/>
  <c r="E8" i="24"/>
  <c r="G5" i="23"/>
  <c r="D5" i="23"/>
  <c r="C14" i="23"/>
  <c r="B18" i="23" l="1"/>
  <c r="B17" i="23"/>
  <c r="C18" i="23"/>
  <c r="C17" i="23"/>
  <c r="B15" i="23"/>
  <c r="C16" i="23"/>
  <c r="B20" i="23"/>
  <c r="B16" i="23"/>
  <c r="B13" i="23"/>
  <c r="B14" i="23"/>
  <c r="A14" i="23" s="1"/>
  <c r="C15" i="23"/>
  <c r="C21" i="23"/>
  <c r="B19" i="23"/>
  <c r="C20" i="23"/>
  <c r="C19" i="23"/>
  <c r="B21" i="23"/>
  <c r="C13" i="23"/>
  <c r="A13" i="23" l="1"/>
  <c r="A19" i="23"/>
  <c r="A18" i="23"/>
  <c r="A20" i="23"/>
  <c r="A17" i="23"/>
  <c r="A15" i="23"/>
  <c r="A16" i="23"/>
  <c r="A21" i="23"/>
  <c r="I35" i="16" l="1"/>
  <c r="I34" i="16"/>
  <c r="I52" i="16" l="1"/>
  <c r="I51" i="16"/>
  <c r="I50" i="16"/>
  <c r="I41" i="16"/>
  <c r="I40" i="16"/>
  <c r="I39" i="16"/>
  <c r="I38" i="16"/>
  <c r="I37" i="16"/>
  <c r="I36" i="16"/>
  <c r="I33" i="16"/>
  <c r="I32" i="16"/>
  <c r="I31" i="16"/>
  <c r="I30" i="16"/>
  <c r="I29" i="16"/>
  <c r="I28" i="16"/>
  <c r="I23" i="16"/>
  <c r="I15" i="5" s="1"/>
  <c r="I22" i="16"/>
  <c r="I14" i="5" s="1"/>
  <c r="I17" i="16"/>
  <c r="I13" i="5" s="1"/>
  <c r="I16" i="16"/>
  <c r="I12" i="5" s="1"/>
  <c r="I12" i="16"/>
  <c r="D13" i="5" l="1"/>
  <c r="D15" i="5"/>
  <c r="D14" i="5"/>
  <c r="J24" i="16"/>
  <c r="D12" i="5" l="1"/>
  <c r="G7" i="24" s="1"/>
  <c r="G6" i="5"/>
  <c r="C6" i="5"/>
  <c r="G57" i="16" l="1"/>
  <c r="G130" i="6"/>
  <c r="G56" i="16"/>
  <c r="G129" i="6"/>
  <c r="E56" i="16"/>
  <c r="E129" i="6"/>
  <c r="C22" i="22" l="1"/>
  <c r="C23" i="22"/>
  <c r="C21" i="22"/>
  <c r="B4" i="22"/>
  <c r="B2" i="22"/>
  <c r="J2" i="16" l="1"/>
  <c r="B2" i="16"/>
  <c r="D1" i="16"/>
  <c r="J2" i="6"/>
  <c r="D2" i="6"/>
  <c r="D1" i="6"/>
  <c r="B2" i="6"/>
  <c r="G27" i="16" l="1"/>
  <c r="I27" i="16" s="1"/>
  <c r="J42" i="16" s="1"/>
  <c r="I17" i="5" s="1"/>
  <c r="G53" i="16"/>
  <c r="I53" i="16" s="1"/>
  <c r="J54" i="16" s="1"/>
  <c r="I16" i="5" l="1"/>
  <c r="E45" i="16"/>
  <c r="I45" i="16" s="1"/>
  <c r="I46" i="16"/>
  <c r="E11" i="16"/>
  <c r="I11" i="16" s="1"/>
  <c r="E10" i="16"/>
  <c r="I10" i="16" s="1"/>
  <c r="D18" i="5" l="1"/>
  <c r="G2" i="24" s="1"/>
  <c r="F14" i="23"/>
  <c r="G14" i="23" s="1"/>
  <c r="J13" i="16"/>
  <c r="I11" i="5" s="1"/>
  <c r="J47" i="16"/>
  <c r="I19" i="5" s="1"/>
  <c r="E14" i="23" l="1"/>
  <c r="I6" i="16"/>
  <c r="I21" i="5" s="1"/>
  <c r="I5" i="16"/>
  <c r="J7" i="16" l="1"/>
  <c r="J55" i="16" s="1"/>
  <c r="J57" i="16" s="1"/>
  <c r="I20" i="5"/>
  <c r="G21" i="5"/>
  <c r="G20" i="5"/>
  <c r="D20" i="5" l="1"/>
  <c r="G12" i="24" s="1"/>
  <c r="I22" i="5"/>
  <c r="J56" i="16"/>
  <c r="I24" i="5" s="1"/>
  <c r="D21" i="5"/>
  <c r="G10" i="24" s="1"/>
  <c r="F18" i="23" l="1"/>
  <c r="E18" i="23" s="1"/>
  <c r="J58" i="16"/>
  <c r="G18" i="23" l="1"/>
  <c r="I23" i="5"/>
  <c r="I29" i="5" s="1"/>
  <c r="F19" i="23"/>
  <c r="E19" i="23" l="1"/>
  <c r="G19" i="23"/>
  <c r="B5" i="5" l="1"/>
  <c r="B3" i="5"/>
  <c r="B2" i="5"/>
  <c r="I30" i="5"/>
  <c r="I25" i="5"/>
  <c r="F21" i="5"/>
  <c r="F20" i="5"/>
  <c r="C8" i="22" s="1"/>
  <c r="F18" i="5"/>
  <c r="F15" i="5"/>
  <c r="F14" i="5"/>
  <c r="F13" i="5"/>
  <c r="F12" i="5"/>
  <c r="C9" i="22" s="1"/>
  <c r="O11" i="25" l="1"/>
  <c r="O9" i="25"/>
  <c r="O17" i="25"/>
  <c r="O8" i="25"/>
  <c r="O12" i="25"/>
  <c r="O16" i="25"/>
  <c r="O7" i="25"/>
  <c r="O6" i="25"/>
  <c r="O5" i="25"/>
  <c r="O15" i="25"/>
  <c r="O14" i="25"/>
  <c r="O13" i="25"/>
  <c r="O18" i="25"/>
  <c r="N16" i="25"/>
  <c r="N7" i="25"/>
  <c r="N5" i="25"/>
  <c r="N11" i="25"/>
  <c r="N8" i="25"/>
  <c r="N15" i="25"/>
  <c r="N6" i="25"/>
  <c r="N14" i="25"/>
  <c r="N9" i="25"/>
  <c r="N13" i="25"/>
  <c r="N12" i="25"/>
  <c r="N17" i="25"/>
  <c r="N18" i="25"/>
  <c r="L15" i="25"/>
  <c r="L17" i="25"/>
  <c r="L14" i="25"/>
  <c r="L7" i="25"/>
  <c r="L5" i="25"/>
  <c r="L6" i="25"/>
  <c r="L11" i="25"/>
  <c r="L13" i="25"/>
  <c r="L16" i="25"/>
  <c r="L8" i="25"/>
  <c r="L9" i="25"/>
  <c r="L12" i="25"/>
  <c r="L18" i="25"/>
  <c r="M17" i="25"/>
  <c r="M13" i="25"/>
  <c r="M7" i="25"/>
  <c r="M8" i="25"/>
  <c r="M9" i="25"/>
  <c r="M6" i="25"/>
  <c r="M11" i="25"/>
  <c r="M12" i="25"/>
  <c r="M5" i="25"/>
  <c r="M14" i="25"/>
  <c r="M16" i="25"/>
  <c r="M15" i="25"/>
  <c r="M18" i="25"/>
  <c r="C10" i="22"/>
  <c r="I27" i="5"/>
  <c r="I31" i="5" s="1"/>
  <c r="B4" i="4"/>
  <c r="J6" i="4"/>
  <c r="G5" i="3"/>
  <c r="A4" i="3"/>
  <c r="A1" i="3"/>
  <c r="B3" i="1"/>
  <c r="B4" i="1"/>
  <c r="E5" i="1"/>
  <c r="L10" i="25" l="1"/>
  <c r="N10" i="25"/>
  <c r="O10" i="25"/>
  <c r="M10" i="25"/>
  <c r="H17" i="25"/>
  <c r="F9" i="25" l="1"/>
  <c r="F11" i="25"/>
  <c r="F14" i="25"/>
  <c r="F8" i="25"/>
  <c r="F18" i="25"/>
  <c r="F12" i="25"/>
  <c r="F5" i="25"/>
  <c r="F7" i="25"/>
  <c r="F13" i="25"/>
  <c r="F16" i="25"/>
  <c r="F6" i="25"/>
  <c r="F15" i="25"/>
  <c r="F17" i="25"/>
  <c r="E7" i="25"/>
  <c r="E5" i="25"/>
  <c r="E15" i="25"/>
  <c r="E11" i="25"/>
  <c r="E13" i="25"/>
  <c r="E16" i="25"/>
  <c r="E9" i="25"/>
  <c r="E18" i="25"/>
  <c r="E8" i="25"/>
  <c r="E14" i="25"/>
  <c r="E6" i="25"/>
  <c r="E12" i="25"/>
  <c r="E17" i="25"/>
  <c r="G17" i="25"/>
  <c r="J17" i="25"/>
  <c r="H12" i="25"/>
  <c r="H15" i="25"/>
  <c r="H7" i="25"/>
  <c r="H5" i="25"/>
  <c r="H14" i="25"/>
  <c r="H9" i="25"/>
  <c r="H16" i="25"/>
  <c r="H8" i="25"/>
  <c r="H18" i="25"/>
  <c r="H6" i="25"/>
  <c r="H11" i="25"/>
  <c r="H13" i="25"/>
  <c r="I9" i="25"/>
  <c r="I11" i="25"/>
  <c r="I14" i="25"/>
  <c r="I15" i="25"/>
  <c r="I13" i="25"/>
  <c r="I18" i="25"/>
  <c r="I7" i="25"/>
  <c r="I5" i="25"/>
  <c r="I16" i="25"/>
  <c r="I12" i="25"/>
  <c r="I8" i="25"/>
  <c r="I6" i="25"/>
  <c r="I17" i="25"/>
  <c r="F10" i="25" l="1"/>
  <c r="H10" i="25"/>
  <c r="E10" i="25"/>
  <c r="J6" i="25"/>
  <c r="J15" i="25"/>
  <c r="J11" i="25"/>
  <c r="J14" i="25"/>
  <c r="J7" i="25"/>
  <c r="J13" i="25"/>
  <c r="J18" i="25"/>
  <c r="J5" i="25"/>
  <c r="J12" i="25"/>
  <c r="J16" i="25"/>
  <c r="J8" i="25"/>
  <c r="J9" i="25"/>
  <c r="I10" i="25"/>
  <c r="G12" i="25"/>
  <c r="G5" i="25"/>
  <c r="G9" i="25"/>
  <c r="G15" i="25"/>
  <c r="G6" i="25"/>
  <c r="G16" i="25"/>
  <c r="G18" i="25"/>
  <c r="G11" i="25"/>
  <c r="G8" i="25"/>
  <c r="G7" i="25"/>
  <c r="G13" i="25"/>
  <c r="G14" i="25"/>
  <c r="K12" i="25"/>
  <c r="K5" i="25"/>
  <c r="K14" i="25"/>
  <c r="K7" i="25"/>
  <c r="K15" i="25"/>
  <c r="K8" i="25"/>
  <c r="K16" i="25"/>
  <c r="K9" i="25"/>
  <c r="K18" i="25"/>
  <c r="K11" i="25"/>
  <c r="K13" i="25"/>
  <c r="K6" i="25"/>
  <c r="K17" i="25"/>
  <c r="K10" i="25" l="1"/>
  <c r="G10" i="25"/>
  <c r="J10" i="25"/>
  <c r="I33" i="6" l="1"/>
  <c r="I64" i="6" l="1"/>
  <c r="E56" i="6"/>
  <c r="I56" i="6" s="1"/>
  <c r="G30" i="6"/>
  <c r="I30" i="6" s="1"/>
  <c r="J104" i="6" s="1"/>
  <c r="I125" i="6"/>
  <c r="G126" i="6" l="1"/>
  <c r="I126" i="6" s="1"/>
  <c r="J127" i="6" s="1"/>
  <c r="E11" i="6" s="1"/>
  <c r="I11" i="6" s="1"/>
  <c r="G17" i="5"/>
  <c r="E108" i="6"/>
  <c r="I108" i="6" s="1"/>
  <c r="E107" i="6"/>
  <c r="I107" i="6" s="1"/>
  <c r="J109" i="6" l="1"/>
  <c r="G19" i="5" s="1"/>
  <c r="D19" i="5" s="1"/>
  <c r="E10" i="6"/>
  <c r="I10" i="6" s="1"/>
  <c r="J13" i="6" s="1"/>
  <c r="G16" i="5"/>
  <c r="D17" i="5"/>
  <c r="F17" i="5"/>
  <c r="F19" i="5" l="1"/>
  <c r="J128" i="6"/>
  <c r="J130" i="6" s="1"/>
  <c r="G23" i="5" s="1"/>
  <c r="D23" i="5" s="1"/>
  <c r="J129" i="6"/>
  <c r="G24" i="5" s="1"/>
  <c r="G29" i="5" s="1"/>
  <c r="G11" i="5"/>
  <c r="D11" i="5" s="1"/>
  <c r="F16" i="5"/>
  <c r="D16" i="5"/>
  <c r="G3" i="24"/>
  <c r="F16" i="23"/>
  <c r="F17" i="23"/>
  <c r="G6" i="24"/>
  <c r="G22" i="5" l="1"/>
  <c r="F11" i="5"/>
  <c r="F22" i="5" s="1"/>
  <c r="F23" i="5"/>
  <c r="F24" i="5"/>
  <c r="D24" i="5"/>
  <c r="D25" i="5" s="1"/>
  <c r="J131" i="6"/>
  <c r="J134" i="6" s="1"/>
  <c r="G25" i="5"/>
  <c r="G27" i="5" s="1"/>
  <c r="F25" i="5"/>
  <c r="C13" i="22"/>
  <c r="D29" i="5"/>
  <c r="F29" i="5"/>
  <c r="G17" i="23"/>
  <c r="E17" i="23"/>
  <c r="F15" i="23"/>
  <c r="G9" i="24"/>
  <c r="C7" i="22"/>
  <c r="F13" i="23"/>
  <c r="G5" i="24"/>
  <c r="D22" i="5"/>
  <c r="G16" i="23"/>
  <c r="E16" i="23"/>
  <c r="F27" i="5" l="1"/>
  <c r="C6" i="22"/>
  <c r="C11" i="22" s="1"/>
  <c r="C14" i="22" s="1"/>
  <c r="C18" i="22" s="1"/>
  <c r="G4" i="24"/>
  <c r="J133" i="6"/>
  <c r="F21" i="23"/>
  <c r="G11" i="24"/>
  <c r="G13" i="23"/>
  <c r="E13" i="23"/>
  <c r="G15" i="23"/>
  <c r="E15" i="23"/>
  <c r="D27" i="5"/>
  <c r="G28" i="5"/>
  <c r="G30" i="5" l="1"/>
  <c r="D17" i="25" s="1"/>
  <c r="D28" i="5"/>
  <c r="F28" i="5"/>
  <c r="F30" i="5" s="1"/>
  <c r="F31" i="5" s="1"/>
  <c r="E21" i="23"/>
  <c r="G21" i="23"/>
  <c r="G8" i="24" l="1"/>
  <c r="D30" i="5"/>
  <c r="F20" i="23"/>
  <c r="D11" i="25"/>
  <c r="D9" i="25"/>
  <c r="D12" i="25"/>
  <c r="D6" i="25"/>
  <c r="D5" i="25"/>
  <c r="D7" i="25"/>
  <c r="D15" i="25"/>
  <c r="D18" i="25"/>
  <c r="D16" i="25"/>
  <c r="D14" i="25"/>
  <c r="D8" i="25"/>
  <c r="D13" i="25"/>
  <c r="G31" i="5"/>
  <c r="D10" i="25" l="1"/>
  <c r="D31" i="5"/>
  <c r="C5" i="25"/>
  <c r="C8" i="25"/>
  <c r="C15" i="25"/>
  <c r="C12" i="25"/>
  <c r="C9" i="25"/>
  <c r="C14" i="25"/>
  <c r="C13" i="25"/>
  <c r="C18" i="25"/>
  <c r="C7" i="25"/>
  <c r="C16" i="25"/>
  <c r="C11" i="25"/>
  <c r="C6" i="25"/>
  <c r="E20" i="23"/>
  <c r="E22" i="23" s="1"/>
  <c r="G20" i="23"/>
  <c r="G22" i="23" s="1"/>
  <c r="F22" i="23"/>
  <c r="C17" i="25"/>
  <c r="C10" i="25" l="1"/>
  <c r="G27" i="23"/>
  <c r="K24" i="23"/>
  <c r="K28" i="23"/>
  <c r="K23" i="23"/>
  <c r="F25" i="23"/>
  <c r="K31" i="23"/>
  <c r="E27" i="23"/>
  <c r="K22" i="23"/>
  <c r="C24" i="23" l="1"/>
  <c r="F26" i="23"/>
  <c r="F27" i="23" s="1"/>
  <c r="E29" i="23" s="1"/>
  <c r="K25" i="23"/>
  <c r="K26" i="23" s="1"/>
  <c r="K29" i="23" s="1"/>
  <c r="G29"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Steven Holmes</author>
  </authors>
  <commentList>
    <comment ref="B12" authorId="0" shapeId="0" xr:uid="{00000000-0006-0000-0100-000001000000}">
      <text>
        <r>
          <rPr>
            <b/>
            <sz val="9"/>
            <color indexed="81"/>
            <rFont val="Tahoma"/>
            <family val="2"/>
          </rPr>
          <t>PMCoE:</t>
        </r>
        <r>
          <rPr>
            <sz val="9"/>
            <color indexed="81"/>
            <rFont val="Tahoma"/>
            <family val="2"/>
          </rPr>
          <t xml:space="preserve">
The </t>
        </r>
        <r>
          <rPr>
            <b/>
            <sz val="9"/>
            <color indexed="81"/>
            <rFont val="Tahoma"/>
            <family val="2"/>
          </rPr>
          <t>maximum</t>
        </r>
        <r>
          <rPr>
            <sz val="9"/>
            <color indexed="81"/>
            <rFont val="Tahoma"/>
            <family val="2"/>
          </rPr>
          <t xml:space="preserve"> allowable value in the -% Informed Range Column is 0%</t>
        </r>
      </text>
    </comment>
    <comment ref="C12" authorId="0" shapeId="0" xr:uid="{00000000-0006-0000-0100-000002000000}">
      <text>
        <r>
          <rPr>
            <b/>
            <sz val="9"/>
            <color indexed="81"/>
            <rFont val="Tahoma"/>
            <family val="2"/>
          </rPr>
          <t>PMCoE:</t>
        </r>
        <r>
          <rPr>
            <sz val="9"/>
            <color indexed="81"/>
            <rFont val="Tahoma"/>
            <family val="2"/>
          </rPr>
          <t xml:space="preserve">
The </t>
        </r>
        <r>
          <rPr>
            <b/>
            <sz val="9"/>
            <color indexed="81"/>
            <rFont val="Tahoma"/>
            <family val="2"/>
          </rPr>
          <t>minimum</t>
        </r>
        <r>
          <rPr>
            <sz val="9"/>
            <color indexed="81"/>
            <rFont val="Tahoma"/>
            <family val="2"/>
          </rPr>
          <t xml:space="preserve"> allowable value in the +% Informed Range Column is 0%</t>
        </r>
      </text>
    </comment>
    <comment ref="A13" authorId="0" shapeId="0" xr:uid="{00000000-0006-0000-0100-000003000000}">
      <text>
        <r>
          <rPr>
            <b/>
            <sz val="9"/>
            <color indexed="81"/>
            <rFont val="Tahoma"/>
            <family val="2"/>
          </rPr>
          <t>PMCoE:</t>
        </r>
        <r>
          <rPr>
            <sz val="9"/>
            <color indexed="81"/>
            <rFont val="Tahoma"/>
            <family val="2"/>
          </rPr>
          <t xml:space="preserve">
Note that any items highlighted red require correction.</t>
        </r>
      </text>
    </comment>
    <comment ref="A14" authorId="0" shapeId="0" xr:uid="{00000000-0006-0000-0100-000004000000}">
      <text>
        <r>
          <rPr>
            <b/>
            <sz val="9"/>
            <color indexed="81"/>
            <rFont val="Tahoma"/>
            <family val="2"/>
          </rPr>
          <t>PMCoE:</t>
        </r>
        <r>
          <rPr>
            <sz val="9"/>
            <color indexed="81"/>
            <rFont val="Tahoma"/>
            <family val="2"/>
          </rPr>
          <t xml:space="preserve">
Note that any items highlighted red require correction.</t>
        </r>
      </text>
    </comment>
    <comment ref="A15" authorId="0" shapeId="0" xr:uid="{10225B12-EC14-44A7-A2A1-6821CF2DE69C}">
      <text>
        <r>
          <rPr>
            <b/>
            <sz val="9"/>
            <color indexed="81"/>
            <rFont val="Tahoma"/>
            <family val="2"/>
          </rPr>
          <t>PMCoE:</t>
        </r>
        <r>
          <rPr>
            <sz val="9"/>
            <color indexed="81"/>
            <rFont val="Tahoma"/>
            <family val="2"/>
          </rPr>
          <t xml:space="preserve">
Note that any items highlighted red require correction.</t>
        </r>
      </text>
    </comment>
    <comment ref="A16" authorId="0" shapeId="0" xr:uid="{76B683A7-9C0A-4ECF-804B-49D3DF04CFBC}">
      <text>
        <r>
          <rPr>
            <b/>
            <sz val="9"/>
            <color indexed="81"/>
            <rFont val="Tahoma"/>
            <family val="2"/>
          </rPr>
          <t>PMCoE:</t>
        </r>
        <r>
          <rPr>
            <sz val="9"/>
            <color indexed="81"/>
            <rFont val="Tahoma"/>
            <family val="2"/>
          </rPr>
          <t xml:space="preserve">
Note that any items highlighted red require correction.</t>
        </r>
      </text>
    </comment>
    <comment ref="A17" authorId="0" shapeId="0" xr:uid="{D4AD576D-E96D-45D4-8C40-39F1B13CB1F7}">
      <text>
        <r>
          <rPr>
            <b/>
            <sz val="9"/>
            <color indexed="81"/>
            <rFont val="Tahoma"/>
            <family val="2"/>
          </rPr>
          <t>PMCoE:</t>
        </r>
        <r>
          <rPr>
            <sz val="9"/>
            <color indexed="81"/>
            <rFont val="Tahoma"/>
            <family val="2"/>
          </rPr>
          <t xml:space="preserve">
Note that any items highlighted red require correction.</t>
        </r>
      </text>
    </comment>
    <comment ref="A18" authorId="0" shapeId="0" xr:uid="{00000000-0006-0000-0100-000005000000}">
      <text>
        <r>
          <rPr>
            <b/>
            <sz val="9"/>
            <color indexed="81"/>
            <rFont val="Tahoma"/>
            <family val="2"/>
          </rPr>
          <t>PMCoE:</t>
        </r>
        <r>
          <rPr>
            <sz val="9"/>
            <color indexed="81"/>
            <rFont val="Tahoma"/>
            <family val="2"/>
          </rPr>
          <t xml:space="preserve">
Note that any items highlighted red require correction.</t>
        </r>
      </text>
    </comment>
    <comment ref="A19" authorId="0" shapeId="0" xr:uid="{00000000-0006-0000-0100-000006000000}">
      <text>
        <r>
          <rPr>
            <b/>
            <sz val="9"/>
            <color indexed="81"/>
            <rFont val="Tahoma"/>
            <family val="2"/>
          </rPr>
          <t>PMCoE:</t>
        </r>
        <r>
          <rPr>
            <sz val="9"/>
            <color indexed="81"/>
            <rFont val="Tahoma"/>
            <family val="2"/>
          </rPr>
          <t xml:space="preserve">
Note that any items highlighted red require correction.</t>
        </r>
      </text>
    </comment>
    <comment ref="A20" authorId="0" shapeId="0" xr:uid="{00000000-0006-0000-0100-000007000000}">
      <text>
        <r>
          <rPr>
            <b/>
            <sz val="9"/>
            <color indexed="81"/>
            <rFont val="Tahoma"/>
            <family val="2"/>
          </rPr>
          <t>PMCoE:</t>
        </r>
        <r>
          <rPr>
            <sz val="9"/>
            <color indexed="81"/>
            <rFont val="Tahoma"/>
            <family val="2"/>
          </rPr>
          <t xml:space="preserve">
Note that any items highlighted red require correction.</t>
        </r>
      </text>
    </comment>
    <comment ref="A21" authorId="0" shapeId="0" xr:uid="{00000000-0006-0000-0100-00000E000000}">
      <text>
        <r>
          <rPr>
            <b/>
            <sz val="9"/>
            <color indexed="81"/>
            <rFont val="Tahoma"/>
            <family val="2"/>
          </rPr>
          <t>PMCoE:</t>
        </r>
        <r>
          <rPr>
            <sz val="9"/>
            <color indexed="81"/>
            <rFont val="Tahoma"/>
            <family val="2"/>
          </rPr>
          <t xml:space="preserve">
Note that any items highlighted red require correction.</t>
        </r>
      </text>
    </comment>
    <comment ref="F25" authorId="0" shapeId="0" xr:uid="{00000000-0006-0000-0100-00000F000000}">
      <text>
        <r>
          <rPr>
            <b/>
            <sz val="9"/>
            <color indexed="81"/>
            <rFont val="Tahoma"/>
            <family val="2"/>
          </rPr>
          <t>PMCoE:</t>
        </r>
        <r>
          <rPr>
            <sz val="9"/>
            <color indexed="81"/>
            <rFont val="Tahoma"/>
            <family val="2"/>
          </rPr>
          <t xml:space="preserve">
ML is subtracted from the PERT formula to show only the Estimate Uncertainty value.</t>
        </r>
      </text>
    </comment>
  </commentList>
</comments>
</file>

<file path=xl/sharedStrings.xml><?xml version="1.0" encoding="utf-8"?>
<sst xmlns="http://schemas.openxmlformats.org/spreadsheetml/2006/main" count="924" uniqueCount="482">
  <si>
    <t>Estimate Document Checklist</t>
  </si>
  <si>
    <t>Project Name</t>
  </si>
  <si>
    <t>Class 5</t>
  </si>
  <si>
    <t>Revision:</t>
  </si>
  <si>
    <t>A</t>
  </si>
  <si>
    <t>Document Type</t>
  </si>
  <si>
    <t>Yes</t>
  </si>
  <si>
    <t>No</t>
  </si>
  <si>
    <t>Comment</t>
  </si>
  <si>
    <t>Engineering</t>
  </si>
  <si>
    <t>Design Basis Document</t>
  </si>
  <si>
    <t>Input from System Planning</t>
  </si>
  <si>
    <t>Was project Modeled by PNG</t>
  </si>
  <si>
    <t>Were Engineering drawings provided</t>
  </si>
  <si>
    <t>Project Location</t>
  </si>
  <si>
    <t>Flow Rate</t>
  </si>
  <si>
    <t>Pressure</t>
  </si>
  <si>
    <t>In-service Date</t>
  </si>
  <si>
    <t>Quantities</t>
  </si>
  <si>
    <t xml:space="preserve">Land </t>
  </si>
  <si>
    <t>Land price Estimate</t>
  </si>
  <si>
    <t xml:space="preserve"> </t>
  </si>
  <si>
    <t>Pricing</t>
  </si>
  <si>
    <t>Current Equipment Pricing</t>
  </si>
  <si>
    <t>Contractor Construction Quote</t>
  </si>
  <si>
    <t>External Engineer's Estimate</t>
  </si>
  <si>
    <t>Long Lead Material Analysis</t>
  </si>
  <si>
    <t>Schedule</t>
  </si>
  <si>
    <t>Project Schedule</t>
  </si>
  <si>
    <t>Project Schedule Contingency</t>
  </si>
  <si>
    <t>Other</t>
  </si>
  <si>
    <t>Does the design route parallel existing facilities?</t>
  </si>
  <si>
    <t>Does the design route parallel other ROW's</t>
  </si>
  <si>
    <t>Are there Plant Safety Requirements</t>
  </si>
  <si>
    <t>Military Base</t>
  </si>
  <si>
    <t>OM</t>
  </si>
  <si>
    <t>OM Estimate</t>
  </si>
  <si>
    <t>Input here will populate each tab with common information so that it does not need to be input on each tab.</t>
  </si>
  <si>
    <t>Master Input Data</t>
  </si>
  <si>
    <t>Description</t>
  </si>
  <si>
    <t>User Input</t>
  </si>
  <si>
    <t>Notes</t>
  </si>
  <si>
    <t>Estimate Revision Number</t>
  </si>
  <si>
    <t>Change number on each draft to be sent out</t>
  </si>
  <si>
    <t>Date:</t>
  </si>
  <si>
    <t>Update with each revision</t>
  </si>
  <si>
    <t>Customer</t>
  </si>
  <si>
    <t>Project manager</t>
  </si>
  <si>
    <t>PM</t>
  </si>
  <si>
    <t>Modeler</t>
  </si>
  <si>
    <t>System Planning</t>
  </si>
  <si>
    <t>Lead Estimator</t>
  </si>
  <si>
    <t>Person who does the estimate</t>
  </si>
  <si>
    <t>Estimate Requested By</t>
  </si>
  <si>
    <t>Requestor</t>
  </si>
  <si>
    <t>Rate Requested</t>
  </si>
  <si>
    <t>firm, interruptible, etc.</t>
  </si>
  <si>
    <t>change unit of measure as needed</t>
  </si>
  <si>
    <t>Resource Center</t>
  </si>
  <si>
    <t>Estimate Type</t>
  </si>
  <si>
    <t>Length of Pipeline</t>
  </si>
  <si>
    <t>Add Sales tax ( PNG Materials Only)</t>
  </si>
  <si>
    <t>Input Percentage - Will automatically apply to materials</t>
  </si>
  <si>
    <t>Pipe Size</t>
  </si>
  <si>
    <t>Estimate Steps</t>
  </si>
  <si>
    <t>Input information above - this transfers to headers on individual tabs</t>
  </si>
  <si>
    <t>Write Project description on the Review Format Tab (This can be updated as estimating progresses)</t>
  </si>
  <si>
    <t>Enter Pipe quantities on the Quantities Tab, enter quantities of HDD etc.</t>
  </si>
  <si>
    <t>Delivery Pressure (PSIG)</t>
  </si>
  <si>
    <t>Hourly Flow (MCFH)</t>
  </si>
  <si>
    <t>Notes and Assumptions</t>
  </si>
  <si>
    <t>Estimate Revision:</t>
  </si>
  <si>
    <t>1.</t>
  </si>
  <si>
    <t>2.</t>
  </si>
  <si>
    <t>3.</t>
  </si>
  <si>
    <t>4.</t>
  </si>
  <si>
    <t>5.</t>
  </si>
  <si>
    <t>6.</t>
  </si>
  <si>
    <t>7.</t>
  </si>
  <si>
    <t>8.</t>
  </si>
  <si>
    <t>9.</t>
  </si>
  <si>
    <t>10.</t>
  </si>
  <si>
    <t>This is to document the changes requested in the estimate from reviews.</t>
  </si>
  <si>
    <t>Revision</t>
  </si>
  <si>
    <t>Piedmont Natural Gas</t>
  </si>
  <si>
    <t>Estimate Change Log</t>
  </si>
  <si>
    <t>Item</t>
  </si>
  <si>
    <t>Date</t>
  </si>
  <si>
    <t>Price Before Change</t>
  </si>
  <si>
    <t>Price After Change</t>
  </si>
  <si>
    <t>Change Amount</t>
  </si>
  <si>
    <t>Estimate Changed By:</t>
  </si>
  <si>
    <t>XX/XX/XX</t>
  </si>
  <si>
    <t>Starting Estimate</t>
  </si>
  <si>
    <t xml:space="preserve">Revision: </t>
  </si>
  <si>
    <t>Change Directed By:</t>
  </si>
  <si>
    <t>Project Cost Breakdown</t>
  </si>
  <si>
    <t xml:space="preserve"> Capital Improvement and Retirement</t>
  </si>
  <si>
    <t>Capital Improvement</t>
  </si>
  <si>
    <t>Retirement</t>
  </si>
  <si>
    <t>WBS 1</t>
  </si>
  <si>
    <t>Total</t>
  </si>
  <si>
    <t>NGENGNC</t>
  </si>
  <si>
    <t>NGLANDC</t>
  </si>
  <si>
    <t>Land Purchase</t>
  </si>
  <si>
    <t>Land - Rights</t>
  </si>
  <si>
    <t>Land - Support</t>
  </si>
  <si>
    <t>Land Legal</t>
  </si>
  <si>
    <t>NGMATEC</t>
  </si>
  <si>
    <t>Materials/Equipment</t>
  </si>
  <si>
    <t>NGCONPC</t>
  </si>
  <si>
    <t>Construction Serv - Pipeline</t>
  </si>
  <si>
    <t>NGCONFC</t>
  </si>
  <si>
    <t>Construction Serv - Facility</t>
  </si>
  <si>
    <t>Field Inspections</t>
  </si>
  <si>
    <t>NGMPGL</t>
  </si>
  <si>
    <t>PNG Labor</t>
  </si>
  <si>
    <t>NGMOTH</t>
  </si>
  <si>
    <t>Other Direct Costs</t>
  </si>
  <si>
    <t>Subtotal Direct Cost</t>
  </si>
  <si>
    <t>Project Contingency</t>
  </si>
  <si>
    <t>Project Escalation</t>
  </si>
  <si>
    <t>Total Contingency &amp; Escalation</t>
  </si>
  <si>
    <t>Total Direct Cost</t>
  </si>
  <si>
    <t>AFUDC Debt</t>
  </si>
  <si>
    <t>AFUC</t>
  </si>
  <si>
    <t>NGMOVH</t>
  </si>
  <si>
    <t>Overhead and Allocations</t>
  </si>
  <si>
    <t>Overheads</t>
  </si>
  <si>
    <t>Total PNG Overhead Cost</t>
  </si>
  <si>
    <t>Project Total</t>
  </si>
  <si>
    <t>Notes:</t>
  </si>
  <si>
    <t>1. Contingency is not included on escalation.</t>
  </si>
  <si>
    <t>AFUDC</t>
  </si>
  <si>
    <t>NC</t>
  </si>
  <si>
    <t>SC</t>
  </si>
  <si>
    <t>TN</t>
  </si>
  <si>
    <t>KY</t>
  </si>
  <si>
    <t>OH</t>
  </si>
  <si>
    <t>3ST</t>
  </si>
  <si>
    <t>2ST</t>
  </si>
  <si>
    <t>Pipelay 1</t>
  </si>
  <si>
    <t>Pipelay 2</t>
  </si>
  <si>
    <t>Pipelay 3</t>
  </si>
  <si>
    <t>Station 1</t>
  </si>
  <si>
    <t>Station 2</t>
  </si>
  <si>
    <t>Station 3</t>
  </si>
  <si>
    <t>Station 4</t>
  </si>
  <si>
    <t>Station 5</t>
  </si>
  <si>
    <t>Pipe Abandonment</t>
  </si>
  <si>
    <t>Revision #</t>
  </si>
  <si>
    <t>Control Code</t>
  </si>
  <si>
    <t>Component Description</t>
  </si>
  <si>
    <t>Units</t>
  </si>
  <si>
    <t>Unit of Measure</t>
  </si>
  <si>
    <t>Unit Cost</t>
  </si>
  <si>
    <t>Totals</t>
  </si>
  <si>
    <t>Instructions</t>
  </si>
  <si>
    <t>Internal Engineering &amp; Construction Management</t>
  </si>
  <si>
    <t>Hour</t>
  </si>
  <si>
    <t>Other Direct Cost</t>
  </si>
  <si>
    <t>Calculated</t>
  </si>
  <si>
    <t>Sub-Total - Internal E&amp;CM</t>
  </si>
  <si>
    <t>External Engineering</t>
  </si>
  <si>
    <t>Design - Pipeline</t>
  </si>
  <si>
    <t>Design - Facility</t>
  </si>
  <si>
    <t>MAOP</t>
  </si>
  <si>
    <t>Sub-Total -  External Engineering</t>
  </si>
  <si>
    <t>Land Services</t>
  </si>
  <si>
    <t>Transmission - Land Purchase</t>
  </si>
  <si>
    <t>Acre</t>
  </si>
  <si>
    <t>Construction Support - Land</t>
  </si>
  <si>
    <t>Per Parcel</t>
  </si>
  <si>
    <t>Contract Labor - Legal</t>
  </si>
  <si>
    <t>Sub-Total - Land Services</t>
  </si>
  <si>
    <t>Construction Services - Pipeline</t>
  </si>
  <si>
    <t>Overall LF of Pipe installed</t>
  </si>
  <si>
    <t>Lump Sum</t>
  </si>
  <si>
    <t>Mob/Demob</t>
  </si>
  <si>
    <t>Use 5% to 10% for the construction services cost listed below. The larger the project, the lower the %; Always leave quantity as 1</t>
  </si>
  <si>
    <t>Safety Fence</t>
  </si>
  <si>
    <t>LF</t>
  </si>
  <si>
    <t>SF</t>
  </si>
  <si>
    <t>Linear Foot</t>
  </si>
  <si>
    <t>Conventional Bore - Dirt</t>
  </si>
  <si>
    <t>Conventional Bore - Rock</t>
  </si>
  <si>
    <t>Directional Drill – Dirt</t>
  </si>
  <si>
    <t>Directional Drill – Rock</t>
  </si>
  <si>
    <t>Conventional Upland Lay</t>
  </si>
  <si>
    <t>Conventional Wetland Lay</t>
  </si>
  <si>
    <t>Civil or General Conditions</t>
  </si>
  <si>
    <t>Commissioning</t>
  </si>
  <si>
    <t>Scar Guard</t>
  </si>
  <si>
    <t>HDD Mudd Disposal</t>
  </si>
  <si>
    <t>Contractor Tap Support</t>
  </si>
  <si>
    <t>Days</t>
  </si>
  <si>
    <t>TDW Tap</t>
  </si>
  <si>
    <t>Each</t>
  </si>
  <si>
    <t>Field Inspection &amp; Testing</t>
  </si>
  <si>
    <t>Construction Inspection</t>
  </si>
  <si>
    <t>Man-Days</t>
  </si>
  <si>
    <t>Non-Destructive Testing</t>
  </si>
  <si>
    <t>Sub-Total - Field Inspection &amp; Testing</t>
  </si>
  <si>
    <t>Major Equipment &amp; Materials</t>
  </si>
  <si>
    <t>Pipe</t>
  </si>
  <si>
    <t>Fittings</t>
  </si>
  <si>
    <t>Cathodic Protection Supplies</t>
  </si>
  <si>
    <t>Misc. Materials (10% of Total Major)</t>
  </si>
  <si>
    <t xml:space="preserve">Sub-Total - Materials </t>
  </si>
  <si>
    <t xml:space="preserve">Sub-Total </t>
  </si>
  <si>
    <t>Contingency</t>
  </si>
  <si>
    <t>Escalation</t>
  </si>
  <si>
    <t>Pipeline Estimate Total</t>
  </si>
  <si>
    <t>Cost per foot</t>
  </si>
  <si>
    <t>Cost per mile</t>
  </si>
  <si>
    <t xml:space="preserve">  Yellow tab w/ red font is a calculated value. No input required.</t>
  </si>
  <si>
    <t>Miscellaneous</t>
  </si>
  <si>
    <t>Year at</t>
  </si>
  <si>
    <t>Size / Name</t>
  </si>
  <si>
    <t>Length / Qty</t>
  </si>
  <si>
    <t>Hydro Test</t>
  </si>
  <si>
    <t>Cubic Yard</t>
  </si>
  <si>
    <t>XX" Standard Wall, X52, Bare</t>
  </si>
  <si>
    <t>Overall LF of Pipe to be Abandoned</t>
  </si>
  <si>
    <t>Demo Equipment</t>
  </si>
  <si>
    <t>Grouting</t>
  </si>
  <si>
    <t>Pipe Removal</t>
  </si>
  <si>
    <t>Purge Materials</t>
  </si>
  <si>
    <t>Stopple</t>
  </si>
  <si>
    <t>Sub-totals</t>
  </si>
  <si>
    <t>Funding Breakdown</t>
  </si>
  <si>
    <t>Budget</t>
  </si>
  <si>
    <t>Contract Labor</t>
  </si>
  <si>
    <t>Material Purchased by PNG</t>
  </si>
  <si>
    <t>Land (Permanent Only)</t>
  </si>
  <si>
    <t>Sub-Total</t>
  </si>
  <si>
    <t>Start Date</t>
  </si>
  <si>
    <t>In-Service Date</t>
  </si>
  <si>
    <t>Completion Date</t>
  </si>
  <si>
    <t>Major Equipment and Testing</t>
  </si>
  <si>
    <t>Internal Engineering and Construction Management</t>
  </si>
  <si>
    <t>Permanent Land purchases only</t>
  </si>
  <si>
    <t>Land Rights (temporary land, land services, etc), Other Direct Costs - travel, meals, hotel, misc expenses</t>
  </si>
  <si>
    <t>By Finance</t>
  </si>
  <si>
    <t>By Project Manager</t>
  </si>
  <si>
    <t>From Project Charter or Project Mgr.</t>
  </si>
  <si>
    <t>From Estimating</t>
  </si>
  <si>
    <t>MLV Installation</t>
  </si>
  <si>
    <t>Equipment</t>
  </si>
  <si>
    <t>XX" L/R Module</t>
  </si>
  <si>
    <t>Escalation (in Years)</t>
  </si>
  <si>
    <t>Escalation Rate (%)</t>
  </si>
  <si>
    <t>Contingency %</t>
  </si>
  <si>
    <t>Contingency (%)</t>
  </si>
  <si>
    <t>External Engineering, Construction Services, Field Inspection &amp; Testing, Escalation</t>
  </si>
  <si>
    <t>NGFITSC</t>
  </si>
  <si>
    <t>OH/KY</t>
  </si>
  <si>
    <t>NC + Spartanburg</t>
  </si>
  <si>
    <t>SC - Spartanburg</t>
  </si>
  <si>
    <t>*ENSURE DISTRIBUTION COSTS HAVE BEEN REMOVED FROM ABOVE</t>
  </si>
  <si>
    <t>*Per costs that Robin provided.</t>
  </si>
  <si>
    <t>Launcher/Receiver Removal</t>
  </si>
  <si>
    <t>Haul Materials</t>
  </si>
  <si>
    <t>Line Locating</t>
  </si>
  <si>
    <t>Week</t>
  </si>
  <si>
    <t>Nitrogen Clearing</t>
  </si>
  <si>
    <t>City, State</t>
  </si>
  <si>
    <t>Physical Location</t>
  </si>
  <si>
    <t>Rate of Escalation (use '0' only for commit and build gates)</t>
  </si>
  <si>
    <t>Clearing and Grubbing</t>
  </si>
  <si>
    <t>Tree Cutting Only/No Grubbing</t>
  </si>
  <si>
    <t>Rock Excavation – Blasting</t>
  </si>
  <si>
    <t>Rock Excavation – Mechanical</t>
  </si>
  <si>
    <t>Padding - Haul</t>
  </si>
  <si>
    <t>Sand Padding over Existing Lines</t>
  </si>
  <si>
    <t>Rock Shield</t>
  </si>
  <si>
    <t>Saddle Bag Weight</t>
  </si>
  <si>
    <t>River Weight</t>
  </si>
  <si>
    <t>Concrete Coating</t>
  </si>
  <si>
    <t>Zinc Ribbon</t>
  </si>
  <si>
    <t>Anode Bed</t>
  </si>
  <si>
    <t>Temporary Clean-up</t>
  </si>
  <si>
    <t>Additional Hill Resources</t>
  </si>
  <si>
    <t>acre</t>
  </si>
  <si>
    <t>Silt Fence (metal post &amp; wire backing)</t>
  </si>
  <si>
    <t>Conventional Silt Fence</t>
  </si>
  <si>
    <t>Curlex Blanket with Staples (4 x 100)</t>
  </si>
  <si>
    <t>Hydroseeding Temporary Stabilization</t>
  </si>
  <si>
    <t>Hydroseeding Permanent Stabilization</t>
  </si>
  <si>
    <t>Rip Rap Placement</t>
  </si>
  <si>
    <t>Gravel Placement</t>
  </si>
  <si>
    <t>Geo Textile Fabric</t>
  </si>
  <si>
    <t>Culvert Pipe (CMP)</t>
  </si>
  <si>
    <t>Sack Breakers</t>
  </si>
  <si>
    <t>Sediment Basin (excludes rock)</t>
  </si>
  <si>
    <t>Trench Breaker (Plug)</t>
  </si>
  <si>
    <t>Foam Breakers</t>
  </si>
  <si>
    <t>Construction (Timber) Mats (4'x18')</t>
  </si>
  <si>
    <t>Laminated (Truck) Mats (8'x16')</t>
  </si>
  <si>
    <t>Bentonite Trench Seals in Wetlands</t>
  </si>
  <si>
    <t>Permanent Seeding (seed straw, and tack)</t>
  </si>
  <si>
    <t>Intermediate Seeding (seed straw, and tack)</t>
  </si>
  <si>
    <t>Dry Crossing (Flume or Dam/Pump Method)</t>
  </si>
  <si>
    <t>Sod</t>
  </si>
  <si>
    <t>12" Sediment Log</t>
  </si>
  <si>
    <t>Erosion Eel</t>
  </si>
  <si>
    <t>Rock Filter Outlet</t>
  </si>
  <si>
    <t>Block and Gravel Basin Filter</t>
  </si>
  <si>
    <t>Permanent Wetland Seeding</t>
  </si>
  <si>
    <t>Square Yard</t>
  </si>
  <si>
    <t>Ton</t>
  </si>
  <si>
    <t>linear ft</t>
  </si>
  <si>
    <t>Inch Diameter/LF</t>
  </si>
  <si>
    <t>Well Points</t>
  </si>
  <si>
    <t>Air Bridges</t>
  </si>
  <si>
    <t>Chain Link Fence &amp; Gates – New</t>
  </si>
  <si>
    <t>Chain Link Fence &amp; Gates - Repair</t>
  </si>
  <si>
    <t>Temporary Pasture Fencing</t>
  </si>
  <si>
    <t>Permanent Access Roads</t>
  </si>
  <si>
    <t>Temporary Access Roads</t>
  </si>
  <si>
    <t>Top Soil</t>
  </si>
  <si>
    <t>Asphalt Removal/Restoration</t>
  </si>
  <si>
    <t>Grouting of Abandoned Pipe</t>
  </si>
  <si>
    <t>Removal of Existing Pipeline</t>
  </si>
  <si>
    <t>Square Foot</t>
  </si>
  <si>
    <t>L/R Installation</t>
  </si>
  <si>
    <t>Staging &amp; Laydown Yard</t>
  </si>
  <si>
    <t>*10% of parcels are assumed to go to condemnation</t>
  </si>
  <si>
    <t>HDD Mudd Engineer</t>
  </si>
  <si>
    <t>Install &amp; Remove Flare + Mob/Demob</t>
  </si>
  <si>
    <t>Small Station Removal</t>
  </si>
  <si>
    <t>Medium Station Removal</t>
  </si>
  <si>
    <t>Large Station Removal</t>
  </si>
  <si>
    <t>*This is an adder to the conventional uplay cost and qty does not count toward overall pipe installed</t>
  </si>
  <si>
    <t>* 2 per stream/creek open cut</t>
  </si>
  <si>
    <t>* At least 2 per river open cut</t>
  </si>
  <si>
    <t>*Wetland Lay /4</t>
  </si>
  <si>
    <t>*Use LF cost but Minimum $6,000 (based upon a crew of 4, working 10 hours at  ~100/hr + Nitrogen)</t>
  </si>
  <si>
    <t>*Use LF cost but Minimum $15,000 for shop hydrotest / Minimum $25,000 for field hydrotest (labor/Water/pumps/water dispoal)</t>
  </si>
  <si>
    <t>Class 1</t>
  </si>
  <si>
    <t>Detailed Unit Cost with Detailed Take-Off.</t>
  </si>
  <si>
    <t>Class 2</t>
  </si>
  <si>
    <t>Class 3</t>
  </si>
  <si>
    <t>Semi-Detailed Unit Costs with Assembly Level Line Items.</t>
  </si>
  <si>
    <t>Class 4</t>
  </si>
  <si>
    <t>Equipment Factored. Parametric Models.</t>
  </si>
  <si>
    <t>Capacity Factored. Parametric Models. Judgement, or Analogy</t>
  </si>
  <si>
    <t>High Range</t>
  </si>
  <si>
    <t>Low Range</t>
  </si>
  <si>
    <t>Typical Methodology</t>
  </si>
  <si>
    <t>Class</t>
  </si>
  <si>
    <t>AACEI Estimate Class Reference:</t>
  </si>
  <si>
    <t>* P10 and P90 are representitive values, but not statistically proven by this methodology.  These values do not include any Risk EMV and are shown to allow the project to assess if their Project Informed Range is aligned with the AACEI Class of Estimate expectations.</t>
  </si>
  <si>
    <t>P90</t>
  </si>
  <si>
    <t>P50</t>
  </si>
  <si>
    <t>P10</t>
  </si>
  <si>
    <t>Certainty*</t>
  </si>
  <si>
    <t>EU</t>
  </si>
  <si>
    <t>Project Informed Range</t>
  </si>
  <si>
    <t>ML</t>
  </si>
  <si>
    <t>Worst Case</t>
  </si>
  <si>
    <t>Expected Case</t>
  </si>
  <si>
    <t>Best Case</t>
  </si>
  <si>
    <t>Divided by 6</t>
  </si>
  <si>
    <t>C. Contingency (A+B)</t>
  </si>
  <si>
    <t>B. Estimate Uncertainty PERT ((O+P+(ML*4))/6)-ML</t>
  </si>
  <si>
    <t>P</t>
  </si>
  <si>
    <t>A. Cummulative Risk EMV</t>
  </si>
  <si>
    <t>ML*4</t>
  </si>
  <si>
    <t>O</t>
  </si>
  <si>
    <t>Sub Total</t>
  </si>
  <si>
    <t>Cost Description</t>
  </si>
  <si>
    <t>+ %</t>
  </si>
  <si>
    <t>- %</t>
  </si>
  <si>
    <t>Worst Case (Pessimistic: P)</t>
  </si>
  <si>
    <t>Estimate Value (Most Likely: ML)</t>
  </si>
  <si>
    <t>Best Case (Optimistic: O)</t>
  </si>
  <si>
    <t>Informed Range</t>
  </si>
  <si>
    <t>PMCoE Estimate Uncertainty Tool</t>
  </si>
  <si>
    <t>Build</t>
  </si>
  <si>
    <t>Minimum Class:</t>
  </si>
  <si>
    <t>Initiate</t>
  </si>
  <si>
    <t>Next Stage Gate:</t>
  </si>
  <si>
    <t>Commit</t>
  </si>
  <si>
    <t>Project Name:</t>
  </si>
  <si>
    <t>Identify</t>
  </si>
  <si>
    <t>Cell requires user entry</t>
  </si>
  <si>
    <t xml:space="preserve">Estimate Uncertainty
</t>
  </si>
  <si>
    <r>
      <rPr>
        <sz val="12"/>
        <color theme="0"/>
        <rFont val="Calibri"/>
        <family val="2"/>
        <scheme val="minor"/>
      </rPr>
      <t>PM</t>
    </r>
    <r>
      <rPr>
        <b/>
        <i/>
        <sz val="12"/>
        <color theme="0"/>
        <rFont val="Calibri"/>
        <family val="2"/>
        <scheme val="minor"/>
      </rPr>
      <t xml:space="preserve">CoE </t>
    </r>
    <r>
      <rPr>
        <sz val="12"/>
        <color theme="0"/>
        <rFont val="Calibri"/>
        <family val="2"/>
        <scheme val="minor"/>
      </rPr>
      <t xml:space="preserve"> </t>
    </r>
  </si>
  <si>
    <t>Land</t>
  </si>
  <si>
    <t>Construction Services</t>
  </si>
  <si>
    <t>Field Inspections &amp; Testing</t>
  </si>
  <si>
    <t>Overhead &amp; Allocations</t>
  </si>
  <si>
    <t>Total Project Schedule</t>
  </si>
  <si>
    <t>Engineering Project Schedule</t>
  </si>
  <si>
    <t>Construction Project Schedule</t>
  </si>
  <si>
    <t>*For Charters, if the in-service date does not match this date then we need to let Renee's group know</t>
  </si>
  <si>
    <t>*This will auto-populate when total project schedule is completed</t>
  </si>
  <si>
    <t>*Either start date from Ecosys or leave as 1/1/2022 for 2022 charters</t>
  </si>
  <si>
    <t>Month</t>
  </si>
  <si>
    <t>1 Year Project - 17 months | 2 Year Project - 31 months | 3 Year Project -  40 months</t>
  </si>
  <si>
    <t>1 Year Project - 7 months | 2 Year Project - 16 months | 3 Year Project -  22 months</t>
  </si>
  <si>
    <t>1 Year Project - 5 months | 2 Year Project - 8 months | 3 Year Project -  10 months</t>
  </si>
  <si>
    <t>Transmission - Pipeline Easements</t>
  </si>
  <si>
    <t>Transmission - Stations Easements</t>
  </si>
  <si>
    <t>Transmission - Temp Work Space</t>
  </si>
  <si>
    <t>Transmission - Access Roads</t>
  </si>
  <si>
    <t>Transmission - Laydown Yard</t>
  </si>
  <si>
    <t>Years</t>
  </si>
  <si>
    <t>TOTAL PROJECT COST</t>
  </si>
  <si>
    <t>Demo 1</t>
  </si>
  <si>
    <t>Demo 2</t>
  </si>
  <si>
    <t>Demo 3</t>
  </si>
  <si>
    <t>Demo 4</t>
  </si>
  <si>
    <t>Pipeline</t>
  </si>
  <si>
    <t>Station</t>
  </si>
  <si>
    <t>Indicative Percentages</t>
  </si>
  <si>
    <t>ILI Projects</t>
  </si>
  <si>
    <t xml:space="preserve">Enter the overall pipe line footage. </t>
  </si>
  <si>
    <t>*For Charters, use a 5% routing factor if proposed route appears to be thought out &amp; follows property boundaries. Use 14% if straight line/does not follow property boundaries.</t>
  </si>
  <si>
    <r>
      <t xml:space="preserve">Years until </t>
    </r>
    <r>
      <rPr>
        <b/>
        <sz val="11"/>
        <color rgb="FFFF0000"/>
        <rFont val="Calibri"/>
        <family val="2"/>
        <scheme val="minor"/>
      </rPr>
      <t>start</t>
    </r>
    <r>
      <rPr>
        <sz val="11"/>
        <color rgb="FFFF0000"/>
        <rFont val="Calibri"/>
        <family val="2"/>
        <scheme val="minor"/>
      </rPr>
      <t xml:space="preserve"> date (not in-service date) (Put '0' if project is kicking off within 6 months)</t>
    </r>
  </si>
  <si>
    <t>*Only use for wooded/forested area where trees are over 10' high</t>
  </si>
  <si>
    <t>*Only use for wooded or brush areas where trees are under 10'. Not needed for fields or already cleared land.</t>
  </si>
  <si>
    <t>*Quote 60' per bore/drill pit and tie-in. Also include length to match MLV fence and L/R fence.</t>
  </si>
  <si>
    <t>Land Services - Contractor</t>
  </si>
  <si>
    <t>Object Path ID</t>
  </si>
  <si>
    <t>Resource Type Path ID</t>
  </si>
  <si>
    <t>End Date</t>
  </si>
  <si>
    <t>Curve ID</t>
  </si>
  <si>
    <t>Cost</t>
  </si>
  <si>
    <t>Currency</t>
  </si>
  <si>
    <t>Transaction Date</t>
  </si>
  <si>
    <t>External Key</t>
  </si>
  <si>
    <t>*From Ecosys for Charters **IF HIGHLIGHTED RED THEN NOT FEASIBLE, CONTACT CHARTER GROUP**</t>
  </si>
  <si>
    <t>*One MLV is required per 8 miles (in congested Urban areas this will be 1 MLV every 5 miles)</t>
  </si>
  <si>
    <t>Per HDD</t>
  </si>
  <si>
    <t>*Note that this cost is per HDD. Long Rock Drills could increase this cost.</t>
  </si>
  <si>
    <t>*$4,350 for 1st Pipeline, $2,000 for each additional</t>
  </si>
  <si>
    <t>*$1,100 for 1st Pipeline, $500 for each additional</t>
  </si>
  <si>
    <t>Ecosys Oppurtunity Number</t>
  </si>
  <si>
    <t>OPP-000XXX</t>
  </si>
  <si>
    <t>Need to complete from Ecosys for Charter estimates.</t>
  </si>
  <si>
    <t>.CP1.</t>
  </si>
  <si>
    <t>NGCONT</t>
  </si>
  <si>
    <t>NGMAFD</t>
  </si>
  <si>
    <t>BEL</t>
  </si>
  <si>
    <t>Ecosys In-Service Date</t>
  </si>
  <si>
    <t>*Zero out if no laydown yard is required</t>
  </si>
  <si>
    <t>Months</t>
  </si>
  <si>
    <t>Transmission - Fee Simple Purchases</t>
  </si>
  <si>
    <t>Transmission - Permanent Easements (Rural)</t>
  </si>
  <si>
    <t>Transmission - Permanent Easements (Urban)</t>
  </si>
  <si>
    <t>Transmission - Stations Easements (Rural)</t>
  </si>
  <si>
    <t>Transmission - Stations Easements (Urban)</t>
  </si>
  <si>
    <t>Transmission - Temp Work Space (Rural)</t>
  </si>
  <si>
    <t>Transmission - Temp Work Space (Urban)</t>
  </si>
  <si>
    <t xml:space="preserve">PNG </t>
  </si>
  <si>
    <t>Erlanger,Ky</t>
  </si>
  <si>
    <t>Kyle Gillow</t>
  </si>
  <si>
    <t>GD70</t>
  </si>
  <si>
    <t>24''</t>
  </si>
  <si>
    <r>
      <t xml:space="preserve">4. Project Escalation is assumed for </t>
    </r>
    <r>
      <rPr>
        <sz val="11"/>
        <color rgb="FFFF0000"/>
        <rFont val="Calibri"/>
        <family val="2"/>
        <scheme val="minor"/>
      </rPr>
      <t>3</t>
    </r>
    <r>
      <rPr>
        <sz val="11"/>
        <color theme="1"/>
        <rFont val="Calibri"/>
        <family val="2"/>
        <scheme val="minor"/>
      </rPr>
      <t xml:space="preserve"> Year at </t>
    </r>
    <r>
      <rPr>
        <sz val="11"/>
        <rFont val="Calibri"/>
        <family val="2"/>
        <scheme val="minor"/>
      </rPr>
      <t>2.5</t>
    </r>
    <r>
      <rPr>
        <sz val="11"/>
        <color theme="1"/>
        <rFont val="Calibri"/>
        <family val="2"/>
        <scheme val="minor"/>
      </rPr>
      <t>%.</t>
    </r>
  </si>
  <si>
    <r>
      <t xml:space="preserve">3. AFUDC calculated using </t>
    </r>
    <r>
      <rPr>
        <sz val="11"/>
        <color rgb="FFFF0000"/>
        <rFont val="Calibri"/>
        <family val="2"/>
        <scheme val="minor"/>
      </rPr>
      <t>6.07</t>
    </r>
    <r>
      <rPr>
        <sz val="11"/>
        <color theme="1"/>
        <rFont val="Calibri"/>
        <family val="2"/>
        <scheme val="minor"/>
      </rPr>
      <t>% of total Direct Cost. (No AFUDC on Retirement Cost.)</t>
    </r>
  </si>
  <si>
    <r>
      <t xml:space="preserve">2. Overheads and Allocations calculated using </t>
    </r>
    <r>
      <rPr>
        <sz val="11"/>
        <color rgb="FFFF0000"/>
        <rFont val="Calibri"/>
        <family val="2"/>
        <scheme val="minor"/>
      </rPr>
      <t>12</t>
    </r>
    <r>
      <rPr>
        <sz val="11"/>
        <color theme="1"/>
        <rFont val="Calibri"/>
        <family val="2"/>
        <scheme val="minor"/>
      </rPr>
      <t>% of Total Direct Cost less Land Purchase, Materials/Equipment and FERC cost.</t>
    </r>
  </si>
  <si>
    <t>SCADA Line</t>
  </si>
  <si>
    <t>24" Standard Wall, X52, Coated, DRL</t>
  </si>
  <si>
    <t>24" Standard Wall, X52, Powercrete</t>
  </si>
  <si>
    <t>24" 3R - 45 deg ell -  Segmentable</t>
  </si>
  <si>
    <t>24" 3R - 90 deg ell -  Segmentable</t>
  </si>
  <si>
    <t>24" MLV Module</t>
  </si>
  <si>
    <t>24" TDW Spherical Tee</t>
  </si>
  <si>
    <t>Dig Cut &amp; Remove (Every 1000')</t>
  </si>
  <si>
    <t>Line AM07 PH5</t>
  </si>
  <si>
    <t xml:space="preserve">ILI Dig </t>
  </si>
  <si>
    <t>ILI Dig &amp; Repair</t>
  </si>
  <si>
    <t xml:space="preserve">Each </t>
  </si>
  <si>
    <t>24" TDW Stopple</t>
  </si>
  <si>
    <t>TDW Stopple</t>
  </si>
  <si>
    <t>TDW Bypass</t>
  </si>
  <si>
    <t>C</t>
  </si>
  <si>
    <t>24'' Line AM07</t>
  </si>
  <si>
    <t>PH5 / 14,310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</si>
</sst>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quot;$&quot;#,##0"/>
    <numFmt numFmtId="165" formatCode="_(&quot;$&quot;* #,##0_);_(&quot;$&quot;* \(#,##0\);_(&quot;$&quot;* &quot;-&quot;??_);_(@_)"/>
    <numFmt numFmtId="166" formatCode="0.0%"/>
  </numFmts>
  <fonts count="38"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4"/>
      <color theme="1"/>
      <name val="Calibri"/>
      <family val="2"/>
      <scheme val="minor"/>
    </font>
    <font>
      <b/>
      <sz val="11"/>
      <color theme="8" tint="-0.249977111117893"/>
      <name val="Calibri"/>
      <family val="2"/>
      <scheme val="minor"/>
    </font>
    <font>
      <sz val="10"/>
      <name val="Arial"/>
      <family val="2"/>
    </font>
    <font>
      <b/>
      <sz val="22"/>
      <color theme="0"/>
      <name val="Calibri"/>
      <family val="2"/>
      <scheme val="minor"/>
    </font>
    <font>
      <b/>
      <sz val="16"/>
      <color theme="0"/>
      <name val="Calibri"/>
      <family val="2"/>
      <scheme val="minor"/>
    </font>
    <font>
      <b/>
      <sz val="14"/>
      <color theme="0"/>
      <name val="Calibri"/>
      <family val="2"/>
      <scheme val="minor"/>
    </font>
    <font>
      <b/>
      <sz val="20"/>
      <color theme="0"/>
      <name val="Calibri"/>
      <family val="2"/>
      <scheme val="minor"/>
    </font>
    <font>
      <b/>
      <sz val="24"/>
      <color theme="0"/>
      <name val="Calibri"/>
      <family val="2"/>
      <scheme val="minor"/>
    </font>
    <font>
      <b/>
      <sz val="14"/>
      <name val="Calibri"/>
      <family val="2"/>
      <scheme val="minor"/>
    </font>
    <font>
      <b/>
      <sz val="12"/>
      <color theme="1"/>
      <name val="Calibri"/>
      <family val="2"/>
      <scheme val="minor"/>
    </font>
    <font>
      <b/>
      <sz val="12"/>
      <color theme="0"/>
      <name val="Calibri"/>
      <family val="2"/>
      <scheme val="minor"/>
    </font>
    <font>
      <b/>
      <sz val="12"/>
      <name val="Calibri"/>
      <family val="2"/>
      <scheme val="minor"/>
    </font>
    <font>
      <sz val="12"/>
      <color theme="0"/>
      <name val="Calibri"/>
      <family val="2"/>
      <scheme val="minor"/>
    </font>
    <font>
      <sz val="11"/>
      <name val="Calibri"/>
      <family val="2"/>
      <scheme val="minor"/>
    </font>
    <font>
      <b/>
      <sz val="18"/>
      <color theme="0"/>
      <name val="Calibri"/>
      <family val="2"/>
      <scheme val="minor"/>
    </font>
    <font>
      <b/>
      <sz val="11"/>
      <color theme="8" tint="0.59999389629810485"/>
      <name val="Calibri"/>
      <family val="2"/>
      <scheme val="minor"/>
    </font>
    <font>
      <sz val="11"/>
      <color theme="1"/>
      <name val="Calibri"/>
      <family val="2"/>
      <scheme val="minor"/>
    </font>
    <font>
      <sz val="10"/>
      <color theme="1"/>
      <name val="Calibri"/>
      <family val="2"/>
      <scheme val="minor"/>
    </font>
    <font>
      <i/>
      <sz val="8"/>
      <color theme="1"/>
      <name val="Calibri"/>
      <family val="2"/>
      <scheme val="minor"/>
    </font>
    <font>
      <b/>
      <sz val="10"/>
      <color theme="1"/>
      <name val="Calibri"/>
      <family val="2"/>
      <scheme val="minor"/>
    </font>
    <font>
      <b/>
      <sz val="11"/>
      <color theme="3" tint="0.39997558519241921"/>
      <name val="Calibri"/>
      <family val="2"/>
      <scheme val="minor"/>
    </font>
    <font>
      <u val="singleAccounting"/>
      <sz val="11"/>
      <color theme="1"/>
      <name val="Calibri"/>
      <family val="2"/>
      <scheme val="minor"/>
    </font>
    <font>
      <b/>
      <sz val="8"/>
      <color theme="1"/>
      <name val="Calibri"/>
      <family val="2"/>
      <scheme val="minor"/>
    </font>
    <font>
      <b/>
      <i/>
      <sz val="14"/>
      <color theme="1"/>
      <name val="Calibri"/>
      <family val="2"/>
      <scheme val="minor"/>
    </font>
    <font>
      <sz val="12"/>
      <color theme="1"/>
      <name val="Calibri"/>
      <family val="2"/>
      <scheme val="minor"/>
    </font>
    <font>
      <i/>
      <sz val="10"/>
      <color theme="1"/>
      <name val="Calibri"/>
      <family val="2"/>
      <scheme val="minor"/>
    </font>
    <font>
      <b/>
      <sz val="16"/>
      <color rgb="FFFFFFFF"/>
      <name val="Calibri"/>
      <family val="2"/>
      <scheme val="minor"/>
    </font>
    <font>
      <b/>
      <i/>
      <sz val="12"/>
      <color theme="0"/>
      <name val="Calibri"/>
      <family val="2"/>
      <scheme val="minor"/>
    </font>
    <font>
      <b/>
      <sz val="9"/>
      <color indexed="81"/>
      <name val="Tahoma"/>
      <family val="2"/>
    </font>
    <font>
      <sz val="9"/>
      <color indexed="81"/>
      <name val="Tahoma"/>
      <family val="2"/>
    </font>
    <font>
      <sz val="11"/>
      <color theme="5" tint="-0.249977111117893"/>
      <name val="Calibri"/>
      <family val="2"/>
      <scheme val="minor"/>
    </font>
    <font>
      <sz val="9"/>
      <color rgb="FF000000"/>
      <name val="Arial"/>
      <family val="2"/>
    </font>
  </fonts>
  <fills count="2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8" tint="-0.249977111117893"/>
        <bgColor indexed="64"/>
      </patternFill>
    </fill>
    <fill>
      <patternFill patternType="solid">
        <fgColor theme="7"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5" tint="0.59999389629810485"/>
        <bgColor indexed="64"/>
      </patternFill>
    </fill>
    <fill>
      <patternFill patternType="darkGray">
        <bgColor theme="9" tint="0.59999389629810485"/>
      </patternFill>
    </fill>
    <fill>
      <patternFill patternType="solid">
        <fgColor theme="0" tint="-0.249977111117893"/>
        <bgColor indexed="64"/>
      </patternFill>
    </fill>
    <fill>
      <patternFill patternType="solid">
        <fgColor theme="8" tint="0.59999389629810485"/>
        <bgColor indexed="64"/>
      </patternFill>
    </fill>
    <fill>
      <patternFill patternType="solid">
        <fgColor theme="9" tint="-0.24994659260841701"/>
        <bgColor indexed="64"/>
      </patternFill>
    </fill>
    <fill>
      <patternFill patternType="solid">
        <fgColor rgb="FFFFFF00"/>
        <bgColor indexed="64"/>
      </patternFill>
    </fill>
    <fill>
      <patternFill patternType="mediumGray"/>
    </fill>
    <fill>
      <patternFill patternType="solid">
        <fgColor theme="0" tint="-0.14999847407452621"/>
        <bgColor indexed="64"/>
      </patternFill>
    </fill>
    <fill>
      <patternFill patternType="solid">
        <fgColor theme="9" tint="0.39997558519241921"/>
        <bgColor indexed="64"/>
      </patternFill>
    </fill>
    <fill>
      <patternFill patternType="mediumGray">
        <bgColor theme="0" tint="-0.14999847407452621"/>
      </patternFill>
    </fill>
    <fill>
      <patternFill patternType="darkGray">
        <bgColor theme="5" tint="0.59999389629810485"/>
      </patternFill>
    </fill>
    <fill>
      <patternFill patternType="solid">
        <fgColor theme="0" tint="-0.14996795556505021"/>
        <bgColor indexed="64"/>
      </patternFill>
    </fill>
    <fill>
      <patternFill patternType="solid">
        <fgColor theme="3" tint="-0.249977111117893"/>
        <bgColor indexed="64"/>
      </patternFill>
    </fill>
    <fill>
      <patternFill patternType="solid">
        <fgColor rgb="FF0070C0"/>
        <bgColor indexed="64"/>
      </patternFill>
    </fill>
    <fill>
      <patternFill patternType="solid">
        <fgColor theme="6" tint="0.59999389629810485"/>
        <bgColor indexed="64"/>
      </patternFill>
    </fill>
    <fill>
      <patternFill patternType="solid">
        <fgColor rgb="FFEFEBDE"/>
        <bgColor rgb="FF000000"/>
      </patternFill>
    </fill>
    <fill>
      <patternFill patternType="solid">
        <fgColor rgb="FFFFFFFF"/>
        <bgColor rgb="FF000000"/>
      </patternFill>
    </fill>
  </fills>
  <borders count="65">
    <border>
      <left/>
      <right/>
      <top/>
      <bottom/>
      <diagonal/>
    </border>
    <border>
      <left style="medium">
        <color auto="1"/>
      </left>
      <right/>
      <top style="medium">
        <color auto="1"/>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auto="1"/>
      </left>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auto="1"/>
      </right>
      <top/>
      <bottom style="medium">
        <color auto="1"/>
      </bottom>
      <diagonal/>
    </border>
    <border>
      <left style="thin">
        <color indexed="64"/>
      </left>
      <right style="medium">
        <color indexed="64"/>
      </right>
      <top/>
      <bottom style="medium">
        <color indexed="64"/>
      </bottom>
      <diagonal/>
    </border>
    <border>
      <left style="medium">
        <color auto="1"/>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auto="1"/>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A4BED4"/>
      </left>
      <right style="thin">
        <color rgb="FFA4BED4"/>
      </right>
      <top style="thin">
        <color rgb="FFA4BED4"/>
      </top>
      <bottom style="thin">
        <color rgb="FFA4BED4"/>
      </bottom>
      <diagonal/>
    </border>
    <border>
      <left style="thin">
        <color indexed="64"/>
      </left>
      <right style="thin">
        <color indexed="64"/>
      </right>
      <top/>
      <bottom style="medium">
        <color indexed="64"/>
      </bottom>
      <diagonal/>
    </border>
  </borders>
  <cellStyleXfs count="4">
    <xf numFmtId="0" fontId="0" fillId="0" borderId="0"/>
    <xf numFmtId="0" fontId="8" fillId="0" borderId="0"/>
    <xf numFmtId="44" fontId="22" fillId="0" borderId="0" applyFont="0" applyFill="0" applyBorder="0" applyAlignment="0" applyProtection="0"/>
    <xf numFmtId="9" fontId="22" fillId="0" borderId="0" applyFont="0" applyFill="0" applyBorder="0" applyAlignment="0" applyProtection="0"/>
  </cellStyleXfs>
  <cellXfs count="420">
    <xf numFmtId="0" fontId="0" fillId="0" borderId="0" xfId="0"/>
    <xf numFmtId="0" fontId="0" fillId="0" borderId="0" xfId="0" applyAlignment="1">
      <alignment horizontal="center"/>
    </xf>
    <xf numFmtId="0" fontId="0" fillId="0" borderId="23" xfId="0" applyBorder="1"/>
    <xf numFmtId="0" fontId="0" fillId="0" borderId="23" xfId="0" applyBorder="1" applyAlignment="1">
      <alignment horizontal="center"/>
    </xf>
    <xf numFmtId="0" fontId="0" fillId="0" borderId="27" xfId="0" applyBorder="1"/>
    <xf numFmtId="0" fontId="0" fillId="0" borderId="29" xfId="0" applyBorder="1"/>
    <xf numFmtId="0" fontId="0" fillId="0" borderId="15" xfId="0" applyBorder="1"/>
    <xf numFmtId="0" fontId="0" fillId="0" borderId="20"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1"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35"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38" xfId="0" applyBorder="1" applyAlignment="1">
      <alignment horizontal="center"/>
    </xf>
    <xf numFmtId="0" fontId="0" fillId="0" borderId="36"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0"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3" borderId="20" xfId="0" applyFont="1" applyFill="1" applyBorder="1" applyAlignment="1">
      <alignment horizontal="center"/>
    </xf>
    <xf numFmtId="0" fontId="0" fillId="3" borderId="33" xfId="0" applyFill="1" applyBorder="1" applyAlignment="1">
      <alignment horizontal="center"/>
    </xf>
    <xf numFmtId="0" fontId="0" fillId="3" borderId="34" xfId="0" applyFill="1" applyBorder="1" applyAlignment="1">
      <alignment horizontal="center"/>
    </xf>
    <xf numFmtId="0" fontId="0" fillId="3" borderId="28" xfId="0" applyFill="1" applyBorder="1" applyAlignment="1">
      <alignment horizontal="center"/>
    </xf>
    <xf numFmtId="0" fontId="3" fillId="3" borderId="6" xfId="0" applyFont="1"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5" fillId="0" borderId="0" xfId="0" applyFont="1"/>
    <xf numFmtId="0" fontId="0" fillId="0" borderId="2" xfId="0" applyBorder="1"/>
    <xf numFmtId="0" fontId="7" fillId="0" borderId="30" xfId="0" applyFont="1" applyBorder="1" applyAlignment="1">
      <alignment horizontal="center"/>
    </xf>
    <xf numFmtId="0" fontId="7" fillId="0" borderId="23" xfId="0" applyFont="1" applyBorder="1" applyAlignment="1">
      <alignment horizontal="center"/>
    </xf>
    <xf numFmtId="10" fontId="7" fillId="0" borderId="23" xfId="0" applyNumberFormat="1" applyFont="1" applyBorder="1" applyAlignment="1">
      <alignment horizontal="center"/>
    </xf>
    <xf numFmtId="0" fontId="1" fillId="4" borderId="24" xfId="0" applyFont="1" applyFill="1" applyBorder="1"/>
    <xf numFmtId="0" fontId="1" fillId="4" borderId="25" xfId="0" applyFont="1" applyFill="1" applyBorder="1"/>
    <xf numFmtId="0" fontId="1" fillId="4" borderId="26" xfId="0" applyFont="1" applyFill="1" applyBorder="1"/>
    <xf numFmtId="0" fontId="11" fillId="4" borderId="20" xfId="0" applyFont="1" applyFill="1" applyBorder="1" applyAlignment="1">
      <alignment horizontal="center"/>
    </xf>
    <xf numFmtId="0" fontId="11" fillId="4" borderId="27" xfId="0" applyFont="1" applyFill="1" applyBorder="1" applyAlignment="1">
      <alignment horizontal="center"/>
    </xf>
    <xf numFmtId="0" fontId="11" fillId="4" borderId="28" xfId="0" applyFont="1" applyFill="1" applyBorder="1" applyAlignment="1">
      <alignment horizontal="center"/>
    </xf>
    <xf numFmtId="0" fontId="4" fillId="4" borderId="28" xfId="0" applyFont="1" applyFill="1" applyBorder="1" applyAlignment="1">
      <alignment horizontal="left"/>
    </xf>
    <xf numFmtId="0" fontId="0" fillId="0" borderId="5" xfId="0" applyBorder="1"/>
    <xf numFmtId="0" fontId="0" fillId="0" borderId="30" xfId="0" applyBorder="1" applyAlignment="1">
      <alignment horizontal="center"/>
    </xf>
    <xf numFmtId="0" fontId="0" fillId="0" borderId="32" xfId="0" applyBorder="1" applyAlignment="1">
      <alignment horizontal="center"/>
    </xf>
    <xf numFmtId="0" fontId="1" fillId="4" borderId="28" xfId="0" applyFont="1" applyFill="1" applyBorder="1" applyAlignment="1">
      <alignment horizontal="left"/>
    </xf>
    <xf numFmtId="164" fontId="0" fillId="0" borderId="30" xfId="0" applyNumberFormat="1" applyBorder="1" applyAlignment="1">
      <alignment horizontal="center"/>
    </xf>
    <xf numFmtId="164" fontId="0" fillId="0" borderId="23" xfId="0" applyNumberFormat="1" applyBorder="1" applyAlignment="1">
      <alignment horizontal="center"/>
    </xf>
    <xf numFmtId="164" fontId="0" fillId="0" borderId="32" xfId="0" applyNumberFormat="1" applyBorder="1" applyAlignment="1">
      <alignment horizontal="center"/>
    </xf>
    <xf numFmtId="0" fontId="3" fillId="0" borderId="10" xfId="0" applyFont="1" applyBorder="1" applyAlignment="1">
      <alignment horizontal="center" vertical="center"/>
    </xf>
    <xf numFmtId="0" fontId="2" fillId="0" borderId="0" xfId="0" applyFont="1" applyAlignment="1">
      <alignment horizontal="left"/>
    </xf>
    <xf numFmtId="0" fontId="0" fillId="0" borderId="4" xfId="0" applyBorder="1"/>
    <xf numFmtId="0" fontId="0" fillId="0" borderId="46" xfId="0" applyBorder="1" applyAlignment="1">
      <alignment horizontal="center" vertical="center"/>
    </xf>
    <xf numFmtId="0" fontId="0" fillId="0" borderId="26" xfId="0" applyBorder="1" applyAlignment="1">
      <alignment horizontal="center" vertical="center"/>
    </xf>
    <xf numFmtId="0" fontId="0" fillId="0" borderId="43" xfId="0" applyBorder="1" applyAlignment="1">
      <alignment horizontal="center" vertical="center"/>
    </xf>
    <xf numFmtId="0" fontId="0" fillId="0" borderId="31" xfId="0" applyBorder="1" applyAlignment="1">
      <alignment horizontal="left" vertical="center"/>
    </xf>
    <xf numFmtId="0" fontId="0" fillId="0" borderId="16" xfId="0" applyBorder="1" applyAlignment="1">
      <alignment horizontal="left" vertical="center"/>
    </xf>
    <xf numFmtId="0" fontId="0" fillId="0" borderId="19" xfId="0" applyBorder="1" applyAlignment="1">
      <alignment horizontal="left" vertical="center"/>
    </xf>
    <xf numFmtId="0" fontId="0" fillId="0" borderId="13" xfId="0" applyBorder="1" applyAlignment="1">
      <alignment horizontal="left" vertical="center"/>
    </xf>
    <xf numFmtId="0" fontId="1" fillId="4" borderId="0" xfId="0" applyFont="1" applyFill="1"/>
    <xf numFmtId="0" fontId="1" fillId="4" borderId="5" xfId="0" applyFont="1" applyFill="1" applyBorder="1"/>
    <xf numFmtId="0" fontId="10" fillId="4" borderId="6" xfId="0" applyFont="1" applyFill="1" applyBorder="1" applyAlignment="1">
      <alignment horizontal="center" vertical="center"/>
    </xf>
    <xf numFmtId="0" fontId="10" fillId="4" borderId="3" xfId="0" applyFont="1" applyFill="1" applyBorder="1" applyAlignment="1">
      <alignment horizontal="center" vertical="center"/>
    </xf>
    <xf numFmtId="0" fontId="3" fillId="0" borderId="0" xfId="0" applyFont="1"/>
    <xf numFmtId="0" fontId="3" fillId="7" borderId="10" xfId="0" applyFont="1" applyFill="1" applyBorder="1" applyAlignment="1">
      <alignment horizontal="center"/>
    </xf>
    <xf numFmtId="0" fontId="3" fillId="7" borderId="51" xfId="0" applyFont="1" applyFill="1" applyBorder="1" applyAlignment="1">
      <alignment horizontal="center"/>
    </xf>
    <xf numFmtId="0" fontId="3" fillId="7" borderId="10" xfId="0" applyFont="1" applyFill="1" applyBorder="1" applyAlignment="1">
      <alignment horizontal="center" wrapText="1"/>
    </xf>
    <xf numFmtId="0" fontId="3" fillId="8" borderId="10" xfId="0" applyFont="1" applyFill="1" applyBorder="1" applyAlignment="1">
      <alignment horizontal="center"/>
    </xf>
    <xf numFmtId="0" fontId="3" fillId="8" borderId="10" xfId="0" applyFont="1" applyFill="1" applyBorder="1" applyAlignment="1">
      <alignment horizontal="center" wrapText="1"/>
    </xf>
    <xf numFmtId="0" fontId="0" fillId="2" borderId="49" xfId="0" applyFill="1" applyBorder="1"/>
    <xf numFmtId="0" fontId="0" fillId="2" borderId="50" xfId="0" applyFill="1" applyBorder="1"/>
    <xf numFmtId="0" fontId="3" fillId="2" borderId="1" xfId="0" applyFont="1" applyFill="1" applyBorder="1"/>
    <xf numFmtId="0" fontId="3" fillId="2" borderId="0" xfId="0" applyFont="1" applyFill="1"/>
    <xf numFmtId="0" fontId="0" fillId="2" borderId="6" xfId="0" applyFill="1" applyBorder="1" applyAlignment="1">
      <alignment horizontal="center" vertical="center"/>
    </xf>
    <xf numFmtId="42" fontId="0" fillId="5" borderId="53" xfId="0" applyNumberFormat="1" applyFill="1" applyBorder="1" applyAlignment="1">
      <alignment vertical="center"/>
    </xf>
    <xf numFmtId="42" fontId="0" fillId="2" borderId="50" xfId="0" applyNumberFormat="1" applyFill="1" applyBorder="1" applyAlignment="1">
      <alignment vertical="center"/>
    </xf>
    <xf numFmtId="42" fontId="0" fillId="7" borderId="11" xfId="0" applyNumberFormat="1" applyFill="1" applyBorder="1" applyAlignment="1">
      <alignment horizontal="center" vertical="center"/>
    </xf>
    <xf numFmtId="42" fontId="0" fillId="2" borderId="0" xfId="0" applyNumberFormat="1" applyFill="1" applyAlignment="1">
      <alignment vertical="center"/>
    </xf>
    <xf numFmtId="42" fontId="0" fillId="8" borderId="11" xfId="0" applyNumberFormat="1" applyFill="1" applyBorder="1" applyAlignment="1">
      <alignment horizontal="center" vertical="center"/>
    </xf>
    <xf numFmtId="42" fontId="0" fillId="5" borderId="14" xfId="0" applyNumberFormat="1" applyFill="1" applyBorder="1" applyAlignment="1">
      <alignment vertical="center"/>
    </xf>
    <xf numFmtId="42" fontId="0" fillId="7" borderId="14" xfId="0" applyNumberFormat="1" applyFill="1" applyBorder="1" applyAlignment="1">
      <alignment horizontal="center" vertical="center"/>
    </xf>
    <xf numFmtId="42" fontId="0" fillId="8" borderId="14" xfId="0" applyNumberFormat="1" applyFill="1" applyBorder="1" applyAlignment="1">
      <alignment horizontal="center" vertical="center"/>
    </xf>
    <xf numFmtId="42" fontId="0" fillId="5" borderId="17" xfId="0" applyNumberFormat="1" applyFill="1" applyBorder="1" applyAlignment="1">
      <alignment vertical="center"/>
    </xf>
    <xf numFmtId="42" fontId="0" fillId="7" borderId="17" xfId="0" applyNumberFormat="1" applyFill="1" applyBorder="1" applyAlignment="1">
      <alignment horizontal="center" vertical="center"/>
    </xf>
    <xf numFmtId="42" fontId="0" fillId="8" borderId="17" xfId="0" applyNumberFormat="1" applyFill="1" applyBorder="1" applyAlignment="1">
      <alignment horizontal="center" vertical="center"/>
    </xf>
    <xf numFmtId="42" fontId="0" fillId="5" borderId="11" xfId="0" applyNumberFormat="1" applyFill="1" applyBorder="1" applyAlignment="1">
      <alignment vertical="center"/>
    </xf>
    <xf numFmtId="42" fontId="0" fillId="9" borderId="14" xfId="0" applyNumberFormat="1" applyFill="1" applyBorder="1" applyAlignment="1">
      <alignment horizontal="center" vertical="center"/>
    </xf>
    <xf numFmtId="0" fontId="0" fillId="0" borderId="0" xfId="0" applyAlignment="1">
      <alignment horizontal="right"/>
    </xf>
    <xf numFmtId="0" fontId="3" fillId="0" borderId="5" xfId="0" applyFont="1" applyBorder="1"/>
    <xf numFmtId="42" fontId="3" fillId="6" borderId="10" xfId="0" applyNumberFormat="1" applyFont="1" applyFill="1" applyBorder="1" applyAlignment="1">
      <alignment vertical="center"/>
    </xf>
    <xf numFmtId="42" fontId="3" fillId="2" borderId="50" xfId="0" applyNumberFormat="1" applyFont="1" applyFill="1" applyBorder="1" applyAlignment="1">
      <alignment vertical="center"/>
    </xf>
    <xf numFmtId="42" fontId="3" fillId="6" borderId="10" xfId="0" applyNumberFormat="1" applyFont="1" applyFill="1" applyBorder="1" applyAlignment="1">
      <alignment horizontal="center" vertical="center"/>
    </xf>
    <xf numFmtId="42" fontId="3" fillId="2" borderId="0" xfId="0" applyNumberFormat="1" applyFont="1" applyFill="1" applyAlignment="1">
      <alignment vertical="center"/>
    </xf>
    <xf numFmtId="42" fontId="3" fillId="5" borderId="51" xfId="0" applyNumberFormat="1" applyFont="1" applyFill="1" applyBorder="1" applyAlignment="1">
      <alignment vertical="center"/>
    </xf>
    <xf numFmtId="42" fontId="3" fillId="7" borderId="10" xfId="0" applyNumberFormat="1" applyFont="1" applyFill="1" applyBorder="1" applyAlignment="1">
      <alignment horizontal="center" vertical="center"/>
    </xf>
    <xf numFmtId="42" fontId="3" fillId="2" borderId="51" xfId="0" applyNumberFormat="1" applyFont="1" applyFill="1" applyBorder="1" applyAlignment="1">
      <alignment vertical="center"/>
    </xf>
    <xf numFmtId="42" fontId="3" fillId="8" borderId="10" xfId="0" applyNumberFormat="1" applyFont="1" applyFill="1" applyBorder="1" applyAlignment="1">
      <alignment horizontal="center" vertical="center"/>
    </xf>
    <xf numFmtId="0" fontId="16" fillId="12" borderId="0" xfId="0" applyFont="1" applyFill="1"/>
    <xf numFmtId="0" fontId="16" fillId="12" borderId="0" xfId="0" applyFont="1" applyFill="1" applyAlignment="1">
      <alignment horizontal="left"/>
    </xf>
    <xf numFmtId="0" fontId="16" fillId="12" borderId="0" xfId="0" applyFont="1" applyFill="1" applyAlignment="1">
      <alignment horizontal="center"/>
    </xf>
    <xf numFmtId="42" fontId="16" fillId="12" borderId="0" xfId="0" applyNumberFormat="1" applyFont="1" applyFill="1"/>
    <xf numFmtId="42" fontId="0" fillId="0" borderId="23" xfId="0" applyNumberFormat="1" applyBorder="1"/>
    <xf numFmtId="42" fontId="0" fillId="0" borderId="0" xfId="0" applyNumberFormat="1"/>
    <xf numFmtId="42" fontId="16" fillId="12" borderId="0" xfId="0" applyNumberFormat="1" applyFont="1" applyFill="1" applyAlignment="1">
      <alignment horizontal="left"/>
    </xf>
    <xf numFmtId="42" fontId="3" fillId="11" borderId="0" xfId="0" applyNumberFormat="1" applyFont="1" applyFill="1" applyAlignment="1">
      <alignment horizontal="left"/>
    </xf>
    <xf numFmtId="42" fontId="16" fillId="13" borderId="0" xfId="0" applyNumberFormat="1" applyFont="1" applyFill="1"/>
    <xf numFmtId="0" fontId="17" fillId="13" borderId="0" xfId="0" applyFont="1" applyFill="1" applyAlignment="1">
      <alignment horizontal="left"/>
    </xf>
    <xf numFmtId="42" fontId="17" fillId="13" borderId="0" xfId="0" applyNumberFormat="1" applyFont="1" applyFill="1"/>
    <xf numFmtId="0" fontId="0" fillId="13" borderId="23" xfId="0" applyFill="1" applyBorder="1" applyAlignment="1">
      <alignment horizontal="center"/>
    </xf>
    <xf numFmtId="0" fontId="16" fillId="12" borderId="4" xfId="0" applyFont="1" applyFill="1" applyBorder="1"/>
    <xf numFmtId="42" fontId="16" fillId="12" borderId="5" xfId="0" applyNumberFormat="1" applyFont="1" applyFill="1" applyBorder="1"/>
    <xf numFmtId="0" fontId="16" fillId="12" borderId="4" xfId="0" applyFont="1" applyFill="1" applyBorder="1" applyAlignment="1">
      <alignment horizontal="left"/>
    </xf>
    <xf numFmtId="42" fontId="3" fillId="11" borderId="5" xfId="0" applyNumberFormat="1" applyFont="1" applyFill="1" applyBorder="1"/>
    <xf numFmtId="42" fontId="11" fillId="4" borderId="10" xfId="0" applyNumberFormat="1" applyFont="1" applyFill="1" applyBorder="1"/>
    <xf numFmtId="42" fontId="3" fillId="11" borderId="52" xfId="0" applyNumberFormat="1" applyFont="1" applyFill="1" applyBorder="1" applyAlignment="1">
      <alignment horizontal="left"/>
    </xf>
    <xf numFmtId="42" fontId="3" fillId="11" borderId="9" xfId="0" applyNumberFormat="1" applyFont="1" applyFill="1" applyBorder="1"/>
    <xf numFmtId="0" fontId="3" fillId="11" borderId="52" xfId="0" applyFont="1" applyFill="1" applyBorder="1" applyAlignment="1">
      <alignment horizontal="right"/>
    </xf>
    <xf numFmtId="0" fontId="3" fillId="11" borderId="27" xfId="0" applyFont="1" applyFill="1" applyBorder="1" applyAlignment="1">
      <alignment horizontal="center"/>
    </xf>
    <xf numFmtId="42" fontId="16" fillId="12" borderId="54" xfId="0" applyNumberFormat="1" applyFont="1" applyFill="1" applyBorder="1"/>
    <xf numFmtId="42" fontId="3" fillId="11" borderId="9" xfId="0" applyNumberFormat="1" applyFont="1" applyFill="1" applyBorder="1" applyAlignment="1">
      <alignment horizontal="left"/>
    </xf>
    <xf numFmtId="42" fontId="15" fillId="10" borderId="10" xfId="0" applyNumberFormat="1" applyFont="1" applyFill="1" applyBorder="1"/>
    <xf numFmtId="42" fontId="0" fillId="14" borderId="23" xfId="0" applyNumberFormat="1" applyFill="1" applyBorder="1"/>
    <xf numFmtId="42" fontId="0" fillId="14" borderId="16" xfId="0" applyNumberFormat="1" applyFill="1" applyBorder="1"/>
    <xf numFmtId="0" fontId="0" fillId="15" borderId="4" xfId="0" applyFill="1" applyBorder="1"/>
    <xf numFmtId="0" fontId="0" fillId="15" borderId="0" xfId="0" applyFill="1" applyAlignment="1">
      <alignment horizontal="center"/>
    </xf>
    <xf numFmtId="0" fontId="0" fillId="15" borderId="0" xfId="0" applyFill="1"/>
    <xf numFmtId="42" fontId="0" fillId="15" borderId="0" xfId="0" applyNumberFormat="1" applyFill="1"/>
    <xf numFmtId="42" fontId="0" fillId="15" borderId="5" xfId="0" applyNumberFormat="1" applyFill="1" applyBorder="1"/>
    <xf numFmtId="42" fontId="18" fillId="12" borderId="0" xfId="0" applyNumberFormat="1" applyFont="1" applyFill="1"/>
    <xf numFmtId="42" fontId="16" fillId="12" borderId="55" xfId="0" applyNumberFormat="1" applyFont="1" applyFill="1" applyBorder="1" applyAlignment="1">
      <alignment horizontal="left"/>
    </xf>
    <xf numFmtId="42" fontId="2" fillId="13" borderId="23" xfId="0" applyNumberFormat="1" applyFont="1" applyFill="1" applyBorder="1"/>
    <xf numFmtId="9" fontId="0" fillId="16" borderId="0" xfId="0" applyNumberFormat="1" applyFill="1" applyAlignment="1">
      <alignment horizontal="center"/>
    </xf>
    <xf numFmtId="0" fontId="0" fillId="15" borderId="23" xfId="0" applyFill="1" applyBorder="1"/>
    <xf numFmtId="42" fontId="0" fillId="15" borderId="23" xfId="0" applyNumberFormat="1" applyFill="1" applyBorder="1"/>
    <xf numFmtId="42" fontId="0" fillId="17" borderId="23" xfId="0" applyNumberFormat="1" applyFill="1" applyBorder="1"/>
    <xf numFmtId="42" fontId="0" fillId="17" borderId="16" xfId="0" applyNumberFormat="1" applyFill="1" applyBorder="1"/>
    <xf numFmtId="0" fontId="3" fillId="7" borderId="10" xfId="0" applyFont="1" applyFill="1" applyBorder="1" applyAlignment="1">
      <alignment horizontal="right"/>
    </xf>
    <xf numFmtId="0" fontId="1" fillId="4" borderId="1" xfId="0" applyFont="1" applyFill="1" applyBorder="1"/>
    <xf numFmtId="0" fontId="1" fillId="4" borderId="2" xfId="0" applyFont="1" applyFill="1" applyBorder="1"/>
    <xf numFmtId="0" fontId="1" fillId="4" borderId="3" xfId="0" applyFont="1" applyFill="1" applyBorder="1"/>
    <xf numFmtId="42" fontId="1" fillId="4" borderId="0" xfId="0" applyNumberFormat="1" applyFont="1" applyFill="1" applyAlignment="1">
      <alignment horizontal="right"/>
    </xf>
    <xf numFmtId="42" fontId="1" fillId="4" borderId="5" xfId="0" applyNumberFormat="1" applyFont="1" applyFill="1" applyBorder="1"/>
    <xf numFmtId="0" fontId="1" fillId="4" borderId="6" xfId="0" applyFont="1" applyFill="1" applyBorder="1"/>
    <xf numFmtId="0" fontId="1" fillId="4" borderId="9" xfId="0" applyFont="1" applyFill="1" applyBorder="1" applyAlignment="1">
      <alignment horizontal="center" vertical="center" wrapText="1"/>
    </xf>
    <xf numFmtId="0" fontId="1" fillId="4" borderId="10" xfId="0" applyFont="1" applyFill="1" applyBorder="1" applyAlignment="1">
      <alignment vertical="center" wrapText="1"/>
    </xf>
    <xf numFmtId="0" fontId="1" fillId="4" borderId="10" xfId="0" applyFont="1" applyFill="1" applyBorder="1" applyAlignment="1">
      <alignment horizontal="center" vertical="center" wrapText="1"/>
    </xf>
    <xf numFmtId="42" fontId="1" fillId="4" borderId="10" xfId="0" applyNumberFormat="1" applyFont="1" applyFill="1" applyBorder="1" applyAlignment="1">
      <alignment horizontal="center" vertical="center" wrapText="1"/>
    </xf>
    <xf numFmtId="1" fontId="2" fillId="13" borderId="23" xfId="0" applyNumberFormat="1" applyFont="1" applyFill="1" applyBorder="1" applyAlignment="1">
      <alignment horizontal="center"/>
    </xf>
    <xf numFmtId="42" fontId="0" fillId="18" borderId="14" xfId="0" applyNumberFormat="1" applyFill="1" applyBorder="1" applyAlignment="1">
      <alignment horizontal="center" vertical="center"/>
    </xf>
    <xf numFmtId="1" fontId="1" fillId="4" borderId="10" xfId="0" applyNumberFormat="1" applyFont="1" applyFill="1" applyBorder="1" applyAlignment="1">
      <alignment horizontal="center" vertical="center" wrapText="1"/>
    </xf>
    <xf numFmtId="1" fontId="16" fillId="12" borderId="0" xfId="0" applyNumberFormat="1" applyFont="1" applyFill="1" applyAlignment="1">
      <alignment horizontal="center"/>
    </xf>
    <xf numFmtId="1" fontId="0" fillId="15" borderId="0" xfId="0" applyNumberFormat="1" applyFill="1" applyAlignment="1">
      <alignment horizontal="center"/>
    </xf>
    <xf numFmtId="1" fontId="0" fillId="0" borderId="23" xfId="0" applyNumberFormat="1" applyBorder="1" applyAlignment="1">
      <alignment horizontal="center"/>
    </xf>
    <xf numFmtId="1" fontId="17" fillId="13" borderId="0" xfId="0" applyNumberFormat="1" applyFont="1" applyFill="1" applyAlignment="1">
      <alignment horizontal="center"/>
    </xf>
    <xf numFmtId="1" fontId="19" fillId="2" borderId="23" xfId="0" applyNumberFormat="1" applyFont="1" applyFill="1" applyBorder="1" applyAlignment="1">
      <alignment horizontal="center"/>
    </xf>
    <xf numFmtId="1" fontId="0" fillId="15" borderId="23" xfId="0" applyNumberFormat="1" applyFill="1" applyBorder="1" applyAlignment="1">
      <alignment horizontal="center"/>
    </xf>
    <xf numFmtId="1" fontId="3" fillId="11" borderId="27" xfId="0" applyNumberFormat="1" applyFont="1" applyFill="1" applyBorder="1" applyAlignment="1">
      <alignment horizontal="left"/>
    </xf>
    <xf numFmtId="1" fontId="0" fillId="0" borderId="0" xfId="0" applyNumberFormat="1" applyAlignment="1">
      <alignment horizontal="center"/>
    </xf>
    <xf numFmtId="44" fontId="0" fillId="0" borderId="23" xfId="0" applyNumberFormat="1" applyBorder="1"/>
    <xf numFmtId="14" fontId="7" fillId="0" borderId="23" xfId="0" applyNumberFormat="1" applyFont="1" applyBorder="1" applyAlignment="1">
      <alignment horizontal="center"/>
    </xf>
    <xf numFmtId="14" fontId="0" fillId="0" borderId="5" xfId="0" applyNumberFormat="1" applyBorder="1" applyAlignment="1">
      <alignment horizontal="center"/>
    </xf>
    <xf numFmtId="0" fontId="0" fillId="0" borderId="20" xfId="0" applyBorder="1"/>
    <xf numFmtId="0" fontId="0" fillId="0" borderId="28" xfId="0" applyBorder="1"/>
    <xf numFmtId="0" fontId="0" fillId="0" borderId="50" xfId="0" applyBorder="1"/>
    <xf numFmtId="0" fontId="0" fillId="0" borderId="4" xfId="0" applyBorder="1" applyAlignment="1">
      <alignment horizontal="right" indent="1"/>
    </xf>
    <xf numFmtId="42" fontId="0" fillId="0" borderId="49" xfId="0" applyNumberFormat="1" applyBorder="1"/>
    <xf numFmtId="42" fontId="0" fillId="0" borderId="50" xfId="0" applyNumberFormat="1" applyBorder="1"/>
    <xf numFmtId="42" fontId="0" fillId="0" borderId="51" xfId="0" applyNumberFormat="1" applyBorder="1"/>
    <xf numFmtId="42" fontId="0" fillId="0" borderId="5" xfId="0" applyNumberFormat="1" applyBorder="1"/>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3" fillId="0" borderId="4" xfId="0" applyFont="1" applyBorder="1" applyAlignment="1">
      <alignment horizontal="right"/>
    </xf>
    <xf numFmtId="0" fontId="2" fillId="0" borderId="0" xfId="0" applyFont="1"/>
    <xf numFmtId="10" fontId="0" fillId="0" borderId="0" xfId="0" applyNumberFormat="1"/>
    <xf numFmtId="9" fontId="7" fillId="0" borderId="23" xfId="0" applyNumberFormat="1" applyFont="1" applyBorder="1" applyAlignment="1">
      <alignment horizontal="center"/>
    </xf>
    <xf numFmtId="0" fontId="3" fillId="0" borderId="23" xfId="0" applyFont="1" applyBorder="1" applyAlignment="1">
      <alignment horizontal="right"/>
    </xf>
    <xf numFmtId="0" fontId="3" fillId="0" borderId="24" xfId="0" applyFont="1" applyBorder="1" applyAlignment="1">
      <alignment horizontal="right"/>
    </xf>
    <xf numFmtId="14" fontId="1" fillId="4" borderId="0" xfId="0" applyNumberFormat="1" applyFont="1" applyFill="1" applyAlignment="1">
      <alignment horizontal="right"/>
    </xf>
    <xf numFmtId="42" fontId="3" fillId="6" borderId="49" xfId="0" applyNumberFormat="1" applyFont="1" applyFill="1" applyBorder="1" applyAlignment="1">
      <alignment vertical="center"/>
    </xf>
    <xf numFmtId="42" fontId="3" fillId="6" borderId="51" xfId="0" applyNumberFormat="1" applyFont="1" applyFill="1" applyBorder="1" applyAlignment="1">
      <alignment horizontal="center" vertical="center"/>
    </xf>
    <xf numFmtId="42" fontId="3" fillId="6" borderId="49" xfId="0" applyNumberFormat="1" applyFont="1" applyFill="1" applyBorder="1" applyAlignment="1">
      <alignment horizontal="center" vertical="center"/>
    </xf>
    <xf numFmtId="42" fontId="3" fillId="6" borderId="51" xfId="0" applyNumberFormat="1" applyFont="1" applyFill="1" applyBorder="1" applyAlignment="1">
      <alignment vertical="center"/>
    </xf>
    <xf numFmtId="0" fontId="0" fillId="2" borderId="52" xfId="0" applyFill="1" applyBorder="1" applyAlignment="1">
      <alignment horizontal="center" vertical="center"/>
    </xf>
    <xf numFmtId="42" fontId="0" fillId="2" borderId="10" xfId="0" applyNumberFormat="1" applyFill="1" applyBorder="1" applyAlignment="1">
      <alignment vertical="center"/>
    </xf>
    <xf numFmtId="42" fontId="0" fillId="2" borderId="10" xfId="0" applyNumberFormat="1" applyFill="1" applyBorder="1" applyAlignment="1">
      <alignment horizontal="center" vertical="center"/>
    </xf>
    <xf numFmtId="0" fontId="0" fillId="2" borderId="23" xfId="0" applyFill="1" applyBorder="1" applyAlignment="1">
      <alignment horizontal="center"/>
    </xf>
    <xf numFmtId="1" fontId="21" fillId="11" borderId="52" xfId="0" applyNumberFormat="1" applyFont="1" applyFill="1" applyBorder="1" applyAlignment="1">
      <alignment horizontal="right"/>
    </xf>
    <xf numFmtId="0" fontId="21" fillId="11" borderId="52" xfId="0" applyFont="1" applyFill="1" applyBorder="1" applyAlignment="1">
      <alignment horizontal="center"/>
    </xf>
    <xf numFmtId="9" fontId="21" fillId="11" borderId="52" xfId="0" applyNumberFormat="1" applyFont="1" applyFill="1" applyBorder="1" applyAlignment="1">
      <alignment horizontal="left"/>
    </xf>
    <xf numFmtId="9" fontId="21" fillId="11" borderId="27" xfId="0" applyNumberFormat="1" applyFont="1" applyFill="1" applyBorder="1" applyAlignment="1">
      <alignment horizontal="left"/>
    </xf>
    <xf numFmtId="1" fontId="21" fillId="11" borderId="27" xfId="0" applyNumberFormat="1" applyFont="1" applyFill="1" applyBorder="1" applyAlignment="1">
      <alignment horizontal="left"/>
    </xf>
    <xf numFmtId="0" fontId="21" fillId="11" borderId="27" xfId="0" applyFont="1" applyFill="1" applyBorder="1" applyAlignment="1">
      <alignment horizontal="center"/>
    </xf>
    <xf numFmtId="0" fontId="5" fillId="13" borderId="0" xfId="0" applyFont="1" applyFill="1"/>
    <xf numFmtId="9" fontId="0" fillId="0" borderId="23" xfId="0" applyNumberFormat="1" applyBorder="1" applyAlignment="1">
      <alignment horizontal="center"/>
    </xf>
    <xf numFmtId="0" fontId="4" fillId="0" borderId="0" xfId="0" applyFont="1"/>
    <xf numFmtId="9" fontId="23" fillId="0" borderId="0" xfId="0" applyNumberFormat="1" applyFont="1" applyAlignment="1">
      <alignment horizontal="left"/>
    </xf>
    <xf numFmtId="9" fontId="0" fillId="0" borderId="0" xfId="0" applyNumberFormat="1" applyAlignment="1">
      <alignment horizontal="center"/>
    </xf>
    <xf numFmtId="165" fontId="0" fillId="0" borderId="0" xfId="0" applyNumberFormat="1"/>
    <xf numFmtId="165" fontId="24" fillId="0" borderId="25" xfId="2" applyNumberFormat="1" applyFont="1" applyFill="1" applyBorder="1" applyAlignment="1">
      <alignment horizontal="center"/>
    </xf>
    <xf numFmtId="9" fontId="23" fillId="0" borderId="25" xfId="0" applyNumberFormat="1" applyFont="1" applyBorder="1" applyAlignment="1">
      <alignment horizontal="left"/>
    </xf>
    <xf numFmtId="9" fontId="0" fillId="0" borderId="57" xfId="3" applyFont="1" applyBorder="1" applyAlignment="1">
      <alignment horizontal="center"/>
    </xf>
    <xf numFmtId="165" fontId="0" fillId="0" borderId="26" xfId="2" applyNumberFormat="1" applyFont="1" applyFill="1" applyBorder="1" applyAlignment="1">
      <alignment horizontal="center"/>
    </xf>
    <xf numFmtId="9" fontId="25" fillId="0" borderId="58" xfId="0" applyNumberFormat="1" applyFont="1" applyBorder="1" applyAlignment="1">
      <alignment horizontal="center"/>
    </xf>
    <xf numFmtId="165" fontId="0" fillId="0" borderId="24" xfId="2" applyNumberFormat="1" applyFont="1" applyFill="1" applyBorder="1" applyAlignment="1">
      <alignment horizontal="center"/>
    </xf>
    <xf numFmtId="9" fontId="0" fillId="0" borderId="0" xfId="0" applyNumberFormat="1" applyAlignment="1">
      <alignment horizontal="left"/>
    </xf>
    <xf numFmtId="165" fontId="0" fillId="0" borderId="48" xfId="2" applyNumberFormat="1" applyFont="1" applyFill="1" applyBorder="1" applyAlignment="1">
      <alignment horizontal="center"/>
    </xf>
    <xf numFmtId="165" fontId="3" fillId="0" borderId="49" xfId="2" applyNumberFormat="1" applyFont="1" applyFill="1" applyBorder="1" applyAlignment="1">
      <alignment horizontal="center"/>
    </xf>
    <xf numFmtId="165" fontId="0" fillId="0" borderId="47" xfId="2" applyNumberFormat="1" applyFont="1" applyFill="1" applyBorder="1" applyAlignment="1">
      <alignment horizontal="center"/>
    </xf>
    <xf numFmtId="165" fontId="0" fillId="0" borderId="27" xfId="2" applyNumberFormat="1" applyFont="1" applyFill="1" applyBorder="1" applyAlignment="1">
      <alignment horizontal="center"/>
    </xf>
    <xf numFmtId="165" fontId="0" fillId="0" borderId="55" xfId="2" applyNumberFormat="1" applyFont="1" applyFill="1" applyBorder="1" applyAlignment="1">
      <alignment horizontal="center"/>
    </xf>
    <xf numFmtId="9" fontId="23" fillId="0" borderId="55" xfId="0" quotePrefix="1" applyNumberFormat="1" applyFont="1" applyBorder="1" applyAlignment="1">
      <alignment horizontal="left"/>
    </xf>
    <xf numFmtId="165" fontId="0" fillId="0" borderId="25" xfId="0" applyNumberFormat="1" applyBorder="1"/>
    <xf numFmtId="165" fontId="0" fillId="0" borderId="0" xfId="2" applyNumberFormat="1" applyFont="1" applyFill="1" applyAlignment="1">
      <alignment horizontal="center"/>
    </xf>
    <xf numFmtId="165" fontId="0" fillId="0" borderId="25" xfId="2" applyNumberFormat="1" applyFont="1" applyFill="1" applyBorder="1" applyAlignment="1">
      <alignment horizontal="center"/>
    </xf>
    <xf numFmtId="9" fontId="23" fillId="0" borderId="25" xfId="0" quotePrefix="1" applyNumberFormat="1" applyFont="1" applyBorder="1" applyAlignment="1">
      <alignment horizontal="left"/>
    </xf>
    <xf numFmtId="165" fontId="0" fillId="0" borderId="45" xfId="0" applyNumberFormat="1" applyBorder="1"/>
    <xf numFmtId="165" fontId="0" fillId="15" borderId="25" xfId="2" applyNumberFormat="1" applyFont="1" applyFill="1" applyBorder="1" applyAlignment="1">
      <alignment horizontal="center"/>
    </xf>
    <xf numFmtId="9" fontId="23" fillId="0" borderId="45" xfId="0" applyNumberFormat="1" applyFont="1" applyBorder="1" applyAlignment="1">
      <alignment horizontal="center" vertical="top" wrapText="1"/>
    </xf>
    <xf numFmtId="165" fontId="0" fillId="0" borderId="46" xfId="2" applyNumberFormat="1" applyFont="1" applyFill="1" applyBorder="1" applyAlignment="1">
      <alignment horizontal="center"/>
    </xf>
    <xf numFmtId="165" fontId="0" fillId="0" borderId="45" xfId="2" applyNumberFormat="1" applyFont="1" applyFill="1" applyBorder="1" applyAlignment="1">
      <alignment horizontal="center"/>
    </xf>
    <xf numFmtId="9" fontId="23" fillId="0" borderId="41" xfId="0" applyNumberFormat="1" applyFont="1" applyBorder="1" applyAlignment="1">
      <alignment vertical="top" wrapText="1"/>
    </xf>
    <xf numFmtId="9" fontId="26" fillId="0" borderId="41" xfId="0" applyNumberFormat="1" applyFont="1" applyBorder="1" applyAlignment="1">
      <alignment horizontal="center"/>
    </xf>
    <xf numFmtId="165" fontId="27" fillId="0" borderId="48" xfId="2" applyNumberFormat="1" applyFont="1" applyFill="1" applyBorder="1" applyAlignment="1">
      <alignment horizontal="center"/>
    </xf>
    <xf numFmtId="165" fontId="27" fillId="0" borderId="0" xfId="2" applyNumberFormat="1" applyFont="1" applyFill="1" applyAlignment="1">
      <alignment horizontal="center"/>
    </xf>
    <xf numFmtId="0" fontId="0" fillId="0" borderId="0" xfId="0" applyAlignment="1">
      <alignment horizontal="right" indent="1"/>
    </xf>
    <xf numFmtId="9" fontId="23" fillId="0" borderId="45" xfId="0" applyNumberFormat="1" applyFont="1" applyBorder="1" applyAlignment="1">
      <alignment horizontal="left"/>
    </xf>
    <xf numFmtId="0" fontId="0" fillId="0" borderId="48" xfId="0" quotePrefix="1" applyBorder="1" applyAlignment="1">
      <alignment horizontal="center"/>
    </xf>
    <xf numFmtId="0" fontId="0" fillId="0" borderId="47" xfId="0" quotePrefix="1" applyBorder="1" applyAlignment="1">
      <alignment horizontal="center"/>
    </xf>
    <xf numFmtId="0" fontId="0" fillId="3" borderId="46" xfId="0" applyFill="1" applyBorder="1"/>
    <xf numFmtId="0" fontId="0" fillId="3" borderId="44" xfId="0" applyFill="1" applyBorder="1"/>
    <xf numFmtId="0" fontId="30" fillId="11" borderId="23" xfId="0" applyFont="1" applyFill="1" applyBorder="1" applyAlignment="1">
      <alignment horizontal="left" indent="2"/>
    </xf>
    <xf numFmtId="0" fontId="30" fillId="19" borderId="23" xfId="0" applyFont="1" applyFill="1" applyBorder="1" applyAlignment="1">
      <alignment horizontal="left" indent="2"/>
    </xf>
    <xf numFmtId="0" fontId="0" fillId="3" borderId="48" xfId="0" applyFill="1" applyBorder="1"/>
    <xf numFmtId="0" fontId="0" fillId="3" borderId="47" xfId="0" applyFill="1" applyBorder="1"/>
    <xf numFmtId="0" fontId="0" fillId="0" borderId="0" xfId="0" applyAlignment="1">
      <alignment horizontal="left" indent="2"/>
    </xf>
    <xf numFmtId="0" fontId="0" fillId="3" borderId="43" xfId="0" applyFill="1" applyBorder="1"/>
    <xf numFmtId="0" fontId="0" fillId="3" borderId="42" xfId="0" applyFill="1" applyBorder="1"/>
    <xf numFmtId="0" fontId="31" fillId="0" borderId="0" xfId="0" applyFont="1"/>
    <xf numFmtId="0" fontId="0" fillId="20" borderId="45" xfId="0" applyFill="1" applyBorder="1"/>
    <xf numFmtId="14" fontId="30" fillId="11" borderId="23" xfId="0" applyNumberFormat="1" applyFont="1" applyFill="1" applyBorder="1" applyAlignment="1">
      <alignment horizontal="center"/>
    </xf>
    <xf numFmtId="165" fontId="0" fillId="11" borderId="0" xfId="2" applyNumberFormat="1" applyFont="1" applyFill="1" applyAlignment="1">
      <alignment horizontal="center"/>
    </xf>
    <xf numFmtId="165" fontId="27" fillId="11" borderId="0" xfId="2" applyNumberFormat="1" applyFont="1" applyFill="1" applyAlignment="1">
      <alignment horizontal="center"/>
    </xf>
    <xf numFmtId="9" fontId="19" fillId="11" borderId="44" xfId="0" applyNumberFormat="1" applyFont="1" applyFill="1" applyBorder="1" applyAlignment="1">
      <alignment horizontal="center"/>
    </xf>
    <xf numFmtId="0" fontId="0" fillId="15" borderId="23" xfId="0" applyFill="1" applyBorder="1" applyAlignment="1">
      <alignment horizontal="center"/>
    </xf>
    <xf numFmtId="0" fontId="36" fillId="0" borderId="0" xfId="0" applyFont="1"/>
    <xf numFmtId="0" fontId="36" fillId="0" borderId="0" xfId="0" applyFont="1" applyAlignment="1">
      <alignment vertical="center" wrapText="1"/>
    </xf>
    <xf numFmtId="14" fontId="4" fillId="4" borderId="20" xfId="0" applyNumberFormat="1" applyFont="1" applyFill="1" applyBorder="1" applyAlignment="1">
      <alignment horizontal="left"/>
    </xf>
    <xf numFmtId="0" fontId="1" fillId="21" borderId="10" xfId="0" applyFont="1" applyFill="1" applyBorder="1"/>
    <xf numFmtId="0" fontId="1" fillId="21" borderId="10" xfId="0" applyFont="1" applyFill="1" applyBorder="1" applyAlignment="1">
      <alignment horizontal="center"/>
    </xf>
    <xf numFmtId="0" fontId="1" fillId="21" borderId="52" xfId="0" applyFont="1" applyFill="1" applyBorder="1" applyAlignment="1">
      <alignment horizontal="center"/>
    </xf>
    <xf numFmtId="0" fontId="3" fillId="2" borderId="53" xfId="0" applyFont="1" applyFill="1" applyBorder="1"/>
    <xf numFmtId="0" fontId="3" fillId="2" borderId="14" xfId="0" applyFont="1" applyFill="1" applyBorder="1"/>
    <xf numFmtId="0" fontId="3" fillId="2" borderId="58" xfId="0" applyFont="1" applyFill="1" applyBorder="1"/>
    <xf numFmtId="10" fontId="19" fillId="7" borderId="53" xfId="0" applyNumberFormat="1" applyFont="1" applyFill="1" applyBorder="1" applyAlignment="1">
      <alignment horizontal="center"/>
    </xf>
    <xf numFmtId="10" fontId="19" fillId="7" borderId="14" xfId="0" applyNumberFormat="1" applyFont="1" applyFill="1" applyBorder="1" applyAlignment="1">
      <alignment horizontal="center"/>
    </xf>
    <xf numFmtId="10" fontId="19" fillId="7" borderId="58" xfId="0" applyNumberFormat="1" applyFont="1" applyFill="1" applyBorder="1" applyAlignment="1">
      <alignment horizontal="center"/>
    </xf>
    <xf numFmtId="10" fontId="19" fillId="8" borderId="53" xfId="0" applyNumberFormat="1" applyFont="1" applyFill="1" applyBorder="1" applyAlignment="1">
      <alignment horizontal="center"/>
    </xf>
    <xf numFmtId="10" fontId="19" fillId="8" borderId="14" xfId="0" applyNumberFormat="1" applyFont="1" applyFill="1" applyBorder="1" applyAlignment="1">
      <alignment horizontal="center"/>
    </xf>
    <xf numFmtId="10" fontId="19" fillId="8" borderId="58" xfId="0" applyNumberFormat="1" applyFont="1" applyFill="1" applyBorder="1" applyAlignment="1">
      <alignment horizontal="center"/>
    </xf>
    <xf numFmtId="10" fontId="19" fillId="11" borderId="53" xfId="0" applyNumberFormat="1" applyFont="1" applyFill="1" applyBorder="1" applyAlignment="1">
      <alignment horizontal="center"/>
    </xf>
    <xf numFmtId="10" fontId="19" fillId="11" borderId="14" xfId="0" applyNumberFormat="1" applyFont="1" applyFill="1" applyBorder="1" applyAlignment="1">
      <alignment horizontal="center"/>
    </xf>
    <xf numFmtId="10" fontId="19" fillId="11" borderId="58" xfId="0" applyNumberFormat="1" applyFont="1" applyFill="1" applyBorder="1" applyAlignment="1">
      <alignment horizontal="center"/>
    </xf>
    <xf numFmtId="9" fontId="0" fillId="7" borderId="53" xfId="0" applyNumberFormat="1" applyFill="1" applyBorder="1" applyAlignment="1">
      <alignment horizontal="center"/>
    </xf>
    <xf numFmtId="9" fontId="0" fillId="7" borderId="14" xfId="0" applyNumberFormat="1" applyFill="1" applyBorder="1" applyAlignment="1">
      <alignment horizontal="center"/>
    </xf>
    <xf numFmtId="9" fontId="0" fillId="7" borderId="58" xfId="0" applyNumberFormat="1" applyFill="1" applyBorder="1" applyAlignment="1">
      <alignment horizontal="center"/>
    </xf>
    <xf numFmtId="9" fontId="0" fillId="8" borderId="53" xfId="0" applyNumberFormat="1" applyFill="1" applyBorder="1" applyAlignment="1">
      <alignment horizontal="center"/>
    </xf>
    <xf numFmtId="9" fontId="0" fillId="8" borderId="14" xfId="0" applyNumberFormat="1" applyFill="1" applyBorder="1" applyAlignment="1">
      <alignment horizontal="center"/>
    </xf>
    <xf numFmtId="9" fontId="0" fillId="8" borderId="58" xfId="0" applyNumberFormat="1" applyFill="1" applyBorder="1" applyAlignment="1">
      <alignment horizontal="center"/>
    </xf>
    <xf numFmtId="10" fontId="3" fillId="5" borderId="53" xfId="0" applyNumberFormat="1" applyFont="1" applyFill="1" applyBorder="1" applyAlignment="1">
      <alignment horizontal="center"/>
    </xf>
    <xf numFmtId="10" fontId="3" fillId="5" borderId="14" xfId="0" applyNumberFormat="1" applyFont="1" applyFill="1" applyBorder="1" applyAlignment="1">
      <alignment horizontal="center"/>
    </xf>
    <xf numFmtId="10" fontId="3" fillId="5" borderId="58" xfId="0" applyNumberFormat="1" applyFont="1" applyFill="1" applyBorder="1" applyAlignment="1">
      <alignment horizontal="center"/>
    </xf>
    <xf numFmtId="9" fontId="0" fillId="22" borderId="53" xfId="0" applyNumberFormat="1" applyFill="1" applyBorder="1" applyAlignment="1">
      <alignment horizontal="center"/>
    </xf>
    <xf numFmtId="9" fontId="0" fillId="22" borderId="14" xfId="0" applyNumberFormat="1" applyFill="1" applyBorder="1" applyAlignment="1">
      <alignment horizontal="center"/>
    </xf>
    <xf numFmtId="9" fontId="0" fillId="22" borderId="58" xfId="0" applyNumberFormat="1" applyFill="1" applyBorder="1" applyAlignment="1">
      <alignment horizontal="center"/>
    </xf>
    <xf numFmtId="14" fontId="1" fillId="21" borderId="4" xfId="0" applyNumberFormat="1" applyFont="1" applyFill="1" applyBorder="1" applyAlignment="1">
      <alignment horizontal="left"/>
    </xf>
    <xf numFmtId="0" fontId="1" fillId="21" borderId="0" xfId="0" applyFont="1" applyFill="1" applyAlignment="1">
      <alignment horizontal="center"/>
    </xf>
    <xf numFmtId="0" fontId="1" fillId="21" borderId="0" xfId="0" applyFont="1" applyFill="1" applyAlignment="1">
      <alignment horizontal="right"/>
    </xf>
    <xf numFmtId="0" fontId="1" fillId="21" borderId="5" xfId="0" applyFont="1" applyFill="1" applyBorder="1" applyAlignment="1">
      <alignment horizontal="left"/>
    </xf>
    <xf numFmtId="3" fontId="0" fillId="0" borderId="23" xfId="0" applyNumberFormat="1" applyBorder="1" applyAlignment="1">
      <alignment horizontal="center"/>
    </xf>
    <xf numFmtId="0" fontId="16" fillId="12" borderId="0" xfId="0" applyFont="1" applyFill="1" applyAlignment="1">
      <alignment wrapText="1"/>
    </xf>
    <xf numFmtId="0" fontId="0" fillId="0" borderId="23" xfId="0" applyBorder="1" applyAlignment="1">
      <alignment wrapText="1"/>
    </xf>
    <xf numFmtId="0" fontId="3" fillId="11" borderId="52" xfId="0" applyFont="1" applyFill="1" applyBorder="1" applyAlignment="1">
      <alignment horizontal="right" wrapText="1"/>
    </xf>
    <xf numFmtId="0" fontId="0" fillId="0" borderId="0" xfId="0" applyAlignment="1">
      <alignment wrapText="1"/>
    </xf>
    <xf numFmtId="166" fontId="7" fillId="0" borderId="23" xfId="0" applyNumberFormat="1" applyFont="1" applyBorder="1" applyAlignment="1">
      <alignment horizontal="center"/>
    </xf>
    <xf numFmtId="0" fontId="2" fillId="0" borderId="31" xfId="0" applyFont="1" applyBorder="1"/>
    <xf numFmtId="0" fontId="2" fillId="0" borderId="16" xfId="0" applyFont="1" applyBorder="1"/>
    <xf numFmtId="0" fontId="37" fillId="23" borderId="63" xfId="0" applyFont="1" applyFill="1" applyBorder="1" applyAlignment="1">
      <alignment horizontal="center" vertical="center" wrapText="1"/>
    </xf>
    <xf numFmtId="0" fontId="8" fillId="0" borderId="0" xfId="0" applyFont="1"/>
    <xf numFmtId="0" fontId="37" fillId="24" borderId="63" xfId="0" applyFont="1" applyFill="1" applyBorder="1" applyAlignment="1">
      <alignment horizontal="left" vertical="center"/>
    </xf>
    <xf numFmtId="14" fontId="37" fillId="24" borderId="63" xfId="0" applyNumberFormat="1" applyFont="1" applyFill="1" applyBorder="1" applyAlignment="1">
      <alignment horizontal="left" vertical="center"/>
    </xf>
    <xf numFmtId="14" fontId="7" fillId="13" borderId="23" xfId="0" applyNumberFormat="1" applyFont="1" applyFill="1" applyBorder="1" applyAlignment="1">
      <alignment horizontal="center"/>
    </xf>
    <xf numFmtId="0" fontId="0" fillId="0" borderId="33" xfId="0" applyBorder="1"/>
    <xf numFmtId="14" fontId="7" fillId="0" borderId="64" xfId="0" applyNumberFormat="1" applyFont="1" applyBorder="1" applyAlignment="1">
      <alignment horizontal="center"/>
    </xf>
    <xf numFmtId="0" fontId="2" fillId="0" borderId="34" xfId="0" applyFont="1" applyBorder="1"/>
    <xf numFmtId="42" fontId="37" fillId="24" borderId="63" xfId="0" applyNumberFormat="1" applyFont="1" applyFill="1" applyBorder="1" applyAlignment="1">
      <alignment horizontal="right" vertical="center"/>
    </xf>
    <xf numFmtId="0" fontId="36" fillId="0" borderId="4" xfId="0" applyFont="1" applyBorder="1" applyAlignment="1">
      <alignment vertical="center" wrapText="1"/>
    </xf>
    <xf numFmtId="0" fontId="6" fillId="8" borderId="6" xfId="0" applyFont="1" applyFill="1" applyBorder="1" applyAlignment="1">
      <alignment horizontal="center" vertical="center"/>
    </xf>
    <xf numFmtId="3" fontId="7" fillId="0" borderId="23" xfId="0" applyNumberFormat="1" applyFont="1" applyBorder="1" applyAlignment="1">
      <alignment horizontal="center"/>
    </xf>
    <xf numFmtId="3" fontId="3" fillId="7" borderId="10" xfId="0" applyNumberFormat="1" applyFont="1" applyFill="1" applyBorder="1" applyAlignment="1">
      <alignment horizontal="center"/>
    </xf>
    <xf numFmtId="0" fontId="10" fillId="4" borderId="1" xfId="0" applyFont="1" applyFill="1" applyBorder="1" applyAlignment="1">
      <alignment horizontal="center"/>
    </xf>
    <xf numFmtId="0" fontId="10" fillId="4" borderId="2" xfId="0" applyFont="1" applyFill="1" applyBorder="1" applyAlignment="1">
      <alignment horizontal="center"/>
    </xf>
    <xf numFmtId="0" fontId="10" fillId="4" borderId="3" xfId="0" applyFont="1" applyFill="1" applyBorder="1" applyAlignment="1">
      <alignment horizontal="center"/>
    </xf>
    <xf numFmtId="0" fontId="10" fillId="4" borderId="4" xfId="0" applyFont="1" applyFill="1" applyBorder="1" applyAlignment="1">
      <alignment horizontal="center"/>
    </xf>
    <xf numFmtId="0" fontId="10" fillId="4" borderId="0" xfId="0" applyFont="1" applyFill="1" applyAlignment="1">
      <alignment horizontal="center"/>
    </xf>
    <xf numFmtId="0" fontId="10" fillId="4" borderId="5" xfId="0" applyFont="1" applyFill="1" applyBorder="1" applyAlignment="1">
      <alignment horizontal="center"/>
    </xf>
    <xf numFmtId="0" fontId="4" fillId="4" borderId="27" xfId="0" applyFont="1" applyFill="1" applyBorder="1" applyAlignment="1">
      <alignment horizontal="right"/>
    </xf>
    <xf numFmtId="0" fontId="1" fillId="21" borderId="7" xfId="0" applyFont="1" applyFill="1" applyBorder="1" applyAlignment="1">
      <alignment horizontal="center"/>
    </xf>
    <xf numFmtId="0" fontId="1" fillId="21" borderId="62" xfId="0" applyFont="1" applyFill="1" applyBorder="1" applyAlignment="1">
      <alignment horizontal="center"/>
    </xf>
    <xf numFmtId="0" fontId="1" fillId="21" borderId="8" xfId="0" applyFont="1" applyFill="1" applyBorder="1" applyAlignment="1">
      <alignment horizontal="center"/>
    </xf>
    <xf numFmtId="0" fontId="1" fillId="21" borderId="61" xfId="0" applyFont="1" applyFill="1" applyBorder="1" applyAlignment="1">
      <alignment horizontal="center"/>
    </xf>
    <xf numFmtId="0" fontId="1" fillId="21" borderId="1" xfId="0" applyFont="1" applyFill="1" applyBorder="1" applyAlignment="1">
      <alignment horizontal="center"/>
    </xf>
    <xf numFmtId="0" fontId="1" fillId="21" borderId="2" xfId="0" applyFont="1" applyFill="1" applyBorder="1" applyAlignment="1">
      <alignment horizontal="center"/>
    </xf>
    <xf numFmtId="0" fontId="1" fillId="21" borderId="3" xfId="0" applyFont="1" applyFill="1" applyBorder="1" applyAlignment="1">
      <alignment horizontal="center"/>
    </xf>
    <xf numFmtId="0" fontId="1" fillId="21" borderId="6" xfId="0" applyFont="1" applyFill="1" applyBorder="1" applyAlignment="1">
      <alignment horizontal="center"/>
    </xf>
    <xf numFmtId="0" fontId="1" fillId="21" borderId="52" xfId="0" applyFont="1" applyFill="1" applyBorder="1" applyAlignment="1">
      <alignment horizontal="center"/>
    </xf>
    <xf numFmtId="0" fontId="1" fillId="21" borderId="9" xfId="0" applyFont="1" applyFill="1" applyBorder="1" applyAlignment="1">
      <alignment horizontal="center"/>
    </xf>
    <xf numFmtId="0" fontId="18" fillId="20" borderId="45" xfId="0" applyFont="1" applyFill="1" applyBorder="1" applyAlignment="1">
      <alignment vertical="center"/>
    </xf>
    <xf numFmtId="0" fontId="0" fillId="20" borderId="45" xfId="0" applyFill="1" applyBorder="1" applyAlignment="1">
      <alignment vertical="center"/>
    </xf>
    <xf numFmtId="0" fontId="32" fillId="20" borderId="45" xfId="0" applyFont="1" applyFill="1" applyBorder="1" applyAlignment="1">
      <alignment horizontal="center" wrapText="1"/>
    </xf>
    <xf numFmtId="0" fontId="32" fillId="20" borderId="45" xfId="0" applyFont="1" applyFill="1" applyBorder="1" applyAlignment="1">
      <alignment horizontal="center"/>
    </xf>
    <xf numFmtId="0" fontId="30" fillId="11" borderId="24" xfId="0" applyFont="1" applyFill="1" applyBorder="1" applyAlignment="1">
      <alignment horizontal="left" indent="2"/>
    </xf>
    <xf numFmtId="0" fontId="30" fillId="11" borderId="26" xfId="0" applyFont="1" applyFill="1" applyBorder="1" applyAlignment="1">
      <alignment horizontal="left" indent="2"/>
    </xf>
    <xf numFmtId="0" fontId="29" fillId="0" borderId="6" xfId="0" applyFont="1" applyBorder="1" applyAlignment="1">
      <alignment horizontal="center"/>
    </xf>
    <xf numFmtId="0" fontId="29" fillId="0" borderId="52" xfId="0" applyFont="1" applyBorder="1" applyAlignment="1">
      <alignment horizontal="center"/>
    </xf>
    <xf numFmtId="0" fontId="29" fillId="0" borderId="9" xfId="0" applyFont="1" applyBorder="1" applyAlignment="1">
      <alignment horizontal="center"/>
    </xf>
    <xf numFmtId="0" fontId="28" fillId="0" borderId="60" xfId="0" applyFont="1" applyBorder="1" applyAlignment="1">
      <alignment horizontal="center" wrapText="1"/>
    </xf>
    <xf numFmtId="0" fontId="28" fillId="0" borderId="59" xfId="0" applyFont="1" applyBorder="1" applyAlignment="1">
      <alignment horizontal="center" wrapText="1"/>
    </xf>
    <xf numFmtId="0" fontId="3" fillId="0" borderId="2" xfId="0" applyFont="1" applyBorder="1" applyAlignment="1">
      <alignment horizontal="center" wrapText="1"/>
    </xf>
    <xf numFmtId="0" fontId="3" fillId="0" borderId="0" xfId="0" applyFont="1" applyAlignment="1">
      <alignment horizontal="center" wrapText="1"/>
    </xf>
    <xf numFmtId="0" fontId="3" fillId="0" borderId="2" xfId="0" quotePrefix="1" applyFont="1" applyBorder="1" applyAlignment="1">
      <alignment horizontal="center" wrapText="1"/>
    </xf>
    <xf numFmtId="0" fontId="3" fillId="0" borderId="0" xfId="0" quotePrefix="1" applyFont="1" applyAlignment="1">
      <alignment horizontal="center" wrapText="1"/>
    </xf>
    <xf numFmtId="0" fontId="3" fillId="0" borderId="59" xfId="0" applyFont="1" applyBorder="1" applyAlignment="1">
      <alignment horizontal="center" wrapText="1"/>
    </xf>
    <xf numFmtId="0" fontId="3" fillId="0" borderId="48" xfId="0" applyFont="1" applyBorder="1" applyAlignment="1">
      <alignment horizontal="center" wrapText="1"/>
    </xf>
    <xf numFmtId="9" fontId="4" fillId="0" borderId="0" xfId="3" applyFont="1" applyFill="1" applyAlignment="1">
      <alignment horizontal="right" vertical="center"/>
    </xf>
    <xf numFmtId="9" fontId="23" fillId="0" borderId="0" xfId="0" applyNumberFormat="1" applyFont="1" applyAlignment="1">
      <alignment horizontal="left" wrapText="1"/>
    </xf>
    <xf numFmtId="0" fontId="0" fillId="0" borderId="57"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wrapText="1"/>
    </xf>
    <xf numFmtId="0" fontId="0" fillId="0" borderId="56" xfId="0" applyBorder="1" applyAlignment="1">
      <alignment wrapText="1"/>
    </xf>
    <xf numFmtId="0" fontId="20" fillId="4" borderId="1" xfId="0" applyFont="1" applyFill="1" applyBorder="1" applyAlignment="1">
      <alignment horizontal="center"/>
    </xf>
    <xf numFmtId="0" fontId="20" fillId="4" borderId="3" xfId="0" applyFont="1" applyFill="1" applyBorder="1" applyAlignment="1">
      <alignment horizontal="center"/>
    </xf>
    <xf numFmtId="14" fontId="16" fillId="4" borderId="20" xfId="0" applyNumberFormat="1" applyFont="1" applyFill="1" applyBorder="1" applyAlignment="1">
      <alignment horizontal="center"/>
    </xf>
    <xf numFmtId="14" fontId="16" fillId="4" borderId="28" xfId="0" applyNumberFormat="1" applyFont="1" applyFill="1" applyBorder="1" applyAlignment="1">
      <alignment horizontal="center"/>
    </xf>
    <xf numFmtId="0" fontId="5" fillId="13" borderId="2" xfId="0" applyFont="1" applyFill="1" applyBorder="1" applyAlignment="1">
      <alignment horizontal="left" vertical="top" wrapText="1"/>
    </xf>
    <xf numFmtId="0" fontId="5" fillId="13" borderId="0" xfId="0" applyFont="1" applyFill="1" applyAlignment="1">
      <alignment horizontal="left" vertical="top" wrapText="1"/>
    </xf>
    <xf numFmtId="49" fontId="0" fillId="0" borderId="47" xfId="0" applyNumberFormat="1" applyBorder="1" applyAlignment="1">
      <alignment horizontal="left"/>
    </xf>
    <xf numFmtId="49" fontId="0" fillId="0" borderId="0" xfId="0" applyNumberFormat="1" applyAlignment="1">
      <alignment horizontal="left"/>
    </xf>
    <xf numFmtId="49" fontId="0" fillId="0" borderId="48" xfId="0" applyNumberFormat="1" applyBorder="1" applyAlignment="1">
      <alignment horizontal="left"/>
    </xf>
    <xf numFmtId="0" fontId="9" fillId="4" borderId="42" xfId="0" applyFont="1" applyFill="1" applyBorder="1" applyAlignment="1">
      <alignment horizontal="center" vertical="center"/>
    </xf>
    <xf numFmtId="0" fontId="9" fillId="4" borderId="41" xfId="0" applyFont="1" applyFill="1" applyBorder="1" applyAlignment="1">
      <alignment horizontal="center" vertical="center"/>
    </xf>
    <xf numFmtId="0" fontId="9" fillId="4" borderId="43" xfId="0" applyFont="1" applyFill="1" applyBorder="1" applyAlignment="1">
      <alignment horizontal="center" vertical="center"/>
    </xf>
    <xf numFmtId="0" fontId="9" fillId="4" borderId="44" xfId="0" applyFont="1" applyFill="1" applyBorder="1" applyAlignment="1">
      <alignment horizontal="center" vertical="center"/>
    </xf>
    <xf numFmtId="0" fontId="9" fillId="4" borderId="45" xfId="0" applyFont="1" applyFill="1" applyBorder="1" applyAlignment="1">
      <alignment horizontal="center" vertical="center"/>
    </xf>
    <xf numFmtId="0" fontId="9" fillId="4" borderId="46" xfId="0" applyFont="1" applyFill="1" applyBorder="1" applyAlignment="1">
      <alignment horizontal="center" vertical="center"/>
    </xf>
    <xf numFmtId="49" fontId="0" fillId="0" borderId="42" xfId="0" applyNumberFormat="1" applyBorder="1" applyAlignment="1">
      <alignment horizontal="left"/>
    </xf>
    <xf numFmtId="49" fontId="0" fillId="0" borderId="41" xfId="0" applyNumberFormat="1" applyBorder="1" applyAlignment="1">
      <alignment horizontal="left"/>
    </xf>
    <xf numFmtId="49" fontId="0" fillId="0" borderId="43" xfId="0" applyNumberFormat="1" applyBorder="1" applyAlignment="1">
      <alignment horizontal="left"/>
    </xf>
    <xf numFmtId="0" fontId="10" fillId="4" borderId="24" xfId="0" applyFont="1" applyFill="1" applyBorder="1" applyAlignment="1">
      <alignment horizontal="center" vertical="center"/>
    </xf>
    <xf numFmtId="0" fontId="10" fillId="4" borderId="25" xfId="0" applyFont="1" applyFill="1" applyBorder="1" applyAlignment="1">
      <alignment horizontal="center" vertical="center"/>
    </xf>
    <xf numFmtId="0" fontId="10" fillId="4" borderId="26" xfId="0" applyFont="1" applyFill="1" applyBorder="1" applyAlignment="1">
      <alignment horizontal="center" vertical="center"/>
    </xf>
    <xf numFmtId="14" fontId="10" fillId="4" borderId="24" xfId="0" applyNumberFormat="1" applyFont="1" applyFill="1" applyBorder="1" applyAlignment="1">
      <alignment horizontal="center" vertical="center"/>
    </xf>
    <xf numFmtId="49" fontId="0" fillId="0" borderId="44" xfId="0" applyNumberFormat="1" applyBorder="1" applyAlignment="1">
      <alignment horizontal="left"/>
    </xf>
    <xf numFmtId="49" fontId="0" fillId="0" borderId="45" xfId="0" applyNumberFormat="1" applyBorder="1" applyAlignment="1">
      <alignment horizontal="left"/>
    </xf>
    <xf numFmtId="49" fontId="0" fillId="0" borderId="46" xfId="0" applyNumberFormat="1" applyBorder="1" applyAlignment="1">
      <alignment horizontal="left"/>
    </xf>
    <xf numFmtId="0" fontId="12" fillId="4" borderId="1" xfId="0" applyFont="1" applyFill="1" applyBorder="1" applyAlignment="1">
      <alignment horizontal="center"/>
    </xf>
    <xf numFmtId="0" fontId="12" fillId="4" borderId="2" xfId="0" applyFont="1" applyFill="1" applyBorder="1" applyAlignment="1">
      <alignment horizontal="center"/>
    </xf>
    <xf numFmtId="0" fontId="12" fillId="4" borderId="3" xfId="0" applyFont="1" applyFill="1" applyBorder="1" applyAlignment="1">
      <alignment horizontal="center"/>
    </xf>
    <xf numFmtId="0" fontId="1" fillId="4" borderId="27" xfId="0" applyFont="1" applyFill="1" applyBorder="1" applyAlignment="1">
      <alignment horizontal="right"/>
    </xf>
    <xf numFmtId="0" fontId="1" fillId="4" borderId="20" xfId="0" applyFont="1" applyFill="1" applyBorder="1" applyAlignment="1">
      <alignment horizontal="left"/>
    </xf>
    <xf numFmtId="0" fontId="1" fillId="4" borderId="27" xfId="0" applyFont="1" applyFill="1" applyBorder="1" applyAlignment="1">
      <alignment horizontal="left"/>
    </xf>
    <xf numFmtId="14" fontId="1" fillId="4" borderId="27" xfId="0" applyNumberFormat="1" applyFont="1" applyFill="1" applyBorder="1" applyAlignment="1">
      <alignment horizontal="right" indent="2"/>
    </xf>
    <xf numFmtId="0" fontId="1" fillId="4" borderId="0" xfId="0" applyFont="1" applyFill="1" applyAlignment="1">
      <alignment horizontal="left"/>
    </xf>
    <xf numFmtId="0" fontId="13" fillId="4" borderId="0" xfId="0" applyFont="1" applyFill="1" applyAlignment="1">
      <alignment horizontal="center" vertical="center"/>
    </xf>
    <xf numFmtId="0" fontId="10" fillId="4" borderId="35" xfId="0" applyFont="1" applyFill="1" applyBorder="1" applyAlignment="1">
      <alignment horizontal="center" vertical="center"/>
    </xf>
    <xf numFmtId="0" fontId="10" fillId="4" borderId="45" xfId="0" applyFont="1" applyFill="1" applyBorder="1" applyAlignment="1">
      <alignment horizontal="center" vertical="center"/>
    </xf>
    <xf numFmtId="0" fontId="11" fillId="4" borderId="0" xfId="0" applyFont="1" applyFill="1" applyAlignment="1">
      <alignment horizontal="center" vertical="center"/>
    </xf>
    <xf numFmtId="0" fontId="6" fillId="7" borderId="52" xfId="0" applyFont="1" applyFill="1" applyBorder="1" applyAlignment="1">
      <alignment horizontal="center" vertical="center"/>
    </xf>
    <xf numFmtId="0" fontId="6" fillId="5" borderId="49"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14" fillId="4" borderId="6" xfId="0" applyFont="1" applyFill="1" applyBorder="1" applyAlignment="1">
      <alignment horizontal="right" vertical="center"/>
    </xf>
    <xf numFmtId="0" fontId="14" fillId="4" borderId="9" xfId="0" applyFont="1" applyFill="1" applyBorder="1" applyAlignment="1">
      <alignment horizontal="right" vertical="center"/>
    </xf>
    <xf numFmtId="0" fontId="3" fillId="6" borderId="6"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20"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3" xfId="0" applyFont="1" applyFill="1" applyBorder="1" applyAlignment="1">
      <alignment horizontal="center" vertical="center"/>
    </xf>
    <xf numFmtId="9" fontId="0" fillId="0" borderId="23" xfId="0" applyNumberFormat="1" applyBorder="1" applyAlignment="1">
      <alignment horizontal="left"/>
    </xf>
    <xf numFmtId="0" fontId="0" fillId="0" borderId="0" xfId="0" applyAlignment="1">
      <alignment horizontal="right" vertical="top"/>
    </xf>
    <xf numFmtId="10" fontId="0" fillId="0" borderId="23" xfId="0" applyNumberFormat="1" applyBorder="1" applyAlignment="1">
      <alignment horizontal="left"/>
    </xf>
    <xf numFmtId="0" fontId="0" fillId="0" borderId="0" xfId="0" applyAlignment="1">
      <alignment horizontal="left"/>
    </xf>
    <xf numFmtId="0" fontId="0" fillId="0" borderId="15" xfId="0" applyBorder="1" applyAlignment="1">
      <alignment horizontal="center"/>
    </xf>
    <xf numFmtId="0" fontId="0" fillId="0" borderId="23" xfId="0" applyBorder="1" applyAlignment="1">
      <alignment horizontal="center"/>
    </xf>
    <xf numFmtId="0" fontId="0" fillId="0" borderId="36" xfId="0" applyBorder="1" applyAlignment="1">
      <alignment horizontal="center"/>
    </xf>
    <xf numFmtId="0" fontId="0" fillId="0" borderId="26" xfId="0" applyBorder="1" applyAlignment="1">
      <alignment horizontal="center"/>
    </xf>
    <xf numFmtId="0" fontId="2" fillId="13" borderId="0" xfId="0" applyFont="1" applyFill="1" applyAlignment="1">
      <alignment horizontal="left"/>
    </xf>
    <xf numFmtId="0" fontId="11" fillId="4" borderId="27" xfId="0" applyFont="1" applyFill="1" applyBorder="1" applyAlignment="1">
      <alignment horizontal="center"/>
    </xf>
    <xf numFmtId="0" fontId="20" fillId="4" borderId="2" xfId="0" applyFont="1" applyFill="1" applyBorder="1" applyAlignment="1">
      <alignment horizontal="center"/>
    </xf>
    <xf numFmtId="0" fontId="0" fillId="15" borderId="15" xfId="0" applyFill="1" applyBorder="1" applyAlignment="1">
      <alignment horizontal="center"/>
    </xf>
    <xf numFmtId="0" fontId="0" fillId="15" borderId="23" xfId="0" applyFill="1" applyBorder="1" applyAlignment="1">
      <alignment horizontal="center"/>
    </xf>
    <xf numFmtId="0" fontId="11" fillId="4" borderId="6" xfId="0" applyFont="1" applyFill="1" applyBorder="1" applyAlignment="1">
      <alignment horizontal="left"/>
    </xf>
    <xf numFmtId="0" fontId="11" fillId="4" borderId="52" xfId="0" applyFont="1" applyFill="1" applyBorder="1" applyAlignment="1">
      <alignment horizontal="left"/>
    </xf>
    <xf numFmtId="0" fontId="11" fillId="4" borderId="9" xfId="0" applyFont="1" applyFill="1" applyBorder="1" applyAlignment="1">
      <alignment horizontal="left"/>
    </xf>
    <xf numFmtId="0" fontId="3" fillId="11" borderId="4" xfId="0" applyFont="1" applyFill="1" applyBorder="1" applyAlignment="1">
      <alignment horizontal="left"/>
    </xf>
    <xf numFmtId="0" fontId="3" fillId="11" borderId="0" xfId="0" applyFont="1" applyFill="1" applyAlignment="1">
      <alignment horizontal="left"/>
    </xf>
    <xf numFmtId="0" fontId="3" fillId="11" borderId="6" xfId="0" applyFont="1" applyFill="1" applyBorder="1" applyAlignment="1">
      <alignment horizontal="left"/>
    </xf>
    <xf numFmtId="0" fontId="3" fillId="11" borderId="52" xfId="0" applyFont="1" applyFill="1" applyBorder="1" applyAlignment="1">
      <alignment horizontal="left"/>
    </xf>
    <xf numFmtId="0" fontId="15" fillId="10" borderId="6" xfId="0" applyFont="1" applyFill="1" applyBorder="1" applyAlignment="1">
      <alignment horizontal="left"/>
    </xf>
    <xf numFmtId="0" fontId="15" fillId="10" borderId="52" xfId="0" applyFont="1" applyFill="1" applyBorder="1" applyAlignment="1">
      <alignment horizontal="left"/>
    </xf>
    <xf numFmtId="14" fontId="1" fillId="4" borderId="4" xfId="0" applyNumberFormat="1" applyFont="1" applyFill="1" applyBorder="1" applyAlignment="1">
      <alignment horizontal="left"/>
    </xf>
  </cellXfs>
  <cellStyles count="4">
    <cellStyle name="Currency" xfId="2" builtinId="4"/>
    <cellStyle name="Normal" xfId="0" builtinId="0"/>
    <cellStyle name="Normal 2 2 2" xfId="1" xr:uid="{90F7FAE6-B00F-4835-9ABA-E9A62F97F6B9}"/>
    <cellStyle name="Percent" xfId="3" builtinId="5"/>
  </cellStyles>
  <dxfs count="4">
    <dxf>
      <font>
        <b/>
        <i val="0"/>
      </font>
      <fill>
        <patternFill>
          <bgColor theme="8" tint="0.5999633777886288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5</xdr:col>
      <xdr:colOff>1000125</xdr:colOff>
      <xdr:row>0</xdr:row>
      <xdr:rowOff>85725</xdr:rowOff>
    </xdr:from>
    <xdr:ext cx="1096735" cy="432679"/>
    <xdr:pic>
      <xdr:nvPicPr>
        <xdr:cNvPr id="2" name="Picture 1">
          <a:extLst>
            <a:ext uri="{FF2B5EF4-FFF2-40B4-BE49-F238E27FC236}">
              <a16:creationId xmlns:a16="http://schemas.microsoft.com/office/drawing/2014/main" id="{7058B79E-A307-4CDA-8579-2CC683DE04C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7600" y="85725"/>
          <a:ext cx="1096735" cy="432679"/>
        </a:xfrm>
        <a:prstGeom prst="rect">
          <a:avLst/>
        </a:prstGeom>
        <a:noFill/>
        <a:ln>
          <a:noFill/>
        </a:ln>
        <a:extLst>
          <a:ext uri="{FAA26D3D-D897-4be2-8F04-BA451C77F1D7}">
            <ma14:placeholderFlag xmlns="" xmlns:wpc="http://schemas.microsoft.com/office/word/2010/wordprocessingCanvas" xmlns:mo="http://schemas.microsoft.com/office/mac/office/2008/main" xmlns:mc="http://schemas.openxmlformats.org/markup-compatibility/2006" xmlns:mv="urn:schemas-microsoft-com:mac:vml" xmlns:o="urn:schemas-microsoft-com:office:office" xmlns:r="http://schemas.openxmlformats.org/officeDocument/2006/relationships"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ma14="http://schemas.microsoft.com/office/mac/drawingml/2011/main" xmlns:lc="http://schemas.openxmlformats.org/drawingml/2006/lockedCanvas"/>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6AC4C-C0BA-4007-8C54-B1A160DBF0A3}">
  <sheetPr>
    <pageSetUpPr fitToPage="1"/>
  </sheetPr>
  <dimension ref="A1:J12"/>
  <sheetViews>
    <sheetView view="pageLayout" zoomScaleNormal="100" workbookViewId="0">
      <selection activeCell="J18" sqref="J18"/>
    </sheetView>
  </sheetViews>
  <sheetFormatPr defaultRowHeight="12.75" x14ac:dyDescent="0.2"/>
  <cols>
    <col min="1" max="1" width="3" style="297" bestFit="1" customWidth="1"/>
    <col min="2" max="2" width="24.7109375" style="297" bestFit="1" customWidth="1"/>
    <col min="3" max="3" width="22" style="297" bestFit="1" customWidth="1"/>
    <col min="4" max="5" width="13" style="297" bestFit="1" customWidth="1"/>
    <col min="6" max="7" width="15" style="297" bestFit="1" customWidth="1"/>
    <col min="8" max="8" width="11" style="297" bestFit="1" customWidth="1"/>
    <col min="9" max="10" width="13" style="297" bestFit="1" customWidth="1"/>
    <col min="11" max="256" width="9.140625" style="297"/>
    <col min="257" max="257" width="3" style="297" bestFit="1" customWidth="1"/>
    <col min="258" max="258" width="24.7109375" style="297" bestFit="1" customWidth="1"/>
    <col min="259" max="259" width="22" style="297" bestFit="1" customWidth="1"/>
    <col min="260" max="261" width="13" style="297" bestFit="1" customWidth="1"/>
    <col min="262" max="263" width="15" style="297" bestFit="1" customWidth="1"/>
    <col min="264" max="264" width="11" style="297" bestFit="1" customWidth="1"/>
    <col min="265" max="266" width="13" style="297" bestFit="1" customWidth="1"/>
    <col min="267" max="512" width="9.140625" style="297"/>
    <col min="513" max="513" width="3" style="297" bestFit="1" customWidth="1"/>
    <col min="514" max="514" width="24.7109375" style="297" bestFit="1" customWidth="1"/>
    <col min="515" max="515" width="22" style="297" bestFit="1" customWidth="1"/>
    <col min="516" max="517" width="13" style="297" bestFit="1" customWidth="1"/>
    <col min="518" max="519" width="15" style="297" bestFit="1" customWidth="1"/>
    <col min="520" max="520" width="11" style="297" bestFit="1" customWidth="1"/>
    <col min="521" max="522" width="13" style="297" bestFit="1" customWidth="1"/>
    <col min="523" max="768" width="9.140625" style="297"/>
    <col min="769" max="769" width="3" style="297" bestFit="1" customWidth="1"/>
    <col min="770" max="770" width="24.7109375" style="297" bestFit="1" customWidth="1"/>
    <col min="771" max="771" width="22" style="297" bestFit="1" customWidth="1"/>
    <col min="772" max="773" width="13" style="297" bestFit="1" customWidth="1"/>
    <col min="774" max="775" width="15" style="297" bestFit="1" customWidth="1"/>
    <col min="776" max="776" width="11" style="297" bestFit="1" customWidth="1"/>
    <col min="777" max="778" width="13" style="297" bestFit="1" customWidth="1"/>
    <col min="779" max="1024" width="9.140625" style="297"/>
    <col min="1025" max="1025" width="3" style="297" bestFit="1" customWidth="1"/>
    <col min="1026" max="1026" width="24.7109375" style="297" bestFit="1" customWidth="1"/>
    <col min="1027" max="1027" width="22" style="297" bestFit="1" customWidth="1"/>
    <col min="1028" max="1029" width="13" style="297" bestFit="1" customWidth="1"/>
    <col min="1030" max="1031" width="15" style="297" bestFit="1" customWidth="1"/>
    <col min="1032" max="1032" width="11" style="297" bestFit="1" customWidth="1"/>
    <col min="1033" max="1034" width="13" style="297" bestFit="1" customWidth="1"/>
    <col min="1035" max="1280" width="9.140625" style="297"/>
    <col min="1281" max="1281" width="3" style="297" bestFit="1" customWidth="1"/>
    <col min="1282" max="1282" width="24.7109375" style="297" bestFit="1" customWidth="1"/>
    <col min="1283" max="1283" width="22" style="297" bestFit="1" customWidth="1"/>
    <col min="1284" max="1285" width="13" style="297" bestFit="1" customWidth="1"/>
    <col min="1286" max="1287" width="15" style="297" bestFit="1" customWidth="1"/>
    <col min="1288" max="1288" width="11" style="297" bestFit="1" customWidth="1"/>
    <col min="1289" max="1290" width="13" style="297" bestFit="1" customWidth="1"/>
    <col min="1291" max="1536" width="9.140625" style="297"/>
    <col min="1537" max="1537" width="3" style="297" bestFit="1" customWidth="1"/>
    <col min="1538" max="1538" width="24.7109375" style="297" bestFit="1" customWidth="1"/>
    <col min="1539" max="1539" width="22" style="297" bestFit="1" customWidth="1"/>
    <col min="1540" max="1541" width="13" style="297" bestFit="1" customWidth="1"/>
    <col min="1542" max="1543" width="15" style="297" bestFit="1" customWidth="1"/>
    <col min="1544" max="1544" width="11" style="297" bestFit="1" customWidth="1"/>
    <col min="1545" max="1546" width="13" style="297" bestFit="1" customWidth="1"/>
    <col min="1547" max="1792" width="9.140625" style="297"/>
    <col min="1793" max="1793" width="3" style="297" bestFit="1" customWidth="1"/>
    <col min="1794" max="1794" width="24.7109375" style="297" bestFit="1" customWidth="1"/>
    <col min="1795" max="1795" width="22" style="297" bestFit="1" customWidth="1"/>
    <col min="1796" max="1797" width="13" style="297" bestFit="1" customWidth="1"/>
    <col min="1798" max="1799" width="15" style="297" bestFit="1" customWidth="1"/>
    <col min="1800" max="1800" width="11" style="297" bestFit="1" customWidth="1"/>
    <col min="1801" max="1802" width="13" style="297" bestFit="1" customWidth="1"/>
    <col min="1803" max="2048" width="9.140625" style="297"/>
    <col min="2049" max="2049" width="3" style="297" bestFit="1" customWidth="1"/>
    <col min="2050" max="2050" width="24.7109375" style="297" bestFit="1" customWidth="1"/>
    <col min="2051" max="2051" width="22" style="297" bestFit="1" customWidth="1"/>
    <col min="2052" max="2053" width="13" style="297" bestFit="1" customWidth="1"/>
    <col min="2054" max="2055" width="15" style="297" bestFit="1" customWidth="1"/>
    <col min="2056" max="2056" width="11" style="297" bestFit="1" customWidth="1"/>
    <col min="2057" max="2058" width="13" style="297" bestFit="1" customWidth="1"/>
    <col min="2059" max="2304" width="9.140625" style="297"/>
    <col min="2305" max="2305" width="3" style="297" bestFit="1" customWidth="1"/>
    <col min="2306" max="2306" width="24.7109375" style="297" bestFit="1" customWidth="1"/>
    <col min="2307" max="2307" width="22" style="297" bestFit="1" customWidth="1"/>
    <col min="2308" max="2309" width="13" style="297" bestFit="1" customWidth="1"/>
    <col min="2310" max="2311" width="15" style="297" bestFit="1" customWidth="1"/>
    <col min="2312" max="2312" width="11" style="297" bestFit="1" customWidth="1"/>
    <col min="2313" max="2314" width="13" style="297" bestFit="1" customWidth="1"/>
    <col min="2315" max="2560" width="9.140625" style="297"/>
    <col min="2561" max="2561" width="3" style="297" bestFit="1" customWidth="1"/>
    <col min="2562" max="2562" width="24.7109375" style="297" bestFit="1" customWidth="1"/>
    <col min="2563" max="2563" width="22" style="297" bestFit="1" customWidth="1"/>
    <col min="2564" max="2565" width="13" style="297" bestFit="1" customWidth="1"/>
    <col min="2566" max="2567" width="15" style="297" bestFit="1" customWidth="1"/>
    <col min="2568" max="2568" width="11" style="297" bestFit="1" customWidth="1"/>
    <col min="2569" max="2570" width="13" style="297" bestFit="1" customWidth="1"/>
    <col min="2571" max="2816" width="9.140625" style="297"/>
    <col min="2817" max="2817" width="3" style="297" bestFit="1" customWidth="1"/>
    <col min="2818" max="2818" width="24.7109375" style="297" bestFit="1" customWidth="1"/>
    <col min="2819" max="2819" width="22" style="297" bestFit="1" customWidth="1"/>
    <col min="2820" max="2821" width="13" style="297" bestFit="1" customWidth="1"/>
    <col min="2822" max="2823" width="15" style="297" bestFit="1" customWidth="1"/>
    <col min="2824" max="2824" width="11" style="297" bestFit="1" customWidth="1"/>
    <col min="2825" max="2826" width="13" style="297" bestFit="1" customWidth="1"/>
    <col min="2827" max="3072" width="9.140625" style="297"/>
    <col min="3073" max="3073" width="3" style="297" bestFit="1" customWidth="1"/>
    <col min="3074" max="3074" width="24.7109375" style="297" bestFit="1" customWidth="1"/>
    <col min="3075" max="3075" width="22" style="297" bestFit="1" customWidth="1"/>
    <col min="3076" max="3077" width="13" style="297" bestFit="1" customWidth="1"/>
    <col min="3078" max="3079" width="15" style="297" bestFit="1" customWidth="1"/>
    <col min="3080" max="3080" width="11" style="297" bestFit="1" customWidth="1"/>
    <col min="3081" max="3082" width="13" style="297" bestFit="1" customWidth="1"/>
    <col min="3083" max="3328" width="9.140625" style="297"/>
    <col min="3329" max="3329" width="3" style="297" bestFit="1" customWidth="1"/>
    <col min="3330" max="3330" width="24.7109375" style="297" bestFit="1" customWidth="1"/>
    <col min="3331" max="3331" width="22" style="297" bestFit="1" customWidth="1"/>
    <col min="3332" max="3333" width="13" style="297" bestFit="1" customWidth="1"/>
    <col min="3334" max="3335" width="15" style="297" bestFit="1" customWidth="1"/>
    <col min="3336" max="3336" width="11" style="297" bestFit="1" customWidth="1"/>
    <col min="3337" max="3338" width="13" style="297" bestFit="1" customWidth="1"/>
    <col min="3339" max="3584" width="9.140625" style="297"/>
    <col min="3585" max="3585" width="3" style="297" bestFit="1" customWidth="1"/>
    <col min="3586" max="3586" width="24.7109375" style="297" bestFit="1" customWidth="1"/>
    <col min="3587" max="3587" width="22" style="297" bestFit="1" customWidth="1"/>
    <col min="3588" max="3589" width="13" style="297" bestFit="1" customWidth="1"/>
    <col min="3590" max="3591" width="15" style="297" bestFit="1" customWidth="1"/>
    <col min="3592" max="3592" width="11" style="297" bestFit="1" customWidth="1"/>
    <col min="3593" max="3594" width="13" style="297" bestFit="1" customWidth="1"/>
    <col min="3595" max="3840" width="9.140625" style="297"/>
    <col min="3841" max="3841" width="3" style="297" bestFit="1" customWidth="1"/>
    <col min="3842" max="3842" width="24.7109375" style="297" bestFit="1" customWidth="1"/>
    <col min="3843" max="3843" width="22" style="297" bestFit="1" customWidth="1"/>
    <col min="3844" max="3845" width="13" style="297" bestFit="1" customWidth="1"/>
    <col min="3846" max="3847" width="15" style="297" bestFit="1" customWidth="1"/>
    <col min="3848" max="3848" width="11" style="297" bestFit="1" customWidth="1"/>
    <col min="3849" max="3850" width="13" style="297" bestFit="1" customWidth="1"/>
    <col min="3851" max="4096" width="9.140625" style="297"/>
    <col min="4097" max="4097" width="3" style="297" bestFit="1" customWidth="1"/>
    <col min="4098" max="4098" width="24.7109375" style="297" bestFit="1" customWidth="1"/>
    <col min="4099" max="4099" width="22" style="297" bestFit="1" customWidth="1"/>
    <col min="4100" max="4101" width="13" style="297" bestFit="1" customWidth="1"/>
    <col min="4102" max="4103" width="15" style="297" bestFit="1" customWidth="1"/>
    <col min="4104" max="4104" width="11" style="297" bestFit="1" customWidth="1"/>
    <col min="4105" max="4106" width="13" style="297" bestFit="1" customWidth="1"/>
    <col min="4107" max="4352" width="9.140625" style="297"/>
    <col min="4353" max="4353" width="3" style="297" bestFit="1" customWidth="1"/>
    <col min="4354" max="4354" width="24.7109375" style="297" bestFit="1" customWidth="1"/>
    <col min="4355" max="4355" width="22" style="297" bestFit="1" customWidth="1"/>
    <col min="4356" max="4357" width="13" style="297" bestFit="1" customWidth="1"/>
    <col min="4358" max="4359" width="15" style="297" bestFit="1" customWidth="1"/>
    <col min="4360" max="4360" width="11" style="297" bestFit="1" customWidth="1"/>
    <col min="4361" max="4362" width="13" style="297" bestFit="1" customWidth="1"/>
    <col min="4363" max="4608" width="9.140625" style="297"/>
    <col min="4609" max="4609" width="3" style="297" bestFit="1" customWidth="1"/>
    <col min="4610" max="4610" width="24.7109375" style="297" bestFit="1" customWidth="1"/>
    <col min="4611" max="4611" width="22" style="297" bestFit="1" customWidth="1"/>
    <col min="4612" max="4613" width="13" style="297" bestFit="1" customWidth="1"/>
    <col min="4614" max="4615" width="15" style="297" bestFit="1" customWidth="1"/>
    <col min="4616" max="4616" width="11" style="297" bestFit="1" customWidth="1"/>
    <col min="4617" max="4618" width="13" style="297" bestFit="1" customWidth="1"/>
    <col min="4619" max="4864" width="9.140625" style="297"/>
    <col min="4865" max="4865" width="3" style="297" bestFit="1" customWidth="1"/>
    <col min="4866" max="4866" width="24.7109375" style="297" bestFit="1" customWidth="1"/>
    <col min="4867" max="4867" width="22" style="297" bestFit="1" customWidth="1"/>
    <col min="4868" max="4869" width="13" style="297" bestFit="1" customWidth="1"/>
    <col min="4870" max="4871" width="15" style="297" bestFit="1" customWidth="1"/>
    <col min="4872" max="4872" width="11" style="297" bestFit="1" customWidth="1"/>
    <col min="4873" max="4874" width="13" style="297" bestFit="1" customWidth="1"/>
    <col min="4875" max="5120" width="9.140625" style="297"/>
    <col min="5121" max="5121" width="3" style="297" bestFit="1" customWidth="1"/>
    <col min="5122" max="5122" width="24.7109375" style="297" bestFit="1" customWidth="1"/>
    <col min="5123" max="5123" width="22" style="297" bestFit="1" customWidth="1"/>
    <col min="5124" max="5125" width="13" style="297" bestFit="1" customWidth="1"/>
    <col min="5126" max="5127" width="15" style="297" bestFit="1" customWidth="1"/>
    <col min="5128" max="5128" width="11" style="297" bestFit="1" customWidth="1"/>
    <col min="5129" max="5130" width="13" style="297" bestFit="1" customWidth="1"/>
    <col min="5131" max="5376" width="9.140625" style="297"/>
    <col min="5377" max="5377" width="3" style="297" bestFit="1" customWidth="1"/>
    <col min="5378" max="5378" width="24.7109375" style="297" bestFit="1" customWidth="1"/>
    <col min="5379" max="5379" width="22" style="297" bestFit="1" customWidth="1"/>
    <col min="5380" max="5381" width="13" style="297" bestFit="1" customWidth="1"/>
    <col min="5382" max="5383" width="15" style="297" bestFit="1" customWidth="1"/>
    <col min="5384" max="5384" width="11" style="297" bestFit="1" customWidth="1"/>
    <col min="5385" max="5386" width="13" style="297" bestFit="1" customWidth="1"/>
    <col min="5387" max="5632" width="9.140625" style="297"/>
    <col min="5633" max="5633" width="3" style="297" bestFit="1" customWidth="1"/>
    <col min="5634" max="5634" width="24.7109375" style="297" bestFit="1" customWidth="1"/>
    <col min="5635" max="5635" width="22" style="297" bestFit="1" customWidth="1"/>
    <col min="5636" max="5637" width="13" style="297" bestFit="1" customWidth="1"/>
    <col min="5638" max="5639" width="15" style="297" bestFit="1" customWidth="1"/>
    <col min="5640" max="5640" width="11" style="297" bestFit="1" customWidth="1"/>
    <col min="5641" max="5642" width="13" style="297" bestFit="1" customWidth="1"/>
    <col min="5643" max="5888" width="9.140625" style="297"/>
    <col min="5889" max="5889" width="3" style="297" bestFit="1" customWidth="1"/>
    <col min="5890" max="5890" width="24.7109375" style="297" bestFit="1" customWidth="1"/>
    <col min="5891" max="5891" width="22" style="297" bestFit="1" customWidth="1"/>
    <col min="5892" max="5893" width="13" style="297" bestFit="1" customWidth="1"/>
    <col min="5894" max="5895" width="15" style="297" bestFit="1" customWidth="1"/>
    <col min="5896" max="5896" width="11" style="297" bestFit="1" customWidth="1"/>
    <col min="5897" max="5898" width="13" style="297" bestFit="1" customWidth="1"/>
    <col min="5899" max="6144" width="9.140625" style="297"/>
    <col min="6145" max="6145" width="3" style="297" bestFit="1" customWidth="1"/>
    <col min="6146" max="6146" width="24.7109375" style="297" bestFit="1" customWidth="1"/>
    <col min="6147" max="6147" width="22" style="297" bestFit="1" customWidth="1"/>
    <col min="6148" max="6149" width="13" style="297" bestFit="1" customWidth="1"/>
    <col min="6150" max="6151" width="15" style="297" bestFit="1" customWidth="1"/>
    <col min="6152" max="6152" width="11" style="297" bestFit="1" customWidth="1"/>
    <col min="6153" max="6154" width="13" style="297" bestFit="1" customWidth="1"/>
    <col min="6155" max="6400" width="9.140625" style="297"/>
    <col min="6401" max="6401" width="3" style="297" bestFit="1" customWidth="1"/>
    <col min="6402" max="6402" width="24.7109375" style="297" bestFit="1" customWidth="1"/>
    <col min="6403" max="6403" width="22" style="297" bestFit="1" customWidth="1"/>
    <col min="6404" max="6405" width="13" style="297" bestFit="1" customWidth="1"/>
    <col min="6406" max="6407" width="15" style="297" bestFit="1" customWidth="1"/>
    <col min="6408" max="6408" width="11" style="297" bestFit="1" customWidth="1"/>
    <col min="6409" max="6410" width="13" style="297" bestFit="1" customWidth="1"/>
    <col min="6411" max="6656" width="9.140625" style="297"/>
    <col min="6657" max="6657" width="3" style="297" bestFit="1" customWidth="1"/>
    <col min="6658" max="6658" width="24.7109375" style="297" bestFit="1" customWidth="1"/>
    <col min="6659" max="6659" width="22" style="297" bestFit="1" customWidth="1"/>
    <col min="6660" max="6661" width="13" style="297" bestFit="1" customWidth="1"/>
    <col min="6662" max="6663" width="15" style="297" bestFit="1" customWidth="1"/>
    <col min="6664" max="6664" width="11" style="297" bestFit="1" customWidth="1"/>
    <col min="6665" max="6666" width="13" style="297" bestFit="1" customWidth="1"/>
    <col min="6667" max="6912" width="9.140625" style="297"/>
    <col min="6913" max="6913" width="3" style="297" bestFit="1" customWidth="1"/>
    <col min="6914" max="6914" width="24.7109375" style="297" bestFit="1" customWidth="1"/>
    <col min="6915" max="6915" width="22" style="297" bestFit="1" customWidth="1"/>
    <col min="6916" max="6917" width="13" style="297" bestFit="1" customWidth="1"/>
    <col min="6918" max="6919" width="15" style="297" bestFit="1" customWidth="1"/>
    <col min="6920" max="6920" width="11" style="297" bestFit="1" customWidth="1"/>
    <col min="6921" max="6922" width="13" style="297" bestFit="1" customWidth="1"/>
    <col min="6923" max="7168" width="9.140625" style="297"/>
    <col min="7169" max="7169" width="3" style="297" bestFit="1" customWidth="1"/>
    <col min="7170" max="7170" width="24.7109375" style="297" bestFit="1" customWidth="1"/>
    <col min="7171" max="7171" width="22" style="297" bestFit="1" customWidth="1"/>
    <col min="7172" max="7173" width="13" style="297" bestFit="1" customWidth="1"/>
    <col min="7174" max="7175" width="15" style="297" bestFit="1" customWidth="1"/>
    <col min="7176" max="7176" width="11" style="297" bestFit="1" customWidth="1"/>
    <col min="7177" max="7178" width="13" style="297" bestFit="1" customWidth="1"/>
    <col min="7179" max="7424" width="9.140625" style="297"/>
    <col min="7425" max="7425" width="3" style="297" bestFit="1" customWidth="1"/>
    <col min="7426" max="7426" width="24.7109375" style="297" bestFit="1" customWidth="1"/>
    <col min="7427" max="7427" width="22" style="297" bestFit="1" customWidth="1"/>
    <col min="7428" max="7429" width="13" style="297" bestFit="1" customWidth="1"/>
    <col min="7430" max="7431" width="15" style="297" bestFit="1" customWidth="1"/>
    <col min="7432" max="7432" width="11" style="297" bestFit="1" customWidth="1"/>
    <col min="7433" max="7434" width="13" style="297" bestFit="1" customWidth="1"/>
    <col min="7435" max="7680" width="9.140625" style="297"/>
    <col min="7681" max="7681" width="3" style="297" bestFit="1" customWidth="1"/>
    <col min="7682" max="7682" width="24.7109375" style="297" bestFit="1" customWidth="1"/>
    <col min="7683" max="7683" width="22" style="297" bestFit="1" customWidth="1"/>
    <col min="7684" max="7685" width="13" style="297" bestFit="1" customWidth="1"/>
    <col min="7686" max="7687" width="15" style="297" bestFit="1" customWidth="1"/>
    <col min="7688" max="7688" width="11" style="297" bestFit="1" customWidth="1"/>
    <col min="7689" max="7690" width="13" style="297" bestFit="1" customWidth="1"/>
    <col min="7691" max="7936" width="9.140625" style="297"/>
    <col min="7937" max="7937" width="3" style="297" bestFit="1" customWidth="1"/>
    <col min="7938" max="7938" width="24.7109375" style="297" bestFit="1" customWidth="1"/>
    <col min="7939" max="7939" width="22" style="297" bestFit="1" customWidth="1"/>
    <col min="7940" max="7941" width="13" style="297" bestFit="1" customWidth="1"/>
    <col min="7942" max="7943" width="15" style="297" bestFit="1" customWidth="1"/>
    <col min="7944" max="7944" width="11" style="297" bestFit="1" customWidth="1"/>
    <col min="7945" max="7946" width="13" style="297" bestFit="1" customWidth="1"/>
    <col min="7947" max="8192" width="9.140625" style="297"/>
    <col min="8193" max="8193" width="3" style="297" bestFit="1" customWidth="1"/>
    <col min="8194" max="8194" width="24.7109375" style="297" bestFit="1" customWidth="1"/>
    <col min="8195" max="8195" width="22" style="297" bestFit="1" customWidth="1"/>
    <col min="8196" max="8197" width="13" style="297" bestFit="1" customWidth="1"/>
    <col min="8198" max="8199" width="15" style="297" bestFit="1" customWidth="1"/>
    <col min="8200" max="8200" width="11" style="297" bestFit="1" customWidth="1"/>
    <col min="8201" max="8202" width="13" style="297" bestFit="1" customWidth="1"/>
    <col min="8203" max="8448" width="9.140625" style="297"/>
    <col min="8449" max="8449" width="3" style="297" bestFit="1" customWidth="1"/>
    <col min="8450" max="8450" width="24.7109375" style="297" bestFit="1" customWidth="1"/>
    <col min="8451" max="8451" width="22" style="297" bestFit="1" customWidth="1"/>
    <col min="8452" max="8453" width="13" style="297" bestFit="1" customWidth="1"/>
    <col min="8454" max="8455" width="15" style="297" bestFit="1" customWidth="1"/>
    <col min="8456" max="8456" width="11" style="297" bestFit="1" customWidth="1"/>
    <col min="8457" max="8458" width="13" style="297" bestFit="1" customWidth="1"/>
    <col min="8459" max="8704" width="9.140625" style="297"/>
    <col min="8705" max="8705" width="3" style="297" bestFit="1" customWidth="1"/>
    <col min="8706" max="8706" width="24.7109375" style="297" bestFit="1" customWidth="1"/>
    <col min="8707" max="8707" width="22" style="297" bestFit="1" customWidth="1"/>
    <col min="8708" max="8709" width="13" style="297" bestFit="1" customWidth="1"/>
    <col min="8710" max="8711" width="15" style="297" bestFit="1" customWidth="1"/>
    <col min="8712" max="8712" width="11" style="297" bestFit="1" customWidth="1"/>
    <col min="8713" max="8714" width="13" style="297" bestFit="1" customWidth="1"/>
    <col min="8715" max="8960" width="9.140625" style="297"/>
    <col min="8961" max="8961" width="3" style="297" bestFit="1" customWidth="1"/>
    <col min="8962" max="8962" width="24.7109375" style="297" bestFit="1" customWidth="1"/>
    <col min="8963" max="8963" width="22" style="297" bestFit="1" customWidth="1"/>
    <col min="8964" max="8965" width="13" style="297" bestFit="1" customWidth="1"/>
    <col min="8966" max="8967" width="15" style="297" bestFit="1" customWidth="1"/>
    <col min="8968" max="8968" width="11" style="297" bestFit="1" customWidth="1"/>
    <col min="8969" max="8970" width="13" style="297" bestFit="1" customWidth="1"/>
    <col min="8971" max="9216" width="9.140625" style="297"/>
    <col min="9217" max="9217" width="3" style="297" bestFit="1" customWidth="1"/>
    <col min="9218" max="9218" width="24.7109375" style="297" bestFit="1" customWidth="1"/>
    <col min="9219" max="9219" width="22" style="297" bestFit="1" customWidth="1"/>
    <col min="9220" max="9221" width="13" style="297" bestFit="1" customWidth="1"/>
    <col min="9222" max="9223" width="15" style="297" bestFit="1" customWidth="1"/>
    <col min="9224" max="9224" width="11" style="297" bestFit="1" customWidth="1"/>
    <col min="9225" max="9226" width="13" style="297" bestFit="1" customWidth="1"/>
    <col min="9227" max="9472" width="9.140625" style="297"/>
    <col min="9473" max="9473" width="3" style="297" bestFit="1" customWidth="1"/>
    <col min="9474" max="9474" width="24.7109375" style="297" bestFit="1" customWidth="1"/>
    <col min="9475" max="9475" width="22" style="297" bestFit="1" customWidth="1"/>
    <col min="9476" max="9477" width="13" style="297" bestFit="1" customWidth="1"/>
    <col min="9478" max="9479" width="15" style="297" bestFit="1" customWidth="1"/>
    <col min="9480" max="9480" width="11" style="297" bestFit="1" customWidth="1"/>
    <col min="9481" max="9482" width="13" style="297" bestFit="1" customWidth="1"/>
    <col min="9483" max="9728" width="9.140625" style="297"/>
    <col min="9729" max="9729" width="3" style="297" bestFit="1" customWidth="1"/>
    <col min="9730" max="9730" width="24.7109375" style="297" bestFit="1" customWidth="1"/>
    <col min="9731" max="9731" width="22" style="297" bestFit="1" customWidth="1"/>
    <col min="9732" max="9733" width="13" style="297" bestFit="1" customWidth="1"/>
    <col min="9734" max="9735" width="15" style="297" bestFit="1" customWidth="1"/>
    <col min="9736" max="9736" width="11" style="297" bestFit="1" customWidth="1"/>
    <col min="9737" max="9738" width="13" style="297" bestFit="1" customWidth="1"/>
    <col min="9739" max="9984" width="9.140625" style="297"/>
    <col min="9985" max="9985" width="3" style="297" bestFit="1" customWidth="1"/>
    <col min="9986" max="9986" width="24.7109375" style="297" bestFit="1" customWidth="1"/>
    <col min="9987" max="9987" width="22" style="297" bestFit="1" customWidth="1"/>
    <col min="9988" max="9989" width="13" style="297" bestFit="1" customWidth="1"/>
    <col min="9990" max="9991" width="15" style="297" bestFit="1" customWidth="1"/>
    <col min="9992" max="9992" width="11" style="297" bestFit="1" customWidth="1"/>
    <col min="9993" max="9994" width="13" style="297" bestFit="1" customWidth="1"/>
    <col min="9995" max="10240" width="9.140625" style="297"/>
    <col min="10241" max="10241" width="3" style="297" bestFit="1" customWidth="1"/>
    <col min="10242" max="10242" width="24.7109375" style="297" bestFit="1" customWidth="1"/>
    <col min="10243" max="10243" width="22" style="297" bestFit="1" customWidth="1"/>
    <col min="10244" max="10245" width="13" style="297" bestFit="1" customWidth="1"/>
    <col min="10246" max="10247" width="15" style="297" bestFit="1" customWidth="1"/>
    <col min="10248" max="10248" width="11" style="297" bestFit="1" customWidth="1"/>
    <col min="10249" max="10250" width="13" style="297" bestFit="1" customWidth="1"/>
    <col min="10251" max="10496" width="9.140625" style="297"/>
    <col min="10497" max="10497" width="3" style="297" bestFit="1" customWidth="1"/>
    <col min="10498" max="10498" width="24.7109375" style="297" bestFit="1" customWidth="1"/>
    <col min="10499" max="10499" width="22" style="297" bestFit="1" customWidth="1"/>
    <col min="10500" max="10501" width="13" style="297" bestFit="1" customWidth="1"/>
    <col min="10502" max="10503" width="15" style="297" bestFit="1" customWidth="1"/>
    <col min="10504" max="10504" width="11" style="297" bestFit="1" customWidth="1"/>
    <col min="10505" max="10506" width="13" style="297" bestFit="1" customWidth="1"/>
    <col min="10507" max="10752" width="9.140625" style="297"/>
    <col min="10753" max="10753" width="3" style="297" bestFit="1" customWidth="1"/>
    <col min="10754" max="10754" width="24.7109375" style="297" bestFit="1" customWidth="1"/>
    <col min="10755" max="10755" width="22" style="297" bestFit="1" customWidth="1"/>
    <col min="10756" max="10757" width="13" style="297" bestFit="1" customWidth="1"/>
    <col min="10758" max="10759" width="15" style="297" bestFit="1" customWidth="1"/>
    <col min="10760" max="10760" width="11" style="297" bestFit="1" customWidth="1"/>
    <col min="10761" max="10762" width="13" style="297" bestFit="1" customWidth="1"/>
    <col min="10763" max="11008" width="9.140625" style="297"/>
    <col min="11009" max="11009" width="3" style="297" bestFit="1" customWidth="1"/>
    <col min="11010" max="11010" width="24.7109375" style="297" bestFit="1" customWidth="1"/>
    <col min="11011" max="11011" width="22" style="297" bestFit="1" customWidth="1"/>
    <col min="11012" max="11013" width="13" style="297" bestFit="1" customWidth="1"/>
    <col min="11014" max="11015" width="15" style="297" bestFit="1" customWidth="1"/>
    <col min="11016" max="11016" width="11" style="297" bestFit="1" customWidth="1"/>
    <col min="11017" max="11018" width="13" style="297" bestFit="1" customWidth="1"/>
    <col min="11019" max="11264" width="9.140625" style="297"/>
    <col min="11265" max="11265" width="3" style="297" bestFit="1" customWidth="1"/>
    <col min="11266" max="11266" width="24.7109375" style="297" bestFit="1" customWidth="1"/>
    <col min="11267" max="11267" width="22" style="297" bestFit="1" customWidth="1"/>
    <col min="11268" max="11269" width="13" style="297" bestFit="1" customWidth="1"/>
    <col min="11270" max="11271" width="15" style="297" bestFit="1" customWidth="1"/>
    <col min="11272" max="11272" width="11" style="297" bestFit="1" customWidth="1"/>
    <col min="11273" max="11274" width="13" style="297" bestFit="1" customWidth="1"/>
    <col min="11275" max="11520" width="9.140625" style="297"/>
    <col min="11521" max="11521" width="3" style="297" bestFit="1" customWidth="1"/>
    <col min="11522" max="11522" width="24.7109375" style="297" bestFit="1" customWidth="1"/>
    <col min="11523" max="11523" width="22" style="297" bestFit="1" customWidth="1"/>
    <col min="11524" max="11525" width="13" style="297" bestFit="1" customWidth="1"/>
    <col min="11526" max="11527" width="15" style="297" bestFit="1" customWidth="1"/>
    <col min="11528" max="11528" width="11" style="297" bestFit="1" customWidth="1"/>
    <col min="11529" max="11530" width="13" style="297" bestFit="1" customWidth="1"/>
    <col min="11531" max="11776" width="9.140625" style="297"/>
    <col min="11777" max="11777" width="3" style="297" bestFit="1" customWidth="1"/>
    <col min="11778" max="11778" width="24.7109375" style="297" bestFit="1" customWidth="1"/>
    <col min="11779" max="11779" width="22" style="297" bestFit="1" customWidth="1"/>
    <col min="11780" max="11781" width="13" style="297" bestFit="1" customWidth="1"/>
    <col min="11782" max="11783" width="15" style="297" bestFit="1" customWidth="1"/>
    <col min="11784" max="11784" width="11" style="297" bestFit="1" customWidth="1"/>
    <col min="11785" max="11786" width="13" style="297" bestFit="1" customWidth="1"/>
    <col min="11787" max="12032" width="9.140625" style="297"/>
    <col min="12033" max="12033" width="3" style="297" bestFit="1" customWidth="1"/>
    <col min="12034" max="12034" width="24.7109375" style="297" bestFit="1" customWidth="1"/>
    <col min="12035" max="12035" width="22" style="297" bestFit="1" customWidth="1"/>
    <col min="12036" max="12037" width="13" style="297" bestFit="1" customWidth="1"/>
    <col min="12038" max="12039" width="15" style="297" bestFit="1" customWidth="1"/>
    <col min="12040" max="12040" width="11" style="297" bestFit="1" customWidth="1"/>
    <col min="12041" max="12042" width="13" style="297" bestFit="1" customWidth="1"/>
    <col min="12043" max="12288" width="9.140625" style="297"/>
    <col min="12289" max="12289" width="3" style="297" bestFit="1" customWidth="1"/>
    <col min="12290" max="12290" width="24.7109375" style="297" bestFit="1" customWidth="1"/>
    <col min="12291" max="12291" width="22" style="297" bestFit="1" customWidth="1"/>
    <col min="12292" max="12293" width="13" style="297" bestFit="1" customWidth="1"/>
    <col min="12294" max="12295" width="15" style="297" bestFit="1" customWidth="1"/>
    <col min="12296" max="12296" width="11" style="297" bestFit="1" customWidth="1"/>
    <col min="12297" max="12298" width="13" style="297" bestFit="1" customWidth="1"/>
    <col min="12299" max="12544" width="9.140625" style="297"/>
    <col min="12545" max="12545" width="3" style="297" bestFit="1" customWidth="1"/>
    <col min="12546" max="12546" width="24.7109375" style="297" bestFit="1" customWidth="1"/>
    <col min="12547" max="12547" width="22" style="297" bestFit="1" customWidth="1"/>
    <col min="12548" max="12549" width="13" style="297" bestFit="1" customWidth="1"/>
    <col min="12550" max="12551" width="15" style="297" bestFit="1" customWidth="1"/>
    <col min="12552" max="12552" width="11" style="297" bestFit="1" customWidth="1"/>
    <col min="12553" max="12554" width="13" style="297" bestFit="1" customWidth="1"/>
    <col min="12555" max="12800" width="9.140625" style="297"/>
    <col min="12801" max="12801" width="3" style="297" bestFit="1" customWidth="1"/>
    <col min="12802" max="12802" width="24.7109375" style="297" bestFit="1" customWidth="1"/>
    <col min="12803" max="12803" width="22" style="297" bestFit="1" customWidth="1"/>
    <col min="12804" max="12805" width="13" style="297" bestFit="1" customWidth="1"/>
    <col min="12806" max="12807" width="15" style="297" bestFit="1" customWidth="1"/>
    <col min="12808" max="12808" width="11" style="297" bestFit="1" customWidth="1"/>
    <col min="12809" max="12810" width="13" style="297" bestFit="1" customWidth="1"/>
    <col min="12811" max="13056" width="9.140625" style="297"/>
    <col min="13057" max="13057" width="3" style="297" bestFit="1" customWidth="1"/>
    <col min="13058" max="13058" width="24.7109375" style="297" bestFit="1" customWidth="1"/>
    <col min="13059" max="13059" width="22" style="297" bestFit="1" customWidth="1"/>
    <col min="13060" max="13061" width="13" style="297" bestFit="1" customWidth="1"/>
    <col min="13062" max="13063" width="15" style="297" bestFit="1" customWidth="1"/>
    <col min="13064" max="13064" width="11" style="297" bestFit="1" customWidth="1"/>
    <col min="13065" max="13066" width="13" style="297" bestFit="1" customWidth="1"/>
    <col min="13067" max="13312" width="9.140625" style="297"/>
    <col min="13313" max="13313" width="3" style="297" bestFit="1" customWidth="1"/>
    <col min="13314" max="13314" width="24.7109375" style="297" bestFit="1" customWidth="1"/>
    <col min="13315" max="13315" width="22" style="297" bestFit="1" customWidth="1"/>
    <col min="13316" max="13317" width="13" style="297" bestFit="1" customWidth="1"/>
    <col min="13318" max="13319" width="15" style="297" bestFit="1" customWidth="1"/>
    <col min="13320" max="13320" width="11" style="297" bestFit="1" customWidth="1"/>
    <col min="13321" max="13322" width="13" style="297" bestFit="1" customWidth="1"/>
    <col min="13323" max="13568" width="9.140625" style="297"/>
    <col min="13569" max="13569" width="3" style="297" bestFit="1" customWidth="1"/>
    <col min="13570" max="13570" width="24.7109375" style="297" bestFit="1" customWidth="1"/>
    <col min="13571" max="13571" width="22" style="297" bestFit="1" customWidth="1"/>
    <col min="13572" max="13573" width="13" style="297" bestFit="1" customWidth="1"/>
    <col min="13574" max="13575" width="15" style="297" bestFit="1" customWidth="1"/>
    <col min="13576" max="13576" width="11" style="297" bestFit="1" customWidth="1"/>
    <col min="13577" max="13578" width="13" style="297" bestFit="1" customWidth="1"/>
    <col min="13579" max="13824" width="9.140625" style="297"/>
    <col min="13825" max="13825" width="3" style="297" bestFit="1" customWidth="1"/>
    <col min="13826" max="13826" width="24.7109375" style="297" bestFit="1" customWidth="1"/>
    <col min="13827" max="13827" width="22" style="297" bestFit="1" customWidth="1"/>
    <col min="13828" max="13829" width="13" style="297" bestFit="1" customWidth="1"/>
    <col min="13830" max="13831" width="15" style="297" bestFit="1" customWidth="1"/>
    <col min="13832" max="13832" width="11" style="297" bestFit="1" customWidth="1"/>
    <col min="13833" max="13834" width="13" style="297" bestFit="1" customWidth="1"/>
    <col min="13835" max="14080" width="9.140625" style="297"/>
    <col min="14081" max="14081" width="3" style="297" bestFit="1" customWidth="1"/>
    <col min="14082" max="14082" width="24.7109375" style="297" bestFit="1" customWidth="1"/>
    <col min="14083" max="14083" width="22" style="297" bestFit="1" customWidth="1"/>
    <col min="14084" max="14085" width="13" style="297" bestFit="1" customWidth="1"/>
    <col min="14086" max="14087" width="15" style="297" bestFit="1" customWidth="1"/>
    <col min="14088" max="14088" width="11" style="297" bestFit="1" customWidth="1"/>
    <col min="14089" max="14090" width="13" style="297" bestFit="1" customWidth="1"/>
    <col min="14091" max="14336" width="9.140625" style="297"/>
    <col min="14337" max="14337" width="3" style="297" bestFit="1" customWidth="1"/>
    <col min="14338" max="14338" width="24.7109375" style="297" bestFit="1" customWidth="1"/>
    <col min="14339" max="14339" width="22" style="297" bestFit="1" customWidth="1"/>
    <col min="14340" max="14341" width="13" style="297" bestFit="1" customWidth="1"/>
    <col min="14342" max="14343" width="15" style="297" bestFit="1" customWidth="1"/>
    <col min="14344" max="14344" width="11" style="297" bestFit="1" customWidth="1"/>
    <col min="14345" max="14346" width="13" style="297" bestFit="1" customWidth="1"/>
    <col min="14347" max="14592" width="9.140625" style="297"/>
    <col min="14593" max="14593" width="3" style="297" bestFit="1" customWidth="1"/>
    <col min="14594" max="14594" width="24.7109375" style="297" bestFit="1" customWidth="1"/>
    <col min="14595" max="14595" width="22" style="297" bestFit="1" customWidth="1"/>
    <col min="14596" max="14597" width="13" style="297" bestFit="1" customWidth="1"/>
    <col min="14598" max="14599" width="15" style="297" bestFit="1" customWidth="1"/>
    <col min="14600" max="14600" width="11" style="297" bestFit="1" customWidth="1"/>
    <col min="14601" max="14602" width="13" style="297" bestFit="1" customWidth="1"/>
    <col min="14603" max="14848" width="9.140625" style="297"/>
    <col min="14849" max="14849" width="3" style="297" bestFit="1" customWidth="1"/>
    <col min="14850" max="14850" width="24.7109375" style="297" bestFit="1" customWidth="1"/>
    <col min="14851" max="14851" width="22" style="297" bestFit="1" customWidth="1"/>
    <col min="14852" max="14853" width="13" style="297" bestFit="1" customWidth="1"/>
    <col min="14854" max="14855" width="15" style="297" bestFit="1" customWidth="1"/>
    <col min="14856" max="14856" width="11" style="297" bestFit="1" customWidth="1"/>
    <col min="14857" max="14858" width="13" style="297" bestFit="1" customWidth="1"/>
    <col min="14859" max="15104" width="9.140625" style="297"/>
    <col min="15105" max="15105" width="3" style="297" bestFit="1" customWidth="1"/>
    <col min="15106" max="15106" width="24.7109375" style="297" bestFit="1" customWidth="1"/>
    <col min="15107" max="15107" width="22" style="297" bestFit="1" customWidth="1"/>
    <col min="15108" max="15109" width="13" style="297" bestFit="1" customWidth="1"/>
    <col min="15110" max="15111" width="15" style="297" bestFit="1" customWidth="1"/>
    <col min="15112" max="15112" width="11" style="297" bestFit="1" customWidth="1"/>
    <col min="15113" max="15114" width="13" style="297" bestFit="1" customWidth="1"/>
    <col min="15115" max="15360" width="9.140625" style="297"/>
    <col min="15361" max="15361" width="3" style="297" bestFit="1" customWidth="1"/>
    <col min="15362" max="15362" width="24.7109375" style="297" bestFit="1" customWidth="1"/>
    <col min="15363" max="15363" width="22" style="297" bestFit="1" customWidth="1"/>
    <col min="15364" max="15365" width="13" style="297" bestFit="1" customWidth="1"/>
    <col min="15366" max="15367" width="15" style="297" bestFit="1" customWidth="1"/>
    <col min="15368" max="15368" width="11" style="297" bestFit="1" customWidth="1"/>
    <col min="15369" max="15370" width="13" style="297" bestFit="1" customWidth="1"/>
    <col min="15371" max="15616" width="9.140625" style="297"/>
    <col min="15617" max="15617" width="3" style="297" bestFit="1" customWidth="1"/>
    <col min="15618" max="15618" width="24.7109375" style="297" bestFit="1" customWidth="1"/>
    <col min="15619" max="15619" width="22" style="297" bestFit="1" customWidth="1"/>
    <col min="15620" max="15621" width="13" style="297" bestFit="1" customWidth="1"/>
    <col min="15622" max="15623" width="15" style="297" bestFit="1" customWidth="1"/>
    <col min="15624" max="15624" width="11" style="297" bestFit="1" customWidth="1"/>
    <col min="15625" max="15626" width="13" style="297" bestFit="1" customWidth="1"/>
    <col min="15627" max="15872" width="9.140625" style="297"/>
    <col min="15873" max="15873" width="3" style="297" bestFit="1" customWidth="1"/>
    <col min="15874" max="15874" width="24.7109375" style="297" bestFit="1" customWidth="1"/>
    <col min="15875" max="15875" width="22" style="297" bestFit="1" customWidth="1"/>
    <col min="15876" max="15877" width="13" style="297" bestFit="1" customWidth="1"/>
    <col min="15878" max="15879" width="15" style="297" bestFit="1" customWidth="1"/>
    <col min="15880" max="15880" width="11" style="297" bestFit="1" customWidth="1"/>
    <col min="15881" max="15882" width="13" style="297" bestFit="1" customWidth="1"/>
    <col min="15883" max="16128" width="9.140625" style="297"/>
    <col min="16129" max="16129" width="3" style="297" bestFit="1" customWidth="1"/>
    <col min="16130" max="16130" width="24.7109375" style="297" bestFit="1" customWidth="1"/>
    <col min="16131" max="16131" width="22" style="297" bestFit="1" customWidth="1"/>
    <col min="16132" max="16133" width="13" style="297" bestFit="1" customWidth="1"/>
    <col min="16134" max="16135" width="15" style="297" bestFit="1" customWidth="1"/>
    <col min="16136" max="16136" width="11" style="297" bestFit="1" customWidth="1"/>
    <col min="16137" max="16138" width="13" style="297" bestFit="1" customWidth="1"/>
    <col min="16139" max="16384" width="9.140625" style="297"/>
  </cols>
  <sheetData>
    <row r="1" spans="1:10" ht="24" x14ac:dyDescent="0.2">
      <c r="A1" s="296" t="s">
        <v>21</v>
      </c>
      <c r="B1" s="296" t="s">
        <v>425</v>
      </c>
      <c r="C1" s="296" t="s">
        <v>426</v>
      </c>
      <c r="D1" s="296" t="s">
        <v>236</v>
      </c>
      <c r="E1" s="296" t="s">
        <v>427</v>
      </c>
      <c r="F1" s="296" t="s">
        <v>428</v>
      </c>
      <c r="G1" s="296" t="s">
        <v>429</v>
      </c>
      <c r="H1" s="296" t="s">
        <v>430</v>
      </c>
      <c r="I1" s="296" t="s">
        <v>431</v>
      </c>
      <c r="J1" s="296" t="s">
        <v>432</v>
      </c>
    </row>
    <row r="2" spans="1:10" x14ac:dyDescent="0.2">
      <c r="A2" s="298" t="s">
        <v>21</v>
      </c>
      <c r="B2" s="298" t="str">
        <f>CONCATENATE('Master Tab'!$C$7,'Master Tab'!$X$103,'Master Tab'!Y103)</f>
        <v>OPP-000XXX.CP1.NGCONFC</v>
      </c>
      <c r="C2" s="298" t="s">
        <v>21</v>
      </c>
      <c r="D2" s="299">
        <f>'Master Tab'!$C$30</f>
        <v>44562</v>
      </c>
      <c r="E2" s="299">
        <f>'Master Tab'!$C$32</f>
        <v>45808</v>
      </c>
      <c r="F2" s="298" t="s">
        <v>445</v>
      </c>
      <c r="G2" s="304">
        <f>'Cost Report'!D18</f>
        <v>0</v>
      </c>
      <c r="H2" s="298" t="s">
        <v>21</v>
      </c>
      <c r="I2" s="298" t="s">
        <v>21</v>
      </c>
      <c r="J2" s="298" t="s">
        <v>21</v>
      </c>
    </row>
    <row r="3" spans="1:10" x14ac:dyDescent="0.2">
      <c r="A3" s="298" t="s">
        <v>21</v>
      </c>
      <c r="B3" s="298" t="str">
        <f>CONCATENATE('Master Tab'!$C$7,'Master Tab'!$X$103,'Master Tab'!Y104)</f>
        <v>OPP-000XXX.CP1.NGCONPC</v>
      </c>
      <c r="C3" s="298" t="s">
        <v>21</v>
      </c>
      <c r="D3" s="299">
        <f>'Master Tab'!$C$30</f>
        <v>44562</v>
      </c>
      <c r="E3" s="299">
        <f>'Master Tab'!$C$32</f>
        <v>45808</v>
      </c>
      <c r="F3" s="298" t="s">
        <v>445</v>
      </c>
      <c r="G3" s="304">
        <f>'Cost Report'!D17</f>
        <v>13378200</v>
      </c>
      <c r="H3" s="298" t="s">
        <v>21</v>
      </c>
      <c r="I3" s="298" t="s">
        <v>21</v>
      </c>
      <c r="J3" s="298" t="s">
        <v>21</v>
      </c>
    </row>
    <row r="4" spans="1:10" x14ac:dyDescent="0.2">
      <c r="A4" s="298" t="s">
        <v>21</v>
      </c>
      <c r="B4" s="298" t="str">
        <f>CONCATENATE('Master Tab'!$C$7,'Master Tab'!$X$103,'Master Tab'!Y105)</f>
        <v>OPP-000XXX.CP1.NGCONT</v>
      </c>
      <c r="C4" s="298" t="s">
        <v>21</v>
      </c>
      <c r="D4" s="299">
        <f>'Master Tab'!$C$30</f>
        <v>44562</v>
      </c>
      <c r="E4" s="299">
        <f>'Master Tab'!$C$32</f>
        <v>45808</v>
      </c>
      <c r="F4" s="298" t="s">
        <v>445</v>
      </c>
      <c r="G4" s="304">
        <f>SUM('Cost Report'!D23:D24)</f>
        <v>5155900</v>
      </c>
      <c r="H4" s="298" t="s">
        <v>21</v>
      </c>
      <c r="I4" s="298" t="s">
        <v>21</v>
      </c>
      <c r="J4" s="298" t="s">
        <v>21</v>
      </c>
    </row>
    <row r="5" spans="1:10" x14ac:dyDescent="0.2">
      <c r="A5" s="298" t="s">
        <v>21</v>
      </c>
      <c r="B5" s="298" t="str">
        <f>CONCATENATE('Master Tab'!$C$7,'Master Tab'!$X$103,'Master Tab'!Y106)</f>
        <v>OPP-000XXX.CP1.NGENGNC</v>
      </c>
      <c r="C5" s="298" t="s">
        <v>21</v>
      </c>
      <c r="D5" s="299">
        <f>'Master Tab'!$C$30</f>
        <v>44562</v>
      </c>
      <c r="E5" s="299">
        <f>'Master Tab'!$C$32</f>
        <v>45808</v>
      </c>
      <c r="F5" s="298" t="s">
        <v>445</v>
      </c>
      <c r="G5" s="304">
        <f>'Cost Report'!D11</f>
        <v>1361000</v>
      </c>
      <c r="H5" s="298" t="s">
        <v>21</v>
      </c>
      <c r="I5" s="298" t="s">
        <v>21</v>
      </c>
      <c r="J5" s="298" t="s">
        <v>21</v>
      </c>
    </row>
    <row r="6" spans="1:10" x14ac:dyDescent="0.2">
      <c r="A6" s="298" t="s">
        <v>21</v>
      </c>
      <c r="B6" s="298" t="str">
        <f>CONCATENATE('Master Tab'!$C$7,'Master Tab'!$X$103,'Master Tab'!Y107)</f>
        <v>OPP-000XXX.CP1.NGFITSC</v>
      </c>
      <c r="C6" s="298" t="s">
        <v>21</v>
      </c>
      <c r="D6" s="299">
        <f>'Master Tab'!$C$30</f>
        <v>44562</v>
      </c>
      <c r="E6" s="299">
        <f>'Master Tab'!$C$32</f>
        <v>45808</v>
      </c>
      <c r="F6" s="298" t="s">
        <v>445</v>
      </c>
      <c r="G6" s="304">
        <f>'Cost Report'!D19</f>
        <v>1499800</v>
      </c>
      <c r="H6" s="298" t="s">
        <v>21</v>
      </c>
      <c r="I6" s="298" t="s">
        <v>21</v>
      </c>
      <c r="J6" s="298" t="s">
        <v>21</v>
      </c>
    </row>
    <row r="7" spans="1:10" x14ac:dyDescent="0.2">
      <c r="A7" s="298" t="s">
        <v>21</v>
      </c>
      <c r="B7" s="298" t="str">
        <f>CONCATENATE('Master Tab'!$C$7,'Master Tab'!$X$103,'Master Tab'!Y108)</f>
        <v>OPP-000XXX.CP1.NGLANDC</v>
      </c>
      <c r="C7" s="298" t="s">
        <v>21</v>
      </c>
      <c r="D7" s="299">
        <f>'Master Tab'!$C$30</f>
        <v>44562</v>
      </c>
      <c r="E7" s="299">
        <f>'Master Tab'!$C$32</f>
        <v>45808</v>
      </c>
      <c r="F7" s="298" t="s">
        <v>445</v>
      </c>
      <c r="G7" s="304">
        <f>SUM('Cost Report'!D12:D15)</f>
        <v>2620000</v>
      </c>
      <c r="H7" s="298" t="s">
        <v>21</v>
      </c>
      <c r="I7" s="298" t="s">
        <v>21</v>
      </c>
      <c r="J7" s="298" t="s">
        <v>21</v>
      </c>
    </row>
    <row r="8" spans="1:10" x14ac:dyDescent="0.2">
      <c r="A8" s="298" t="s">
        <v>21</v>
      </c>
      <c r="B8" s="298" t="str">
        <f>CONCATENATE('Master Tab'!$C$7,'Master Tab'!$X$103,'Master Tab'!Y109)</f>
        <v>OPP-000XXX.CP1.NGMAFD</v>
      </c>
      <c r="C8" s="298" t="s">
        <v>21</v>
      </c>
      <c r="D8" s="299">
        <f>'Master Tab'!$C$30</f>
        <v>44562</v>
      </c>
      <c r="E8" s="299">
        <f>'Master Tab'!$C$32</f>
        <v>45808</v>
      </c>
      <c r="F8" s="298" t="s">
        <v>445</v>
      </c>
      <c r="G8" s="304">
        <f>'Cost Report'!D28</f>
        <v>782800</v>
      </c>
      <c r="H8" s="298" t="s">
        <v>21</v>
      </c>
      <c r="I8" s="298" t="s">
        <v>21</v>
      </c>
      <c r="J8" s="298" t="s">
        <v>21</v>
      </c>
    </row>
    <row r="9" spans="1:10" x14ac:dyDescent="0.2">
      <c r="A9" s="298" t="s">
        <v>21</v>
      </c>
      <c r="B9" s="298" t="str">
        <f>CONCATENATE('Master Tab'!$C$7,'Master Tab'!$X$103,'Master Tab'!Y110)</f>
        <v>OPP-000XXX.CP1.NGMATEC</v>
      </c>
      <c r="C9" s="298" t="s">
        <v>21</v>
      </c>
      <c r="D9" s="299">
        <f>'Master Tab'!$C$30</f>
        <v>44562</v>
      </c>
      <c r="E9" s="299">
        <f>'Master Tab'!$C$32</f>
        <v>45808</v>
      </c>
      <c r="F9" s="298" t="s">
        <v>445</v>
      </c>
      <c r="G9" s="304">
        <f>'Cost Report'!D16</f>
        <v>2688700</v>
      </c>
      <c r="H9" s="298" t="s">
        <v>21</v>
      </c>
      <c r="I9" s="298" t="s">
        <v>21</v>
      </c>
      <c r="J9" s="298" t="s">
        <v>21</v>
      </c>
    </row>
    <row r="10" spans="1:10" x14ac:dyDescent="0.2">
      <c r="A10" s="298" t="s">
        <v>21</v>
      </c>
      <c r="B10" s="298" t="str">
        <f>CONCATENATE('Master Tab'!$C$7,'Master Tab'!$X$103,'Master Tab'!Y111)</f>
        <v>OPP-000XXX.CP1.NGMOTH</v>
      </c>
      <c r="C10" s="298" t="s">
        <v>21</v>
      </c>
      <c r="D10" s="299">
        <f>'Master Tab'!$C$30</f>
        <v>44562</v>
      </c>
      <c r="E10" s="299">
        <f>'Master Tab'!$C$32</f>
        <v>45808</v>
      </c>
      <c r="F10" s="298" t="s">
        <v>445</v>
      </c>
      <c r="G10" s="304">
        <f>'Cost Report'!D21</f>
        <v>60000</v>
      </c>
      <c r="H10" s="298" t="s">
        <v>21</v>
      </c>
      <c r="I10" s="298" t="s">
        <v>21</v>
      </c>
      <c r="J10" s="298" t="s">
        <v>21</v>
      </c>
    </row>
    <row r="11" spans="1:10" x14ac:dyDescent="0.2">
      <c r="A11" s="298" t="s">
        <v>21</v>
      </c>
      <c r="B11" s="298" t="str">
        <f>CONCATENATE('Master Tab'!$C$7,'Master Tab'!$X$103,'Master Tab'!Y112)</f>
        <v>OPP-000XXX.CP1.NGMOVH</v>
      </c>
      <c r="C11" s="298" t="s">
        <v>21</v>
      </c>
      <c r="D11" s="299">
        <f>'Master Tab'!$C$30</f>
        <v>44562</v>
      </c>
      <c r="E11" s="299">
        <f>'Master Tab'!$C$32</f>
        <v>45808</v>
      </c>
      <c r="F11" s="298" t="s">
        <v>445</v>
      </c>
      <c r="G11" s="304">
        <f>'Cost Report'!D29</f>
        <v>2603200</v>
      </c>
      <c r="H11" s="298" t="s">
        <v>21</v>
      </c>
      <c r="I11" s="298" t="s">
        <v>21</v>
      </c>
      <c r="J11" s="298" t="s">
        <v>21</v>
      </c>
    </row>
    <row r="12" spans="1:10" x14ac:dyDescent="0.2">
      <c r="A12" s="298" t="s">
        <v>21</v>
      </c>
      <c r="B12" s="298" t="str">
        <f>CONCATENATE('Master Tab'!$C$7,'Master Tab'!$X$103,'Master Tab'!Y113)</f>
        <v>OPP-000XXX.CP1.NGMPGL</v>
      </c>
      <c r="C12" s="298" t="s">
        <v>21</v>
      </c>
      <c r="D12" s="299">
        <f>'Master Tab'!$C$30</f>
        <v>44562</v>
      </c>
      <c r="E12" s="299">
        <f>'Master Tab'!$C$32</f>
        <v>45808</v>
      </c>
      <c r="F12" s="298" t="s">
        <v>445</v>
      </c>
      <c r="G12" s="304">
        <f>'Cost Report'!D20</f>
        <v>238000</v>
      </c>
      <c r="H12" s="298" t="s">
        <v>21</v>
      </c>
      <c r="I12" s="298" t="s">
        <v>21</v>
      </c>
      <c r="J12" s="298" t="s">
        <v>21</v>
      </c>
    </row>
  </sheetData>
  <protectedRanges>
    <protectedRange algorithmName="SHA-512" hashValue="1VnxZ0smlO5qoAfW1PyWh6IfC8/6xG6wgNPjzvDUhZyNx5QocuGfg5MgM7P2ygjR2Ox1kFltubhq8VH4p9HhEg==" saltValue="fUGPQbr+LC/7HNnq3FXnvg==" spinCount="100000" sqref="A1:J12" name="Range1" securityDescriptor="O:WDG:WDD:(A;;CC;;;S-1-5-21-577582919-1435025626-1914702595-4020469)(A;;CC;;;S-1-5-21-577582919-1435025626-1914702595-3940917)(A;;CC;;;S-1-5-21-577582919-1435025626-1914702595-3758999)(A;;CC;;;S-1-5-21-577582919-1435025626-1914702595-3758875)(A;;CC;;;S-1-5-21-577582919-1435025626-1914702595-4023729)(A;;CC;;;S-1-5-21-577582919-1435025626-1914702595-3758127)"/>
  </protectedRanges>
  <pageMargins left="0.7" right="0.7" top="0.75" bottom="0.75" header="0.3" footer="0.3"/>
  <pageSetup scale="63" orientation="portrait" r:id="rId1"/>
  <headerFooter>
    <oddHeader>&amp;R&amp;"Times New Roman,Bold"&amp;10KyPSC Case No. 2025-00229
STAFF-DR-01-005(b) Attachment 10
Page &amp;P of &amp;N</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B1D54-3812-4554-B678-60749CA53F1B}">
  <sheetPr>
    <tabColor rgb="FFFFFF00"/>
    <pageSetUpPr fitToPage="1"/>
  </sheetPr>
  <dimension ref="B1:R134"/>
  <sheetViews>
    <sheetView view="pageLayout" topLeftCell="A82" zoomScaleNormal="75" workbookViewId="0">
      <selection activeCell="J18" sqref="J18"/>
    </sheetView>
  </sheetViews>
  <sheetFormatPr defaultRowHeight="15" x14ac:dyDescent="0.25"/>
  <cols>
    <col min="1" max="1" width="9.140625" customWidth="1"/>
    <col min="2" max="2" width="2.140625" customWidth="1"/>
    <col min="3" max="3" width="14.5703125" style="1" customWidth="1"/>
    <col min="4" max="4" width="41.85546875" style="292" customWidth="1"/>
    <col min="5" max="5" width="11.5703125" style="167" customWidth="1"/>
    <col min="6" max="6" width="17" style="1" customWidth="1"/>
    <col min="7" max="7" width="13" style="112" customWidth="1"/>
    <col min="8" max="8" width="0.85546875" style="112" customWidth="1"/>
    <col min="9" max="9" width="16.28515625" style="112" customWidth="1"/>
    <col min="10" max="10" width="21.140625" style="112" customWidth="1"/>
    <col min="11" max="11" width="3.7109375" customWidth="1"/>
  </cols>
  <sheetData>
    <row r="1" spans="2:18" ht="23.25" x14ac:dyDescent="0.35">
      <c r="B1" s="147"/>
      <c r="C1" s="148"/>
      <c r="D1" s="407" t="str">
        <f>'Master Tab'!$C$8</f>
        <v>Line AM07 PH5</v>
      </c>
      <c r="E1" s="407"/>
      <c r="F1" s="407"/>
      <c r="G1" s="407"/>
      <c r="H1" s="407"/>
      <c r="I1" s="148"/>
      <c r="J1" s="149"/>
    </row>
    <row r="2" spans="2:18" ht="19.5" thickBot="1" x14ac:dyDescent="0.35">
      <c r="B2" s="419">
        <f>'Master Tab'!$C$9</f>
        <v>44221</v>
      </c>
      <c r="C2" s="381"/>
      <c r="D2" s="406" t="str">
        <f>'Master Tab'!$C$26</f>
        <v>24''</v>
      </c>
      <c r="E2" s="406"/>
      <c r="F2" s="406"/>
      <c r="G2" s="406"/>
      <c r="H2" s="406"/>
      <c r="I2" s="150" t="s">
        <v>150</v>
      </c>
      <c r="J2" s="151" t="str">
        <f>'Master Tab'!$C$6</f>
        <v>C</v>
      </c>
    </row>
    <row r="3" spans="2:18" ht="15.75" thickBot="1" x14ac:dyDescent="0.3">
      <c r="B3" s="152"/>
      <c r="C3" s="153" t="s">
        <v>151</v>
      </c>
      <c r="D3" s="154" t="s">
        <v>152</v>
      </c>
      <c r="E3" s="159" t="s">
        <v>153</v>
      </c>
      <c r="F3" s="155" t="s">
        <v>154</v>
      </c>
      <c r="G3" s="156" t="s">
        <v>155</v>
      </c>
      <c r="H3" s="156"/>
      <c r="I3" s="156" t="s">
        <v>229</v>
      </c>
      <c r="J3" s="156" t="s">
        <v>156</v>
      </c>
      <c r="L3" s="400" t="s">
        <v>157</v>
      </c>
      <c r="M3" s="400"/>
      <c r="N3" s="400"/>
      <c r="O3" s="400"/>
      <c r="P3" s="400"/>
      <c r="Q3" s="400"/>
      <c r="R3" s="400"/>
    </row>
    <row r="4" spans="2:18" ht="15.75" x14ac:dyDescent="0.25">
      <c r="B4" s="119"/>
      <c r="C4" s="108" t="s">
        <v>158</v>
      </c>
      <c r="D4" s="289"/>
      <c r="E4" s="160"/>
      <c r="F4" s="109"/>
      <c r="G4" s="110"/>
      <c r="H4" s="110"/>
      <c r="I4" s="110"/>
      <c r="J4" s="120"/>
      <c r="L4" s="405" t="s">
        <v>215</v>
      </c>
      <c r="M4" s="405"/>
      <c r="N4" s="405"/>
      <c r="O4" s="405"/>
      <c r="P4" s="405"/>
      <c r="Q4" s="405"/>
      <c r="R4" s="405"/>
    </row>
    <row r="5" spans="2:18" x14ac:dyDescent="0.25">
      <c r="B5" s="401" t="s">
        <v>21</v>
      </c>
      <c r="C5" s="402"/>
      <c r="D5" s="2" t="s">
        <v>116</v>
      </c>
      <c r="E5" s="157">
        <f>'Master Tab'!$C$15</f>
        <v>40</v>
      </c>
      <c r="F5" s="118" t="s">
        <v>399</v>
      </c>
      <c r="G5" s="111">
        <v>4350</v>
      </c>
      <c r="H5" s="131" t="s">
        <v>21</v>
      </c>
      <c r="I5" s="111">
        <f>CEILING(G5*E5,100)</f>
        <v>174000</v>
      </c>
      <c r="J5" s="132"/>
      <c r="L5" t="s">
        <v>437</v>
      </c>
    </row>
    <row r="6" spans="2:18" x14ac:dyDescent="0.25">
      <c r="B6" s="401" t="s">
        <v>21</v>
      </c>
      <c r="C6" s="402"/>
      <c r="D6" s="2" t="s">
        <v>160</v>
      </c>
      <c r="E6" s="157">
        <f>'Master Tab'!$C$15</f>
        <v>40</v>
      </c>
      <c r="F6" s="118" t="s">
        <v>399</v>
      </c>
      <c r="G6" s="111">
        <v>1100</v>
      </c>
      <c r="H6" s="131" t="s">
        <v>21</v>
      </c>
      <c r="I6" s="111">
        <f>CEILING(G6*E6,100)</f>
        <v>44000</v>
      </c>
      <c r="J6" s="132"/>
      <c r="L6" t="s">
        <v>438</v>
      </c>
    </row>
    <row r="7" spans="2:18" ht="15.75" x14ac:dyDescent="0.25">
      <c r="B7" s="119"/>
      <c r="C7" s="108" t="s">
        <v>162</v>
      </c>
      <c r="D7" s="107"/>
      <c r="E7" s="160"/>
      <c r="F7" s="109"/>
      <c r="G7" s="110"/>
      <c r="H7" s="110"/>
      <c r="I7" s="110"/>
      <c r="J7" s="120">
        <f>CEILING(SUM(I5:I6),100)</f>
        <v>218000</v>
      </c>
    </row>
    <row r="8" spans="2:18" ht="8.25" customHeight="1" x14ac:dyDescent="0.25">
      <c r="B8" s="133"/>
      <c r="C8" s="134"/>
      <c r="D8" s="135"/>
      <c r="E8" s="161"/>
      <c r="F8" s="134"/>
      <c r="G8" s="136"/>
      <c r="H8" s="136"/>
      <c r="I8" s="136"/>
      <c r="J8" s="137"/>
    </row>
    <row r="9" spans="2:18" ht="15.75" x14ac:dyDescent="0.25">
      <c r="B9" s="119"/>
      <c r="C9" s="108" t="s">
        <v>163</v>
      </c>
      <c r="D9" s="107"/>
      <c r="E9" s="160"/>
      <c r="F9" s="109"/>
      <c r="G9" s="110"/>
      <c r="H9" s="110"/>
      <c r="I9" s="110"/>
      <c r="J9" s="120"/>
    </row>
    <row r="10" spans="2:18" x14ac:dyDescent="0.25">
      <c r="B10" s="401" t="s">
        <v>21</v>
      </c>
      <c r="C10" s="402"/>
      <c r="D10" s="2" t="s">
        <v>164</v>
      </c>
      <c r="E10" s="157">
        <f>(($J$27+$J$104+$J$127)*0.07)/G10</f>
        <v>10064.264000000001</v>
      </c>
      <c r="F10" s="118" t="s">
        <v>159</v>
      </c>
      <c r="G10" s="111">
        <v>125</v>
      </c>
      <c r="H10" s="131"/>
      <c r="I10" s="111">
        <f>G10*E10</f>
        <v>1258033.0000000002</v>
      </c>
      <c r="J10" s="132"/>
    </row>
    <row r="11" spans="2:18" x14ac:dyDescent="0.25">
      <c r="B11" s="401" t="s">
        <v>21</v>
      </c>
      <c r="C11" s="402"/>
      <c r="D11" s="2" t="s">
        <v>165</v>
      </c>
      <c r="E11" s="157">
        <f>(($J$27+$J$104+$J$127)*0)/G11</f>
        <v>0</v>
      </c>
      <c r="F11" s="118" t="s">
        <v>159</v>
      </c>
      <c r="G11" s="111">
        <v>125</v>
      </c>
      <c r="H11" s="131"/>
      <c r="I11" s="111">
        <f t="shared" ref="I11:I12" si="0">G11*E11</f>
        <v>0</v>
      </c>
      <c r="J11" s="132"/>
    </row>
    <row r="12" spans="2:18" x14ac:dyDescent="0.25">
      <c r="B12" s="401" t="s">
        <v>21</v>
      </c>
      <c r="C12" s="402"/>
      <c r="D12" s="2" t="s">
        <v>166</v>
      </c>
      <c r="E12" s="164">
        <v>1</v>
      </c>
      <c r="F12" s="195" t="s">
        <v>177</v>
      </c>
      <c r="G12" s="111">
        <v>24250</v>
      </c>
      <c r="H12" s="131"/>
      <c r="I12" s="111">
        <f t="shared" si="0"/>
        <v>24250</v>
      </c>
      <c r="J12" s="132"/>
      <c r="L12" t="s">
        <v>260</v>
      </c>
    </row>
    <row r="13" spans="2:18" ht="15.75" x14ac:dyDescent="0.25">
      <c r="B13" s="119"/>
      <c r="C13" s="108" t="s">
        <v>167</v>
      </c>
      <c r="D13" s="107"/>
      <c r="E13" s="160"/>
      <c r="F13" s="109"/>
      <c r="G13" s="110"/>
      <c r="H13" s="110"/>
      <c r="I13" s="138"/>
      <c r="J13" s="120">
        <f>CEILING(SUM(I10:I12),100)</f>
        <v>1282300</v>
      </c>
    </row>
    <row r="14" spans="2:18" ht="8.25" customHeight="1" x14ac:dyDescent="0.25">
      <c r="B14" s="133"/>
      <c r="C14" s="134"/>
      <c r="D14" s="135"/>
      <c r="E14" s="161"/>
      <c r="F14" s="134"/>
      <c r="G14" s="136"/>
      <c r="H14" s="136"/>
      <c r="I14" s="136"/>
      <c r="J14" s="137"/>
    </row>
    <row r="15" spans="2:18" ht="15.75" x14ac:dyDescent="0.25">
      <c r="B15" s="119"/>
      <c r="C15" s="108" t="s">
        <v>168</v>
      </c>
      <c r="D15" s="107"/>
      <c r="E15" s="160"/>
      <c r="F15" s="109"/>
      <c r="G15" s="110"/>
      <c r="H15" s="110"/>
      <c r="I15" s="110"/>
      <c r="J15" s="120"/>
    </row>
    <row r="16" spans="2:18" x14ac:dyDescent="0.25">
      <c r="B16" s="401" t="s">
        <v>21</v>
      </c>
      <c r="C16" s="402"/>
      <c r="D16" s="2" t="s">
        <v>449</v>
      </c>
      <c r="E16" s="162">
        <v>8</v>
      </c>
      <c r="F16" s="3" t="s">
        <v>170</v>
      </c>
      <c r="G16" s="111">
        <v>150000</v>
      </c>
      <c r="H16" s="131"/>
      <c r="I16" s="111">
        <f t="shared" ref="I16:I26" si="1">CEILING(G16*E16,100)</f>
        <v>1200000</v>
      </c>
      <c r="J16" s="132"/>
      <c r="N16" t="s">
        <v>21</v>
      </c>
    </row>
    <row r="17" spans="2:13" x14ac:dyDescent="0.25">
      <c r="B17" s="401" t="s">
        <v>21</v>
      </c>
      <c r="C17" s="402"/>
      <c r="D17" s="2" t="s">
        <v>450</v>
      </c>
      <c r="E17" s="162">
        <v>0</v>
      </c>
      <c r="F17" s="3" t="s">
        <v>170</v>
      </c>
      <c r="G17" s="111">
        <v>20000</v>
      </c>
      <c r="H17" s="131"/>
      <c r="I17" s="111">
        <f t="shared" si="1"/>
        <v>0</v>
      </c>
      <c r="J17" s="132"/>
    </row>
    <row r="18" spans="2:13" x14ac:dyDescent="0.25">
      <c r="B18" s="401" t="s">
        <v>21</v>
      </c>
      <c r="C18" s="402"/>
      <c r="D18" s="2" t="s">
        <v>451</v>
      </c>
      <c r="E18" s="162">
        <v>8</v>
      </c>
      <c r="F18" s="3" t="s">
        <v>170</v>
      </c>
      <c r="G18" s="111">
        <v>50000</v>
      </c>
      <c r="H18" s="131"/>
      <c r="I18" s="111">
        <f t="shared" ref="I18" si="2">CEILING(G18*E18,100)</f>
        <v>400000</v>
      </c>
      <c r="J18" s="132"/>
    </row>
    <row r="19" spans="2:13" x14ac:dyDescent="0.25">
      <c r="B19" s="401" t="s">
        <v>21</v>
      </c>
      <c r="C19" s="402"/>
      <c r="D19" s="2" t="s">
        <v>452</v>
      </c>
      <c r="E19" s="162">
        <v>0</v>
      </c>
      <c r="F19" s="3" t="s">
        <v>170</v>
      </c>
      <c r="G19" s="140">
        <v>30000</v>
      </c>
      <c r="H19" s="131"/>
      <c r="I19" s="111">
        <f t="shared" si="1"/>
        <v>0</v>
      </c>
      <c r="J19" s="132"/>
    </row>
    <row r="20" spans="2:13" x14ac:dyDescent="0.25">
      <c r="B20" s="401" t="s">
        <v>21</v>
      </c>
      <c r="C20" s="402"/>
      <c r="D20" s="2" t="s">
        <v>453</v>
      </c>
      <c r="E20" s="162">
        <v>0</v>
      </c>
      <c r="F20" s="3" t="s">
        <v>170</v>
      </c>
      <c r="G20" s="140">
        <v>30000</v>
      </c>
      <c r="H20" s="131"/>
      <c r="I20" s="111">
        <f t="shared" ref="I20" si="3">CEILING(G20*E20,100)</f>
        <v>0</v>
      </c>
      <c r="J20" s="132"/>
    </row>
    <row r="21" spans="2:13" x14ac:dyDescent="0.25">
      <c r="B21" s="401" t="s">
        <v>21</v>
      </c>
      <c r="C21" s="402"/>
      <c r="D21" s="2" t="s">
        <v>454</v>
      </c>
      <c r="E21" s="162">
        <v>0</v>
      </c>
      <c r="F21" s="3" t="s">
        <v>170</v>
      </c>
      <c r="G21" s="140">
        <f>G17*0.25</f>
        <v>5000</v>
      </c>
      <c r="H21" s="131"/>
      <c r="I21" s="111">
        <f t="shared" si="1"/>
        <v>0</v>
      </c>
      <c r="J21" s="132"/>
    </row>
    <row r="22" spans="2:13" x14ac:dyDescent="0.25">
      <c r="B22" s="401" t="s">
        <v>21</v>
      </c>
      <c r="C22" s="402"/>
      <c r="D22" s="2" t="s">
        <v>455</v>
      </c>
      <c r="E22" s="162">
        <v>0</v>
      </c>
      <c r="F22" s="3" t="s">
        <v>170</v>
      </c>
      <c r="G22" s="140">
        <f>G18*0.25</f>
        <v>12500</v>
      </c>
      <c r="H22" s="131"/>
      <c r="I22" s="111">
        <f t="shared" ref="I22" si="4">CEILING(G22*E22,100)</f>
        <v>0</v>
      </c>
      <c r="J22" s="132"/>
    </row>
    <row r="23" spans="2:13" x14ac:dyDescent="0.25">
      <c r="B23" s="401" t="s">
        <v>21</v>
      </c>
      <c r="C23" s="402"/>
      <c r="D23" s="2" t="s">
        <v>406</v>
      </c>
      <c r="E23" s="162">
        <v>0</v>
      </c>
      <c r="F23" s="3" t="s">
        <v>197</v>
      </c>
      <c r="G23" s="111">
        <v>7500</v>
      </c>
      <c r="H23" s="131"/>
      <c r="I23" s="111">
        <f t="shared" si="1"/>
        <v>0</v>
      </c>
      <c r="J23" s="132"/>
    </row>
    <row r="24" spans="2:13" x14ac:dyDescent="0.25">
      <c r="B24" s="401" t="s">
        <v>21</v>
      </c>
      <c r="C24" s="402"/>
      <c r="D24" s="2" t="s">
        <v>407</v>
      </c>
      <c r="E24" s="162">
        <f>'Master Tab'!C15-4</f>
        <v>36</v>
      </c>
      <c r="F24" s="3" t="s">
        <v>448</v>
      </c>
      <c r="G24" s="111">
        <v>5000</v>
      </c>
      <c r="H24" s="131"/>
      <c r="I24" s="111">
        <f t="shared" si="1"/>
        <v>180000</v>
      </c>
      <c r="J24" s="132"/>
      <c r="L24" t="s">
        <v>447</v>
      </c>
    </row>
    <row r="25" spans="2:13" x14ac:dyDescent="0.25">
      <c r="B25" s="401" t="s">
        <v>21</v>
      </c>
      <c r="C25" s="402"/>
      <c r="D25" s="2" t="s">
        <v>424</v>
      </c>
      <c r="E25" s="162">
        <v>60</v>
      </c>
      <c r="F25" s="3" t="s">
        <v>172</v>
      </c>
      <c r="G25" s="111">
        <v>12000</v>
      </c>
      <c r="H25" s="131"/>
      <c r="I25" s="111">
        <f t="shared" si="1"/>
        <v>720000</v>
      </c>
      <c r="J25" s="132"/>
    </row>
    <row r="26" spans="2:13" x14ac:dyDescent="0.25">
      <c r="B26" s="401" t="s">
        <v>21</v>
      </c>
      <c r="C26" s="402"/>
      <c r="D26" s="2" t="s">
        <v>173</v>
      </c>
      <c r="E26" s="157">
        <f>ROUNDUP(E25*0.1,1)</f>
        <v>6</v>
      </c>
      <c r="F26" s="118" t="s">
        <v>172</v>
      </c>
      <c r="G26" s="111">
        <v>20000</v>
      </c>
      <c r="H26" s="131"/>
      <c r="I26" s="111">
        <f t="shared" si="1"/>
        <v>120000</v>
      </c>
      <c r="J26" s="132"/>
      <c r="L26" t="s">
        <v>327</v>
      </c>
    </row>
    <row r="27" spans="2:13" ht="15.75" x14ac:dyDescent="0.25">
      <c r="B27" s="119"/>
      <c r="C27" s="108" t="s">
        <v>174</v>
      </c>
      <c r="D27" s="107"/>
      <c r="E27" s="160"/>
      <c r="F27" s="109"/>
      <c r="G27" s="110"/>
      <c r="H27" s="138"/>
      <c r="I27" s="110"/>
      <c r="J27" s="120">
        <f>SUM(I16:I26)</f>
        <v>2620000</v>
      </c>
    </row>
    <row r="28" spans="2:13" ht="8.25" customHeight="1" x14ac:dyDescent="0.25">
      <c r="B28" s="133"/>
      <c r="C28" s="134"/>
      <c r="D28" s="135"/>
      <c r="E28" s="161"/>
      <c r="F28" s="134"/>
      <c r="G28" s="136"/>
      <c r="H28" s="136"/>
      <c r="I28" s="136"/>
      <c r="J28" s="137"/>
    </row>
    <row r="29" spans="2:13" ht="15.75" x14ac:dyDescent="0.25">
      <c r="B29" s="119"/>
      <c r="C29" s="108" t="s">
        <v>175</v>
      </c>
      <c r="D29" s="107"/>
      <c r="E29" s="163">
        <v>14310</v>
      </c>
      <c r="F29" s="116" t="s">
        <v>176</v>
      </c>
      <c r="G29" s="117"/>
      <c r="H29" s="110"/>
      <c r="I29" s="110"/>
      <c r="J29" s="120"/>
    </row>
    <row r="30" spans="2:13" x14ac:dyDescent="0.25">
      <c r="B30" s="401">
        <v>820</v>
      </c>
      <c r="C30" s="402"/>
      <c r="D30" s="2" t="s">
        <v>178</v>
      </c>
      <c r="E30" s="164">
        <v>1</v>
      </c>
      <c r="F30" s="118" t="s">
        <v>177</v>
      </c>
      <c r="G30" s="140">
        <f>(SUM(I31:I103)*L30)</f>
        <v>1152192.7</v>
      </c>
      <c r="H30" s="131"/>
      <c r="I30" s="111">
        <f>G30*E30</f>
        <v>1152192.7</v>
      </c>
      <c r="J30" s="132"/>
      <c r="L30" s="141">
        <v>0.1</v>
      </c>
      <c r="M30" t="s">
        <v>179</v>
      </c>
    </row>
    <row r="31" spans="2:13" x14ac:dyDescent="0.25">
      <c r="B31" s="403">
        <v>821</v>
      </c>
      <c r="C31" s="404">
        <v>821</v>
      </c>
      <c r="D31" s="2" t="s">
        <v>269</v>
      </c>
      <c r="E31" s="162">
        <v>25</v>
      </c>
      <c r="F31" s="3" t="s">
        <v>283</v>
      </c>
      <c r="G31" s="111">
        <v>37800</v>
      </c>
      <c r="H31" s="131"/>
      <c r="I31" s="111">
        <f t="shared" ref="I31:I99" si="5">G31*E31</f>
        <v>945000</v>
      </c>
      <c r="J31" s="132"/>
      <c r="L31" t="s">
        <v>422</v>
      </c>
    </row>
    <row r="32" spans="2:13" x14ac:dyDescent="0.25">
      <c r="B32" s="403">
        <v>821</v>
      </c>
      <c r="C32" s="404">
        <v>821</v>
      </c>
      <c r="D32" s="2" t="s">
        <v>270</v>
      </c>
      <c r="E32" s="162">
        <v>0</v>
      </c>
      <c r="F32" s="3" t="s">
        <v>283</v>
      </c>
      <c r="G32" s="111">
        <v>0</v>
      </c>
      <c r="H32" s="131"/>
      <c r="I32" s="111">
        <f t="shared" si="5"/>
        <v>0</v>
      </c>
      <c r="J32" s="132"/>
      <c r="L32" t="s">
        <v>421</v>
      </c>
    </row>
    <row r="33" spans="2:13" x14ac:dyDescent="0.25">
      <c r="B33" s="403">
        <v>829</v>
      </c>
      <c r="C33" s="404">
        <v>829</v>
      </c>
      <c r="D33" s="2" t="s">
        <v>188</v>
      </c>
      <c r="E33" s="162">
        <v>12980</v>
      </c>
      <c r="F33" s="3" t="s">
        <v>183</v>
      </c>
      <c r="G33" s="111">
        <v>335</v>
      </c>
      <c r="H33" s="131"/>
      <c r="I33" s="111">
        <f t="shared" si="5"/>
        <v>4348300</v>
      </c>
      <c r="J33" s="132"/>
      <c r="M33" t="s">
        <v>21</v>
      </c>
    </row>
    <row r="34" spans="2:13" x14ac:dyDescent="0.25">
      <c r="B34" s="403">
        <v>829</v>
      </c>
      <c r="C34" s="404">
        <v>829</v>
      </c>
      <c r="D34" s="2" t="s">
        <v>189</v>
      </c>
      <c r="E34" s="162">
        <v>780</v>
      </c>
      <c r="F34" s="3" t="s">
        <v>177</v>
      </c>
      <c r="G34" s="111">
        <v>385</v>
      </c>
      <c r="H34" s="131"/>
      <c r="I34" s="111">
        <f t="shared" si="5"/>
        <v>300300</v>
      </c>
      <c r="J34" s="132"/>
    </row>
    <row r="35" spans="2:13" x14ac:dyDescent="0.25">
      <c r="B35" s="403">
        <v>825</v>
      </c>
      <c r="C35" s="404">
        <v>825</v>
      </c>
      <c r="D35" s="2" t="s">
        <v>184</v>
      </c>
      <c r="E35" s="162">
        <v>0</v>
      </c>
      <c r="F35" s="3" t="s">
        <v>183</v>
      </c>
      <c r="G35" s="111">
        <v>0</v>
      </c>
      <c r="H35" s="131"/>
      <c r="I35" s="111">
        <f t="shared" si="5"/>
        <v>0</v>
      </c>
      <c r="J35" s="132"/>
    </row>
    <row r="36" spans="2:13" x14ac:dyDescent="0.25">
      <c r="B36" s="403">
        <v>826</v>
      </c>
      <c r="C36" s="404">
        <v>826</v>
      </c>
      <c r="D36" s="2" t="s">
        <v>185</v>
      </c>
      <c r="E36" s="162">
        <v>550</v>
      </c>
      <c r="F36" s="3" t="s">
        <v>183</v>
      </c>
      <c r="G36" s="111">
        <v>390</v>
      </c>
      <c r="H36" s="131"/>
      <c r="I36" s="111">
        <f t="shared" si="5"/>
        <v>214500</v>
      </c>
      <c r="J36" s="132"/>
    </row>
    <row r="37" spans="2:13" x14ac:dyDescent="0.25">
      <c r="B37" s="403">
        <v>827</v>
      </c>
      <c r="C37" s="404">
        <v>827</v>
      </c>
      <c r="D37" s="2" t="s">
        <v>186</v>
      </c>
      <c r="E37" s="162">
        <v>0</v>
      </c>
      <c r="F37" s="3" t="s">
        <v>183</v>
      </c>
      <c r="G37" s="111">
        <v>0</v>
      </c>
      <c r="H37" s="131"/>
      <c r="I37" s="111">
        <f t="shared" si="5"/>
        <v>0</v>
      </c>
      <c r="J37" s="132"/>
      <c r="L37" t="s">
        <v>333</v>
      </c>
    </row>
    <row r="38" spans="2:13" x14ac:dyDescent="0.25">
      <c r="B38" s="403">
        <v>828</v>
      </c>
      <c r="C38" s="404">
        <v>828</v>
      </c>
      <c r="D38" s="2" t="s">
        <v>187</v>
      </c>
      <c r="E38" s="162">
        <v>0</v>
      </c>
      <c r="F38" s="3" t="s">
        <v>183</v>
      </c>
      <c r="G38" s="111">
        <v>2500</v>
      </c>
      <c r="H38" s="131"/>
      <c r="I38" s="111">
        <f t="shared" si="5"/>
        <v>0</v>
      </c>
      <c r="J38" s="132"/>
      <c r="L38" t="s">
        <v>333</v>
      </c>
    </row>
    <row r="39" spans="2:13" x14ac:dyDescent="0.25">
      <c r="B39" s="403">
        <v>822</v>
      </c>
      <c r="C39" s="404">
        <v>822</v>
      </c>
      <c r="D39" s="2" t="s">
        <v>271</v>
      </c>
      <c r="E39" s="162">
        <v>0</v>
      </c>
      <c r="F39" s="3" t="s">
        <v>221</v>
      </c>
      <c r="G39" s="111">
        <v>0</v>
      </c>
      <c r="H39" s="131"/>
      <c r="I39" s="111">
        <f t="shared" si="5"/>
        <v>0</v>
      </c>
      <c r="J39" s="132"/>
    </row>
    <row r="40" spans="2:13" x14ac:dyDescent="0.25">
      <c r="B40" s="403">
        <v>822</v>
      </c>
      <c r="C40" s="404">
        <v>822</v>
      </c>
      <c r="D40" s="2" t="s">
        <v>272</v>
      </c>
      <c r="E40" s="162">
        <v>6115</v>
      </c>
      <c r="F40" s="3" t="s">
        <v>221</v>
      </c>
      <c r="G40" s="111">
        <v>275</v>
      </c>
      <c r="H40" s="131"/>
      <c r="I40" s="111">
        <f t="shared" si="5"/>
        <v>1681625</v>
      </c>
      <c r="J40" s="132"/>
    </row>
    <row r="41" spans="2:13" x14ac:dyDescent="0.25">
      <c r="B41" s="403"/>
      <c r="C41" s="404">
        <v>829</v>
      </c>
      <c r="D41" s="2" t="s">
        <v>473</v>
      </c>
      <c r="E41" s="162">
        <v>6</v>
      </c>
      <c r="F41" s="3" t="s">
        <v>475</v>
      </c>
      <c r="G41" s="111">
        <v>38000</v>
      </c>
      <c r="H41" s="131"/>
      <c r="I41" s="111">
        <f t="shared" si="5"/>
        <v>228000</v>
      </c>
      <c r="J41" s="132"/>
    </row>
    <row r="42" spans="2:13" x14ac:dyDescent="0.25">
      <c r="B42" s="403"/>
      <c r="C42" s="404">
        <v>829</v>
      </c>
      <c r="D42" s="2" t="s">
        <v>474</v>
      </c>
      <c r="E42" s="162">
        <v>3</v>
      </c>
      <c r="F42" s="3" t="s">
        <v>475</v>
      </c>
      <c r="G42" s="111">
        <v>8925</v>
      </c>
      <c r="H42" s="131"/>
      <c r="I42" s="111">
        <f t="shared" si="5"/>
        <v>26775</v>
      </c>
      <c r="J42" s="132"/>
    </row>
    <row r="43" spans="2:13" x14ac:dyDescent="0.25">
      <c r="B43" s="403">
        <v>829</v>
      </c>
      <c r="C43" s="404">
        <v>829</v>
      </c>
      <c r="D43" s="2" t="s">
        <v>273</v>
      </c>
      <c r="E43" s="162">
        <v>0</v>
      </c>
      <c r="F43" s="3" t="s">
        <v>183</v>
      </c>
      <c r="G43" s="111">
        <v>0</v>
      </c>
      <c r="H43" s="131"/>
      <c r="I43" s="111">
        <f t="shared" si="5"/>
        <v>0</v>
      </c>
      <c r="J43" s="132"/>
    </row>
    <row r="44" spans="2:13" x14ac:dyDescent="0.25">
      <c r="B44" s="403">
        <v>829</v>
      </c>
      <c r="C44" s="404">
        <v>829</v>
      </c>
      <c r="D44" s="2" t="s">
        <v>274</v>
      </c>
      <c r="E44" s="162">
        <v>0</v>
      </c>
      <c r="F44" s="3" t="s">
        <v>221</v>
      </c>
      <c r="G44" s="111">
        <v>0</v>
      </c>
      <c r="H44" s="131"/>
      <c r="I44" s="111">
        <f t="shared" si="5"/>
        <v>0</v>
      </c>
      <c r="J44" s="132"/>
    </row>
    <row r="45" spans="2:13" x14ac:dyDescent="0.25">
      <c r="B45" s="403">
        <v>822</v>
      </c>
      <c r="C45" s="404">
        <v>822</v>
      </c>
      <c r="D45" s="2" t="s">
        <v>275</v>
      </c>
      <c r="E45" s="162">
        <v>0</v>
      </c>
      <c r="F45" s="3" t="s">
        <v>183</v>
      </c>
      <c r="G45" s="111">
        <v>0</v>
      </c>
      <c r="H45" s="131"/>
      <c r="I45" s="111">
        <f t="shared" si="5"/>
        <v>0</v>
      </c>
      <c r="J45" s="132"/>
    </row>
    <row r="46" spans="2:13" x14ac:dyDescent="0.25">
      <c r="B46" s="403">
        <v>831</v>
      </c>
      <c r="C46" s="404">
        <v>831</v>
      </c>
      <c r="D46" s="2" t="s">
        <v>276</v>
      </c>
      <c r="E46" s="162">
        <v>0</v>
      </c>
      <c r="F46" s="3" t="s">
        <v>197</v>
      </c>
      <c r="G46" s="111">
        <v>0</v>
      </c>
      <c r="H46" s="131"/>
      <c r="I46" s="111">
        <f t="shared" si="5"/>
        <v>0</v>
      </c>
      <c r="J46" s="132"/>
      <c r="L46" t="s">
        <v>334</v>
      </c>
    </row>
    <row r="47" spans="2:13" x14ac:dyDescent="0.25">
      <c r="B47" s="403">
        <v>831</v>
      </c>
      <c r="C47" s="404">
        <v>831</v>
      </c>
      <c r="D47" s="2" t="s">
        <v>277</v>
      </c>
      <c r="E47" s="162">
        <v>0</v>
      </c>
      <c r="F47" s="3" t="s">
        <v>197</v>
      </c>
      <c r="G47" s="111">
        <v>0</v>
      </c>
      <c r="H47" s="131"/>
      <c r="I47" s="111">
        <f t="shared" si="5"/>
        <v>0</v>
      </c>
      <c r="J47" s="132"/>
      <c r="L47" t="s">
        <v>335</v>
      </c>
    </row>
    <row r="48" spans="2:13" x14ac:dyDescent="0.25">
      <c r="B48" s="403">
        <v>831</v>
      </c>
      <c r="C48" s="404">
        <v>831</v>
      </c>
      <c r="D48" s="2" t="s">
        <v>278</v>
      </c>
      <c r="E48" s="162">
        <v>0</v>
      </c>
      <c r="F48" s="3" t="s">
        <v>183</v>
      </c>
      <c r="G48" s="111">
        <v>0</v>
      </c>
      <c r="H48" s="131"/>
      <c r="I48" s="111">
        <f t="shared" si="5"/>
        <v>0</v>
      </c>
      <c r="J48" s="132"/>
    </row>
    <row r="49" spans="2:13" x14ac:dyDescent="0.25">
      <c r="B49" s="403">
        <v>837</v>
      </c>
      <c r="C49" s="404">
        <v>837</v>
      </c>
      <c r="D49" s="2" t="s">
        <v>279</v>
      </c>
      <c r="E49" s="162">
        <v>14310</v>
      </c>
      <c r="F49" s="3" t="s">
        <v>183</v>
      </c>
      <c r="G49" s="111">
        <v>16</v>
      </c>
      <c r="H49" s="131"/>
      <c r="I49" s="111">
        <f t="shared" si="5"/>
        <v>228960</v>
      </c>
      <c r="J49" s="132"/>
    </row>
    <row r="50" spans="2:13" x14ac:dyDescent="0.25">
      <c r="B50" s="403">
        <v>837</v>
      </c>
      <c r="C50" s="404">
        <v>837</v>
      </c>
      <c r="D50" s="2" t="s">
        <v>280</v>
      </c>
      <c r="E50" s="162">
        <v>1</v>
      </c>
      <c r="F50" s="3" t="s">
        <v>197</v>
      </c>
      <c r="G50" s="111">
        <v>21000</v>
      </c>
      <c r="H50" s="131"/>
      <c r="I50" s="111">
        <f t="shared" si="5"/>
        <v>21000</v>
      </c>
      <c r="J50" s="132"/>
    </row>
    <row r="51" spans="2:13" x14ac:dyDescent="0.25">
      <c r="B51" s="403">
        <v>835</v>
      </c>
      <c r="C51" s="404">
        <v>835</v>
      </c>
      <c r="D51" s="2" t="s">
        <v>281</v>
      </c>
      <c r="E51" s="162">
        <v>14310</v>
      </c>
      <c r="F51" s="3" t="s">
        <v>183</v>
      </c>
      <c r="G51" s="111">
        <v>14</v>
      </c>
      <c r="H51" s="131"/>
      <c r="I51" s="111">
        <f t="shared" si="5"/>
        <v>200340</v>
      </c>
      <c r="J51" s="132"/>
    </row>
    <row r="52" spans="2:13" x14ac:dyDescent="0.25">
      <c r="B52" s="403">
        <v>833</v>
      </c>
      <c r="C52" s="404">
        <v>833</v>
      </c>
      <c r="D52" s="2" t="s">
        <v>220</v>
      </c>
      <c r="E52" s="162">
        <v>1</v>
      </c>
      <c r="F52" s="3" t="s">
        <v>177</v>
      </c>
      <c r="G52" s="111">
        <v>300000</v>
      </c>
      <c r="H52" s="131"/>
      <c r="I52" s="111">
        <f t="shared" si="5"/>
        <v>300000</v>
      </c>
      <c r="J52" s="132"/>
      <c r="L52" t="s">
        <v>338</v>
      </c>
    </row>
    <row r="53" spans="2:13" x14ac:dyDescent="0.25">
      <c r="B53" s="403">
        <v>834</v>
      </c>
      <c r="C53" s="404">
        <v>834</v>
      </c>
      <c r="D53" s="2" t="s">
        <v>191</v>
      </c>
      <c r="E53" s="162">
        <v>1</v>
      </c>
      <c r="F53" s="3" t="s">
        <v>177</v>
      </c>
      <c r="G53" s="111">
        <v>75000</v>
      </c>
      <c r="H53" s="131"/>
      <c r="I53" s="111">
        <f t="shared" si="5"/>
        <v>75000</v>
      </c>
      <c r="J53" s="132"/>
      <c r="L53" t="s">
        <v>337</v>
      </c>
    </row>
    <row r="54" spans="2:13" x14ac:dyDescent="0.25">
      <c r="B54" s="403">
        <v>829</v>
      </c>
      <c r="C54" s="404">
        <v>829</v>
      </c>
      <c r="D54" s="2" t="s">
        <v>282</v>
      </c>
      <c r="E54" s="162">
        <v>0</v>
      </c>
      <c r="F54" s="3" t="s">
        <v>177</v>
      </c>
      <c r="G54" s="111">
        <v>0</v>
      </c>
      <c r="H54" s="131"/>
      <c r="I54" s="111">
        <f t="shared" si="5"/>
        <v>0</v>
      </c>
      <c r="J54" s="132"/>
    </row>
    <row r="55" spans="2:13" x14ac:dyDescent="0.25">
      <c r="B55" s="403">
        <v>828</v>
      </c>
      <c r="C55" s="404">
        <v>828</v>
      </c>
      <c r="D55" s="2" t="s">
        <v>192</v>
      </c>
      <c r="E55" s="162">
        <v>0</v>
      </c>
      <c r="F55" s="3" t="s">
        <v>183</v>
      </c>
      <c r="G55" s="111">
        <v>269</v>
      </c>
      <c r="H55" s="131"/>
      <c r="I55" s="111">
        <f t="shared" si="5"/>
        <v>0</v>
      </c>
      <c r="J55" s="132"/>
    </row>
    <row r="56" spans="2:13" x14ac:dyDescent="0.25">
      <c r="B56" s="401">
        <v>630</v>
      </c>
      <c r="C56" s="402">
        <v>630</v>
      </c>
      <c r="D56" s="2" t="s">
        <v>284</v>
      </c>
      <c r="E56" s="162">
        <f>E29*2</f>
        <v>28620</v>
      </c>
      <c r="F56" s="3" t="s">
        <v>183</v>
      </c>
      <c r="G56" s="111">
        <v>14</v>
      </c>
      <c r="H56" s="131"/>
      <c r="I56" s="111">
        <f t="shared" si="5"/>
        <v>400680</v>
      </c>
      <c r="J56" s="132"/>
    </row>
    <row r="57" spans="2:13" x14ac:dyDescent="0.25">
      <c r="B57" s="401">
        <v>630</v>
      </c>
      <c r="C57" s="402">
        <v>630</v>
      </c>
      <c r="D57" s="2" t="s">
        <v>285</v>
      </c>
      <c r="E57" s="162">
        <v>0</v>
      </c>
      <c r="F57" s="3" t="s">
        <v>183</v>
      </c>
      <c r="G57" s="111">
        <v>0</v>
      </c>
      <c r="H57" s="131"/>
      <c r="I57" s="111">
        <f t="shared" si="5"/>
        <v>0</v>
      </c>
      <c r="J57" s="132"/>
    </row>
    <row r="58" spans="2:13" x14ac:dyDescent="0.25">
      <c r="B58" s="401">
        <v>630</v>
      </c>
      <c r="C58" s="402">
        <v>630</v>
      </c>
      <c r="D58" s="2" t="s">
        <v>286</v>
      </c>
      <c r="E58" s="162">
        <v>0</v>
      </c>
      <c r="F58" s="3" t="s">
        <v>309</v>
      </c>
      <c r="G58" s="111">
        <v>0</v>
      </c>
      <c r="H58" s="131"/>
      <c r="I58" s="111">
        <f t="shared" si="5"/>
        <v>0</v>
      </c>
      <c r="J58" s="132"/>
      <c r="M58" t="s">
        <v>21</v>
      </c>
    </row>
    <row r="59" spans="2:13" x14ac:dyDescent="0.25">
      <c r="B59" s="401">
        <v>630</v>
      </c>
      <c r="C59" s="402">
        <v>630</v>
      </c>
      <c r="D59" s="2" t="s">
        <v>287</v>
      </c>
      <c r="E59" s="162">
        <v>0</v>
      </c>
      <c r="F59" s="3" t="s">
        <v>182</v>
      </c>
      <c r="G59" s="168">
        <v>0</v>
      </c>
      <c r="H59" s="131"/>
      <c r="I59" s="111">
        <f t="shared" si="5"/>
        <v>0</v>
      </c>
      <c r="J59" s="132"/>
    </row>
    <row r="60" spans="2:13" x14ac:dyDescent="0.25">
      <c r="B60" s="401">
        <v>630</v>
      </c>
      <c r="C60" s="402">
        <v>630</v>
      </c>
      <c r="D60" s="2" t="s">
        <v>288</v>
      </c>
      <c r="E60" s="162">
        <v>0</v>
      </c>
      <c r="F60" s="3" t="s">
        <v>182</v>
      </c>
      <c r="G60" s="168">
        <v>0</v>
      </c>
      <c r="H60" s="131"/>
      <c r="I60" s="111">
        <f t="shared" si="5"/>
        <v>0</v>
      </c>
      <c r="J60" s="132"/>
    </row>
    <row r="61" spans="2:13" x14ac:dyDescent="0.25">
      <c r="B61" s="401">
        <v>630</v>
      </c>
      <c r="C61" s="402">
        <v>630</v>
      </c>
      <c r="D61" s="2" t="s">
        <v>289</v>
      </c>
      <c r="E61" s="162">
        <v>0</v>
      </c>
      <c r="F61" s="3" t="s">
        <v>310</v>
      </c>
      <c r="G61" s="111">
        <v>0</v>
      </c>
      <c r="H61" s="131"/>
      <c r="I61" s="111">
        <f t="shared" si="5"/>
        <v>0</v>
      </c>
      <c r="J61" s="132"/>
    </row>
    <row r="62" spans="2:13" x14ac:dyDescent="0.25">
      <c r="B62" s="401">
        <v>630</v>
      </c>
      <c r="C62" s="402">
        <v>630</v>
      </c>
      <c r="D62" s="2" t="s">
        <v>290</v>
      </c>
      <c r="E62" s="162">
        <v>300</v>
      </c>
      <c r="F62" s="3" t="s">
        <v>310</v>
      </c>
      <c r="G62" s="111">
        <v>67</v>
      </c>
      <c r="H62" s="131"/>
      <c r="I62" s="111">
        <f t="shared" si="5"/>
        <v>20100</v>
      </c>
      <c r="J62" s="132"/>
    </row>
    <row r="63" spans="2:13" x14ac:dyDescent="0.25">
      <c r="B63" s="401">
        <v>630</v>
      </c>
      <c r="C63" s="402">
        <v>630</v>
      </c>
      <c r="D63" s="2" t="s">
        <v>291</v>
      </c>
      <c r="E63" s="162">
        <v>0</v>
      </c>
      <c r="F63" s="3" t="s">
        <v>309</v>
      </c>
      <c r="G63" s="111">
        <v>0</v>
      </c>
      <c r="H63" s="131"/>
      <c r="I63" s="111">
        <f t="shared" si="5"/>
        <v>0</v>
      </c>
      <c r="J63" s="132"/>
    </row>
    <row r="64" spans="2:13" x14ac:dyDescent="0.25">
      <c r="B64" s="401">
        <v>630</v>
      </c>
      <c r="C64" s="402">
        <v>630</v>
      </c>
      <c r="D64" s="2" t="s">
        <v>180</v>
      </c>
      <c r="E64" s="162">
        <v>14310</v>
      </c>
      <c r="F64" s="3" t="s">
        <v>311</v>
      </c>
      <c r="G64" s="111">
        <v>7</v>
      </c>
      <c r="H64" s="131"/>
      <c r="I64" s="111">
        <f t="shared" si="5"/>
        <v>100170</v>
      </c>
      <c r="J64" s="132"/>
      <c r="L64" t="s">
        <v>423</v>
      </c>
    </row>
    <row r="65" spans="2:12" x14ac:dyDescent="0.25">
      <c r="B65" s="401">
        <v>630</v>
      </c>
      <c r="C65" s="402">
        <v>630</v>
      </c>
      <c r="D65" s="2" t="s">
        <v>292</v>
      </c>
      <c r="E65" s="162">
        <v>0</v>
      </c>
      <c r="F65" s="3" t="s">
        <v>312</v>
      </c>
      <c r="G65" s="111">
        <v>0</v>
      </c>
      <c r="H65" s="131"/>
      <c r="I65" s="111">
        <f t="shared" si="5"/>
        <v>0</v>
      </c>
      <c r="J65" s="132"/>
    </row>
    <row r="66" spans="2:12" x14ac:dyDescent="0.25">
      <c r="B66" s="401">
        <v>630</v>
      </c>
      <c r="C66" s="402">
        <v>630</v>
      </c>
      <c r="D66" s="2" t="s">
        <v>293</v>
      </c>
      <c r="E66" s="162">
        <v>0</v>
      </c>
      <c r="F66" s="3" t="s">
        <v>197</v>
      </c>
      <c r="G66" s="111">
        <v>0</v>
      </c>
      <c r="H66" s="131"/>
      <c r="I66" s="111">
        <f t="shared" si="5"/>
        <v>0</v>
      </c>
      <c r="J66" s="132"/>
    </row>
    <row r="67" spans="2:12" x14ac:dyDescent="0.25">
      <c r="B67" s="401">
        <v>630</v>
      </c>
      <c r="C67" s="402">
        <v>630</v>
      </c>
      <c r="D67" s="2" t="s">
        <v>294</v>
      </c>
      <c r="E67" s="162">
        <v>0</v>
      </c>
      <c r="F67" s="3" t="s">
        <v>197</v>
      </c>
      <c r="G67" s="111">
        <v>0</v>
      </c>
      <c r="H67" s="131"/>
      <c r="I67" s="111">
        <f t="shared" si="5"/>
        <v>0</v>
      </c>
      <c r="J67" s="132"/>
    </row>
    <row r="68" spans="2:12" x14ac:dyDescent="0.25">
      <c r="B68" s="401">
        <v>630</v>
      </c>
      <c r="C68" s="402">
        <v>630</v>
      </c>
      <c r="D68" s="2" t="s">
        <v>295</v>
      </c>
      <c r="E68" s="162">
        <v>0</v>
      </c>
      <c r="F68" s="3" t="s">
        <v>197</v>
      </c>
      <c r="G68" s="111">
        <v>0</v>
      </c>
      <c r="H68" s="131"/>
      <c r="I68" s="111">
        <f t="shared" si="5"/>
        <v>0</v>
      </c>
      <c r="J68" s="132"/>
    </row>
    <row r="69" spans="2:12" x14ac:dyDescent="0.25">
      <c r="B69" s="401">
        <v>630</v>
      </c>
      <c r="C69" s="402">
        <v>630</v>
      </c>
      <c r="D69" s="2" t="s">
        <v>296</v>
      </c>
      <c r="E69" s="162">
        <v>0</v>
      </c>
      <c r="F69" s="3" t="s">
        <v>197</v>
      </c>
      <c r="G69" s="111">
        <v>0</v>
      </c>
      <c r="H69" s="131"/>
      <c r="I69" s="111">
        <f t="shared" si="5"/>
        <v>0</v>
      </c>
      <c r="J69" s="132"/>
    </row>
    <row r="70" spans="2:12" x14ac:dyDescent="0.25">
      <c r="B70" s="401">
        <v>630</v>
      </c>
      <c r="C70" s="402">
        <v>630</v>
      </c>
      <c r="D70" s="2" t="s">
        <v>297</v>
      </c>
      <c r="E70" s="162">
        <v>215</v>
      </c>
      <c r="F70" s="3" t="s">
        <v>197</v>
      </c>
      <c r="G70" s="111">
        <v>200</v>
      </c>
      <c r="H70" s="131"/>
      <c r="I70" s="111">
        <f t="shared" si="5"/>
        <v>43000</v>
      </c>
      <c r="J70" s="132"/>
      <c r="L70" t="s">
        <v>336</v>
      </c>
    </row>
    <row r="71" spans="2:12" x14ac:dyDescent="0.25">
      <c r="B71" s="401">
        <v>630</v>
      </c>
      <c r="C71" s="402">
        <v>630</v>
      </c>
      <c r="D71" s="2" t="s">
        <v>298</v>
      </c>
      <c r="E71" s="162">
        <v>0</v>
      </c>
      <c r="F71" s="3" t="s">
        <v>197</v>
      </c>
      <c r="G71" s="111">
        <v>0</v>
      </c>
      <c r="H71" s="131"/>
      <c r="I71" s="111">
        <f t="shared" si="5"/>
        <v>0</v>
      </c>
      <c r="J71" s="132"/>
    </row>
    <row r="72" spans="2:12" x14ac:dyDescent="0.25">
      <c r="B72" s="401">
        <v>630</v>
      </c>
      <c r="C72" s="402">
        <v>630</v>
      </c>
      <c r="D72" s="2" t="s">
        <v>299</v>
      </c>
      <c r="E72" s="162">
        <v>0</v>
      </c>
      <c r="F72" s="3" t="s">
        <v>197</v>
      </c>
      <c r="G72" s="111">
        <v>0</v>
      </c>
      <c r="H72" s="131"/>
      <c r="I72" s="111">
        <f t="shared" si="5"/>
        <v>0</v>
      </c>
      <c r="J72" s="132"/>
    </row>
    <row r="73" spans="2:12" x14ac:dyDescent="0.25">
      <c r="B73" s="401">
        <v>630</v>
      </c>
      <c r="C73" s="402">
        <v>630</v>
      </c>
      <c r="D73" s="2" t="s">
        <v>300</v>
      </c>
      <c r="E73" s="162">
        <v>1073250</v>
      </c>
      <c r="F73" s="3" t="s">
        <v>182</v>
      </c>
      <c r="G73" s="168">
        <v>0.21</v>
      </c>
      <c r="H73" s="131"/>
      <c r="I73" s="111">
        <f t="shared" si="5"/>
        <v>225382.5</v>
      </c>
      <c r="J73" s="132"/>
    </row>
    <row r="74" spans="2:12" x14ac:dyDescent="0.25">
      <c r="B74" s="401">
        <v>630</v>
      </c>
      <c r="C74" s="402">
        <v>630</v>
      </c>
      <c r="D74" s="2" t="s">
        <v>301</v>
      </c>
      <c r="E74" s="162">
        <v>1073250</v>
      </c>
      <c r="F74" s="3" t="s">
        <v>182</v>
      </c>
      <c r="G74" s="168">
        <v>0.13</v>
      </c>
      <c r="H74" s="131"/>
      <c r="I74" s="111">
        <f t="shared" si="5"/>
        <v>139522.5</v>
      </c>
      <c r="J74" s="132"/>
    </row>
    <row r="75" spans="2:12" x14ac:dyDescent="0.25">
      <c r="B75" s="401">
        <v>630</v>
      </c>
      <c r="C75" s="402">
        <v>630</v>
      </c>
      <c r="D75" s="2" t="s">
        <v>302</v>
      </c>
      <c r="E75" s="162">
        <v>0</v>
      </c>
      <c r="F75" s="3" t="s">
        <v>197</v>
      </c>
      <c r="G75" s="111">
        <v>38500</v>
      </c>
      <c r="H75" s="131"/>
      <c r="I75" s="111">
        <f t="shared" si="5"/>
        <v>0</v>
      </c>
      <c r="J75" s="132"/>
    </row>
    <row r="76" spans="2:12" x14ac:dyDescent="0.25">
      <c r="B76" s="401">
        <v>630</v>
      </c>
      <c r="C76" s="402">
        <v>630</v>
      </c>
      <c r="D76" s="2" t="s">
        <v>303</v>
      </c>
      <c r="E76" s="162">
        <v>0</v>
      </c>
      <c r="F76" s="3" t="s">
        <v>182</v>
      </c>
      <c r="G76" s="111">
        <v>0</v>
      </c>
      <c r="H76" s="131"/>
      <c r="I76" s="111">
        <f t="shared" si="5"/>
        <v>0</v>
      </c>
      <c r="J76" s="132"/>
    </row>
    <row r="77" spans="2:12" x14ac:dyDescent="0.25">
      <c r="B77" s="401">
        <v>630</v>
      </c>
      <c r="C77" s="402">
        <v>630</v>
      </c>
      <c r="D77" s="2" t="s">
        <v>304</v>
      </c>
      <c r="E77" s="162">
        <v>0</v>
      </c>
      <c r="F77" s="3" t="s">
        <v>197</v>
      </c>
      <c r="G77" s="111">
        <v>0</v>
      </c>
      <c r="H77" s="131"/>
      <c r="I77" s="111">
        <f t="shared" si="5"/>
        <v>0</v>
      </c>
      <c r="J77" s="132"/>
    </row>
    <row r="78" spans="2:12" x14ac:dyDescent="0.25">
      <c r="B78" s="401">
        <v>630</v>
      </c>
      <c r="C78" s="402">
        <v>630</v>
      </c>
      <c r="D78" s="2" t="s">
        <v>305</v>
      </c>
      <c r="E78" s="162">
        <v>0</v>
      </c>
      <c r="F78" s="3" t="s">
        <v>197</v>
      </c>
      <c r="G78" s="111">
        <v>0</v>
      </c>
      <c r="H78" s="131"/>
      <c r="I78" s="111">
        <f t="shared" si="5"/>
        <v>0</v>
      </c>
      <c r="J78" s="132"/>
    </row>
    <row r="79" spans="2:12" x14ac:dyDescent="0.25">
      <c r="B79" s="401">
        <v>630</v>
      </c>
      <c r="C79" s="402">
        <v>630</v>
      </c>
      <c r="D79" s="2" t="s">
        <v>306</v>
      </c>
      <c r="E79" s="162">
        <v>0</v>
      </c>
      <c r="F79" s="3" t="s">
        <v>197</v>
      </c>
      <c r="G79" s="111">
        <v>0</v>
      </c>
      <c r="H79" s="131"/>
      <c r="I79" s="111">
        <f t="shared" si="5"/>
        <v>0</v>
      </c>
      <c r="J79" s="132"/>
    </row>
    <row r="80" spans="2:12" x14ac:dyDescent="0.25">
      <c r="B80" s="401">
        <v>630</v>
      </c>
      <c r="C80" s="402">
        <v>630</v>
      </c>
      <c r="D80" s="2" t="s">
        <v>307</v>
      </c>
      <c r="E80" s="162">
        <v>0</v>
      </c>
      <c r="F80" s="3" t="s">
        <v>197</v>
      </c>
      <c r="G80" s="111">
        <v>0</v>
      </c>
      <c r="H80" s="131"/>
      <c r="I80" s="111">
        <f t="shared" si="5"/>
        <v>0</v>
      </c>
      <c r="J80" s="132"/>
    </row>
    <row r="81" spans="2:13" x14ac:dyDescent="0.25">
      <c r="B81" s="401">
        <v>630</v>
      </c>
      <c r="C81" s="402">
        <v>630</v>
      </c>
      <c r="D81" s="2" t="s">
        <v>308</v>
      </c>
      <c r="E81" s="162">
        <v>0</v>
      </c>
      <c r="F81" s="3" t="s">
        <v>182</v>
      </c>
      <c r="G81" s="111">
        <v>0</v>
      </c>
      <c r="H81" s="131"/>
      <c r="I81" s="111">
        <f t="shared" si="5"/>
        <v>0</v>
      </c>
      <c r="J81" s="132"/>
    </row>
    <row r="82" spans="2:13" x14ac:dyDescent="0.25">
      <c r="B82" s="401">
        <v>831</v>
      </c>
      <c r="C82" s="402">
        <v>831</v>
      </c>
      <c r="D82" s="2" t="s">
        <v>313</v>
      </c>
      <c r="E82" s="162">
        <v>0</v>
      </c>
      <c r="F82" s="3" t="s">
        <v>197</v>
      </c>
      <c r="G82" s="111">
        <v>0</v>
      </c>
      <c r="H82" s="131"/>
      <c r="I82" s="111">
        <f t="shared" si="5"/>
        <v>0</v>
      </c>
      <c r="J82" s="132"/>
    </row>
    <row r="83" spans="2:13" x14ac:dyDescent="0.25">
      <c r="B83" s="401">
        <v>832</v>
      </c>
      <c r="C83" s="402">
        <v>832</v>
      </c>
      <c r="D83" s="2" t="s">
        <v>314</v>
      </c>
      <c r="E83" s="162">
        <v>0</v>
      </c>
      <c r="F83" s="3" t="s">
        <v>197</v>
      </c>
      <c r="G83" s="111">
        <v>0</v>
      </c>
      <c r="H83" s="131"/>
      <c r="I83" s="111">
        <f t="shared" si="5"/>
        <v>0</v>
      </c>
      <c r="J83" s="132"/>
      <c r="M83" t="s">
        <v>21</v>
      </c>
    </row>
    <row r="84" spans="2:13" x14ac:dyDescent="0.25">
      <c r="B84" s="401">
        <v>832</v>
      </c>
      <c r="C84" s="402">
        <v>832</v>
      </c>
      <c r="D84" s="2" t="s">
        <v>315</v>
      </c>
      <c r="E84" s="162">
        <v>400</v>
      </c>
      <c r="F84" s="3" t="s">
        <v>183</v>
      </c>
      <c r="G84" s="111">
        <v>64</v>
      </c>
      <c r="H84" s="131"/>
      <c r="I84" s="111">
        <f t="shared" si="5"/>
        <v>25600</v>
      </c>
      <c r="J84" s="132"/>
    </row>
    <row r="85" spans="2:13" x14ac:dyDescent="0.25">
      <c r="B85" s="401">
        <v>832</v>
      </c>
      <c r="C85" s="402">
        <v>832</v>
      </c>
      <c r="D85" s="2" t="s">
        <v>316</v>
      </c>
      <c r="E85" s="162">
        <v>0</v>
      </c>
      <c r="F85" s="3" t="s">
        <v>183</v>
      </c>
      <c r="G85" s="111">
        <v>0</v>
      </c>
      <c r="H85" s="131"/>
      <c r="I85" s="111">
        <f t="shared" si="5"/>
        <v>0</v>
      </c>
      <c r="J85" s="132"/>
    </row>
    <row r="86" spans="2:13" x14ac:dyDescent="0.25">
      <c r="B86" s="401">
        <v>832</v>
      </c>
      <c r="C86" s="402">
        <v>832</v>
      </c>
      <c r="D86" s="2" t="s">
        <v>317</v>
      </c>
      <c r="E86" s="162">
        <v>0</v>
      </c>
      <c r="F86" s="3" t="s">
        <v>183</v>
      </c>
      <c r="G86" s="111">
        <v>0</v>
      </c>
      <c r="H86" s="131"/>
      <c r="I86" s="111">
        <f t="shared" si="5"/>
        <v>0</v>
      </c>
      <c r="J86" s="132"/>
    </row>
    <row r="87" spans="2:13" x14ac:dyDescent="0.25">
      <c r="B87" s="401">
        <v>832</v>
      </c>
      <c r="C87" s="402">
        <v>832</v>
      </c>
      <c r="D87" s="2" t="s">
        <v>318</v>
      </c>
      <c r="E87" s="162">
        <v>100</v>
      </c>
      <c r="F87" s="3" t="s">
        <v>183</v>
      </c>
      <c r="G87" s="111">
        <v>150</v>
      </c>
      <c r="H87" s="131"/>
      <c r="I87" s="111">
        <f t="shared" si="5"/>
        <v>15000</v>
      </c>
      <c r="J87" s="132"/>
    </row>
    <row r="88" spans="2:13" x14ac:dyDescent="0.25">
      <c r="B88" s="401">
        <v>832</v>
      </c>
      <c r="C88" s="402">
        <v>832</v>
      </c>
      <c r="D88" s="2" t="s">
        <v>319</v>
      </c>
      <c r="E88" s="162">
        <v>900</v>
      </c>
      <c r="F88" s="3" t="s">
        <v>183</v>
      </c>
      <c r="G88" s="111">
        <v>150</v>
      </c>
      <c r="H88" s="131"/>
      <c r="I88" s="111">
        <f t="shared" si="5"/>
        <v>135000</v>
      </c>
      <c r="J88" s="132"/>
    </row>
    <row r="89" spans="2:13" x14ac:dyDescent="0.25">
      <c r="B89" s="401">
        <v>832</v>
      </c>
      <c r="C89" s="402">
        <v>832</v>
      </c>
      <c r="D89" s="2" t="s">
        <v>320</v>
      </c>
      <c r="E89" s="162">
        <v>0</v>
      </c>
      <c r="F89" s="3" t="s">
        <v>310</v>
      </c>
      <c r="G89" s="111">
        <v>0</v>
      </c>
      <c r="H89" s="131"/>
      <c r="I89" s="111">
        <f t="shared" si="5"/>
        <v>0</v>
      </c>
      <c r="J89" s="132"/>
    </row>
    <row r="90" spans="2:13" x14ac:dyDescent="0.25">
      <c r="B90" s="401">
        <v>832</v>
      </c>
      <c r="C90" s="402">
        <v>832</v>
      </c>
      <c r="D90" s="2" t="s">
        <v>321</v>
      </c>
      <c r="E90" s="162">
        <v>0</v>
      </c>
      <c r="F90" s="3" t="s">
        <v>324</v>
      </c>
      <c r="G90" s="111">
        <v>20</v>
      </c>
      <c r="H90" s="131"/>
      <c r="I90" s="111">
        <f t="shared" si="5"/>
        <v>0</v>
      </c>
      <c r="J90" s="132"/>
    </row>
    <row r="91" spans="2:13" x14ac:dyDescent="0.25">
      <c r="B91" s="401">
        <v>823</v>
      </c>
      <c r="C91" s="402">
        <v>823</v>
      </c>
      <c r="D91" s="2" t="s">
        <v>322</v>
      </c>
      <c r="E91" s="162">
        <v>0</v>
      </c>
      <c r="F91" s="3" t="s">
        <v>221</v>
      </c>
      <c r="G91" s="111">
        <v>0</v>
      </c>
      <c r="H91" s="131"/>
      <c r="I91" s="111">
        <f t="shared" si="5"/>
        <v>0</v>
      </c>
      <c r="J91" s="132"/>
    </row>
    <row r="92" spans="2:13" x14ac:dyDescent="0.25">
      <c r="B92" s="401">
        <v>824</v>
      </c>
      <c r="C92" s="402">
        <v>824</v>
      </c>
      <c r="D92" s="2" t="s">
        <v>323</v>
      </c>
      <c r="E92" s="162">
        <v>0</v>
      </c>
      <c r="F92" s="3" t="s">
        <v>183</v>
      </c>
      <c r="G92" s="111">
        <v>0</v>
      </c>
      <c r="H92" s="131"/>
      <c r="I92" s="111">
        <f t="shared" si="5"/>
        <v>0</v>
      </c>
      <c r="J92" s="132"/>
    </row>
    <row r="93" spans="2:13" x14ac:dyDescent="0.25">
      <c r="B93" s="401"/>
      <c r="C93" s="402">
        <v>832</v>
      </c>
      <c r="D93" s="2" t="s">
        <v>464</v>
      </c>
      <c r="E93" s="162">
        <v>1</v>
      </c>
      <c r="F93" s="3" t="s">
        <v>183</v>
      </c>
      <c r="G93" s="111">
        <v>100000</v>
      </c>
      <c r="H93" s="131"/>
      <c r="I93" s="111">
        <f t="shared" si="5"/>
        <v>100000</v>
      </c>
      <c r="J93" s="132"/>
    </row>
    <row r="94" spans="2:13" x14ac:dyDescent="0.25">
      <c r="B94" s="401" t="s">
        <v>21</v>
      </c>
      <c r="C94" s="402"/>
      <c r="D94" s="2" t="s">
        <v>247</v>
      </c>
      <c r="E94" s="162">
        <v>1</v>
      </c>
      <c r="F94" s="3" t="s">
        <v>197</v>
      </c>
      <c r="G94" s="111">
        <v>226002</v>
      </c>
      <c r="H94" s="131"/>
      <c r="I94" s="111">
        <f t="shared" si="5"/>
        <v>226002</v>
      </c>
      <c r="J94" s="132"/>
      <c r="L94" t="s">
        <v>434</v>
      </c>
    </row>
    <row r="95" spans="2:13" x14ac:dyDescent="0.25">
      <c r="B95" s="401" t="s">
        <v>21</v>
      </c>
      <c r="C95" s="402"/>
      <c r="D95" s="2" t="s">
        <v>325</v>
      </c>
      <c r="E95" s="162">
        <v>0</v>
      </c>
      <c r="F95" s="3" t="s">
        <v>197</v>
      </c>
      <c r="G95" s="111">
        <v>0</v>
      </c>
      <c r="H95" s="131"/>
      <c r="I95" s="111">
        <f t="shared" si="5"/>
        <v>0</v>
      </c>
      <c r="J95" s="132"/>
    </row>
    <row r="96" spans="2:13" x14ac:dyDescent="0.25">
      <c r="B96" s="401" t="s">
        <v>21</v>
      </c>
      <c r="C96" s="402"/>
      <c r="D96" s="2" t="s">
        <v>326</v>
      </c>
      <c r="E96" s="162">
        <v>10</v>
      </c>
      <c r="F96" s="3" t="s">
        <v>170</v>
      </c>
      <c r="G96" s="111">
        <v>65000</v>
      </c>
      <c r="H96" s="131"/>
      <c r="I96" s="111">
        <f t="shared" si="5"/>
        <v>650000</v>
      </c>
      <c r="J96" s="132"/>
    </row>
    <row r="97" spans="2:12" x14ac:dyDescent="0.25">
      <c r="B97" s="401" t="s">
        <v>21</v>
      </c>
      <c r="C97" s="402"/>
      <c r="D97" s="2" t="s">
        <v>190</v>
      </c>
      <c r="E97" s="162">
        <v>0</v>
      </c>
      <c r="F97" s="3" t="s">
        <v>177</v>
      </c>
      <c r="G97" s="111">
        <v>0</v>
      </c>
      <c r="H97" s="131"/>
      <c r="I97" s="111">
        <f t="shared" si="5"/>
        <v>0</v>
      </c>
      <c r="J97" s="132"/>
    </row>
    <row r="98" spans="2:12" x14ac:dyDescent="0.25">
      <c r="B98" s="401" t="s">
        <v>21</v>
      </c>
      <c r="C98" s="402"/>
      <c r="D98" s="2" t="s">
        <v>193</v>
      </c>
      <c r="E98" s="162">
        <v>0</v>
      </c>
      <c r="F98" s="3" t="s">
        <v>183</v>
      </c>
      <c r="G98" s="111">
        <v>17</v>
      </c>
      <c r="H98" s="131"/>
      <c r="I98" s="111">
        <f t="shared" si="5"/>
        <v>0</v>
      </c>
      <c r="J98" s="132"/>
    </row>
    <row r="99" spans="2:12" x14ac:dyDescent="0.25">
      <c r="B99" s="401" t="s">
        <v>21</v>
      </c>
      <c r="C99" s="402"/>
      <c r="D99" s="2" t="s">
        <v>328</v>
      </c>
      <c r="E99" s="162">
        <v>0</v>
      </c>
      <c r="F99" s="3" t="s">
        <v>435</v>
      </c>
      <c r="G99" s="111">
        <v>20000</v>
      </c>
      <c r="H99" s="131"/>
      <c r="I99" s="111">
        <f t="shared" si="5"/>
        <v>0</v>
      </c>
      <c r="J99" s="132"/>
      <c r="L99" t="s">
        <v>436</v>
      </c>
    </row>
    <row r="100" spans="2:12" x14ac:dyDescent="0.25">
      <c r="B100" s="401" t="s">
        <v>21</v>
      </c>
      <c r="C100" s="402"/>
      <c r="D100" s="2" t="s">
        <v>194</v>
      </c>
      <c r="E100" s="162">
        <v>10</v>
      </c>
      <c r="F100" s="3" t="s">
        <v>197</v>
      </c>
      <c r="G100" s="111">
        <v>31967</v>
      </c>
      <c r="H100" s="131"/>
      <c r="I100" s="111">
        <f t="shared" ref="I100:I103" si="6">G100*E100</f>
        <v>319670</v>
      </c>
      <c r="J100" s="132"/>
    </row>
    <row r="101" spans="2:12" x14ac:dyDescent="0.25">
      <c r="B101" s="401" t="s">
        <v>21</v>
      </c>
      <c r="C101" s="402"/>
      <c r="D101" s="2" t="s">
        <v>196</v>
      </c>
      <c r="E101" s="162">
        <v>4</v>
      </c>
      <c r="F101" s="3" t="s">
        <v>197</v>
      </c>
      <c r="G101" s="111">
        <v>10500</v>
      </c>
      <c r="H101" s="131"/>
      <c r="I101" s="111">
        <f t="shared" si="6"/>
        <v>42000</v>
      </c>
      <c r="J101" s="132"/>
    </row>
    <row r="102" spans="2:12" x14ac:dyDescent="0.25">
      <c r="B102" s="401" t="s">
        <v>21</v>
      </c>
      <c r="C102" s="402"/>
      <c r="D102" s="2" t="s">
        <v>477</v>
      </c>
      <c r="E102" s="162">
        <v>6</v>
      </c>
      <c r="F102" s="3" t="s">
        <v>197</v>
      </c>
      <c r="G102" s="111">
        <v>74100</v>
      </c>
      <c r="H102" s="131"/>
      <c r="I102" s="111">
        <f t="shared" ref="I102" si="7">G102*E102</f>
        <v>444600</v>
      </c>
      <c r="J102" s="132"/>
    </row>
    <row r="103" spans="2:12" x14ac:dyDescent="0.25">
      <c r="B103" s="401" t="s">
        <v>21</v>
      </c>
      <c r="C103" s="402"/>
      <c r="D103" s="2" t="s">
        <v>478</v>
      </c>
      <c r="E103" s="162">
        <v>3</v>
      </c>
      <c r="F103" s="3" t="s">
        <v>197</v>
      </c>
      <c r="G103" s="111">
        <v>21800</v>
      </c>
      <c r="H103" s="131"/>
      <c r="I103" s="111">
        <f t="shared" si="6"/>
        <v>65400</v>
      </c>
      <c r="J103" s="132"/>
    </row>
    <row r="104" spans="2:12" ht="15.75" x14ac:dyDescent="0.25">
      <c r="B104" s="119"/>
      <c r="C104" s="109" t="s">
        <v>21</v>
      </c>
      <c r="D104" s="107"/>
      <c r="E104" s="160"/>
      <c r="F104" s="109"/>
      <c r="G104" s="110"/>
      <c r="H104" s="110"/>
      <c r="I104" s="138"/>
      <c r="J104" s="120">
        <f>CEILING(SUM(I30:I103),100)</f>
        <v>12674200</v>
      </c>
    </row>
    <row r="105" spans="2:12" x14ac:dyDescent="0.25">
      <c r="B105" s="133"/>
      <c r="C105" s="134"/>
      <c r="D105" s="135"/>
      <c r="E105" s="161"/>
      <c r="F105" s="134"/>
      <c r="G105" s="136"/>
      <c r="H105" s="136"/>
      <c r="I105" s="136"/>
      <c r="J105" s="137"/>
    </row>
    <row r="106" spans="2:12" ht="15.75" x14ac:dyDescent="0.25">
      <c r="B106" s="119"/>
      <c r="C106" s="108" t="s">
        <v>198</v>
      </c>
      <c r="D106" s="107"/>
      <c r="E106" s="160"/>
      <c r="F106" s="109"/>
      <c r="G106" s="110"/>
      <c r="H106" s="110"/>
      <c r="I106" s="110"/>
      <c r="J106" s="120"/>
    </row>
    <row r="107" spans="2:12" x14ac:dyDescent="0.25">
      <c r="B107" s="401" t="s">
        <v>21</v>
      </c>
      <c r="C107" s="402"/>
      <c r="D107" s="2" t="s">
        <v>199</v>
      </c>
      <c r="E107" s="157">
        <f>($J$104*0.08)/$G$107</f>
        <v>1207.0666666666666</v>
      </c>
      <c r="F107" s="118" t="s">
        <v>200</v>
      </c>
      <c r="G107" s="111">
        <v>840</v>
      </c>
      <c r="H107" s="131"/>
      <c r="I107" s="111">
        <f>G107*E107</f>
        <v>1013936</v>
      </c>
      <c r="J107" s="132"/>
    </row>
    <row r="108" spans="2:12" x14ac:dyDescent="0.25">
      <c r="B108" s="401" t="s">
        <v>21</v>
      </c>
      <c r="C108" s="402"/>
      <c r="D108" s="2" t="s">
        <v>201</v>
      </c>
      <c r="E108" s="157">
        <f>($J$104*0.03)/$G$108</f>
        <v>190.113</v>
      </c>
      <c r="F108" s="118" t="s">
        <v>195</v>
      </c>
      <c r="G108" s="111">
        <v>2000</v>
      </c>
      <c r="H108" s="131"/>
      <c r="I108" s="111">
        <f>G108*E108</f>
        <v>380226</v>
      </c>
      <c r="J108" s="132"/>
    </row>
    <row r="109" spans="2:12" ht="15.75" x14ac:dyDescent="0.25">
      <c r="B109" s="119"/>
      <c r="C109" s="108" t="s">
        <v>202</v>
      </c>
      <c r="D109" s="107"/>
      <c r="E109" s="160"/>
      <c r="F109" s="109"/>
      <c r="G109" s="110"/>
      <c r="H109" s="110"/>
      <c r="I109" s="138"/>
      <c r="J109" s="120">
        <f>CEILING(SUM(I107:I108),100)</f>
        <v>1394200</v>
      </c>
    </row>
    <row r="110" spans="2:12" x14ac:dyDescent="0.25">
      <c r="B110" s="133"/>
      <c r="C110" s="134"/>
      <c r="D110" s="135"/>
      <c r="E110" s="161"/>
      <c r="F110" s="134"/>
      <c r="G110" s="136"/>
      <c r="H110" s="136"/>
      <c r="I110" s="136"/>
      <c r="J110" s="137"/>
    </row>
    <row r="111" spans="2:12" ht="15.75" x14ac:dyDescent="0.25">
      <c r="B111" s="119"/>
      <c r="C111" s="108" t="s">
        <v>203</v>
      </c>
      <c r="D111" s="107"/>
      <c r="E111" s="160"/>
      <c r="F111" s="109"/>
      <c r="G111" s="110"/>
      <c r="H111" s="110"/>
      <c r="I111" s="110"/>
      <c r="J111" s="120"/>
    </row>
    <row r="112" spans="2:12" x14ac:dyDescent="0.25">
      <c r="B112" s="408" t="s">
        <v>21</v>
      </c>
      <c r="C112" s="409"/>
      <c r="D112" s="142" t="s">
        <v>204</v>
      </c>
      <c r="E112" s="165"/>
      <c r="F112" s="253"/>
      <c r="G112" s="143"/>
      <c r="H112" s="144"/>
      <c r="I112" s="143"/>
      <c r="J112" s="145"/>
    </row>
    <row r="113" spans="2:10" x14ac:dyDescent="0.25">
      <c r="B113" s="401" t="s">
        <v>21</v>
      </c>
      <c r="C113" s="402"/>
      <c r="D113" s="2" t="s">
        <v>465</v>
      </c>
      <c r="E113" s="162">
        <v>13800</v>
      </c>
      <c r="F113" s="3" t="s">
        <v>183</v>
      </c>
      <c r="G113" s="111">
        <v>109</v>
      </c>
      <c r="H113" s="131"/>
      <c r="I113" s="111">
        <f>G113*E113</f>
        <v>1504200</v>
      </c>
      <c r="J113" s="132"/>
    </row>
    <row r="114" spans="2:10" x14ac:dyDescent="0.25">
      <c r="B114" s="401" t="s">
        <v>21</v>
      </c>
      <c r="C114" s="402"/>
      <c r="D114" s="2" t="s">
        <v>466</v>
      </c>
      <c r="E114" s="162">
        <v>550</v>
      </c>
      <c r="F114" s="3" t="s">
        <v>183</v>
      </c>
      <c r="G114" s="111">
        <v>117</v>
      </c>
      <c r="H114" s="131"/>
      <c r="I114" s="111">
        <f>G114*E114</f>
        <v>64350</v>
      </c>
      <c r="J114" s="132"/>
    </row>
    <row r="115" spans="2:10" x14ac:dyDescent="0.25">
      <c r="B115" s="401" t="s">
        <v>21</v>
      </c>
      <c r="C115" s="402"/>
      <c r="D115" s="290" t="s">
        <v>222</v>
      </c>
      <c r="E115" s="288">
        <v>0</v>
      </c>
      <c r="F115" s="3" t="s">
        <v>183</v>
      </c>
      <c r="G115" s="111">
        <v>0</v>
      </c>
      <c r="H115" s="131"/>
      <c r="I115" s="111">
        <f>G115*E115</f>
        <v>0</v>
      </c>
      <c r="J115" s="132"/>
    </row>
    <row r="116" spans="2:10" x14ac:dyDescent="0.25">
      <c r="B116" s="408" t="s">
        <v>21</v>
      </c>
      <c r="C116" s="409"/>
      <c r="D116" s="142" t="s">
        <v>205</v>
      </c>
      <c r="E116" s="165"/>
      <c r="F116" s="253"/>
      <c r="G116" s="143"/>
      <c r="H116" s="144"/>
      <c r="I116" s="143"/>
      <c r="J116" s="145"/>
    </row>
    <row r="117" spans="2:10" x14ac:dyDescent="0.25">
      <c r="B117" s="401" t="s">
        <v>21</v>
      </c>
      <c r="C117" s="402"/>
      <c r="D117" s="2" t="s">
        <v>467</v>
      </c>
      <c r="E117" s="162">
        <v>13</v>
      </c>
      <c r="F117" s="3" t="s">
        <v>197</v>
      </c>
      <c r="G117" s="111">
        <v>5000</v>
      </c>
      <c r="H117" s="131"/>
      <c r="I117" s="111">
        <f>G117*E117</f>
        <v>65000</v>
      </c>
      <c r="J117" s="132"/>
    </row>
    <row r="118" spans="2:10" x14ac:dyDescent="0.25">
      <c r="B118" s="401" t="s">
        <v>21</v>
      </c>
      <c r="C118" s="402"/>
      <c r="D118" s="2" t="s">
        <v>468</v>
      </c>
      <c r="E118" s="162">
        <v>11</v>
      </c>
      <c r="F118" s="3" t="s">
        <v>197</v>
      </c>
      <c r="G118" s="111">
        <v>5575</v>
      </c>
      <c r="H118" s="131"/>
      <c r="I118" s="111">
        <f>G118*E118</f>
        <v>61325</v>
      </c>
      <c r="J118" s="132"/>
    </row>
    <row r="119" spans="2:10" x14ac:dyDescent="0.25">
      <c r="B119" s="408" t="s">
        <v>21</v>
      </c>
      <c r="C119" s="409"/>
      <c r="D119" s="142" t="s">
        <v>248</v>
      </c>
      <c r="E119" s="165"/>
      <c r="F119" s="253"/>
      <c r="G119" s="143"/>
      <c r="H119" s="144"/>
      <c r="I119" s="143"/>
      <c r="J119" s="145"/>
    </row>
    <row r="120" spans="2:10" x14ac:dyDescent="0.25">
      <c r="B120" s="401" t="s">
        <v>21</v>
      </c>
      <c r="C120" s="402"/>
      <c r="D120" s="2" t="s">
        <v>476</v>
      </c>
      <c r="E120" s="162">
        <v>6</v>
      </c>
      <c r="F120" s="3" t="s">
        <v>197</v>
      </c>
      <c r="G120" s="111">
        <v>44300</v>
      </c>
      <c r="H120" s="131"/>
      <c r="I120" s="111">
        <f>G120*E120</f>
        <v>265800</v>
      </c>
      <c r="J120" s="132"/>
    </row>
    <row r="121" spans="2:10" x14ac:dyDescent="0.25">
      <c r="B121" s="401" t="s">
        <v>21</v>
      </c>
      <c r="C121" s="402"/>
      <c r="D121" s="2" t="s">
        <v>470</v>
      </c>
      <c r="E121" s="162">
        <v>4</v>
      </c>
      <c r="F121" s="3" t="s">
        <v>197</v>
      </c>
      <c r="G121" s="111">
        <v>65000</v>
      </c>
      <c r="H121" s="131"/>
      <c r="I121" s="111">
        <f>G121*E121</f>
        <v>260000</v>
      </c>
      <c r="J121" s="132"/>
    </row>
    <row r="122" spans="2:10" x14ac:dyDescent="0.25">
      <c r="B122" s="401" t="s">
        <v>21</v>
      </c>
      <c r="C122" s="402"/>
      <c r="D122" s="2" t="s">
        <v>249</v>
      </c>
      <c r="E122" s="162">
        <v>0</v>
      </c>
      <c r="F122" s="3" t="s">
        <v>197</v>
      </c>
      <c r="G122" s="111">
        <v>0</v>
      </c>
      <c r="H122" s="131"/>
      <c r="I122" s="111">
        <f>G122*E122</f>
        <v>0</v>
      </c>
      <c r="J122" s="132"/>
    </row>
    <row r="123" spans="2:10" x14ac:dyDescent="0.25">
      <c r="B123" s="401" t="s">
        <v>21</v>
      </c>
      <c r="C123" s="402"/>
      <c r="D123" s="2" t="s">
        <v>469</v>
      </c>
      <c r="E123" s="162">
        <v>1</v>
      </c>
      <c r="F123" s="3" t="s">
        <v>197</v>
      </c>
      <c r="G123" s="111">
        <v>184964</v>
      </c>
      <c r="H123" s="131"/>
      <c r="I123" s="111">
        <f>G123*E123</f>
        <v>184964</v>
      </c>
      <c r="J123" s="132"/>
    </row>
    <row r="124" spans="2:10" x14ac:dyDescent="0.25">
      <c r="B124" s="408" t="s">
        <v>21</v>
      </c>
      <c r="C124" s="409"/>
      <c r="D124" s="142" t="s">
        <v>216</v>
      </c>
      <c r="E124" s="165" t="s">
        <v>21</v>
      </c>
      <c r="F124" s="253" t="s">
        <v>21</v>
      </c>
      <c r="G124" s="143" t="s">
        <v>21</v>
      </c>
      <c r="H124" s="144"/>
      <c r="I124" s="143" t="s">
        <v>21</v>
      </c>
      <c r="J124" s="145"/>
    </row>
    <row r="125" spans="2:10" x14ac:dyDescent="0.25">
      <c r="B125" s="401" t="s">
        <v>21</v>
      </c>
      <c r="C125" s="402"/>
      <c r="D125" s="2" t="s">
        <v>206</v>
      </c>
      <c r="E125" s="162">
        <v>14310</v>
      </c>
      <c r="F125" s="3" t="s">
        <v>183</v>
      </c>
      <c r="G125" s="111">
        <v>2</v>
      </c>
      <c r="H125" s="131"/>
      <c r="I125" s="111">
        <f>G125*E125</f>
        <v>28620</v>
      </c>
      <c r="J125" s="132"/>
    </row>
    <row r="126" spans="2:10" x14ac:dyDescent="0.25">
      <c r="B126" s="401" t="s">
        <v>21</v>
      </c>
      <c r="C126" s="402"/>
      <c r="D126" s="2" t="s">
        <v>207</v>
      </c>
      <c r="E126" s="162">
        <v>1</v>
      </c>
      <c r="F126" s="118" t="s">
        <v>161</v>
      </c>
      <c r="G126" s="140">
        <f>SUM(I112:I125)*0.1</f>
        <v>243425.90000000002</v>
      </c>
      <c r="H126" s="131"/>
      <c r="I126" s="111">
        <f>G126*E126</f>
        <v>243425.90000000002</v>
      </c>
      <c r="J126" s="132"/>
    </row>
    <row r="127" spans="2:10" ht="16.5" thickBot="1" x14ac:dyDescent="0.3">
      <c r="B127" s="121"/>
      <c r="C127" s="108" t="s">
        <v>208</v>
      </c>
      <c r="D127" s="108"/>
      <c r="E127" s="160"/>
      <c r="F127" s="109"/>
      <c r="G127" s="113"/>
      <c r="H127" s="113"/>
      <c r="I127" s="139"/>
      <c r="J127" s="128">
        <f>CEILING(SUM(I112:I126),100)</f>
        <v>2677700</v>
      </c>
    </row>
    <row r="128" spans="2:10" ht="16.5" thickBot="1" x14ac:dyDescent="0.3">
      <c r="B128" s="417" t="s">
        <v>209</v>
      </c>
      <c r="C128" s="418"/>
      <c r="D128" s="418"/>
      <c r="E128" s="418"/>
      <c r="F128" s="418"/>
      <c r="G128" s="418"/>
      <c r="H128" s="418"/>
      <c r="I128" s="418"/>
      <c r="J128" s="130">
        <f>SUM(J7,J13,J27,J104,J109,J127)</f>
        <v>20866400</v>
      </c>
    </row>
    <row r="129" spans="2:17" ht="15.75" thickBot="1" x14ac:dyDescent="0.3">
      <c r="B129" s="415" t="s">
        <v>211</v>
      </c>
      <c r="C129" s="416"/>
      <c r="D129" s="291"/>
      <c r="E129" s="196">
        <f>'Master Tab'!C27</f>
        <v>3</v>
      </c>
      <c r="F129" s="197" t="s">
        <v>217</v>
      </c>
      <c r="G129" s="198">
        <f>'Master Tab'!C28</f>
        <v>2.5000000000000001E-2</v>
      </c>
      <c r="H129" s="124"/>
      <c r="I129" s="129"/>
      <c r="J129" s="122">
        <f>CEILING(-(FV(G129,E129,0,SUM(J127,J27,J13,J7),1))-(SUM(J127,J27,J13,J7)),100)+CEILING(-(FV(G129,E129+0.5,0,SUM(J109,J104),1))-(SUM(J109,J104)),100)</f>
        <v>1792800</v>
      </c>
      <c r="L129" s="400"/>
      <c r="M129" s="400"/>
      <c r="N129" s="400"/>
      <c r="O129" s="400"/>
      <c r="P129" s="400"/>
      <c r="Q129" s="400"/>
    </row>
    <row r="130" spans="2:17" ht="15.75" thickBot="1" x14ac:dyDescent="0.3">
      <c r="B130" s="413" t="s">
        <v>210</v>
      </c>
      <c r="C130" s="414"/>
      <c r="D130" s="414"/>
      <c r="E130" s="166"/>
      <c r="F130" s="127"/>
      <c r="G130" s="199">
        <f>'Master Tab'!C29</f>
        <v>0.15</v>
      </c>
      <c r="H130" s="114"/>
      <c r="I130" s="129"/>
      <c r="J130" s="125">
        <f>CEILING((J128)*G130,100)</f>
        <v>3130000</v>
      </c>
    </row>
    <row r="131" spans="2:17" ht="19.5" thickBot="1" x14ac:dyDescent="0.35">
      <c r="B131" s="410" t="s">
        <v>212</v>
      </c>
      <c r="C131" s="411"/>
      <c r="D131" s="411"/>
      <c r="E131" s="411"/>
      <c r="F131" s="411"/>
      <c r="G131" s="411"/>
      <c r="H131" s="411"/>
      <c r="I131" s="412"/>
      <c r="J131" s="123">
        <f>SUM(J128:J130)</f>
        <v>25789200</v>
      </c>
    </row>
    <row r="132" spans="2:17" x14ac:dyDescent="0.25">
      <c r="B132" t="s">
        <v>21</v>
      </c>
      <c r="C132" s="1" t="s">
        <v>21</v>
      </c>
      <c r="D132" s="292" t="s">
        <v>21</v>
      </c>
    </row>
    <row r="133" spans="2:17" x14ac:dyDescent="0.25">
      <c r="B133" t="s">
        <v>21</v>
      </c>
      <c r="C133" s="1" t="s">
        <v>21</v>
      </c>
      <c r="D133" s="292" t="s">
        <v>21</v>
      </c>
      <c r="I133" s="112" t="s">
        <v>213</v>
      </c>
      <c r="J133" s="112">
        <f>J131/E29</f>
        <v>1802.1802935010483</v>
      </c>
    </row>
    <row r="134" spans="2:17" x14ac:dyDescent="0.25">
      <c r="I134" s="112" t="s">
        <v>214</v>
      </c>
      <c r="J134" s="112">
        <f>J131/(E29/5280)</f>
        <v>9515511.9496855345</v>
      </c>
    </row>
  </sheetData>
  <protectedRanges>
    <protectedRange algorithmName="SHA-512" hashValue="IbmNoH/XH9GZlitwFdFY+V3LGy1xQ3NuyVDz7GZtIth0KYgNC0Qiwte8wkicOU0jJryaYhOoqvkAD5QQLEfb1g==" saltValue="AzvUTwuISd6SY3rDKW9o1w==" spinCount="100000" sqref="A129:R134 A1:K17 L1:R4 L6:R17 A18:R95 A96:D96 H96:R96 A97:R127" name="Range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qHerBJm0vopvVmQK42+6aqcEKnnP7zKw99i6Bk4hrgNiTBv4VyD0oYeBIPSJQq9SF3h0UdcJGMX+FNyWsfd/hg==" saltValue="DypPMyvmfgSUyoiPlGmKLQ==" spinCount="100000" sqref="A128:R128" name="Range1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E96:G96" name="Range1_2" securityDescriptor="O:WDG:WDD:(A;;CC;;;S-1-5-21-577582919-1435025626-1914702595-4020469)(A;;CC;;;S-1-5-21-577582919-1435025626-1914702595-3758999)(A;;CC;;;S-1-5-21-577582919-1435025626-1914702595-3758875)(A;;CC;;;S-1-5-21-577582919-1435025626-1914702595-4023729)(A;;CC;;;S-1-5-21-577582919-1435025626-1914702595-3758127)"/>
  </protectedRanges>
  <mergeCells count="117">
    <mergeCell ref="B2:C2"/>
    <mergeCell ref="B5:C5"/>
    <mergeCell ref="B6:C6"/>
    <mergeCell ref="B10:C10"/>
    <mergeCell ref="B11:C11"/>
    <mergeCell ref="B21:C21"/>
    <mergeCell ref="B19:C19"/>
    <mergeCell ref="B17:C17"/>
    <mergeCell ref="B24:C24"/>
    <mergeCell ref="B18:C18"/>
    <mergeCell ref="B20:C20"/>
    <mergeCell ref="B22:C22"/>
    <mergeCell ref="B131:I131"/>
    <mergeCell ref="B130:D130"/>
    <mergeCell ref="B129:C129"/>
    <mergeCell ref="B83:C83"/>
    <mergeCell ref="B84:C84"/>
    <mergeCell ref="B85:C85"/>
    <mergeCell ref="B86:C86"/>
    <mergeCell ref="B87:C87"/>
    <mergeCell ref="B88:C88"/>
    <mergeCell ref="B89:C89"/>
    <mergeCell ref="B90:C90"/>
    <mergeCell ref="B99:C99"/>
    <mergeCell ref="B97:C97"/>
    <mergeCell ref="B96:C96"/>
    <mergeCell ref="B91:C91"/>
    <mergeCell ref="B92:C92"/>
    <mergeCell ref="B93:C93"/>
    <mergeCell ref="B101:C101"/>
    <mergeCell ref="B107:C107"/>
    <mergeCell ref="B94:C94"/>
    <mergeCell ref="B95:C95"/>
    <mergeCell ref="B126:C126"/>
    <mergeCell ref="B128:I128"/>
    <mergeCell ref="L129:Q129"/>
    <mergeCell ref="L4:R4"/>
    <mergeCell ref="D2:H2"/>
    <mergeCell ref="D1:H1"/>
    <mergeCell ref="L3:R3"/>
    <mergeCell ref="B124:C124"/>
    <mergeCell ref="B125:C125"/>
    <mergeCell ref="B114:C114"/>
    <mergeCell ref="B115:C115"/>
    <mergeCell ref="B116:C116"/>
    <mergeCell ref="B117:C117"/>
    <mergeCell ref="B123:C123"/>
    <mergeCell ref="B118:C118"/>
    <mergeCell ref="B119:C119"/>
    <mergeCell ref="B122:C122"/>
    <mergeCell ref="B121:C121"/>
    <mergeCell ref="B120:C120"/>
    <mergeCell ref="B112:C112"/>
    <mergeCell ref="B98:C98"/>
    <mergeCell ref="B100:C100"/>
    <mergeCell ref="B12:C12"/>
    <mergeCell ref="B16:C16"/>
    <mergeCell ref="B23:C23"/>
    <mergeCell ref="B25:C25"/>
    <mergeCell ref="B32:C32"/>
    <mergeCell ref="B33:C33"/>
    <mergeCell ref="B34:C34"/>
    <mergeCell ref="B35:C35"/>
    <mergeCell ref="B36:C36"/>
    <mergeCell ref="B26:C26"/>
    <mergeCell ref="B30:C30"/>
    <mergeCell ref="B31:C31"/>
    <mergeCell ref="B82:C82"/>
    <mergeCell ref="B42:C42"/>
    <mergeCell ref="B43:C43"/>
    <mergeCell ref="B44:C44"/>
    <mergeCell ref="B45:C45"/>
    <mergeCell ref="B46:C46"/>
    <mergeCell ref="B37:C37"/>
    <mergeCell ref="B38:C38"/>
    <mergeCell ref="B39:C39"/>
    <mergeCell ref="B40:C40"/>
    <mergeCell ref="B41:C41"/>
    <mergeCell ref="B52:C52"/>
    <mergeCell ref="B53:C53"/>
    <mergeCell ref="B54:C54"/>
    <mergeCell ref="B55:C55"/>
    <mergeCell ref="B56:C56"/>
    <mergeCell ref="B47:C47"/>
    <mergeCell ref="B48:C48"/>
    <mergeCell ref="B49:C49"/>
    <mergeCell ref="B50:C50"/>
    <mergeCell ref="B51:C51"/>
    <mergeCell ref="B62:C62"/>
    <mergeCell ref="B63:C63"/>
    <mergeCell ref="B64:C64"/>
    <mergeCell ref="B65:C65"/>
    <mergeCell ref="B66:C66"/>
    <mergeCell ref="B57:C57"/>
    <mergeCell ref="B58:C58"/>
    <mergeCell ref="B59:C59"/>
    <mergeCell ref="B60:C60"/>
    <mergeCell ref="B61:C61"/>
    <mergeCell ref="B72:C72"/>
    <mergeCell ref="B73:C73"/>
    <mergeCell ref="B74:C74"/>
    <mergeCell ref="B75:C75"/>
    <mergeCell ref="B76:C76"/>
    <mergeCell ref="B67:C67"/>
    <mergeCell ref="B68:C68"/>
    <mergeCell ref="B69:C69"/>
    <mergeCell ref="B70:C70"/>
    <mergeCell ref="B71:C71"/>
    <mergeCell ref="B113:C113"/>
    <mergeCell ref="B103:C103"/>
    <mergeCell ref="B108:C108"/>
    <mergeCell ref="B77:C77"/>
    <mergeCell ref="B78:C78"/>
    <mergeCell ref="B79:C79"/>
    <mergeCell ref="B80:C80"/>
    <mergeCell ref="B81:C81"/>
    <mergeCell ref="B102:C102"/>
  </mergeCells>
  <pageMargins left="0.7" right="0.7" top="0.75" bottom="0.75" header="0.3" footer="0.3"/>
  <pageSetup scale="33" fitToHeight="0" orientation="portrait" r:id="rId1"/>
  <headerFooter>
    <oddHeader>&amp;R&amp;"Times New Roman,Bold"&amp;10KyPSC Case No. 2025-00229
STAFF-DR-01-005(b) Attachment 10
Page &amp;P of &amp;N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97EC9-85FE-4280-8C07-0CC1AF2463C5}">
  <sheetPr>
    <tabColor rgb="FFFF0000"/>
    <pageSetUpPr fitToPage="1"/>
  </sheetPr>
  <dimension ref="B1:R60"/>
  <sheetViews>
    <sheetView tabSelected="1" view="pageLayout" topLeftCell="A28" zoomScaleNormal="75" workbookViewId="0">
      <selection activeCell="J18" sqref="J18"/>
    </sheetView>
  </sheetViews>
  <sheetFormatPr defaultRowHeight="15" x14ac:dyDescent="0.25"/>
  <cols>
    <col min="2" max="2" width="2.140625" customWidth="1"/>
    <col min="3" max="3" width="14.5703125" style="1" customWidth="1"/>
    <col min="4" max="4" width="37.5703125" bestFit="1" customWidth="1"/>
    <col min="5" max="5" width="11.5703125" style="167" customWidth="1"/>
    <col min="6" max="6" width="13.85546875" style="1" customWidth="1"/>
    <col min="7" max="7" width="13" style="112" customWidth="1"/>
    <col min="8" max="8" width="0.85546875" style="112" customWidth="1"/>
    <col min="9" max="9" width="16.28515625" style="112" customWidth="1"/>
    <col min="10" max="10" width="21.140625" style="112" customWidth="1"/>
    <col min="11" max="11" width="3.7109375" customWidth="1"/>
  </cols>
  <sheetData>
    <row r="1" spans="2:18" ht="23.25" x14ac:dyDescent="0.35">
      <c r="B1" s="147"/>
      <c r="C1" s="148"/>
      <c r="D1" s="407" t="str">
        <f>'Master Tab'!$C$8</f>
        <v>Line AM07 PH5</v>
      </c>
      <c r="E1" s="407"/>
      <c r="F1" s="407"/>
      <c r="G1" s="407"/>
      <c r="H1" s="407"/>
      <c r="I1" s="148"/>
      <c r="J1" s="149"/>
    </row>
    <row r="2" spans="2:18" ht="19.5" thickBot="1" x14ac:dyDescent="0.35">
      <c r="B2" s="419">
        <f>'Master Tab'!$C$9</f>
        <v>44221</v>
      </c>
      <c r="C2" s="381"/>
      <c r="D2" s="406" t="s">
        <v>99</v>
      </c>
      <c r="E2" s="406"/>
      <c r="F2" s="406"/>
      <c r="G2" s="406"/>
      <c r="H2" s="406"/>
      <c r="I2" s="150" t="s">
        <v>150</v>
      </c>
      <c r="J2" s="151" t="str">
        <f>'Master Tab'!$C$6</f>
        <v>C</v>
      </c>
    </row>
    <row r="3" spans="2:18" ht="30.75" thickBot="1" x14ac:dyDescent="0.3">
      <c r="B3" s="152"/>
      <c r="C3" s="153" t="s">
        <v>151</v>
      </c>
      <c r="D3" s="154" t="s">
        <v>152</v>
      </c>
      <c r="E3" s="159" t="s">
        <v>153</v>
      </c>
      <c r="F3" s="155" t="s">
        <v>154</v>
      </c>
      <c r="G3" s="156" t="s">
        <v>155</v>
      </c>
      <c r="H3" s="156"/>
      <c r="I3" s="156" t="s">
        <v>229</v>
      </c>
      <c r="J3" s="156" t="s">
        <v>156</v>
      </c>
      <c r="L3" s="400" t="s">
        <v>157</v>
      </c>
      <c r="M3" s="400"/>
      <c r="N3" s="400"/>
      <c r="O3" s="400"/>
      <c r="P3" s="400"/>
      <c r="Q3" s="400"/>
      <c r="R3" s="400"/>
    </row>
    <row r="4" spans="2:18" ht="15.75" x14ac:dyDescent="0.25">
      <c r="B4" s="119"/>
      <c r="C4" s="108" t="s">
        <v>158</v>
      </c>
      <c r="D4" s="107"/>
      <c r="E4" s="160"/>
      <c r="F4" s="109"/>
      <c r="G4" s="110"/>
      <c r="H4" s="110"/>
      <c r="I4" s="110"/>
      <c r="J4" s="120"/>
      <c r="L4" s="405" t="s">
        <v>215</v>
      </c>
      <c r="M4" s="405"/>
      <c r="N4" s="405"/>
      <c r="O4" s="405"/>
      <c r="P4" s="405"/>
      <c r="Q4" s="405"/>
      <c r="R4" s="405"/>
    </row>
    <row r="5" spans="2:18" x14ac:dyDescent="0.25">
      <c r="B5" s="401" t="s">
        <v>21</v>
      </c>
      <c r="C5" s="402"/>
      <c r="D5" s="2" t="s">
        <v>116</v>
      </c>
      <c r="E5" s="157">
        <f>'Master Tab'!$C$15</f>
        <v>40</v>
      </c>
      <c r="F5" s="118" t="s">
        <v>399</v>
      </c>
      <c r="G5" s="111">
        <v>1600</v>
      </c>
      <c r="H5" s="131" t="s">
        <v>21</v>
      </c>
      <c r="I5" s="111">
        <f>CEILING(G5*E5,100)</f>
        <v>64000</v>
      </c>
      <c r="J5" s="132"/>
    </row>
    <row r="6" spans="2:18" x14ac:dyDescent="0.25">
      <c r="B6" s="401" t="s">
        <v>21</v>
      </c>
      <c r="C6" s="402"/>
      <c r="D6" s="2" t="s">
        <v>160</v>
      </c>
      <c r="E6" s="157">
        <f>'Master Tab'!$C$15</f>
        <v>40</v>
      </c>
      <c r="F6" s="118" t="s">
        <v>399</v>
      </c>
      <c r="G6" s="111">
        <v>400</v>
      </c>
      <c r="H6" s="131" t="s">
        <v>21</v>
      </c>
      <c r="I6" s="111">
        <f>CEILING(G6*E6,100)</f>
        <v>16000</v>
      </c>
      <c r="J6" s="132"/>
      <c r="M6" t="s">
        <v>21</v>
      </c>
      <c r="N6" t="s">
        <v>21</v>
      </c>
    </row>
    <row r="7" spans="2:18" ht="15.75" x14ac:dyDescent="0.25">
      <c r="B7" s="119"/>
      <c r="C7" s="108" t="s">
        <v>162</v>
      </c>
      <c r="D7" s="107"/>
      <c r="E7" s="160"/>
      <c r="F7" s="109"/>
      <c r="G7" s="110"/>
      <c r="H7" s="110"/>
      <c r="I7" s="110"/>
      <c r="J7" s="120">
        <f>SUM(I5:I6)</f>
        <v>80000</v>
      </c>
    </row>
    <row r="8" spans="2:18" ht="8.25" customHeight="1" x14ac:dyDescent="0.25">
      <c r="B8" s="133"/>
      <c r="C8" s="134"/>
      <c r="D8" s="135"/>
      <c r="E8" s="161"/>
      <c r="F8" s="134"/>
      <c r="G8" s="136"/>
      <c r="H8" s="136"/>
      <c r="I8" s="136"/>
      <c r="J8" s="137"/>
    </row>
    <row r="9" spans="2:18" ht="15.75" x14ac:dyDescent="0.25">
      <c r="B9" s="119"/>
      <c r="C9" s="108" t="s">
        <v>163</v>
      </c>
      <c r="D9" s="107"/>
      <c r="E9" s="160"/>
      <c r="F9" s="109"/>
      <c r="G9" s="110"/>
      <c r="H9" s="110"/>
      <c r="I9" s="110"/>
      <c r="J9" s="120"/>
    </row>
    <row r="10" spans="2:18" x14ac:dyDescent="0.25">
      <c r="B10" s="401" t="s">
        <v>21</v>
      </c>
      <c r="C10" s="402"/>
      <c r="D10" s="2" t="s">
        <v>164</v>
      </c>
      <c r="E10" s="157">
        <f>(($J$24+$J$42+$J$54)*0.11)/G10</f>
        <v>629.20000000000005</v>
      </c>
      <c r="F10" s="118" t="s">
        <v>159</v>
      </c>
      <c r="G10" s="111">
        <v>125</v>
      </c>
      <c r="H10" s="131"/>
      <c r="I10" s="111">
        <f>G10*E10</f>
        <v>78650</v>
      </c>
      <c r="J10" s="132"/>
    </row>
    <row r="11" spans="2:18" x14ac:dyDescent="0.25">
      <c r="B11" s="401" t="s">
        <v>21</v>
      </c>
      <c r="C11" s="402"/>
      <c r="D11" s="2" t="s">
        <v>165</v>
      </c>
      <c r="E11" s="157">
        <f>(($J$24+$J$42+$J$54)*0)/G11</f>
        <v>0</v>
      </c>
      <c r="F11" s="118" t="s">
        <v>159</v>
      </c>
      <c r="G11" s="111">
        <v>125</v>
      </c>
      <c r="H11" s="131"/>
      <c r="I11" s="111">
        <f t="shared" ref="I11:I12" si="0">G11*E11</f>
        <v>0</v>
      </c>
      <c r="J11" s="132"/>
    </row>
    <row r="12" spans="2:18" x14ac:dyDescent="0.25">
      <c r="B12" s="401" t="s">
        <v>21</v>
      </c>
      <c r="C12" s="402"/>
      <c r="D12" s="2" t="s">
        <v>166</v>
      </c>
      <c r="E12" s="164">
        <v>1</v>
      </c>
      <c r="F12" s="195" t="s">
        <v>177</v>
      </c>
      <c r="G12" s="111">
        <v>0</v>
      </c>
      <c r="H12" s="131"/>
      <c r="I12" s="111">
        <f t="shared" si="0"/>
        <v>0</v>
      </c>
      <c r="J12" s="132"/>
      <c r="L12" t="s">
        <v>260</v>
      </c>
    </row>
    <row r="13" spans="2:18" ht="15.75" x14ac:dyDescent="0.25">
      <c r="B13" s="119"/>
      <c r="C13" s="108" t="s">
        <v>167</v>
      </c>
      <c r="D13" s="107"/>
      <c r="E13" s="160"/>
      <c r="F13" s="109"/>
      <c r="G13" s="110"/>
      <c r="H13" s="110"/>
      <c r="I13" s="138"/>
      <c r="J13" s="120">
        <f>CEILING(SUM(I10:I12),100)</f>
        <v>78700</v>
      </c>
    </row>
    <row r="14" spans="2:18" ht="8.25" customHeight="1" x14ac:dyDescent="0.25">
      <c r="B14" s="133"/>
      <c r="C14" s="134"/>
      <c r="D14" s="135"/>
      <c r="E14" s="161"/>
      <c r="F14" s="134"/>
      <c r="G14" s="136"/>
      <c r="H14" s="136"/>
      <c r="I14" s="136"/>
      <c r="J14" s="137"/>
    </row>
    <row r="15" spans="2:18" ht="15.75" x14ac:dyDescent="0.25">
      <c r="B15" s="119"/>
      <c r="C15" s="108" t="s">
        <v>168</v>
      </c>
      <c r="D15" s="107"/>
      <c r="E15" s="160"/>
      <c r="F15" s="109"/>
      <c r="G15" s="110"/>
      <c r="H15" s="110"/>
      <c r="I15" s="110"/>
      <c r="J15" s="120"/>
    </row>
    <row r="16" spans="2:18" x14ac:dyDescent="0.25">
      <c r="B16" s="401" t="s">
        <v>21</v>
      </c>
      <c r="C16" s="402"/>
      <c r="D16" s="2" t="s">
        <v>169</v>
      </c>
      <c r="E16" s="162">
        <v>0</v>
      </c>
      <c r="F16" s="3" t="s">
        <v>170</v>
      </c>
      <c r="G16" s="111">
        <v>50000</v>
      </c>
      <c r="H16" s="131"/>
      <c r="I16" s="111">
        <f t="shared" ref="I16:I23" si="1">CEILING(G16*E16,100)</f>
        <v>0</v>
      </c>
      <c r="J16" s="132"/>
      <c r="N16" t="s">
        <v>21</v>
      </c>
    </row>
    <row r="17" spans="2:13" x14ac:dyDescent="0.25">
      <c r="B17" s="401" t="s">
        <v>21</v>
      </c>
      <c r="C17" s="402"/>
      <c r="D17" s="2" t="s">
        <v>403</v>
      </c>
      <c r="E17" s="162">
        <v>0</v>
      </c>
      <c r="F17" s="3" t="s">
        <v>170</v>
      </c>
      <c r="G17" s="111">
        <v>20000</v>
      </c>
      <c r="H17" s="131"/>
      <c r="I17" s="111">
        <f t="shared" si="1"/>
        <v>0</v>
      </c>
      <c r="J17" s="132"/>
    </row>
    <row r="18" spans="2:13" x14ac:dyDescent="0.25">
      <c r="B18" s="401" t="s">
        <v>21</v>
      </c>
      <c r="C18" s="402"/>
      <c r="D18" s="2" t="s">
        <v>404</v>
      </c>
      <c r="E18" s="162">
        <v>0</v>
      </c>
      <c r="F18" s="3" t="s">
        <v>170</v>
      </c>
      <c r="G18" s="111">
        <v>30000</v>
      </c>
      <c r="H18" s="131"/>
      <c r="I18" s="111">
        <f t="shared" si="1"/>
        <v>0</v>
      </c>
      <c r="J18" s="132"/>
    </row>
    <row r="19" spans="2:13" x14ac:dyDescent="0.25">
      <c r="B19" s="401" t="s">
        <v>21</v>
      </c>
      <c r="C19" s="402"/>
      <c r="D19" s="2" t="s">
        <v>405</v>
      </c>
      <c r="E19" s="162">
        <v>0</v>
      </c>
      <c r="F19" s="3" t="s">
        <v>170</v>
      </c>
      <c r="G19" s="140">
        <f>G17*0.25</f>
        <v>5000</v>
      </c>
      <c r="H19" s="131"/>
      <c r="I19" s="111">
        <f t="shared" si="1"/>
        <v>0</v>
      </c>
      <c r="J19" s="132"/>
    </row>
    <row r="20" spans="2:13" x14ac:dyDescent="0.25">
      <c r="B20" s="401" t="s">
        <v>21</v>
      </c>
      <c r="C20" s="402"/>
      <c r="D20" s="2" t="s">
        <v>406</v>
      </c>
      <c r="E20" s="162">
        <v>0</v>
      </c>
      <c r="F20" s="3" t="s">
        <v>197</v>
      </c>
      <c r="G20" s="111">
        <v>7500</v>
      </c>
      <c r="H20" s="131"/>
      <c r="I20" s="111">
        <f t="shared" si="1"/>
        <v>0</v>
      </c>
      <c r="J20" s="132"/>
    </row>
    <row r="21" spans="2:13" x14ac:dyDescent="0.25">
      <c r="B21" s="401" t="s">
        <v>21</v>
      </c>
      <c r="C21" s="402"/>
      <c r="D21" s="2" t="s">
        <v>407</v>
      </c>
      <c r="E21" s="162">
        <v>0</v>
      </c>
      <c r="F21" s="3" t="s">
        <v>408</v>
      </c>
      <c r="G21" s="111">
        <v>60000</v>
      </c>
      <c r="H21" s="131"/>
      <c r="I21" s="111">
        <f t="shared" si="1"/>
        <v>0</v>
      </c>
      <c r="J21" s="132"/>
    </row>
    <row r="22" spans="2:13" x14ac:dyDescent="0.25">
      <c r="B22" s="401" t="s">
        <v>21</v>
      </c>
      <c r="C22" s="402"/>
      <c r="D22" s="2" t="s">
        <v>171</v>
      </c>
      <c r="E22" s="162">
        <v>0</v>
      </c>
      <c r="F22" s="3" t="s">
        <v>172</v>
      </c>
      <c r="G22" s="111">
        <v>12000</v>
      </c>
      <c r="H22" s="131"/>
      <c r="I22" s="111">
        <f t="shared" si="1"/>
        <v>0</v>
      </c>
      <c r="J22" s="132"/>
    </row>
    <row r="23" spans="2:13" x14ac:dyDescent="0.25">
      <c r="B23" s="401" t="s">
        <v>21</v>
      </c>
      <c r="C23" s="402"/>
      <c r="D23" s="2" t="s">
        <v>173</v>
      </c>
      <c r="E23" s="157">
        <f>ROUNDUP(E22*0.1,1)</f>
        <v>0</v>
      </c>
      <c r="F23" s="118" t="s">
        <v>172</v>
      </c>
      <c r="G23" s="111">
        <v>20000</v>
      </c>
      <c r="H23" s="131"/>
      <c r="I23" s="111">
        <f t="shared" si="1"/>
        <v>0</v>
      </c>
      <c r="J23" s="132"/>
    </row>
    <row r="24" spans="2:13" ht="15.75" x14ac:dyDescent="0.25">
      <c r="B24" s="119"/>
      <c r="C24" s="108" t="s">
        <v>174</v>
      </c>
      <c r="D24" s="107"/>
      <c r="E24" s="160"/>
      <c r="F24" s="109"/>
      <c r="G24" s="110"/>
      <c r="H24" s="138"/>
      <c r="I24" s="110"/>
      <c r="J24" s="120">
        <f>SUM(I16:I23)</f>
        <v>0</v>
      </c>
    </row>
    <row r="25" spans="2:13" ht="8.25" customHeight="1" x14ac:dyDescent="0.25">
      <c r="B25" s="133"/>
      <c r="C25" s="134"/>
      <c r="D25" s="135"/>
      <c r="E25" s="161"/>
      <c r="F25" s="134"/>
      <c r="G25" s="136"/>
      <c r="H25" s="136"/>
      <c r="I25" s="136"/>
      <c r="J25" s="137"/>
    </row>
    <row r="26" spans="2:13" ht="15.75" x14ac:dyDescent="0.25">
      <c r="B26" s="119"/>
      <c r="C26" s="108" t="s">
        <v>175</v>
      </c>
      <c r="D26" s="107"/>
      <c r="E26" s="163">
        <v>14310</v>
      </c>
      <c r="F26" s="116" t="s">
        <v>223</v>
      </c>
      <c r="G26" s="117"/>
      <c r="H26" s="115"/>
      <c r="I26" s="115"/>
      <c r="J26" s="120"/>
    </row>
    <row r="27" spans="2:13" x14ac:dyDescent="0.25">
      <c r="B27" s="401" t="s">
        <v>21</v>
      </c>
      <c r="C27" s="402"/>
      <c r="D27" s="2" t="s">
        <v>178</v>
      </c>
      <c r="E27" s="164">
        <v>1</v>
      </c>
      <c r="F27" s="118" t="s">
        <v>177</v>
      </c>
      <c r="G27" s="140">
        <f>(SUM(I28:I41)*L27)</f>
        <v>64000</v>
      </c>
      <c r="H27" s="131"/>
      <c r="I27" s="111">
        <f>G27*E27</f>
        <v>64000</v>
      </c>
      <c r="J27" s="132"/>
      <c r="L27" s="141">
        <v>0.1</v>
      </c>
      <c r="M27" t="s">
        <v>179</v>
      </c>
    </row>
    <row r="28" spans="2:13" x14ac:dyDescent="0.25">
      <c r="B28" s="401" t="s">
        <v>21</v>
      </c>
      <c r="C28" s="402"/>
      <c r="D28" s="2" t="s">
        <v>224</v>
      </c>
      <c r="E28" s="162">
        <v>6</v>
      </c>
      <c r="F28" s="3" t="s">
        <v>195</v>
      </c>
      <c r="G28" s="111">
        <v>7500</v>
      </c>
      <c r="H28" s="131"/>
      <c r="I28" s="111">
        <f t="shared" ref="I28:I41" si="2">G28*E28</f>
        <v>45000</v>
      </c>
      <c r="J28" s="132"/>
      <c r="M28" t="s">
        <v>21</v>
      </c>
    </row>
    <row r="29" spans="2:13" x14ac:dyDescent="0.25">
      <c r="B29" s="401" t="s">
        <v>21</v>
      </c>
      <c r="C29" s="402"/>
      <c r="D29" s="2" t="s">
        <v>225</v>
      </c>
      <c r="E29" s="162">
        <v>0</v>
      </c>
      <c r="F29" s="3" t="s">
        <v>181</v>
      </c>
      <c r="G29" s="111">
        <v>0</v>
      </c>
      <c r="H29" s="131"/>
      <c r="I29" s="111">
        <f t="shared" si="2"/>
        <v>0</v>
      </c>
      <c r="J29" s="132"/>
    </row>
    <row r="30" spans="2:13" x14ac:dyDescent="0.25">
      <c r="B30" s="401" t="s">
        <v>21</v>
      </c>
      <c r="C30" s="402"/>
      <c r="D30" s="2" t="s">
        <v>226</v>
      </c>
      <c r="E30" s="162">
        <v>140</v>
      </c>
      <c r="F30" s="3" t="s">
        <v>181</v>
      </c>
      <c r="G30" s="111">
        <v>2125</v>
      </c>
      <c r="H30" s="131"/>
      <c r="I30" s="111">
        <f t="shared" si="2"/>
        <v>297500</v>
      </c>
      <c r="J30" s="132"/>
      <c r="M30" t="s">
        <v>21</v>
      </c>
    </row>
    <row r="31" spans="2:13" x14ac:dyDescent="0.25">
      <c r="B31" s="401" t="s">
        <v>21</v>
      </c>
      <c r="C31" s="402"/>
      <c r="D31" s="2" t="s">
        <v>471</v>
      </c>
      <c r="E31" s="162">
        <v>14</v>
      </c>
      <c r="F31" s="3" t="s">
        <v>197</v>
      </c>
      <c r="G31" s="111">
        <v>12500</v>
      </c>
      <c r="H31" s="131"/>
      <c r="I31" s="111">
        <f t="shared" si="2"/>
        <v>175000</v>
      </c>
      <c r="J31" s="132"/>
    </row>
    <row r="32" spans="2:13" x14ac:dyDescent="0.25">
      <c r="B32" s="401" t="s">
        <v>21</v>
      </c>
      <c r="C32" s="402"/>
      <c r="D32" s="2" t="s">
        <v>329</v>
      </c>
      <c r="E32" s="162">
        <v>1</v>
      </c>
      <c r="F32" s="3" t="s">
        <v>177</v>
      </c>
      <c r="G32" s="111">
        <v>50000</v>
      </c>
      <c r="H32" s="131"/>
      <c r="I32" s="111">
        <f t="shared" si="2"/>
        <v>50000</v>
      </c>
      <c r="J32" s="132"/>
    </row>
    <row r="33" spans="2:13" x14ac:dyDescent="0.25">
      <c r="B33" s="401" t="s">
        <v>21</v>
      </c>
      <c r="C33" s="402"/>
      <c r="D33" s="2" t="s">
        <v>261</v>
      </c>
      <c r="E33" s="162">
        <v>0</v>
      </c>
      <c r="F33" s="3" t="s">
        <v>197</v>
      </c>
      <c r="G33" s="111">
        <v>75000</v>
      </c>
      <c r="H33" s="131"/>
      <c r="I33" s="111">
        <f t="shared" si="2"/>
        <v>0</v>
      </c>
      <c r="J33" s="132"/>
      <c r="M33" t="s">
        <v>21</v>
      </c>
    </row>
    <row r="34" spans="2:13" x14ac:dyDescent="0.25">
      <c r="B34" s="401" t="s">
        <v>21</v>
      </c>
      <c r="C34" s="402"/>
      <c r="D34" s="2" t="s">
        <v>330</v>
      </c>
      <c r="E34" s="162">
        <v>0</v>
      </c>
      <c r="F34" s="3" t="s">
        <v>197</v>
      </c>
      <c r="G34" s="111">
        <v>35000</v>
      </c>
      <c r="H34" s="131"/>
      <c r="I34" s="111">
        <f t="shared" ref="I34:I35" si="3">G34*E34</f>
        <v>0</v>
      </c>
      <c r="J34" s="132"/>
    </row>
    <row r="35" spans="2:13" x14ac:dyDescent="0.25">
      <c r="B35" s="401" t="s">
        <v>21</v>
      </c>
      <c r="C35" s="402"/>
      <c r="D35" s="2" t="s">
        <v>331</v>
      </c>
      <c r="E35" s="162">
        <v>0</v>
      </c>
      <c r="F35" s="3" t="s">
        <v>197</v>
      </c>
      <c r="G35" s="111">
        <v>50000</v>
      </c>
      <c r="H35" s="131"/>
      <c r="I35" s="111">
        <f t="shared" si="3"/>
        <v>0</v>
      </c>
      <c r="J35" s="132"/>
    </row>
    <row r="36" spans="2:13" x14ac:dyDescent="0.25">
      <c r="B36" s="401" t="s">
        <v>21</v>
      </c>
      <c r="C36" s="402"/>
      <c r="D36" s="2" t="s">
        <v>332</v>
      </c>
      <c r="E36" s="162">
        <v>0</v>
      </c>
      <c r="F36" s="3" t="s">
        <v>197</v>
      </c>
      <c r="G36" s="111">
        <v>85000</v>
      </c>
      <c r="H36" s="131"/>
      <c r="I36" s="111">
        <f t="shared" si="2"/>
        <v>0</v>
      </c>
      <c r="J36" s="132"/>
    </row>
    <row r="37" spans="2:13" x14ac:dyDescent="0.25">
      <c r="B37" s="401" t="s">
        <v>21</v>
      </c>
      <c r="C37" s="402"/>
      <c r="D37" s="2" t="s">
        <v>262</v>
      </c>
      <c r="E37" s="162">
        <v>1</v>
      </c>
      <c r="F37" s="3" t="s">
        <v>177</v>
      </c>
      <c r="G37" s="111">
        <v>10000</v>
      </c>
      <c r="H37" s="131"/>
      <c r="I37" s="111">
        <f t="shared" si="2"/>
        <v>10000</v>
      </c>
      <c r="J37" s="132"/>
    </row>
    <row r="38" spans="2:13" x14ac:dyDescent="0.25">
      <c r="B38" s="401" t="s">
        <v>21</v>
      </c>
      <c r="C38" s="402"/>
      <c r="D38" s="2" t="s">
        <v>265</v>
      </c>
      <c r="E38" s="162">
        <v>1</v>
      </c>
      <c r="F38" s="3" t="s">
        <v>177</v>
      </c>
      <c r="G38" s="111">
        <v>50000</v>
      </c>
      <c r="H38" s="131"/>
      <c r="I38" s="111">
        <f t="shared" si="2"/>
        <v>50000</v>
      </c>
      <c r="J38" s="132"/>
    </row>
    <row r="39" spans="2:13" x14ac:dyDescent="0.25">
      <c r="B39" s="401" t="s">
        <v>21</v>
      </c>
      <c r="C39" s="402"/>
      <c r="D39" s="2" t="s">
        <v>263</v>
      </c>
      <c r="E39" s="162">
        <v>1</v>
      </c>
      <c r="F39" s="3" t="s">
        <v>264</v>
      </c>
      <c r="G39" s="111">
        <v>12500</v>
      </c>
      <c r="H39" s="131"/>
      <c r="I39" s="111">
        <f t="shared" si="2"/>
        <v>12500</v>
      </c>
      <c r="J39" s="132"/>
    </row>
    <row r="40" spans="2:13" x14ac:dyDescent="0.25">
      <c r="B40" s="401" t="s">
        <v>21</v>
      </c>
      <c r="C40" s="402"/>
      <c r="D40" s="2" t="s">
        <v>194</v>
      </c>
      <c r="E40" s="162">
        <v>0</v>
      </c>
      <c r="F40" s="3" t="s">
        <v>195</v>
      </c>
      <c r="G40" s="111">
        <v>0</v>
      </c>
      <c r="H40" s="131"/>
      <c r="I40" s="111">
        <f t="shared" si="2"/>
        <v>0</v>
      </c>
      <c r="J40" s="132"/>
    </row>
    <row r="41" spans="2:13" x14ac:dyDescent="0.25">
      <c r="B41" s="401" t="s">
        <v>21</v>
      </c>
      <c r="C41" s="402"/>
      <c r="D41" s="2" t="s">
        <v>196</v>
      </c>
      <c r="E41" s="162">
        <v>0</v>
      </c>
      <c r="F41" s="3" t="s">
        <v>197</v>
      </c>
      <c r="G41" s="111">
        <v>0</v>
      </c>
      <c r="H41" s="131"/>
      <c r="I41" s="111">
        <f t="shared" si="2"/>
        <v>0</v>
      </c>
      <c r="J41" s="132"/>
    </row>
    <row r="42" spans="2:13" ht="15.75" x14ac:dyDescent="0.25">
      <c r="B42" s="119"/>
      <c r="C42" s="109" t="s">
        <v>21</v>
      </c>
      <c r="D42" s="107"/>
      <c r="E42" s="160"/>
      <c r="F42" s="109"/>
      <c r="G42" s="110"/>
      <c r="H42" s="110"/>
      <c r="I42" s="138"/>
      <c r="J42" s="120">
        <f>CEILING(SUM(I27:I41),100)</f>
        <v>704000</v>
      </c>
    </row>
    <row r="43" spans="2:13" ht="8.25" customHeight="1" x14ac:dyDescent="0.25">
      <c r="B43" s="133"/>
      <c r="C43" s="134"/>
      <c r="D43" s="135"/>
      <c r="E43" s="161"/>
      <c r="F43" s="134"/>
      <c r="G43" s="136"/>
      <c r="H43" s="136"/>
      <c r="I43" s="136"/>
      <c r="J43" s="137"/>
    </row>
    <row r="44" spans="2:13" ht="15.75" x14ac:dyDescent="0.25">
      <c r="B44" s="119"/>
      <c r="C44" s="108" t="s">
        <v>198</v>
      </c>
      <c r="D44" s="107"/>
      <c r="E44" s="160"/>
      <c r="F44" s="109"/>
      <c r="G44" s="110"/>
      <c r="H44" s="110"/>
      <c r="I44" s="110"/>
      <c r="J44" s="120"/>
    </row>
    <row r="45" spans="2:13" x14ac:dyDescent="0.25">
      <c r="B45" s="401" t="s">
        <v>21</v>
      </c>
      <c r="C45" s="402"/>
      <c r="D45" s="2" t="s">
        <v>199</v>
      </c>
      <c r="E45" s="157">
        <f>($J$42*0.15)/$G$45</f>
        <v>125.71428571428571</v>
      </c>
      <c r="F45" s="118" t="s">
        <v>200</v>
      </c>
      <c r="G45" s="111">
        <v>840</v>
      </c>
      <c r="H45" s="131"/>
      <c r="I45" s="111">
        <f>G45*E45</f>
        <v>105600</v>
      </c>
      <c r="J45" s="132"/>
    </row>
    <row r="46" spans="2:13" x14ac:dyDescent="0.25">
      <c r="B46" s="401" t="s">
        <v>21</v>
      </c>
      <c r="C46" s="402"/>
      <c r="D46" s="2" t="s">
        <v>201</v>
      </c>
      <c r="E46" s="162">
        <v>0</v>
      </c>
      <c r="F46" s="3" t="s">
        <v>195</v>
      </c>
      <c r="G46" s="111">
        <v>2000</v>
      </c>
      <c r="H46" s="131"/>
      <c r="I46" s="111">
        <f>G46*E46</f>
        <v>0</v>
      </c>
      <c r="J46" s="132"/>
    </row>
    <row r="47" spans="2:13" ht="15.75" x14ac:dyDescent="0.25">
      <c r="B47" s="119"/>
      <c r="C47" s="108" t="s">
        <v>202</v>
      </c>
      <c r="D47" s="107"/>
      <c r="E47" s="160"/>
      <c r="F47" s="109"/>
      <c r="G47" s="110"/>
      <c r="H47" s="110"/>
      <c r="I47" s="138"/>
      <c r="J47" s="120">
        <f>CEILING(SUM(I45:I46),100)</f>
        <v>105600</v>
      </c>
    </row>
    <row r="48" spans="2:13" ht="8.25" customHeight="1" x14ac:dyDescent="0.25">
      <c r="B48" s="133"/>
      <c r="C48" s="134"/>
      <c r="D48" s="135"/>
      <c r="E48" s="161"/>
      <c r="F48" s="134"/>
      <c r="G48" s="136"/>
      <c r="H48" s="136"/>
      <c r="I48" s="136"/>
      <c r="J48" s="137"/>
    </row>
    <row r="49" spans="2:17" ht="15.75" x14ac:dyDescent="0.25">
      <c r="B49" s="119"/>
      <c r="C49" s="108" t="s">
        <v>203</v>
      </c>
      <c r="D49" s="107"/>
      <c r="E49" s="160"/>
      <c r="F49" s="109"/>
      <c r="G49" s="110"/>
      <c r="H49" s="110"/>
      <c r="I49" s="110"/>
      <c r="J49" s="120"/>
    </row>
    <row r="50" spans="2:17" x14ac:dyDescent="0.25">
      <c r="B50" s="401" t="s">
        <v>21</v>
      </c>
      <c r="C50" s="402"/>
      <c r="D50" s="2" t="s">
        <v>227</v>
      </c>
      <c r="E50" s="162">
        <v>1</v>
      </c>
      <c r="F50" s="3" t="s">
        <v>177</v>
      </c>
      <c r="G50" s="111">
        <v>10000</v>
      </c>
      <c r="H50" s="131"/>
      <c r="I50" s="111">
        <f>G50*E50</f>
        <v>10000</v>
      </c>
      <c r="J50" s="132"/>
    </row>
    <row r="51" spans="2:17" x14ac:dyDescent="0.25">
      <c r="B51" s="401" t="s">
        <v>21</v>
      </c>
      <c r="C51" s="402"/>
      <c r="D51" s="2" t="s">
        <v>228</v>
      </c>
      <c r="E51" s="162">
        <v>0</v>
      </c>
      <c r="F51" s="3" t="s">
        <v>197</v>
      </c>
      <c r="G51" s="111">
        <v>0</v>
      </c>
      <c r="H51" s="131"/>
      <c r="I51" s="111">
        <f>G51*E51</f>
        <v>0</v>
      </c>
      <c r="J51" s="132"/>
    </row>
    <row r="52" spans="2:17" x14ac:dyDescent="0.25">
      <c r="B52" s="401" t="s">
        <v>21</v>
      </c>
      <c r="C52" s="402"/>
      <c r="D52" s="2" t="s">
        <v>228</v>
      </c>
      <c r="E52" s="162">
        <v>0</v>
      </c>
      <c r="F52" s="3" t="s">
        <v>197</v>
      </c>
      <c r="G52" s="111">
        <v>0</v>
      </c>
      <c r="H52" s="131"/>
      <c r="I52" s="111">
        <f>G52*E52</f>
        <v>0</v>
      </c>
      <c r="J52" s="132"/>
    </row>
    <row r="53" spans="2:17" x14ac:dyDescent="0.25">
      <c r="B53" s="401" t="s">
        <v>21</v>
      </c>
      <c r="C53" s="402"/>
      <c r="D53" s="2" t="s">
        <v>207</v>
      </c>
      <c r="E53" s="162">
        <v>1</v>
      </c>
      <c r="F53" s="118" t="s">
        <v>161</v>
      </c>
      <c r="G53" s="140">
        <f>SUM(I50:I52)*0.1</f>
        <v>1000</v>
      </c>
      <c r="H53" s="131"/>
      <c r="I53" s="111">
        <f>G53*E53</f>
        <v>1000</v>
      </c>
      <c r="J53" s="132"/>
    </row>
    <row r="54" spans="2:17" ht="16.5" thickBot="1" x14ac:dyDescent="0.3">
      <c r="B54" s="121"/>
      <c r="C54" s="108" t="s">
        <v>208</v>
      </c>
      <c r="D54" s="108"/>
      <c r="E54" s="160"/>
      <c r="F54" s="109"/>
      <c r="G54" s="113"/>
      <c r="H54" s="113"/>
      <c r="I54" s="139"/>
      <c r="J54" s="128">
        <f>CEILING(SUM(I50:I53),100)</f>
        <v>11000</v>
      </c>
    </row>
    <row r="55" spans="2:17" ht="16.5" thickBot="1" x14ac:dyDescent="0.3">
      <c r="B55" s="417" t="s">
        <v>209</v>
      </c>
      <c r="C55" s="418"/>
      <c r="D55" s="418"/>
      <c r="E55" s="418"/>
      <c r="F55" s="418"/>
      <c r="G55" s="418"/>
      <c r="H55" s="418"/>
      <c r="I55" s="418"/>
      <c r="J55" s="130">
        <f>SUM(J7,J13,J24,J42,J47,J54)</f>
        <v>979300</v>
      </c>
    </row>
    <row r="56" spans="2:17" ht="15.75" thickBot="1" x14ac:dyDescent="0.3">
      <c r="B56" s="415" t="s">
        <v>211</v>
      </c>
      <c r="C56" s="416"/>
      <c r="D56" s="126"/>
      <c r="E56" s="196">
        <f>'Master Tab'!C27</f>
        <v>3</v>
      </c>
      <c r="F56" s="197" t="s">
        <v>217</v>
      </c>
      <c r="G56" s="198">
        <f>'Master Tab'!C28</f>
        <v>2.5000000000000001E-2</v>
      </c>
      <c r="H56" s="124"/>
      <c r="I56" s="129"/>
      <c r="J56" s="122">
        <f>CEILING(-(FV(G56,E56,0,SUM(J54,J24,J13,J7),1))-(SUM(J54,J24,J13,J7)),100)+CEILING(-(FV(G56,E56+0.5,0,SUM(J47,J42),1))-(SUM(J42,J47)),100)</f>
        <v>86200</v>
      </c>
      <c r="L56" s="400"/>
      <c r="M56" s="400"/>
      <c r="N56" s="400"/>
      <c r="O56" s="400"/>
      <c r="P56" s="400"/>
      <c r="Q56" s="400"/>
    </row>
    <row r="57" spans="2:17" ht="15.75" thickBot="1" x14ac:dyDescent="0.3">
      <c r="B57" s="413" t="s">
        <v>210</v>
      </c>
      <c r="C57" s="414"/>
      <c r="D57" s="414"/>
      <c r="E57" s="200"/>
      <c r="F57" s="201"/>
      <c r="G57" s="199">
        <f>'Master Tab'!C29</f>
        <v>0.15</v>
      </c>
      <c r="H57" s="114"/>
      <c r="I57" s="129"/>
      <c r="J57" s="125">
        <f>CEILING((J55)*G57,100)</f>
        <v>146900</v>
      </c>
    </row>
    <row r="58" spans="2:17" ht="19.5" thickBot="1" x14ac:dyDescent="0.35">
      <c r="B58" s="410" t="s">
        <v>212</v>
      </c>
      <c r="C58" s="411"/>
      <c r="D58" s="411"/>
      <c r="E58" s="411"/>
      <c r="F58" s="411"/>
      <c r="G58" s="411"/>
      <c r="H58" s="411"/>
      <c r="I58" s="412"/>
      <c r="J58" s="123">
        <f>SUM(J55:J57)</f>
        <v>1212400</v>
      </c>
    </row>
    <row r="59" spans="2:17" x14ac:dyDescent="0.25">
      <c r="B59" t="s">
        <v>21</v>
      </c>
      <c r="C59" s="1" t="s">
        <v>21</v>
      </c>
      <c r="D59" t="s">
        <v>21</v>
      </c>
    </row>
    <row r="60" spans="2:17" x14ac:dyDescent="0.25">
      <c r="B60" t="s">
        <v>21</v>
      </c>
      <c r="C60" s="1" t="s">
        <v>21</v>
      </c>
      <c r="D60" t="s">
        <v>21</v>
      </c>
    </row>
  </sheetData>
  <protectedRanges>
    <protectedRange algorithmName="SHA-512" hashValue="b/W1Z7CpyamLclBLOEtRCtGodxrtaeliauQ3OUUHPm00YYsCNF8pTKSQiORYzJqUiQoLnhhRhce20619agOvZQ==" saltValue="xW25fNM3ubj+z+H1lkfzNA==" spinCount="100000" sqref="L4:R4 A1:K62 L1:R3 L6:R62" name="Range1" securityDescriptor="O:WDG:WDD:(A;;CC;;;S-1-5-21-577582919-1435025626-1914702595-3758999)(A;;CC;;;S-1-5-21-577582919-1435025626-1914702595-4020469)(A;;CC;;;S-1-5-21-577582919-1435025626-1914702595-4023729)(A;;CC;;;S-1-5-21-577582919-1435025626-1914702595-3758875)(A;;CC;;;S-1-5-21-577582919-1435025626-1914702595-3758127)"/>
  </protectedRanges>
  <mergeCells count="44">
    <mergeCell ref="B32:C32"/>
    <mergeCell ref="B33:C33"/>
    <mergeCell ref="B36:C36"/>
    <mergeCell ref="B37:C37"/>
    <mergeCell ref="B39:C39"/>
    <mergeCell ref="B38:C38"/>
    <mergeCell ref="B34:C34"/>
    <mergeCell ref="B35:C35"/>
    <mergeCell ref="B18:C18"/>
    <mergeCell ref="B19:C19"/>
    <mergeCell ref="B20:C20"/>
    <mergeCell ref="B21:C21"/>
    <mergeCell ref="L3:R3"/>
    <mergeCell ref="B5:C5"/>
    <mergeCell ref="L4:R4"/>
    <mergeCell ref="B6:C6"/>
    <mergeCell ref="B10:C10"/>
    <mergeCell ref="B17:C17"/>
    <mergeCell ref="B16:C16"/>
    <mergeCell ref="D1:H1"/>
    <mergeCell ref="B2:C2"/>
    <mergeCell ref="D2:H2"/>
    <mergeCell ref="B11:C11"/>
    <mergeCell ref="B12:C12"/>
    <mergeCell ref="L56:Q56"/>
    <mergeCell ref="B57:D57"/>
    <mergeCell ref="B58:I58"/>
    <mergeCell ref="B52:C52"/>
    <mergeCell ref="B53:C53"/>
    <mergeCell ref="B55:I55"/>
    <mergeCell ref="B56:C56"/>
    <mergeCell ref="B45:C45"/>
    <mergeCell ref="B46:C46"/>
    <mergeCell ref="B50:C50"/>
    <mergeCell ref="B51:C51"/>
    <mergeCell ref="B40:C40"/>
    <mergeCell ref="B41:C41"/>
    <mergeCell ref="B31:C31"/>
    <mergeCell ref="B22:C22"/>
    <mergeCell ref="B23:C23"/>
    <mergeCell ref="B27:C27"/>
    <mergeCell ref="B28:C28"/>
    <mergeCell ref="B29:C29"/>
    <mergeCell ref="B30:C30"/>
  </mergeCells>
  <pageMargins left="0.7" right="0.7" top="0.75" bottom="0.75" header="0.3" footer="0.3"/>
  <pageSetup scale="35" orientation="portrait" r:id="rId1"/>
  <headerFooter>
    <oddHeader>&amp;R&amp;"Times New Roman,Bold"&amp;10KyPSC Case No. 2025-00229
STAFF-DR-01-005(b) Attachment 10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6858-ADD1-43AB-B5E2-8007E28EF07E}">
  <sheetPr>
    <pageSetUpPr fitToPage="1"/>
  </sheetPr>
  <dimension ref="B1:E42"/>
  <sheetViews>
    <sheetView view="pageLayout" zoomScaleNormal="100" workbookViewId="0">
      <selection activeCell="J18" sqref="J18"/>
    </sheetView>
  </sheetViews>
  <sheetFormatPr defaultRowHeight="15" x14ac:dyDescent="0.25"/>
  <cols>
    <col min="1" max="1" width="1.42578125" customWidth="1"/>
    <col min="2" max="2" width="45.140625" style="1" bestFit="1" customWidth="1"/>
    <col min="3" max="4" width="9.140625" style="1"/>
    <col min="5" max="5" width="46.85546875" style="1" customWidth="1"/>
  </cols>
  <sheetData>
    <row r="1" spans="2:5" ht="6" customHeight="1" thickBot="1" x14ac:dyDescent="0.3"/>
    <row r="2" spans="2:5" ht="21" x14ac:dyDescent="0.35">
      <c r="B2" s="309" t="s">
        <v>0</v>
      </c>
      <c r="C2" s="310"/>
      <c r="D2" s="310"/>
      <c r="E2" s="311"/>
    </row>
    <row r="3" spans="2:5" ht="21" x14ac:dyDescent="0.35">
      <c r="B3" s="312" t="str">
        <f>'Master Tab'!C8</f>
        <v>Line AM07 PH5</v>
      </c>
      <c r="C3" s="313"/>
      <c r="D3" s="313"/>
      <c r="E3" s="314"/>
    </row>
    <row r="4" spans="2:5" ht="21" x14ac:dyDescent="0.35">
      <c r="B4" s="312" t="str">
        <f>'Master Tab'!C23</f>
        <v>Class 5</v>
      </c>
      <c r="C4" s="313"/>
      <c r="D4" s="313"/>
      <c r="E4" s="314"/>
    </row>
    <row r="5" spans="2:5" ht="15.75" thickBot="1" x14ac:dyDescent="0.3">
      <c r="B5" s="256">
        <f>'Master Tab'!C9</f>
        <v>44221</v>
      </c>
      <c r="C5" s="315" t="s">
        <v>3</v>
      </c>
      <c r="D5" s="315"/>
      <c r="E5" s="51" t="str">
        <f>'Master Tab'!C6</f>
        <v>C</v>
      </c>
    </row>
    <row r="6" spans="2:5" ht="15.75" thickBot="1" x14ac:dyDescent="0.3">
      <c r="B6" s="28" t="s">
        <v>5</v>
      </c>
      <c r="C6" s="29" t="s">
        <v>6</v>
      </c>
      <c r="D6" s="30" t="s">
        <v>7</v>
      </c>
      <c r="E6" s="31" t="s">
        <v>8</v>
      </c>
    </row>
    <row r="7" spans="2:5" ht="15.75" thickBot="1" x14ac:dyDescent="0.3">
      <c r="B7" s="32" t="s">
        <v>9</v>
      </c>
      <c r="C7" s="33"/>
      <c r="D7" s="34"/>
      <c r="E7" s="35"/>
    </row>
    <row r="8" spans="2:5" x14ac:dyDescent="0.25">
      <c r="B8" s="14" t="s">
        <v>10</v>
      </c>
      <c r="C8" s="15"/>
      <c r="D8" s="16"/>
      <c r="E8" s="17"/>
    </row>
    <row r="9" spans="2:5" x14ac:dyDescent="0.25">
      <c r="B9" s="18" t="s">
        <v>11</v>
      </c>
      <c r="C9" s="19"/>
      <c r="D9" s="20"/>
      <c r="E9" s="21"/>
    </row>
    <row r="10" spans="2:5" x14ac:dyDescent="0.25">
      <c r="B10" s="18" t="s">
        <v>12</v>
      </c>
      <c r="C10" s="19"/>
      <c r="D10" s="20"/>
      <c r="E10" s="21"/>
    </row>
    <row r="11" spans="2:5" x14ac:dyDescent="0.25">
      <c r="B11" s="18" t="s">
        <v>13</v>
      </c>
      <c r="C11" s="19"/>
      <c r="D11" s="20"/>
      <c r="E11" s="21"/>
    </row>
    <row r="12" spans="2:5" x14ac:dyDescent="0.25">
      <c r="B12" s="18" t="s">
        <v>14</v>
      </c>
      <c r="C12" s="19"/>
      <c r="D12" s="20"/>
      <c r="E12" s="21"/>
    </row>
    <row r="13" spans="2:5" x14ac:dyDescent="0.25">
      <c r="B13" s="18" t="s">
        <v>15</v>
      </c>
      <c r="C13" s="19"/>
      <c r="D13" s="20"/>
      <c r="E13" s="21"/>
    </row>
    <row r="14" spans="2:5" x14ac:dyDescent="0.25">
      <c r="B14" s="18" t="s">
        <v>16</v>
      </c>
      <c r="C14" s="19"/>
      <c r="D14" s="20"/>
      <c r="E14" s="21"/>
    </row>
    <row r="15" spans="2:5" x14ac:dyDescent="0.25">
      <c r="B15" s="18" t="s">
        <v>17</v>
      </c>
      <c r="C15" s="19"/>
      <c r="D15" s="20"/>
      <c r="E15" s="21"/>
    </row>
    <row r="16" spans="2:5" x14ac:dyDescent="0.25">
      <c r="B16" s="18" t="s">
        <v>18</v>
      </c>
      <c r="C16" s="19"/>
      <c r="D16" s="20"/>
      <c r="E16" s="21"/>
    </row>
    <row r="17" spans="2:5" ht="15.75" thickBot="1" x14ac:dyDescent="0.3">
      <c r="B17" s="22"/>
      <c r="C17" s="23"/>
      <c r="D17" s="24"/>
      <c r="E17" s="25"/>
    </row>
    <row r="18" spans="2:5" ht="15.75" thickBot="1" x14ac:dyDescent="0.3">
      <c r="B18" s="36" t="s">
        <v>19</v>
      </c>
      <c r="C18" s="37"/>
      <c r="D18" s="38"/>
      <c r="E18" s="39"/>
    </row>
    <row r="19" spans="2:5" x14ac:dyDescent="0.25">
      <c r="B19" s="14" t="s">
        <v>20</v>
      </c>
      <c r="C19" s="15" t="s">
        <v>21</v>
      </c>
      <c r="D19" s="16"/>
      <c r="E19" s="17"/>
    </row>
    <row r="20" spans="2:5" x14ac:dyDescent="0.25">
      <c r="B20" s="18"/>
      <c r="C20" s="19"/>
      <c r="D20" s="20"/>
      <c r="E20" s="21"/>
    </row>
    <row r="21" spans="2:5" ht="15.75" thickBot="1" x14ac:dyDescent="0.3">
      <c r="B21" s="22"/>
      <c r="C21" s="23"/>
      <c r="D21" s="24"/>
      <c r="E21" s="25"/>
    </row>
    <row r="22" spans="2:5" ht="15.75" thickBot="1" x14ac:dyDescent="0.3">
      <c r="B22" s="36" t="s">
        <v>22</v>
      </c>
      <c r="C22" s="37"/>
      <c r="D22" s="38"/>
      <c r="E22" s="39"/>
    </row>
    <row r="23" spans="2:5" x14ac:dyDescent="0.25">
      <c r="B23" s="14" t="s">
        <v>23</v>
      </c>
      <c r="C23" s="15" t="s">
        <v>21</v>
      </c>
      <c r="D23" s="16"/>
      <c r="E23" s="17" t="s">
        <v>21</v>
      </c>
    </row>
    <row r="24" spans="2:5" x14ac:dyDescent="0.25">
      <c r="B24" s="18" t="s">
        <v>24</v>
      </c>
      <c r="C24" s="19"/>
      <c r="D24" s="20"/>
      <c r="E24" s="21"/>
    </row>
    <row r="25" spans="2:5" x14ac:dyDescent="0.25">
      <c r="B25" s="18" t="s">
        <v>25</v>
      </c>
      <c r="C25" s="19" t="s">
        <v>21</v>
      </c>
      <c r="D25" s="20"/>
      <c r="E25" s="21" t="s">
        <v>21</v>
      </c>
    </row>
    <row r="26" spans="2:5" x14ac:dyDescent="0.25">
      <c r="B26" s="18" t="s">
        <v>26</v>
      </c>
      <c r="C26" s="19"/>
      <c r="D26" s="20"/>
      <c r="E26" s="21"/>
    </row>
    <row r="27" spans="2:5" ht="15.75" thickBot="1" x14ac:dyDescent="0.3">
      <c r="B27" s="22"/>
      <c r="C27" s="23"/>
      <c r="D27" s="24"/>
      <c r="E27" s="25"/>
    </row>
    <row r="28" spans="2:5" ht="15.75" thickBot="1" x14ac:dyDescent="0.3">
      <c r="B28" s="36" t="s">
        <v>27</v>
      </c>
      <c r="C28" s="37"/>
      <c r="D28" s="38"/>
      <c r="E28" s="39"/>
    </row>
    <row r="29" spans="2:5" x14ac:dyDescent="0.25">
      <c r="B29" s="14" t="s">
        <v>28</v>
      </c>
      <c r="C29" s="15" t="s">
        <v>21</v>
      </c>
      <c r="D29" s="16"/>
      <c r="E29" s="17" t="s">
        <v>21</v>
      </c>
    </row>
    <row r="30" spans="2:5" x14ac:dyDescent="0.25">
      <c r="B30" s="18" t="s">
        <v>29</v>
      </c>
      <c r="C30" s="19" t="s">
        <v>21</v>
      </c>
      <c r="D30" s="20"/>
      <c r="E30" s="21" t="s">
        <v>21</v>
      </c>
    </row>
    <row r="31" spans="2:5" x14ac:dyDescent="0.25">
      <c r="B31" s="18" t="s">
        <v>26</v>
      </c>
      <c r="C31" s="19"/>
      <c r="D31" s="20"/>
      <c r="E31" s="21"/>
    </row>
    <row r="32" spans="2:5" ht="15.75" thickBot="1" x14ac:dyDescent="0.3">
      <c r="B32" s="22"/>
      <c r="C32" s="23"/>
      <c r="D32" s="24"/>
      <c r="E32" s="25"/>
    </row>
    <row r="33" spans="2:5" ht="15.75" thickBot="1" x14ac:dyDescent="0.3">
      <c r="B33" s="36" t="s">
        <v>30</v>
      </c>
      <c r="C33" s="37"/>
      <c r="D33" s="38"/>
      <c r="E33" s="39"/>
    </row>
    <row r="34" spans="2:5" x14ac:dyDescent="0.25">
      <c r="B34" s="14" t="s">
        <v>31</v>
      </c>
      <c r="C34" s="15"/>
      <c r="D34" s="16"/>
      <c r="E34" s="17"/>
    </row>
    <row r="35" spans="2:5" x14ac:dyDescent="0.25">
      <c r="B35" s="18" t="s">
        <v>32</v>
      </c>
      <c r="C35" s="19"/>
      <c r="D35" s="20"/>
      <c r="E35" s="21"/>
    </row>
    <row r="36" spans="2:5" x14ac:dyDescent="0.25">
      <c r="B36" s="18" t="s">
        <v>33</v>
      </c>
      <c r="C36" s="19" t="s">
        <v>21</v>
      </c>
      <c r="D36" s="20"/>
      <c r="E36" s="21" t="s">
        <v>21</v>
      </c>
    </row>
    <row r="37" spans="2:5" x14ac:dyDescent="0.25">
      <c r="B37" s="18" t="s">
        <v>34</v>
      </c>
      <c r="C37" s="19"/>
      <c r="D37" s="20"/>
      <c r="E37" s="21"/>
    </row>
    <row r="38" spans="2:5" ht="15.75" thickBot="1" x14ac:dyDescent="0.3">
      <c r="B38" s="22"/>
      <c r="C38" s="23"/>
      <c r="D38" s="24"/>
      <c r="E38" s="25"/>
    </row>
    <row r="39" spans="2:5" ht="15.75" thickBot="1" x14ac:dyDescent="0.3">
      <c r="B39" s="36" t="s">
        <v>35</v>
      </c>
      <c r="C39" s="37"/>
      <c r="D39" s="38"/>
      <c r="E39" s="39"/>
    </row>
    <row r="40" spans="2:5" ht="15.75" thickBot="1" x14ac:dyDescent="0.3">
      <c r="B40" s="7" t="s">
        <v>36</v>
      </c>
      <c r="C40" s="26" t="s">
        <v>21</v>
      </c>
      <c r="D40" s="27"/>
      <c r="E40" s="9" t="s">
        <v>21</v>
      </c>
    </row>
    <row r="41" spans="2:5" x14ac:dyDescent="0.25">
      <c r="B41" s="1" t="s">
        <v>21</v>
      </c>
      <c r="C41" s="1" t="s">
        <v>21</v>
      </c>
      <c r="D41" s="1" t="s">
        <v>21</v>
      </c>
      <c r="E41" s="1" t="s">
        <v>21</v>
      </c>
    </row>
    <row r="42" spans="2:5" x14ac:dyDescent="0.25">
      <c r="B42" s="1" t="s">
        <v>21</v>
      </c>
      <c r="D42" s="1" t="s">
        <v>21</v>
      </c>
    </row>
  </sheetData>
  <mergeCells count="4">
    <mergeCell ref="B2:E2"/>
    <mergeCell ref="B3:E3"/>
    <mergeCell ref="B4:E4"/>
    <mergeCell ref="C5:D5"/>
  </mergeCells>
  <pageMargins left="0.7" right="0.7" top="0.75" bottom="0.75" header="0.3" footer="0.3"/>
  <pageSetup scale="80" orientation="portrait" r:id="rId1"/>
  <headerFooter>
    <oddHeader>&amp;R&amp;"Times New Roman,Bold"&amp;10KyPSC Case No. 2025-00229
STAFF-DR-01-005(b) Attachment 10
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926E6-207C-4637-A662-02B0B7504E1F}">
  <sheetPr>
    <pageSetUpPr fitToPage="1"/>
  </sheetPr>
  <dimension ref="B1:Y18"/>
  <sheetViews>
    <sheetView view="pageLayout" zoomScaleNormal="100" workbookViewId="0">
      <selection activeCell="J18" sqref="J18"/>
    </sheetView>
  </sheetViews>
  <sheetFormatPr defaultRowHeight="15" x14ac:dyDescent="0.25"/>
  <cols>
    <col min="1" max="1" width="1.140625" customWidth="1"/>
    <col min="2" max="2" width="26.140625" bestFit="1" customWidth="1"/>
    <col min="3" max="3" width="19.85546875" style="1" bestFit="1" customWidth="1"/>
    <col min="4" max="15" width="10.7109375" style="1" customWidth="1"/>
    <col min="16" max="16" width="3.42578125" customWidth="1"/>
  </cols>
  <sheetData>
    <row r="1" spans="2:25" ht="15.75" thickBot="1" x14ac:dyDescent="0.3"/>
    <row r="2" spans="2:25" ht="15.75" thickBot="1" x14ac:dyDescent="0.3">
      <c r="B2" s="320" t="str">
        <f>'Master Tab'!C8</f>
        <v>Line AM07 PH5</v>
      </c>
      <c r="C2" s="321"/>
      <c r="D2" s="321"/>
      <c r="E2" s="321"/>
      <c r="F2" s="321"/>
      <c r="G2" s="321"/>
      <c r="H2" s="321"/>
      <c r="I2" s="321"/>
      <c r="J2" s="321"/>
      <c r="K2" s="321"/>
      <c r="L2" s="321"/>
      <c r="M2" s="321"/>
      <c r="N2" s="321"/>
      <c r="O2" s="322"/>
      <c r="Q2" s="323" t="s">
        <v>416</v>
      </c>
      <c r="R2" s="324"/>
      <c r="S2" s="324"/>
      <c r="T2" s="324"/>
      <c r="U2" s="324"/>
      <c r="V2" s="324"/>
      <c r="W2" s="324"/>
      <c r="X2" s="324"/>
      <c r="Y2" s="325"/>
    </row>
    <row r="3" spans="2:25" ht="15.75" thickBot="1" x14ac:dyDescent="0.3">
      <c r="B3" s="284">
        <f>'Master Tab'!C9</f>
        <v>44221</v>
      </c>
      <c r="C3" s="285"/>
      <c r="D3" s="285"/>
      <c r="E3" s="285"/>
      <c r="F3" s="285"/>
      <c r="G3" s="285"/>
      <c r="H3" s="285" t="s">
        <v>21</v>
      </c>
      <c r="I3" s="285"/>
      <c r="J3" s="285"/>
      <c r="K3" s="285"/>
      <c r="L3" s="285"/>
      <c r="M3" s="285"/>
      <c r="N3" s="286" t="s">
        <v>3</v>
      </c>
      <c r="O3" s="287" t="str">
        <f>'Master Tab'!C6</f>
        <v>C</v>
      </c>
      <c r="Q3" s="316" t="s">
        <v>414</v>
      </c>
      <c r="R3" s="317"/>
      <c r="S3" s="318"/>
      <c r="T3" s="319" t="s">
        <v>415</v>
      </c>
      <c r="U3" s="317"/>
      <c r="V3" s="318"/>
      <c r="W3" s="319" t="s">
        <v>417</v>
      </c>
      <c r="X3" s="317"/>
      <c r="Y3" s="318"/>
    </row>
    <row r="4" spans="2:25" ht="15.75" thickBot="1" x14ac:dyDescent="0.3">
      <c r="B4" s="257" t="s">
        <v>39</v>
      </c>
      <c r="C4" s="258" t="s">
        <v>409</v>
      </c>
      <c r="D4" s="258" t="s">
        <v>141</v>
      </c>
      <c r="E4" s="259" t="s">
        <v>142</v>
      </c>
      <c r="F4" s="258" t="s">
        <v>143</v>
      </c>
      <c r="G4" s="258" t="s">
        <v>144</v>
      </c>
      <c r="H4" s="258" t="s">
        <v>145</v>
      </c>
      <c r="I4" s="258" t="s">
        <v>146</v>
      </c>
      <c r="J4" s="258" t="s">
        <v>147</v>
      </c>
      <c r="K4" s="258" t="s">
        <v>148</v>
      </c>
      <c r="L4" s="258" t="s">
        <v>410</v>
      </c>
      <c r="M4" s="258" t="s">
        <v>411</v>
      </c>
      <c r="N4" s="258" t="s">
        <v>412</v>
      </c>
      <c r="O4" s="258" t="s">
        <v>413</v>
      </c>
      <c r="Q4" s="258" t="s">
        <v>134</v>
      </c>
      <c r="R4" s="258" t="s">
        <v>136</v>
      </c>
      <c r="S4" s="258" t="s">
        <v>256</v>
      </c>
      <c r="T4" s="258" t="s">
        <v>134</v>
      </c>
      <c r="U4" s="258" t="s">
        <v>136</v>
      </c>
      <c r="V4" s="258" t="s">
        <v>256</v>
      </c>
      <c r="W4" s="258" t="s">
        <v>134</v>
      </c>
      <c r="X4" s="258" t="s">
        <v>136</v>
      </c>
      <c r="Y4" s="258" t="s">
        <v>256</v>
      </c>
    </row>
    <row r="5" spans="2:25" x14ac:dyDescent="0.25">
      <c r="B5" s="260" t="s">
        <v>9</v>
      </c>
      <c r="C5" s="278">
        <f>'Cost Report'!$D$11/('Cost Report'!$D$22+'Cost Report'!$D$30)</f>
        <v>5.3940083307902363E-2</v>
      </c>
      <c r="D5" s="263">
        <f>'Cost Report'!$G$11/('Cost Report'!$G$22+'Cost Report'!$G$30)</f>
        <v>5.31893712512755E-2</v>
      </c>
      <c r="E5" s="263" t="e">
        <f>'Cost Report'!#REF!/('Cost Report'!#REF!+'Cost Report'!#REF!)</f>
        <v>#REF!</v>
      </c>
      <c r="F5" s="263" t="e">
        <f>'Cost Report'!#REF!/('Cost Report'!#REF!+'Cost Report'!#REF!)</f>
        <v>#REF!</v>
      </c>
      <c r="G5" s="266" t="e">
        <f>'Cost Report'!#REF!/('Cost Report'!#REF!+'Cost Report'!#REF!)</f>
        <v>#REF!</v>
      </c>
      <c r="H5" s="266" t="e">
        <f>'Cost Report'!#REF!/('Cost Report'!#REF!+'Cost Report'!#REF!)</f>
        <v>#REF!</v>
      </c>
      <c r="I5" s="266" t="e">
        <f>'Cost Report'!#REF!/('Cost Report'!#REF!+'Cost Report'!#REF!)</f>
        <v>#REF!</v>
      </c>
      <c r="J5" s="266" t="e">
        <f>'Cost Report'!#REF!/('Cost Report'!#REF!+'Cost Report'!#REF!)</f>
        <v>#REF!</v>
      </c>
      <c r="K5" s="266" t="e">
        <f>'Cost Report'!#REF!/('Cost Report'!#REF!+'Cost Report'!#REF!)</f>
        <v>#REF!</v>
      </c>
      <c r="L5" s="269">
        <f>'Cost Report'!$I$11/('Cost Report'!$I$22+'Cost Report'!$I$30)</f>
        <v>7.0048954161103696E-2</v>
      </c>
      <c r="M5" s="269" t="e">
        <f>'Cost Report'!#REF!/('Cost Report'!#REF!+'Cost Report'!#REF!)</f>
        <v>#REF!</v>
      </c>
      <c r="N5" s="269" t="e">
        <f>'Cost Report'!#REF!/('Cost Report'!#REF!+'Cost Report'!#REF!)</f>
        <v>#REF!</v>
      </c>
      <c r="O5" s="269" t="e">
        <f>'Cost Report'!#REF!/('Cost Report'!#REF!+'Cost Report'!#REF!)</f>
        <v>#REF!</v>
      </c>
      <c r="Q5" s="272">
        <v>0.06</v>
      </c>
      <c r="R5" s="272">
        <v>0.05</v>
      </c>
      <c r="S5" s="272">
        <v>7.0000000000000007E-2</v>
      </c>
      <c r="T5" s="275">
        <v>0.13</v>
      </c>
      <c r="U5" s="275">
        <v>0.1</v>
      </c>
      <c r="V5" s="275">
        <v>7.0000000000000007E-2</v>
      </c>
      <c r="W5" s="281">
        <v>0.13</v>
      </c>
      <c r="X5" s="281">
        <v>0.1</v>
      </c>
      <c r="Y5" s="281">
        <v>7.0000000000000007E-2</v>
      </c>
    </row>
    <row r="6" spans="2:25" ht="15" hidden="1" customHeight="1" x14ac:dyDescent="0.25">
      <c r="B6" s="261" t="s">
        <v>104</v>
      </c>
      <c r="C6" s="279">
        <f>'Cost Report'!$D$12/('Cost Report'!$D$22+'Cost Report'!$D$30)</f>
        <v>6.3412294851317982E-2</v>
      </c>
      <c r="D6" s="264">
        <f>'Cost Report'!$G$12/('Cost Report'!$G$22+'Cost Report'!$G$30)</f>
        <v>6.6367460034345155E-2</v>
      </c>
      <c r="E6" s="264" t="e">
        <f>'Cost Report'!#REF!/('Cost Report'!#REF!+'Cost Report'!#REF!)</f>
        <v>#REF!</v>
      </c>
      <c r="F6" s="264" t="e">
        <f>'Cost Report'!#REF!/('Cost Report'!#REF!+'Cost Report'!#REF!)</f>
        <v>#REF!</v>
      </c>
      <c r="G6" s="267" t="e">
        <f>'Cost Report'!#REF!/('Cost Report'!#REF!+'Cost Report'!#REF!)</f>
        <v>#REF!</v>
      </c>
      <c r="H6" s="267" t="e">
        <f>'Cost Report'!#REF!/('Cost Report'!#REF!+'Cost Report'!#REF!)</f>
        <v>#REF!</v>
      </c>
      <c r="I6" s="267" t="e">
        <f>'Cost Report'!#REF!/('Cost Report'!#REF!+'Cost Report'!#REF!)</f>
        <v>#REF!</v>
      </c>
      <c r="J6" s="267" t="e">
        <f>'Cost Report'!#REF!/('Cost Report'!#REF!+'Cost Report'!#REF!)</f>
        <v>#REF!</v>
      </c>
      <c r="K6" s="267" t="e">
        <f>'Cost Report'!#REF!/('Cost Report'!#REF!+'Cost Report'!#REF!)</f>
        <v>#REF!</v>
      </c>
      <c r="L6" s="270">
        <f>'Cost Report'!$I$12/('Cost Report'!$I$22+'Cost Report'!$I$30)</f>
        <v>0</v>
      </c>
      <c r="M6" s="270" t="e">
        <f>'Cost Report'!#REF!/('Cost Report'!#REF!+'Cost Report'!#REF!)</f>
        <v>#REF!</v>
      </c>
      <c r="N6" s="270" t="e">
        <f>'Cost Report'!#REF!/('Cost Report'!#REF!+'Cost Report'!#REF!)</f>
        <v>#REF!</v>
      </c>
      <c r="O6" s="270" t="e">
        <f>'Cost Report'!#REF!/('Cost Report'!#REF!+'Cost Report'!#REF!)</f>
        <v>#REF!</v>
      </c>
      <c r="Q6" s="273"/>
      <c r="R6" s="273"/>
      <c r="S6" s="273"/>
      <c r="T6" s="276"/>
      <c r="U6" s="276"/>
      <c r="V6" s="276"/>
      <c r="W6" s="282"/>
      <c r="X6" s="282"/>
      <c r="Y6" s="282"/>
    </row>
    <row r="7" spans="2:25" ht="15" hidden="1" customHeight="1" x14ac:dyDescent="0.25">
      <c r="B7" s="261" t="s">
        <v>105</v>
      </c>
      <c r="C7" s="279">
        <f>'Cost Report'!$D$13/('Cost Report'!$D$22+'Cost Report'!$D$30)</f>
        <v>7.1338831707732737E-3</v>
      </c>
      <c r="D7" s="264">
        <f>'Cost Report'!$G$13/('Cost Report'!$G$22+'Cost Report'!$G$30)</f>
        <v>7.4663392538638308E-3</v>
      </c>
      <c r="E7" s="264" t="e">
        <f>'Cost Report'!#REF!/('Cost Report'!#REF!+'Cost Report'!#REF!)</f>
        <v>#REF!</v>
      </c>
      <c r="F7" s="264" t="e">
        <f>'Cost Report'!#REF!/('Cost Report'!#REF!+'Cost Report'!#REF!)</f>
        <v>#REF!</v>
      </c>
      <c r="G7" s="267" t="e">
        <f>'Cost Report'!#REF!/('Cost Report'!#REF!+'Cost Report'!#REF!)</f>
        <v>#REF!</v>
      </c>
      <c r="H7" s="267" t="e">
        <f>'Cost Report'!#REF!/('Cost Report'!#REF!+'Cost Report'!#REF!)</f>
        <v>#REF!</v>
      </c>
      <c r="I7" s="267" t="e">
        <f>'Cost Report'!#REF!/('Cost Report'!#REF!+'Cost Report'!#REF!)</f>
        <v>#REF!</v>
      </c>
      <c r="J7" s="267" t="e">
        <f>'Cost Report'!#REF!/('Cost Report'!#REF!+'Cost Report'!#REF!)</f>
        <v>#REF!</v>
      </c>
      <c r="K7" s="267" t="e">
        <f>'Cost Report'!#REF!/('Cost Report'!#REF!+'Cost Report'!#REF!)</f>
        <v>#REF!</v>
      </c>
      <c r="L7" s="270">
        <f>'Cost Report'!$I$13/('Cost Report'!$I$22+'Cost Report'!$I$30)</f>
        <v>0</v>
      </c>
      <c r="M7" s="270" t="e">
        <f>'Cost Report'!#REF!/('Cost Report'!#REF!+'Cost Report'!#REF!)</f>
        <v>#REF!</v>
      </c>
      <c r="N7" s="270" t="e">
        <f>'Cost Report'!#REF!/('Cost Report'!#REF!+'Cost Report'!#REF!)</f>
        <v>#REF!</v>
      </c>
      <c r="O7" s="270" t="e">
        <f>'Cost Report'!#REF!/('Cost Report'!#REF!+'Cost Report'!#REF!)</f>
        <v>#REF!</v>
      </c>
      <c r="Q7" s="273"/>
      <c r="R7" s="273"/>
      <c r="S7" s="273"/>
      <c r="T7" s="276"/>
      <c r="U7" s="276"/>
      <c r="V7" s="276"/>
      <c r="W7" s="282"/>
      <c r="X7" s="282"/>
      <c r="Y7" s="282"/>
    </row>
    <row r="8" spans="2:25" ht="15" hidden="1" customHeight="1" x14ac:dyDescent="0.25">
      <c r="B8" s="261" t="s">
        <v>106</v>
      </c>
      <c r="C8" s="279">
        <f>'Cost Report'!$D$14/('Cost Report'!$D$22+'Cost Report'!$D$30)</f>
        <v>2.8535532683093095E-2</v>
      </c>
      <c r="D8" s="264">
        <f>'Cost Report'!$G$14/('Cost Report'!$G$22+'Cost Report'!$G$30)</f>
        <v>2.9865357015455323E-2</v>
      </c>
      <c r="E8" s="264" t="e">
        <f>'Cost Report'!#REF!/('Cost Report'!#REF!+'Cost Report'!#REF!)</f>
        <v>#REF!</v>
      </c>
      <c r="F8" s="264" t="e">
        <f>'Cost Report'!#REF!/('Cost Report'!#REF!+'Cost Report'!#REF!)</f>
        <v>#REF!</v>
      </c>
      <c r="G8" s="267" t="e">
        <f>'Cost Report'!#REF!/('Cost Report'!#REF!+'Cost Report'!#REF!)</f>
        <v>#REF!</v>
      </c>
      <c r="H8" s="267" t="e">
        <f>'Cost Report'!#REF!/('Cost Report'!#REF!+'Cost Report'!#REF!)</f>
        <v>#REF!</v>
      </c>
      <c r="I8" s="267" t="e">
        <f>'Cost Report'!#REF!/('Cost Report'!#REF!+'Cost Report'!#REF!)</f>
        <v>#REF!</v>
      </c>
      <c r="J8" s="267" t="e">
        <f>'Cost Report'!#REF!/('Cost Report'!#REF!+'Cost Report'!#REF!)</f>
        <v>#REF!</v>
      </c>
      <c r="K8" s="267" t="e">
        <f>'Cost Report'!#REF!/('Cost Report'!#REF!+'Cost Report'!#REF!)</f>
        <v>#REF!</v>
      </c>
      <c r="L8" s="270">
        <f>'Cost Report'!$I$14/('Cost Report'!$I$22+'Cost Report'!$I$30)</f>
        <v>0</v>
      </c>
      <c r="M8" s="270" t="e">
        <f>'Cost Report'!#REF!/('Cost Report'!#REF!+'Cost Report'!#REF!)</f>
        <v>#REF!</v>
      </c>
      <c r="N8" s="270" t="e">
        <f>'Cost Report'!#REF!/('Cost Report'!#REF!+'Cost Report'!#REF!)</f>
        <v>#REF!</v>
      </c>
      <c r="O8" s="270" t="e">
        <f>'Cost Report'!#REF!/('Cost Report'!#REF!+'Cost Report'!#REF!)</f>
        <v>#REF!</v>
      </c>
      <c r="Q8" s="273"/>
      <c r="R8" s="273"/>
      <c r="S8" s="273"/>
      <c r="T8" s="276"/>
      <c r="U8" s="276"/>
      <c r="V8" s="276"/>
      <c r="W8" s="282"/>
      <c r="X8" s="282"/>
      <c r="Y8" s="282"/>
    </row>
    <row r="9" spans="2:25" ht="15" hidden="1" customHeight="1" x14ac:dyDescent="0.25">
      <c r="B9" s="261" t="s">
        <v>107</v>
      </c>
      <c r="C9" s="279">
        <f>'Cost Report'!$D$15/('Cost Report'!$D$22+'Cost Report'!$D$30)</f>
        <v>4.7559221138488489E-3</v>
      </c>
      <c r="D9" s="264">
        <f>'Cost Report'!$G$15/('Cost Report'!$G$22+'Cost Report'!$G$30)</f>
        <v>4.9775595025758866E-3</v>
      </c>
      <c r="E9" s="264" t="e">
        <f>'Cost Report'!#REF!/('Cost Report'!#REF!+'Cost Report'!#REF!)</f>
        <v>#REF!</v>
      </c>
      <c r="F9" s="264" t="e">
        <f>'Cost Report'!#REF!/('Cost Report'!#REF!+'Cost Report'!#REF!)</f>
        <v>#REF!</v>
      </c>
      <c r="G9" s="267" t="e">
        <f>'Cost Report'!#REF!/('Cost Report'!#REF!+'Cost Report'!#REF!)</f>
        <v>#REF!</v>
      </c>
      <c r="H9" s="267" t="e">
        <f>'Cost Report'!#REF!/('Cost Report'!#REF!+'Cost Report'!#REF!)</f>
        <v>#REF!</v>
      </c>
      <c r="I9" s="267" t="e">
        <f>'Cost Report'!#REF!/('Cost Report'!#REF!+'Cost Report'!#REF!)</f>
        <v>#REF!</v>
      </c>
      <c r="J9" s="267" t="e">
        <f>'Cost Report'!#REF!/('Cost Report'!#REF!+'Cost Report'!#REF!)</f>
        <v>#REF!</v>
      </c>
      <c r="K9" s="267" t="e">
        <f>'Cost Report'!#REF!/('Cost Report'!#REF!+'Cost Report'!#REF!)</f>
        <v>#REF!</v>
      </c>
      <c r="L9" s="270">
        <f>'Cost Report'!$I$15/('Cost Report'!$I$22+'Cost Report'!$I$30)</f>
        <v>0</v>
      </c>
      <c r="M9" s="270" t="e">
        <f>'Cost Report'!#REF!/('Cost Report'!#REF!+'Cost Report'!#REF!)</f>
        <v>#REF!</v>
      </c>
      <c r="N9" s="270" t="e">
        <f>'Cost Report'!#REF!/('Cost Report'!#REF!+'Cost Report'!#REF!)</f>
        <v>#REF!</v>
      </c>
      <c r="O9" s="270" t="e">
        <f>'Cost Report'!#REF!/('Cost Report'!#REF!+'Cost Report'!#REF!)</f>
        <v>#REF!</v>
      </c>
      <c r="Q9" s="273"/>
      <c r="R9" s="273"/>
      <c r="S9" s="273"/>
      <c r="T9" s="276"/>
      <c r="U9" s="276"/>
      <c r="V9" s="276"/>
      <c r="W9" s="282"/>
      <c r="X9" s="282"/>
      <c r="Y9" s="282"/>
    </row>
    <row r="10" spans="2:25" x14ac:dyDescent="0.25">
      <c r="B10" s="261" t="s">
        <v>168</v>
      </c>
      <c r="C10" s="279">
        <f>SUM(C6:C9)</f>
        <v>0.1038376328190332</v>
      </c>
      <c r="D10" s="264">
        <f t="shared" ref="D10:O10" si="0">SUM(D6:D9)</f>
        <v>0.10867671580624021</v>
      </c>
      <c r="E10" s="264" t="e">
        <f t="shared" si="0"/>
        <v>#REF!</v>
      </c>
      <c r="F10" s="264" t="e">
        <f t="shared" si="0"/>
        <v>#REF!</v>
      </c>
      <c r="G10" s="267" t="e">
        <f t="shared" si="0"/>
        <v>#REF!</v>
      </c>
      <c r="H10" s="267" t="e">
        <f t="shared" si="0"/>
        <v>#REF!</v>
      </c>
      <c r="I10" s="267" t="e">
        <f t="shared" si="0"/>
        <v>#REF!</v>
      </c>
      <c r="J10" s="267" t="e">
        <f t="shared" si="0"/>
        <v>#REF!</v>
      </c>
      <c r="K10" s="267" t="e">
        <f t="shared" si="0"/>
        <v>#REF!</v>
      </c>
      <c r="L10" s="270">
        <f t="shared" si="0"/>
        <v>0</v>
      </c>
      <c r="M10" s="270" t="e">
        <f t="shared" si="0"/>
        <v>#REF!</v>
      </c>
      <c r="N10" s="270" t="e">
        <f t="shared" si="0"/>
        <v>#REF!</v>
      </c>
      <c r="O10" s="270" t="e">
        <f t="shared" si="0"/>
        <v>#REF!</v>
      </c>
      <c r="Q10" s="273">
        <v>0.12</v>
      </c>
      <c r="R10" s="273">
        <v>0.15</v>
      </c>
      <c r="S10" s="273">
        <v>7.0000000000000007E-2</v>
      </c>
      <c r="T10" s="276">
        <v>0.08</v>
      </c>
      <c r="U10" s="276">
        <v>0.08</v>
      </c>
      <c r="V10" s="276">
        <v>0.08</v>
      </c>
      <c r="W10" s="282">
        <v>0.08</v>
      </c>
      <c r="X10" s="282">
        <v>0.08</v>
      </c>
      <c r="Y10" s="282">
        <v>0.08</v>
      </c>
    </row>
    <row r="11" spans="2:25" x14ac:dyDescent="0.25">
      <c r="B11" s="261" t="s">
        <v>109</v>
      </c>
      <c r="C11" s="279">
        <f>'Cost Report'!$D$16/('Cost Report'!$D$22+'Cost Report'!$D$30)</f>
        <v>0.10656039822921166</v>
      </c>
      <c r="D11" s="264">
        <f>'Cost Report'!$G$16/('Cost Report'!$G$22+'Cost Report'!$G$30)</f>
        <v>0.11107009233372878</v>
      </c>
      <c r="E11" s="264" t="e">
        <f>'Cost Report'!#REF!/('Cost Report'!#REF!+'Cost Report'!#REF!)</f>
        <v>#REF!</v>
      </c>
      <c r="F11" s="264" t="e">
        <f>'Cost Report'!#REF!/('Cost Report'!#REF!+'Cost Report'!#REF!)</f>
        <v>#REF!</v>
      </c>
      <c r="G11" s="267" t="e">
        <f>'Cost Report'!#REF!/('Cost Report'!#REF!+'Cost Report'!#REF!)</f>
        <v>#REF!</v>
      </c>
      <c r="H11" s="267" t="e">
        <f>'Cost Report'!#REF!/('Cost Report'!#REF!+'Cost Report'!#REF!)</f>
        <v>#REF!</v>
      </c>
      <c r="I11" s="267" t="e">
        <f>'Cost Report'!#REF!/('Cost Report'!#REF!+'Cost Report'!#REF!)</f>
        <v>#REF!</v>
      </c>
      <c r="J11" s="267" t="e">
        <f>'Cost Report'!#REF!/('Cost Report'!#REF!+'Cost Report'!#REF!)</f>
        <v>#REF!</v>
      </c>
      <c r="K11" s="267" t="e">
        <f>'Cost Report'!#REF!/('Cost Report'!#REF!+'Cost Report'!#REF!)</f>
        <v>#REF!</v>
      </c>
      <c r="L11" s="270">
        <f>'Cost Report'!$I$16/('Cost Report'!$I$22+'Cost Report'!$I$30)</f>
        <v>9.7908322207387634E-3</v>
      </c>
      <c r="M11" s="270" t="e">
        <f>'Cost Report'!#REF!/('Cost Report'!#REF!+'Cost Report'!#REF!)</f>
        <v>#REF!</v>
      </c>
      <c r="N11" s="270" t="e">
        <f>'Cost Report'!#REF!/('Cost Report'!#REF!+'Cost Report'!#REF!)</f>
        <v>#REF!</v>
      </c>
      <c r="O11" s="270" t="e">
        <f>'Cost Report'!#REF!/('Cost Report'!#REF!+'Cost Report'!#REF!)</f>
        <v>#REF!</v>
      </c>
      <c r="Q11" s="273">
        <v>0.13</v>
      </c>
      <c r="R11" s="273">
        <v>0.06</v>
      </c>
      <c r="S11" s="273">
        <v>0.06</v>
      </c>
      <c r="T11" s="276">
        <v>0.28999999999999998</v>
      </c>
      <c r="U11" s="276">
        <v>0.24</v>
      </c>
      <c r="V11" s="276">
        <v>0.19</v>
      </c>
      <c r="W11" s="282">
        <v>0.28999999999999998</v>
      </c>
      <c r="X11" s="282">
        <v>0.24</v>
      </c>
      <c r="Y11" s="282">
        <v>0.19</v>
      </c>
    </row>
    <row r="12" spans="2:25" x14ac:dyDescent="0.25">
      <c r="B12" s="261" t="s">
        <v>111</v>
      </c>
      <c r="C12" s="279">
        <f>'Cost Report'!$D$17/('Cost Report'!$D$22+'Cost Report'!$D$30)</f>
        <v>0.53021397686243887</v>
      </c>
      <c r="D12" s="264">
        <f>'Cost Report'!$G$17/('Cost Report'!$G$22+'Cost Report'!$G$30)</f>
        <v>0.52572153872956084</v>
      </c>
      <c r="E12" s="264" t="e">
        <f>'Cost Report'!#REF!/('Cost Report'!#REF!+'Cost Report'!#REF!)</f>
        <v>#REF!</v>
      </c>
      <c r="F12" s="264" t="e">
        <f>'Cost Report'!#REF!/('Cost Report'!#REF!+'Cost Report'!#REF!)</f>
        <v>#REF!</v>
      </c>
      <c r="G12" s="267" t="e">
        <f>'Cost Report'!#REF!/('Cost Report'!#REF!+'Cost Report'!#REF!)</f>
        <v>#REF!</v>
      </c>
      <c r="H12" s="267" t="e">
        <f>'Cost Report'!#REF!/('Cost Report'!#REF!+'Cost Report'!#REF!)</f>
        <v>#REF!</v>
      </c>
      <c r="I12" s="267" t="e">
        <f>'Cost Report'!#REF!/('Cost Report'!#REF!+'Cost Report'!#REF!)</f>
        <v>#REF!</v>
      </c>
      <c r="J12" s="267" t="e">
        <f>'Cost Report'!#REF!/('Cost Report'!#REF!+'Cost Report'!#REF!)</f>
        <v>#REF!</v>
      </c>
      <c r="K12" s="267" t="e">
        <f>'Cost Report'!#REF!/('Cost Report'!#REF!+'Cost Report'!#REF!)</f>
        <v>#REF!</v>
      </c>
      <c r="L12" s="270">
        <f>'Cost Report'!$I$17/('Cost Report'!$I$22+'Cost Report'!$I$30)</f>
        <v>0.62661326212728086</v>
      </c>
      <c r="M12" s="270" t="e">
        <f>'Cost Report'!#REF!/('Cost Report'!#REF!+'Cost Report'!#REF!)</f>
        <v>#REF!</v>
      </c>
      <c r="N12" s="270" t="e">
        <f>'Cost Report'!#REF!/('Cost Report'!#REF!+'Cost Report'!#REF!)</f>
        <v>#REF!</v>
      </c>
      <c r="O12" s="270" t="e">
        <f>'Cost Report'!#REF!/('Cost Report'!#REF!+'Cost Report'!#REF!)</f>
        <v>#REF!</v>
      </c>
      <c r="Q12" s="273">
        <v>0.48</v>
      </c>
      <c r="R12" s="273">
        <v>0.54</v>
      </c>
      <c r="S12" s="273">
        <v>0.55000000000000004</v>
      </c>
      <c r="T12" s="276">
        <v>0</v>
      </c>
      <c r="U12" s="276">
        <v>0</v>
      </c>
      <c r="V12" s="276">
        <v>0</v>
      </c>
      <c r="W12" s="282">
        <v>0</v>
      </c>
      <c r="X12" s="282">
        <v>0</v>
      </c>
      <c r="Y12" s="282">
        <v>0</v>
      </c>
    </row>
    <row r="13" spans="2:25" x14ac:dyDescent="0.25">
      <c r="B13" s="261" t="s">
        <v>113</v>
      </c>
      <c r="C13" s="279">
        <f>'Cost Report'!$D$18/('Cost Report'!$D$22+'Cost Report'!$D$30)</f>
        <v>0</v>
      </c>
      <c r="D13" s="264">
        <f>'Cost Report'!$G$18/('Cost Report'!$G$22+'Cost Report'!$G$30)</f>
        <v>0</v>
      </c>
      <c r="E13" s="264" t="e">
        <f>'Cost Report'!#REF!/('Cost Report'!#REF!+'Cost Report'!#REF!)</f>
        <v>#REF!</v>
      </c>
      <c r="F13" s="264" t="e">
        <f>'Cost Report'!#REF!/('Cost Report'!#REF!+'Cost Report'!#REF!)</f>
        <v>#REF!</v>
      </c>
      <c r="G13" s="267" t="e">
        <f>'Cost Report'!#REF!/('Cost Report'!#REF!+'Cost Report'!#REF!)</f>
        <v>#REF!</v>
      </c>
      <c r="H13" s="267" t="e">
        <f>'Cost Report'!#REF!/('Cost Report'!#REF!+'Cost Report'!#REF!)</f>
        <v>#REF!</v>
      </c>
      <c r="I13" s="267" t="e">
        <f>'Cost Report'!#REF!/('Cost Report'!#REF!+'Cost Report'!#REF!)</f>
        <v>#REF!</v>
      </c>
      <c r="J13" s="267" t="e">
        <f>'Cost Report'!#REF!/('Cost Report'!#REF!+'Cost Report'!#REF!)</f>
        <v>#REF!</v>
      </c>
      <c r="K13" s="267" t="e">
        <f>'Cost Report'!#REF!/('Cost Report'!#REF!+'Cost Report'!#REF!)</f>
        <v>#REF!</v>
      </c>
      <c r="L13" s="270">
        <f>'Cost Report'!$I$18/('Cost Report'!$I$22+'Cost Report'!$I$30)</f>
        <v>0</v>
      </c>
      <c r="M13" s="270" t="e">
        <f>'Cost Report'!#REF!/('Cost Report'!#REF!+'Cost Report'!#REF!)</f>
        <v>#REF!</v>
      </c>
      <c r="N13" s="270" t="e">
        <f>'Cost Report'!#REF!/('Cost Report'!#REF!+'Cost Report'!#REF!)</f>
        <v>#REF!</v>
      </c>
      <c r="O13" s="270" t="e">
        <f>'Cost Report'!#REF!/('Cost Report'!#REF!+'Cost Report'!#REF!)</f>
        <v>#REF!</v>
      </c>
      <c r="Q13" s="273">
        <v>0</v>
      </c>
      <c r="R13" s="273">
        <v>0</v>
      </c>
      <c r="S13" s="273">
        <v>0</v>
      </c>
      <c r="T13" s="276">
        <v>0.14000000000000001</v>
      </c>
      <c r="U13" s="276">
        <v>0.23</v>
      </c>
      <c r="V13" s="276">
        <v>0.31</v>
      </c>
      <c r="W13" s="282">
        <v>0.14000000000000001</v>
      </c>
      <c r="X13" s="282">
        <v>0.23</v>
      </c>
      <c r="Y13" s="282">
        <v>0.31</v>
      </c>
    </row>
    <row r="14" spans="2:25" x14ac:dyDescent="0.25">
      <c r="B14" s="261" t="s">
        <v>114</v>
      </c>
      <c r="C14" s="279">
        <f>'Cost Report'!$D$19/('Cost Report'!$D$22+'Cost Report'!$D$30)</f>
        <v>5.9441099886254199E-2</v>
      </c>
      <c r="D14" s="264">
        <f>'Cost Report'!$G$19/('Cost Report'!$G$22+'Cost Report'!$G$30)</f>
        <v>5.7830945487427517E-2</v>
      </c>
      <c r="E14" s="264" t="e">
        <f>'Cost Report'!#REF!/('Cost Report'!#REF!+'Cost Report'!#REF!)</f>
        <v>#REF!</v>
      </c>
      <c r="F14" s="264" t="e">
        <f>'Cost Report'!#REF!/('Cost Report'!#REF!+'Cost Report'!#REF!)</f>
        <v>#REF!</v>
      </c>
      <c r="G14" s="267" t="e">
        <f>'Cost Report'!#REF!/('Cost Report'!#REF!+'Cost Report'!#REF!)</f>
        <v>#REF!</v>
      </c>
      <c r="H14" s="267" t="e">
        <f>'Cost Report'!#REF!/('Cost Report'!#REF!+'Cost Report'!#REF!)</f>
        <v>#REF!</v>
      </c>
      <c r="I14" s="267" t="e">
        <f>'Cost Report'!#REF!/('Cost Report'!#REF!+'Cost Report'!#REF!)</f>
        <v>#REF!</v>
      </c>
      <c r="J14" s="267" t="e">
        <f>'Cost Report'!#REF!/('Cost Report'!#REF!+'Cost Report'!#REF!)</f>
        <v>#REF!</v>
      </c>
      <c r="K14" s="267" t="e">
        <f>'Cost Report'!#REF!/('Cost Report'!#REF!+'Cost Report'!#REF!)</f>
        <v>#REF!</v>
      </c>
      <c r="L14" s="270">
        <f>'Cost Report'!$I$19/('Cost Report'!$I$22+'Cost Report'!$I$30)</f>
        <v>9.3991989319092126E-2</v>
      </c>
      <c r="M14" s="270" t="e">
        <f>'Cost Report'!#REF!/('Cost Report'!#REF!+'Cost Report'!#REF!)</f>
        <v>#REF!</v>
      </c>
      <c r="N14" s="270" t="e">
        <f>'Cost Report'!#REF!/('Cost Report'!#REF!+'Cost Report'!#REF!)</f>
        <v>#REF!</v>
      </c>
      <c r="O14" s="270" t="e">
        <f>'Cost Report'!#REF!/('Cost Report'!#REF!+'Cost Report'!#REF!)</f>
        <v>#REF!</v>
      </c>
      <c r="Q14" s="273">
        <v>7.0000000000000007E-2</v>
      </c>
      <c r="R14" s="273">
        <v>7.0000000000000007E-2</v>
      </c>
      <c r="S14" s="273">
        <v>0.08</v>
      </c>
      <c r="T14" s="276">
        <v>0.13</v>
      </c>
      <c r="U14" s="276">
        <v>0.11</v>
      </c>
      <c r="V14" s="276">
        <v>0.09</v>
      </c>
      <c r="W14" s="282">
        <v>0.13</v>
      </c>
      <c r="X14" s="282">
        <v>0.11</v>
      </c>
      <c r="Y14" s="282">
        <v>0.09</v>
      </c>
    </row>
    <row r="15" spans="2:25" x14ac:dyDescent="0.25">
      <c r="B15" s="261" t="s">
        <v>116</v>
      </c>
      <c r="C15" s="279">
        <f>'Cost Report'!$D$20/('Cost Report'!$D$22+'Cost Report'!$D$30)</f>
        <v>9.4325788591335495E-3</v>
      </c>
      <c r="D15" s="264">
        <f>'Cost Report'!$G$20/('Cost Report'!$G$22+'Cost Report'!$G$30)</f>
        <v>7.2174612787350365E-3</v>
      </c>
      <c r="E15" s="264" t="e">
        <f>'Cost Report'!#REF!/('Cost Report'!#REF!+'Cost Report'!#REF!)</f>
        <v>#REF!</v>
      </c>
      <c r="F15" s="264" t="e">
        <f>'Cost Report'!#REF!/('Cost Report'!#REF!+'Cost Report'!#REF!)</f>
        <v>#REF!</v>
      </c>
      <c r="G15" s="267" t="e">
        <f>'Cost Report'!#REF!/('Cost Report'!#REF!+'Cost Report'!#REF!)</f>
        <v>#REF!</v>
      </c>
      <c r="H15" s="267" t="e">
        <f>'Cost Report'!#REF!/('Cost Report'!#REF!+'Cost Report'!#REF!)</f>
        <v>#REF!</v>
      </c>
      <c r="I15" s="267" t="e">
        <f>'Cost Report'!#REF!/('Cost Report'!#REF!+'Cost Report'!#REF!)</f>
        <v>#REF!</v>
      </c>
      <c r="J15" s="267" t="e">
        <f>'Cost Report'!#REF!/('Cost Report'!#REF!+'Cost Report'!#REF!)</f>
        <v>#REF!</v>
      </c>
      <c r="K15" s="267" t="e">
        <f>'Cost Report'!#REF!/('Cost Report'!#REF!+'Cost Report'!#REF!)</f>
        <v>#REF!</v>
      </c>
      <c r="L15" s="270">
        <f>'Cost Report'!$I$20/('Cost Report'!$I$22+'Cost Report'!$I$30)</f>
        <v>5.6964842011570982E-2</v>
      </c>
      <c r="M15" s="270" t="e">
        <f>'Cost Report'!#REF!/('Cost Report'!#REF!+'Cost Report'!#REF!)</f>
        <v>#REF!</v>
      </c>
      <c r="N15" s="270" t="e">
        <f>'Cost Report'!#REF!/('Cost Report'!#REF!+'Cost Report'!#REF!)</f>
        <v>#REF!</v>
      </c>
      <c r="O15" s="270" t="e">
        <f>'Cost Report'!#REF!/('Cost Report'!#REF!+'Cost Report'!#REF!)</f>
        <v>#REF!</v>
      </c>
      <c r="Q15" s="273">
        <v>0.02</v>
      </c>
      <c r="R15" s="273">
        <v>0.02</v>
      </c>
      <c r="S15" s="273">
        <v>0.01</v>
      </c>
      <c r="T15" s="276">
        <v>0.04</v>
      </c>
      <c r="U15" s="276">
        <v>0.04</v>
      </c>
      <c r="V15" s="276">
        <v>0.04</v>
      </c>
      <c r="W15" s="282">
        <v>0.04</v>
      </c>
      <c r="X15" s="282">
        <v>0.04</v>
      </c>
      <c r="Y15" s="282">
        <v>0.04</v>
      </c>
    </row>
    <row r="16" spans="2:25" x14ac:dyDescent="0.25">
      <c r="B16" s="261" t="s">
        <v>118</v>
      </c>
      <c r="C16" s="279">
        <f>'Cost Report'!$D$21/('Cost Report'!$D$22+'Cost Report'!$D$30)</f>
        <v>2.3779610569244244E-3</v>
      </c>
      <c r="D16" s="264">
        <f>'Cost Report'!$G$21/('Cost Report'!$G$22+'Cost Report'!$G$30)</f>
        <v>1.825105150944492E-3</v>
      </c>
      <c r="E16" s="264" t="e">
        <f>'Cost Report'!#REF!/('Cost Report'!#REF!+'Cost Report'!#REF!)</f>
        <v>#REF!</v>
      </c>
      <c r="F16" s="264" t="e">
        <f>'Cost Report'!#REF!/('Cost Report'!#REF!+'Cost Report'!#REF!)</f>
        <v>#REF!</v>
      </c>
      <c r="G16" s="267" t="e">
        <f>'Cost Report'!#REF!/('Cost Report'!#REF!+'Cost Report'!#REF!)</f>
        <v>#REF!</v>
      </c>
      <c r="H16" s="267" t="e">
        <f>'Cost Report'!#REF!/('Cost Report'!#REF!+'Cost Report'!#REF!)</f>
        <v>#REF!</v>
      </c>
      <c r="I16" s="267" t="e">
        <f>'Cost Report'!#REF!/('Cost Report'!#REF!+'Cost Report'!#REF!)</f>
        <v>#REF!</v>
      </c>
      <c r="J16" s="267" t="e">
        <f>'Cost Report'!#REF!/('Cost Report'!#REF!+'Cost Report'!#REF!)</f>
        <v>#REF!</v>
      </c>
      <c r="K16" s="267" t="e">
        <f>'Cost Report'!#REF!/('Cost Report'!#REF!+'Cost Report'!#REF!)</f>
        <v>#REF!</v>
      </c>
      <c r="L16" s="270">
        <f>'Cost Report'!$I$21/('Cost Report'!$I$22+'Cost Report'!$I$30)</f>
        <v>1.4241210502892745E-2</v>
      </c>
      <c r="M16" s="270" t="e">
        <f>'Cost Report'!#REF!/('Cost Report'!#REF!+'Cost Report'!#REF!)</f>
        <v>#REF!</v>
      </c>
      <c r="N16" s="270" t="e">
        <f>'Cost Report'!#REF!/('Cost Report'!#REF!+'Cost Report'!#REF!)</f>
        <v>#REF!</v>
      </c>
      <c r="O16" s="270" t="e">
        <f>'Cost Report'!#REF!/('Cost Report'!#REF!+'Cost Report'!#REF!)</f>
        <v>#REF!</v>
      </c>
      <c r="Q16" s="273">
        <v>0.01</v>
      </c>
      <c r="R16" s="273">
        <v>0</v>
      </c>
      <c r="S16" s="273">
        <v>0</v>
      </c>
      <c r="T16" s="276">
        <v>0.01</v>
      </c>
      <c r="U16" s="276">
        <v>0.01</v>
      </c>
      <c r="V16" s="276">
        <v>0.01</v>
      </c>
      <c r="W16" s="282">
        <v>0.01</v>
      </c>
      <c r="X16" s="282">
        <v>0.01</v>
      </c>
      <c r="Y16" s="282">
        <v>0.01</v>
      </c>
    </row>
    <row r="17" spans="2:25" x14ac:dyDescent="0.25">
      <c r="B17" s="261" t="s">
        <v>124</v>
      </c>
      <c r="C17" s="279">
        <f>'Cost Report'!$D$28/('Cost Report'!$D$22+'Cost Report'!$D$30)</f>
        <v>3.1024465256007324E-2</v>
      </c>
      <c r="D17" s="264">
        <f>'Cost Report'!$G$28/('Cost Report'!$G$22+'Cost Report'!$G$30)</f>
        <v>3.2470279821803373E-2</v>
      </c>
      <c r="E17" s="264" t="e">
        <f>'Cost Report'!#REF!/('Cost Report'!#REF!+'Cost Report'!#REF!)</f>
        <v>#REF!</v>
      </c>
      <c r="F17" s="264" t="e">
        <f>'Cost Report'!#REF!/('Cost Report'!#REF!+'Cost Report'!#REF!)</f>
        <v>#REF!</v>
      </c>
      <c r="G17" s="267" t="e">
        <f>'Cost Report'!#REF!/('Cost Report'!#REF!+'Cost Report'!#REF!)</f>
        <v>#REF!</v>
      </c>
      <c r="H17" s="267" t="e">
        <f>'Cost Report'!#REF!/('Cost Report'!#REF!+'Cost Report'!#REF!)</f>
        <v>#REF!</v>
      </c>
      <c r="I17" s="267" t="e">
        <f>'Cost Report'!#REF!/('Cost Report'!#REF!+'Cost Report'!#REF!)</f>
        <v>#REF!</v>
      </c>
      <c r="J17" s="267" t="e">
        <f>'Cost Report'!#REF!/('Cost Report'!#REF!+'Cost Report'!#REF!)</f>
        <v>#REF!</v>
      </c>
      <c r="K17" s="267" t="e">
        <f>'Cost Report'!#REF!/('Cost Report'!#REF!+'Cost Report'!#REF!)</f>
        <v>#REF!</v>
      </c>
      <c r="L17" s="270">
        <f>'Cost Report'!$I$28/('Cost Report'!$I$22+'Cost Report'!$I$30)</f>
        <v>0</v>
      </c>
      <c r="M17" s="270" t="e">
        <f>'Cost Report'!#REF!/('Cost Report'!#REF!+'Cost Report'!#REF!)</f>
        <v>#REF!</v>
      </c>
      <c r="N17" s="270" t="e">
        <f>'Cost Report'!#REF!/('Cost Report'!#REF!+'Cost Report'!#REF!)</f>
        <v>#REF!</v>
      </c>
      <c r="O17" s="270" t="e">
        <f>'Cost Report'!#REF!/('Cost Report'!#REF!+'Cost Report'!#REF!)</f>
        <v>#REF!</v>
      </c>
      <c r="Q17" s="273">
        <v>0.04</v>
      </c>
      <c r="R17" s="273">
        <v>0.04</v>
      </c>
      <c r="S17" s="273">
        <v>0.05</v>
      </c>
      <c r="T17" s="276">
        <v>0.06</v>
      </c>
      <c r="U17" s="276">
        <v>0.05</v>
      </c>
      <c r="V17" s="276">
        <v>0.04</v>
      </c>
      <c r="W17" s="282">
        <v>0.06</v>
      </c>
      <c r="X17" s="282">
        <v>0.05</v>
      </c>
      <c r="Y17" s="282">
        <v>0.04</v>
      </c>
    </row>
    <row r="18" spans="2:25" ht="15.75" thickBot="1" x14ac:dyDescent="0.3">
      <c r="B18" s="262" t="s">
        <v>127</v>
      </c>
      <c r="C18" s="280">
        <f>'Cost Report'!$D$29/('Cost Report'!$D$22+'Cost Report'!$D$30)</f>
        <v>0.10317180372309435</v>
      </c>
      <c r="D18" s="265">
        <f>'Cost Report'!$G$29/('Cost Report'!$G$22+'Cost Report'!$G$30)</f>
        <v>0.10199849014028421</v>
      </c>
      <c r="E18" s="265" t="e">
        <f>'Cost Report'!#REF!/('Cost Report'!#REF!+'Cost Report'!#REF!)</f>
        <v>#REF!</v>
      </c>
      <c r="F18" s="265" t="e">
        <f>'Cost Report'!#REF!/('Cost Report'!#REF!+'Cost Report'!#REF!)</f>
        <v>#REF!</v>
      </c>
      <c r="G18" s="268" t="e">
        <f>'Cost Report'!#REF!/('Cost Report'!#REF!+'Cost Report'!#REF!)</f>
        <v>#REF!</v>
      </c>
      <c r="H18" s="268" t="e">
        <f>'Cost Report'!#REF!/('Cost Report'!#REF!+'Cost Report'!#REF!)</f>
        <v>#REF!</v>
      </c>
      <c r="I18" s="268" t="e">
        <f>'Cost Report'!#REF!/('Cost Report'!#REF!+'Cost Report'!#REF!)</f>
        <v>#REF!</v>
      </c>
      <c r="J18" s="268" t="e">
        <f>'Cost Report'!#REF!/('Cost Report'!#REF!+'Cost Report'!#REF!)</f>
        <v>#REF!</v>
      </c>
      <c r="K18" s="268" t="e">
        <f>'Cost Report'!#REF!/('Cost Report'!#REF!+'Cost Report'!#REF!)</f>
        <v>#REF!</v>
      </c>
      <c r="L18" s="271">
        <f>'Cost Report'!$I$29/('Cost Report'!$I$22+'Cost Report'!$I$30)</f>
        <v>0.12834890965732088</v>
      </c>
      <c r="M18" s="271" t="e">
        <f>'Cost Report'!#REF!/('Cost Report'!#REF!+'Cost Report'!#REF!)</f>
        <v>#REF!</v>
      </c>
      <c r="N18" s="271" t="e">
        <f>'Cost Report'!#REF!/('Cost Report'!#REF!+'Cost Report'!#REF!)</f>
        <v>#REF!</v>
      </c>
      <c r="O18" s="271" t="e">
        <f>'Cost Report'!#REF!/('Cost Report'!#REF!+'Cost Report'!#REF!)</f>
        <v>#REF!</v>
      </c>
      <c r="Q18" s="274">
        <v>0.08</v>
      </c>
      <c r="R18" s="274">
        <v>0.06</v>
      </c>
      <c r="S18" s="274">
        <v>0.11</v>
      </c>
      <c r="T18" s="277">
        <v>0.13</v>
      </c>
      <c r="U18" s="277">
        <v>0.15</v>
      </c>
      <c r="V18" s="277">
        <v>0.16</v>
      </c>
      <c r="W18" s="283">
        <v>0.13</v>
      </c>
      <c r="X18" s="283">
        <v>0.15</v>
      </c>
      <c r="Y18" s="283">
        <v>0.16</v>
      </c>
    </row>
  </sheetData>
  <mergeCells count="5">
    <mergeCell ref="Q3:S3"/>
    <mergeCell ref="T3:V3"/>
    <mergeCell ref="B2:O2"/>
    <mergeCell ref="Q2:Y2"/>
    <mergeCell ref="W3:Y3"/>
  </mergeCells>
  <pageMargins left="0.7" right="0.7" top="0.75" bottom="0.75" header="0.3" footer="0.3"/>
  <pageSetup scale="46" orientation="landscape" r:id="rId1"/>
  <headerFooter>
    <oddHeader>&amp;R&amp;"Times New Roman,Bold"&amp;10KyPSC Case No. 2025-00229
STAFF-DR-01-005(b) Attachment 10
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2BBE-CCF1-427F-B0AD-174C0A9E1027}">
  <sheetPr>
    <tabColor rgb="FF0070C0"/>
    <pageSetUpPr fitToPage="1"/>
  </sheetPr>
  <dimension ref="A1:Y113"/>
  <sheetViews>
    <sheetView view="pageLayout" zoomScaleNormal="75" workbookViewId="0">
      <selection activeCell="J18" sqref="J18"/>
    </sheetView>
  </sheetViews>
  <sheetFormatPr defaultRowHeight="15" x14ac:dyDescent="0.25"/>
  <cols>
    <col min="1" max="1" width="2.140625" customWidth="1"/>
    <col min="2" max="2" width="53.85546875" customWidth="1"/>
    <col min="3" max="3" width="34.42578125" customWidth="1"/>
    <col min="4" max="4" width="90.5703125" bestFit="1" customWidth="1"/>
    <col min="25" max="25" width="10" bestFit="1" customWidth="1"/>
  </cols>
  <sheetData>
    <row r="1" spans="2:11" ht="9.75" customHeight="1" x14ac:dyDescent="0.25"/>
    <row r="2" spans="2:11" x14ac:dyDescent="0.25">
      <c r="B2" s="40" t="s">
        <v>37</v>
      </c>
    </row>
    <row r="3" spans="2:11" ht="15.75" thickBot="1" x14ac:dyDescent="0.3"/>
    <row r="4" spans="2:11" ht="21" x14ac:dyDescent="0.35">
      <c r="B4" s="309" t="s">
        <v>38</v>
      </c>
      <c r="C4" s="310"/>
      <c r="D4" s="311"/>
    </row>
    <row r="5" spans="2:11" ht="19.5" thickBot="1" x14ac:dyDescent="0.35">
      <c r="B5" s="48" t="s">
        <v>39</v>
      </c>
      <c r="C5" s="49" t="s">
        <v>40</v>
      </c>
      <c r="D5" s="50" t="s">
        <v>41</v>
      </c>
    </row>
    <row r="6" spans="2:11" x14ac:dyDescent="0.25">
      <c r="B6" s="5" t="s">
        <v>42</v>
      </c>
      <c r="C6" s="42" t="s">
        <v>479</v>
      </c>
      <c r="D6" s="294" t="s">
        <v>43</v>
      </c>
    </row>
    <row r="7" spans="2:11" x14ac:dyDescent="0.25">
      <c r="B7" s="6" t="s">
        <v>439</v>
      </c>
      <c r="C7" s="43" t="s">
        <v>440</v>
      </c>
      <c r="D7" s="295" t="s">
        <v>441</v>
      </c>
    </row>
    <row r="8" spans="2:11" x14ac:dyDescent="0.25">
      <c r="B8" s="6" t="s">
        <v>1</v>
      </c>
      <c r="C8" s="43" t="s">
        <v>472</v>
      </c>
      <c r="D8" s="295"/>
    </row>
    <row r="9" spans="2:11" x14ac:dyDescent="0.25">
      <c r="B9" s="6" t="s">
        <v>44</v>
      </c>
      <c r="C9" s="169">
        <v>44221</v>
      </c>
      <c r="D9" s="295" t="s">
        <v>45</v>
      </c>
    </row>
    <row r="10" spans="2:11" x14ac:dyDescent="0.25">
      <c r="B10" s="6" t="s">
        <v>46</v>
      </c>
      <c r="C10" s="43" t="s">
        <v>456</v>
      </c>
      <c r="D10" s="295"/>
    </row>
    <row r="11" spans="2:11" x14ac:dyDescent="0.25">
      <c r="B11" s="6" t="s">
        <v>267</v>
      </c>
      <c r="C11" s="43" t="s">
        <v>457</v>
      </c>
      <c r="D11" s="295" t="s">
        <v>266</v>
      </c>
    </row>
    <row r="12" spans="2:11" x14ac:dyDescent="0.25">
      <c r="B12" s="6" t="s">
        <v>47</v>
      </c>
      <c r="C12" s="43" t="s">
        <v>48</v>
      </c>
      <c r="D12" s="295"/>
    </row>
    <row r="13" spans="2:11" x14ac:dyDescent="0.25">
      <c r="B13" s="6" t="s">
        <v>49</v>
      </c>
      <c r="C13" s="43" t="s">
        <v>50</v>
      </c>
      <c r="D13" s="295"/>
    </row>
    <row r="14" spans="2:11" x14ac:dyDescent="0.25">
      <c r="B14" s="6" t="s">
        <v>51</v>
      </c>
      <c r="C14" s="43" t="s">
        <v>458</v>
      </c>
      <c r="D14" s="295" t="s">
        <v>52</v>
      </c>
    </row>
    <row r="15" spans="2:11" ht="15" customHeight="1" x14ac:dyDescent="0.25">
      <c r="B15" s="6" t="s">
        <v>393</v>
      </c>
      <c r="C15" s="43">
        <v>40</v>
      </c>
      <c r="D15" s="295" t="s">
        <v>400</v>
      </c>
      <c r="E15" s="305"/>
      <c r="F15" s="255"/>
      <c r="G15" s="255"/>
      <c r="H15" s="255"/>
      <c r="I15" s="255"/>
      <c r="J15" s="255"/>
      <c r="K15" s="255"/>
    </row>
    <row r="16" spans="2:11" x14ac:dyDescent="0.25">
      <c r="B16" s="6" t="s">
        <v>394</v>
      </c>
      <c r="C16" s="43">
        <v>22</v>
      </c>
      <c r="D16" s="295" t="s">
        <v>401</v>
      </c>
      <c r="E16" s="305"/>
      <c r="F16" s="255"/>
      <c r="G16" s="255"/>
      <c r="H16" s="255"/>
      <c r="I16" s="255"/>
      <c r="J16" s="255"/>
      <c r="K16" s="255"/>
    </row>
    <row r="17" spans="2:11" x14ac:dyDescent="0.25">
      <c r="B17" s="6" t="s">
        <v>395</v>
      </c>
      <c r="C17" s="43">
        <v>10</v>
      </c>
      <c r="D17" s="295" t="s">
        <v>402</v>
      </c>
      <c r="E17" s="305"/>
      <c r="F17" s="255"/>
      <c r="G17" s="255"/>
      <c r="H17" s="255"/>
      <c r="I17" s="255"/>
      <c r="J17" s="255"/>
      <c r="K17" s="255"/>
    </row>
    <row r="18" spans="2:11" x14ac:dyDescent="0.25">
      <c r="B18" s="6" t="s">
        <v>53</v>
      </c>
      <c r="C18" s="43" t="s">
        <v>54</v>
      </c>
      <c r="D18" s="295"/>
    </row>
    <row r="19" spans="2:11" x14ac:dyDescent="0.25">
      <c r="B19" s="6" t="s">
        <v>55</v>
      </c>
      <c r="C19" s="43"/>
      <c r="D19" s="295" t="s">
        <v>56</v>
      </c>
    </row>
    <row r="20" spans="2:11" x14ac:dyDescent="0.25">
      <c r="B20" s="6" t="s">
        <v>69</v>
      </c>
      <c r="C20" s="43"/>
      <c r="D20" s="295" t="s">
        <v>57</v>
      </c>
    </row>
    <row r="21" spans="2:11" x14ac:dyDescent="0.25">
      <c r="B21" s="6" t="s">
        <v>68</v>
      </c>
      <c r="C21" s="43"/>
      <c r="D21" s="295"/>
    </row>
    <row r="22" spans="2:11" x14ac:dyDescent="0.25">
      <c r="B22" s="6" t="s">
        <v>58</v>
      </c>
      <c r="C22" s="43" t="s">
        <v>459</v>
      </c>
      <c r="D22" s="295"/>
    </row>
    <row r="23" spans="2:11" x14ac:dyDescent="0.25">
      <c r="B23" s="6" t="s">
        <v>59</v>
      </c>
      <c r="C23" s="43" t="s">
        <v>2</v>
      </c>
      <c r="D23" s="295"/>
    </row>
    <row r="24" spans="2:11" x14ac:dyDescent="0.25">
      <c r="B24" s="6" t="s">
        <v>60</v>
      </c>
      <c r="C24" s="307">
        <v>14310</v>
      </c>
      <c r="D24" s="295" t="s">
        <v>418</v>
      </c>
      <c r="E24" s="254" t="s">
        <v>419</v>
      </c>
    </row>
    <row r="25" spans="2:11" x14ac:dyDescent="0.25">
      <c r="B25" s="6" t="s">
        <v>61</v>
      </c>
      <c r="C25" s="44">
        <v>7.7499999999999999E-2</v>
      </c>
      <c r="D25" s="295" t="s">
        <v>62</v>
      </c>
    </row>
    <row r="26" spans="2:11" x14ac:dyDescent="0.25">
      <c r="B26" s="6" t="s">
        <v>63</v>
      </c>
      <c r="C26" s="43" t="s">
        <v>460</v>
      </c>
      <c r="D26" s="295"/>
    </row>
    <row r="27" spans="2:11" x14ac:dyDescent="0.25">
      <c r="B27" s="6" t="s">
        <v>250</v>
      </c>
      <c r="C27" s="43">
        <v>3</v>
      </c>
      <c r="D27" s="295" t="s">
        <v>420</v>
      </c>
    </row>
    <row r="28" spans="2:11" x14ac:dyDescent="0.25">
      <c r="B28" s="6" t="s">
        <v>251</v>
      </c>
      <c r="C28" s="293">
        <v>2.5000000000000001E-2</v>
      </c>
      <c r="D28" s="295" t="s">
        <v>268</v>
      </c>
    </row>
    <row r="29" spans="2:11" x14ac:dyDescent="0.25">
      <c r="B29" s="6" t="s">
        <v>253</v>
      </c>
      <c r="C29" s="184">
        <v>0.15</v>
      </c>
      <c r="D29" s="295" t="s">
        <v>252</v>
      </c>
    </row>
    <row r="30" spans="2:11" x14ac:dyDescent="0.25">
      <c r="B30" s="6" t="s">
        <v>236</v>
      </c>
      <c r="C30" s="169">
        <v>44562</v>
      </c>
      <c r="D30" s="295" t="s">
        <v>398</v>
      </c>
    </row>
    <row r="31" spans="2:11" x14ac:dyDescent="0.25">
      <c r="B31" s="6" t="s">
        <v>237</v>
      </c>
      <c r="C31" s="300">
        <f>C30+(30.4*C15)</f>
        <v>45778</v>
      </c>
      <c r="D31" s="295" t="s">
        <v>397</v>
      </c>
      <c r="E31" s="254" t="s">
        <v>396</v>
      </c>
    </row>
    <row r="32" spans="2:11" x14ac:dyDescent="0.25">
      <c r="B32" s="6" t="s">
        <v>238</v>
      </c>
      <c r="C32" s="300">
        <f>C31+30</f>
        <v>45808</v>
      </c>
      <c r="D32" s="295" t="s">
        <v>397</v>
      </c>
    </row>
    <row r="33" spans="1:5" ht="15.75" thickBot="1" x14ac:dyDescent="0.3">
      <c r="B33" s="301" t="s">
        <v>446</v>
      </c>
      <c r="C33" s="302">
        <v>46052</v>
      </c>
      <c r="D33" s="303" t="s">
        <v>433</v>
      </c>
      <c r="E33" s="254" t="s">
        <v>396</v>
      </c>
    </row>
    <row r="35" spans="1:5" x14ac:dyDescent="0.25">
      <c r="B35" t="s">
        <v>64</v>
      </c>
    </row>
    <row r="36" spans="1:5" x14ac:dyDescent="0.25">
      <c r="A36">
        <v>1</v>
      </c>
      <c r="B36" t="s">
        <v>65</v>
      </c>
    </row>
    <row r="37" spans="1:5" x14ac:dyDescent="0.25">
      <c r="A37">
        <v>2</v>
      </c>
      <c r="B37" t="s">
        <v>66</v>
      </c>
    </row>
    <row r="38" spans="1:5" x14ac:dyDescent="0.25">
      <c r="A38">
        <v>3</v>
      </c>
      <c r="B38" t="s">
        <v>67</v>
      </c>
    </row>
    <row r="103" spans="24:25" x14ac:dyDescent="0.25">
      <c r="X103" t="s">
        <v>442</v>
      </c>
      <c r="Y103" t="s">
        <v>112</v>
      </c>
    </row>
    <row r="104" spans="24:25" x14ac:dyDescent="0.25">
      <c r="Y104" t="s">
        <v>110</v>
      </c>
    </row>
    <row r="105" spans="24:25" x14ac:dyDescent="0.25">
      <c r="Y105" t="s">
        <v>443</v>
      </c>
    </row>
    <row r="106" spans="24:25" x14ac:dyDescent="0.25">
      <c r="Y106" t="s">
        <v>102</v>
      </c>
    </row>
    <row r="107" spans="24:25" x14ac:dyDescent="0.25">
      <c r="Y107" t="s">
        <v>255</v>
      </c>
    </row>
    <row r="108" spans="24:25" x14ac:dyDescent="0.25">
      <c r="Y108" t="s">
        <v>103</v>
      </c>
    </row>
    <row r="109" spans="24:25" x14ac:dyDescent="0.25">
      <c r="Y109" t="s">
        <v>444</v>
      </c>
    </row>
    <row r="110" spans="24:25" x14ac:dyDescent="0.25">
      <c r="Y110" t="s">
        <v>108</v>
      </c>
    </row>
    <row r="111" spans="24:25" x14ac:dyDescent="0.25">
      <c r="Y111" t="s">
        <v>117</v>
      </c>
    </row>
    <row r="112" spans="24:25" x14ac:dyDescent="0.25">
      <c r="Y112" t="s">
        <v>126</v>
      </c>
    </row>
    <row r="113" spans="25:25" x14ac:dyDescent="0.25">
      <c r="Y113" t="s">
        <v>115</v>
      </c>
    </row>
  </sheetData>
  <protectedRanges>
    <protectedRange algorithmName="SHA-512" hashValue="VNr1jv1pLkMOO4KfaU7hLsvLOdchgL6LwTERe2wsYodhbCl7F1jHmxeg7HIoUXvYzl5Nvi7tpYokgPS1/O95iQ==" saltValue="MvEzjZ/G2gPtKIhTzlmWCQ==" spinCount="100000" sqref="B4:D33" name="Range1" securityDescriptor="O:WDG:WDD:(A;;CC;;;S-1-5-21-577582919-1435025626-1914702595-4020469)(A;;CC;;;S-1-5-21-577582919-1435025626-1914702595-3758999)(A;;CC;;;S-1-5-21-577582919-1435025626-1914702595-3758875)(A;;CC;;;S-1-5-21-577582919-1435025626-1914702595-4023729)(A;;CC;;;S-1-5-21-577582919-1435025626-1914702595-3758127)"/>
  </protectedRanges>
  <mergeCells count="1">
    <mergeCell ref="B4:D4"/>
  </mergeCells>
  <conditionalFormatting sqref="C33">
    <cfRule type="cellIs" dxfId="3" priority="1" operator="greaterThan">
      <formula>$C$31</formula>
    </cfRule>
    <cfRule type="cellIs" dxfId="2" priority="2" operator="lessThan">
      <formula>$C$31</formula>
    </cfRule>
  </conditionalFormatting>
  <pageMargins left="0.7" right="0.7" top="0.75" bottom="0.75" header="0.3" footer="0.3"/>
  <pageSetup scale="30" orientation="landscape" r:id="rId1"/>
  <headerFooter>
    <oddHeader>&amp;R&amp;"Times New Roman,Bold"&amp;10KyPSC Case No. 2025-00229
STAFF-DR-01-005(b) Attachment 10
Page &amp;P of &amp;N</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863AF-4C1F-4FE0-B200-535CEC63B753}">
  <sheetPr>
    <tabColor rgb="FF92D050"/>
    <pageSetUpPr fitToPage="1"/>
  </sheetPr>
  <dimension ref="A1:K46"/>
  <sheetViews>
    <sheetView showGridLines="0" view="pageLayout" topLeftCell="A15" zoomScaleNormal="100" workbookViewId="0">
      <selection activeCell="J18" sqref="J18"/>
    </sheetView>
  </sheetViews>
  <sheetFormatPr defaultRowHeight="15" x14ac:dyDescent="0.25"/>
  <cols>
    <col min="2" max="3" width="7.28515625" customWidth="1"/>
    <col min="4" max="4" width="27.85546875" customWidth="1"/>
    <col min="5" max="5" width="15.140625" customWidth="1"/>
    <col min="6" max="6" width="17" customWidth="1"/>
    <col min="7" max="7" width="15.28515625" customWidth="1"/>
    <col min="8" max="8" width="1.85546875" customWidth="1"/>
    <col min="10" max="10" width="14.28515625" customWidth="1"/>
    <col min="11" max="11" width="15.5703125" customWidth="1"/>
    <col min="12" max="12" width="14.28515625" bestFit="1" customWidth="1"/>
  </cols>
  <sheetData>
    <row r="1" spans="1:11" ht="48" customHeight="1" x14ac:dyDescent="0.35">
      <c r="A1" s="248"/>
      <c r="B1" s="326" t="s">
        <v>388</v>
      </c>
      <c r="C1" s="327"/>
      <c r="D1" s="328" t="s">
        <v>387</v>
      </c>
      <c r="E1" s="329"/>
      <c r="F1" s="329"/>
      <c r="G1" s="248"/>
      <c r="H1" s="248"/>
      <c r="I1" s="248"/>
      <c r="J1" s="248"/>
      <c r="K1" s="248"/>
    </row>
    <row r="2" spans="1:11" ht="9" customHeight="1" x14ac:dyDescent="0.25"/>
    <row r="3" spans="1:11" ht="15.75" customHeight="1" x14ac:dyDescent="0.25">
      <c r="B3" s="142"/>
      <c r="C3" s="247" t="s">
        <v>386</v>
      </c>
    </row>
    <row r="4" spans="1:11" ht="12.75" customHeight="1" x14ac:dyDescent="0.25">
      <c r="J4" s="246" t="s">
        <v>385</v>
      </c>
      <c r="K4" s="245" t="s">
        <v>2</v>
      </c>
    </row>
    <row r="5" spans="1:11" ht="15.75" x14ac:dyDescent="0.25">
      <c r="B5" t="s">
        <v>384</v>
      </c>
      <c r="D5" s="330" t="str">
        <f>'Master Tab'!C8</f>
        <v>Line AM07 PH5</v>
      </c>
      <c r="E5" s="331"/>
      <c r="F5" s="244" t="s">
        <v>44</v>
      </c>
      <c r="G5" s="249">
        <f>'Master Tab'!C9</f>
        <v>44221</v>
      </c>
      <c r="J5" s="243" t="s">
        <v>381</v>
      </c>
      <c r="K5" s="242" t="s">
        <v>344</v>
      </c>
    </row>
    <row r="6" spans="1:11" x14ac:dyDescent="0.25">
      <c r="J6" s="243" t="s">
        <v>383</v>
      </c>
      <c r="K6" s="242" t="s">
        <v>342</v>
      </c>
    </row>
    <row r="7" spans="1:11" ht="15.75" x14ac:dyDescent="0.25">
      <c r="B7" t="s">
        <v>382</v>
      </c>
      <c r="D7" s="241" t="s">
        <v>379</v>
      </c>
      <c r="F7" t="s">
        <v>380</v>
      </c>
      <c r="G7" s="240" t="str">
        <f>VLOOKUP(D7,J4:K7,2,FALSE)</f>
        <v>Class 3</v>
      </c>
      <c r="J7" s="239" t="s">
        <v>379</v>
      </c>
      <c r="K7" s="238" t="s">
        <v>342</v>
      </c>
    </row>
    <row r="8" spans="1:11" ht="9" customHeight="1" x14ac:dyDescent="0.25"/>
    <row r="9" spans="1:11" ht="10.5" customHeight="1" thickBot="1" x14ac:dyDescent="0.3"/>
    <row r="10" spans="1:11" ht="19.5" thickBot="1" x14ac:dyDescent="0.35">
      <c r="B10" s="332" t="s">
        <v>378</v>
      </c>
      <c r="C10" s="333"/>
      <c r="D10" s="333"/>
      <c r="E10" s="333"/>
      <c r="F10" s="333"/>
      <c r="G10" s="334"/>
    </row>
    <row r="11" spans="1:11" ht="27" customHeight="1" x14ac:dyDescent="0.25">
      <c r="B11" s="335" t="s">
        <v>377</v>
      </c>
      <c r="C11" s="336"/>
      <c r="E11" s="337" t="s">
        <v>376</v>
      </c>
      <c r="F11" s="339" t="s">
        <v>375</v>
      </c>
      <c r="G11" s="341" t="s">
        <v>374</v>
      </c>
    </row>
    <row r="12" spans="1:11" x14ac:dyDescent="0.25">
      <c r="B12" s="237" t="s">
        <v>373</v>
      </c>
      <c r="C12" s="236" t="s">
        <v>372</v>
      </c>
      <c r="D12" s="73" t="s">
        <v>371</v>
      </c>
      <c r="E12" s="338"/>
      <c r="F12" s="340"/>
      <c r="G12" s="342"/>
    </row>
    <row r="13" spans="1:11" x14ac:dyDescent="0.25">
      <c r="A13" s="234" t="str">
        <f t="shared" ref="A13:A21" si="0">IF(OR(B13&gt;0,C13&lt;0),"Error","OK")</f>
        <v>OK</v>
      </c>
      <c r="B13" s="252">
        <f>_xlfn.IFS($G$7=$K$4,$E$38,$G$7=$K$5,$E$40,$G$7=$K$6,$E$42,$G$7=$K$7,$E$42)</f>
        <v>-0.2</v>
      </c>
      <c r="C13" s="252">
        <f>_xlfn.IFS($G$7=$K$4,$F$38,$G$7=$K$5,$F$40,$G$7=$K$6,$F$42,$G$7=$K$7,$F$42)</f>
        <v>0.3</v>
      </c>
      <c r="D13" s="235" t="s">
        <v>9</v>
      </c>
      <c r="E13" s="222">
        <f t="shared" ref="E13:E21" si="1">F13*(1+B13)</f>
        <v>1088800</v>
      </c>
      <c r="F13" s="250">
        <f>'Cost Report'!D11</f>
        <v>1361000</v>
      </c>
      <c r="G13" s="215">
        <f t="shared" ref="G13:G21" si="2">F13*(1+C13)</f>
        <v>1769300</v>
      </c>
    </row>
    <row r="14" spans="1:11" x14ac:dyDescent="0.25">
      <c r="A14" s="234" t="str">
        <f t="shared" si="0"/>
        <v>OK</v>
      </c>
      <c r="B14" s="252">
        <f t="shared" ref="B14:B21" si="3">_xlfn.IFS($G$7=$K$4,$E$38,$G$7=$K$5,$E$40,$G$7=$K$6,$E$42,$G$7=$K$7,$E$42)</f>
        <v>-0.2</v>
      </c>
      <c r="C14" s="252">
        <f t="shared" ref="C14:C21" si="4">_xlfn.IFS($G$7=$K$4,$F$38,$G$7=$K$5,$F$40,$G$7=$K$6,$F$42,$G$7=$K$7,$F$42)</f>
        <v>0.3</v>
      </c>
      <c r="D14" s="209" t="s">
        <v>389</v>
      </c>
      <c r="E14" s="222">
        <f t="shared" si="1"/>
        <v>2096000</v>
      </c>
      <c r="F14" s="250">
        <f>SUM('Cost Report'!D12:D15)</f>
        <v>2620000</v>
      </c>
      <c r="G14" s="215">
        <f t="shared" si="2"/>
        <v>3406000</v>
      </c>
    </row>
    <row r="15" spans="1:11" x14ac:dyDescent="0.25">
      <c r="A15" s="234" t="str">
        <f t="shared" si="0"/>
        <v>OK</v>
      </c>
      <c r="B15" s="252">
        <f t="shared" si="3"/>
        <v>-0.2</v>
      </c>
      <c r="C15" s="252">
        <f t="shared" si="4"/>
        <v>0.3</v>
      </c>
      <c r="D15" s="209" t="s">
        <v>109</v>
      </c>
      <c r="E15" s="222">
        <f t="shared" si="1"/>
        <v>2150960</v>
      </c>
      <c r="F15" s="250">
        <f>'Cost Report'!D16</f>
        <v>2688700</v>
      </c>
      <c r="G15" s="215">
        <f t="shared" si="2"/>
        <v>3495310</v>
      </c>
    </row>
    <row r="16" spans="1:11" x14ac:dyDescent="0.25">
      <c r="A16" s="234" t="str">
        <f t="shared" si="0"/>
        <v>OK</v>
      </c>
      <c r="B16" s="252">
        <f t="shared" si="3"/>
        <v>-0.2</v>
      </c>
      <c r="C16" s="252">
        <f t="shared" si="4"/>
        <v>0.3</v>
      </c>
      <c r="D16" s="209" t="s">
        <v>390</v>
      </c>
      <c r="E16" s="222">
        <f t="shared" si="1"/>
        <v>10702560</v>
      </c>
      <c r="F16" s="250">
        <f>SUM('Cost Report'!D17:D18)</f>
        <v>13378200</v>
      </c>
      <c r="G16" s="215">
        <f t="shared" si="2"/>
        <v>17391660</v>
      </c>
    </row>
    <row r="17" spans="1:11" x14ac:dyDescent="0.25">
      <c r="A17" s="234" t="str">
        <f t="shared" si="0"/>
        <v>OK</v>
      </c>
      <c r="B17" s="252">
        <f t="shared" si="3"/>
        <v>-0.2</v>
      </c>
      <c r="C17" s="252">
        <f t="shared" si="4"/>
        <v>0.3</v>
      </c>
      <c r="D17" s="209" t="s">
        <v>391</v>
      </c>
      <c r="E17" s="222">
        <f t="shared" si="1"/>
        <v>1199840</v>
      </c>
      <c r="F17" s="250">
        <f>'Cost Report'!D19</f>
        <v>1499800</v>
      </c>
      <c r="G17" s="215">
        <f t="shared" si="2"/>
        <v>1949740</v>
      </c>
    </row>
    <row r="18" spans="1:11" x14ac:dyDescent="0.25">
      <c r="A18" s="234" t="str">
        <f t="shared" si="0"/>
        <v>OK</v>
      </c>
      <c r="B18" s="252">
        <f t="shared" si="3"/>
        <v>-0.2</v>
      </c>
      <c r="C18" s="252">
        <f t="shared" si="4"/>
        <v>0.3</v>
      </c>
      <c r="D18" s="209" t="s">
        <v>116</v>
      </c>
      <c r="E18" s="222">
        <f t="shared" si="1"/>
        <v>190400</v>
      </c>
      <c r="F18" s="250">
        <f>'Cost Report'!D20</f>
        <v>238000</v>
      </c>
      <c r="G18" s="215">
        <f t="shared" si="2"/>
        <v>309400</v>
      </c>
    </row>
    <row r="19" spans="1:11" x14ac:dyDescent="0.25">
      <c r="A19" s="234" t="str">
        <f t="shared" si="0"/>
        <v>OK</v>
      </c>
      <c r="B19" s="252">
        <f t="shared" si="3"/>
        <v>-0.2</v>
      </c>
      <c r="C19" s="252">
        <f t="shared" si="4"/>
        <v>0.3</v>
      </c>
      <c r="D19" s="209" t="s">
        <v>30</v>
      </c>
      <c r="E19" s="222">
        <f t="shared" si="1"/>
        <v>48000</v>
      </c>
      <c r="F19" s="250">
        <f>'Cost Report'!D21</f>
        <v>60000</v>
      </c>
      <c r="G19" s="215">
        <f t="shared" si="2"/>
        <v>78000</v>
      </c>
    </row>
    <row r="20" spans="1:11" x14ac:dyDescent="0.25">
      <c r="A20" s="234" t="str">
        <f t="shared" si="0"/>
        <v>OK</v>
      </c>
      <c r="B20" s="252">
        <f t="shared" si="3"/>
        <v>-0.2</v>
      </c>
      <c r="C20" s="252">
        <f t="shared" si="4"/>
        <v>0.3</v>
      </c>
      <c r="D20" s="209" t="s">
        <v>133</v>
      </c>
      <c r="E20" s="222">
        <f t="shared" si="1"/>
        <v>626240</v>
      </c>
      <c r="F20" s="250">
        <f>'Cost Report'!D28</f>
        <v>782800</v>
      </c>
      <c r="G20" s="215">
        <f t="shared" si="2"/>
        <v>1017640</v>
      </c>
    </row>
    <row r="21" spans="1:11" ht="17.25" x14ac:dyDescent="0.4">
      <c r="A21" s="234" t="str">
        <f t="shared" si="0"/>
        <v>OK</v>
      </c>
      <c r="B21" s="252">
        <f t="shared" si="3"/>
        <v>-0.2</v>
      </c>
      <c r="C21" s="252">
        <f t="shared" si="4"/>
        <v>0.3</v>
      </c>
      <c r="D21" s="209" t="s">
        <v>392</v>
      </c>
      <c r="E21" s="233">
        <f t="shared" si="1"/>
        <v>2082560</v>
      </c>
      <c r="F21" s="251">
        <f>'Cost Report'!D29</f>
        <v>2603200</v>
      </c>
      <c r="G21" s="232">
        <f t="shared" si="2"/>
        <v>3384160</v>
      </c>
    </row>
    <row r="22" spans="1:11" x14ac:dyDescent="0.25">
      <c r="B22" s="231"/>
      <c r="C22" s="231"/>
      <c r="D22" s="230" t="s">
        <v>370</v>
      </c>
      <c r="E22" s="229">
        <f>SUM(E13:E21)</f>
        <v>20185360</v>
      </c>
      <c r="F22" s="229">
        <f>SUM(F13:F21)</f>
        <v>25231700</v>
      </c>
      <c r="G22" s="228">
        <f>SUM(G13:G21)</f>
        <v>32801210</v>
      </c>
      <c r="J22" t="s">
        <v>369</v>
      </c>
      <c r="K22" s="207">
        <f>SUM(E22)</f>
        <v>20185360</v>
      </c>
    </row>
    <row r="23" spans="1:11" x14ac:dyDescent="0.25">
      <c r="C23" s="206"/>
      <c r="D23" s="227"/>
      <c r="E23" s="222"/>
      <c r="F23" s="222"/>
      <c r="G23" s="222"/>
      <c r="J23" t="s">
        <v>368</v>
      </c>
      <c r="K23" s="207">
        <f>SUM(F22*4)</f>
        <v>100926800</v>
      </c>
    </row>
    <row r="24" spans="1:11" x14ac:dyDescent="0.25">
      <c r="C24" s="343">
        <f>(F24+F25)/F22</f>
        <v>1.6666666666666618E-2</v>
      </c>
      <c r="D24" s="224" t="s">
        <v>367</v>
      </c>
      <c r="E24" s="224"/>
      <c r="F24" s="226">
        <v>0</v>
      </c>
      <c r="G24" s="222"/>
      <c r="J24" t="s">
        <v>366</v>
      </c>
      <c r="K24" s="225">
        <f>SUM(G22)</f>
        <v>32801210</v>
      </c>
    </row>
    <row r="25" spans="1:11" x14ac:dyDescent="0.25">
      <c r="C25" s="343"/>
      <c r="D25" s="224" t="s">
        <v>365</v>
      </c>
      <c r="E25" s="224"/>
      <c r="F25" s="223">
        <f>SUM(((F22*4)+(E22+G22))/6)-F22</f>
        <v>420528.33333333209</v>
      </c>
      <c r="G25" s="222"/>
      <c r="J25" t="s">
        <v>101</v>
      </c>
      <c r="K25" s="221">
        <f>SUM(K22:K24)</f>
        <v>153913370</v>
      </c>
    </row>
    <row r="26" spans="1:11" ht="15.75" thickBot="1" x14ac:dyDescent="0.3">
      <c r="C26" s="206"/>
      <c r="D26" s="220" t="s">
        <v>364</v>
      </c>
      <c r="E26" s="218"/>
      <c r="F26" s="219">
        <f>F24+F25</f>
        <v>420528.33333333209</v>
      </c>
      <c r="G26" s="218"/>
      <c r="J26" t="s">
        <v>363</v>
      </c>
      <c r="K26" s="207">
        <f>SUM(K25/6)</f>
        <v>25652228.333333332</v>
      </c>
    </row>
    <row r="27" spans="1:11" x14ac:dyDescent="0.25">
      <c r="C27" s="206"/>
      <c r="D27" s="214"/>
      <c r="E27" s="217">
        <f>+E22</f>
        <v>20185360</v>
      </c>
      <c r="F27" s="216">
        <f>F22+F26</f>
        <v>25652228.333333332</v>
      </c>
      <c r="G27" s="215">
        <f>+G22</f>
        <v>32801210</v>
      </c>
    </row>
    <row r="28" spans="1:11" ht="15.75" thickBot="1" x14ac:dyDescent="0.3">
      <c r="C28" s="206"/>
      <c r="D28" s="214"/>
      <c r="E28" s="213" t="s">
        <v>362</v>
      </c>
      <c r="F28" s="212" t="s">
        <v>361</v>
      </c>
      <c r="G28" s="211" t="s">
        <v>360</v>
      </c>
      <c r="J28" t="s">
        <v>359</v>
      </c>
      <c r="K28" s="207">
        <f>SUM(F22)</f>
        <v>25231700</v>
      </c>
    </row>
    <row r="29" spans="1:11" x14ac:dyDescent="0.25">
      <c r="D29" s="2" t="s">
        <v>358</v>
      </c>
      <c r="E29" s="210">
        <f>+(E27-F27)/F27</f>
        <v>-0.21311475409836061</v>
      </c>
      <c r="G29" s="210">
        <f>+(G27-F27)/F27</f>
        <v>0.27868852459016402</v>
      </c>
      <c r="J29" t="s">
        <v>357</v>
      </c>
      <c r="K29" s="207">
        <f>SUM(K26-K28)</f>
        <v>420528.33333333209</v>
      </c>
    </row>
    <row r="30" spans="1:11" x14ac:dyDescent="0.25">
      <c r="D30" s="209" t="s">
        <v>356</v>
      </c>
      <c r="E30" s="208" t="s">
        <v>355</v>
      </c>
      <c r="F30" s="208" t="s">
        <v>354</v>
      </c>
      <c r="G30" s="208" t="s">
        <v>353</v>
      </c>
    </row>
    <row r="31" spans="1:11" ht="41.25" customHeight="1" x14ac:dyDescent="0.25">
      <c r="C31" s="344" t="s">
        <v>352</v>
      </c>
      <c r="D31" s="344"/>
      <c r="E31" s="344"/>
      <c r="F31" s="344"/>
      <c r="G31" s="344"/>
      <c r="I31" s="204"/>
      <c r="K31" s="207">
        <f>SUM((E22+G22+(F22*4))/6)</f>
        <v>25652228.333333332</v>
      </c>
    </row>
    <row r="34" spans="1:9" x14ac:dyDescent="0.25">
      <c r="C34" s="206"/>
      <c r="D34" s="205"/>
      <c r="E34" s="1"/>
      <c r="F34" s="1"/>
      <c r="G34" s="1"/>
      <c r="I34" s="204"/>
    </row>
    <row r="35" spans="1:9" x14ac:dyDescent="0.25">
      <c r="C35" s="73" t="s">
        <v>351</v>
      </c>
    </row>
    <row r="36" spans="1:9" x14ac:dyDescent="0.25">
      <c r="C36" s="3" t="s">
        <v>350</v>
      </c>
      <c r="D36" s="2" t="s">
        <v>349</v>
      </c>
      <c r="E36" s="3" t="s">
        <v>348</v>
      </c>
      <c r="F36" s="3" t="s">
        <v>347</v>
      </c>
    </row>
    <row r="37" spans="1:9" ht="15" customHeight="1" x14ac:dyDescent="0.25">
      <c r="A37" s="204"/>
      <c r="B37" s="204" t="s">
        <v>2</v>
      </c>
      <c r="C37" s="345">
        <v>5</v>
      </c>
      <c r="D37" s="347" t="s">
        <v>346</v>
      </c>
      <c r="E37" s="203">
        <v>-0.2</v>
      </c>
      <c r="F37" s="203">
        <v>0.3</v>
      </c>
    </row>
    <row r="38" spans="1:9" x14ac:dyDescent="0.25">
      <c r="A38" s="204"/>
      <c r="B38" s="204" t="s">
        <v>2</v>
      </c>
      <c r="C38" s="346"/>
      <c r="D38" s="348"/>
      <c r="E38" s="203">
        <v>-0.5</v>
      </c>
      <c r="F38" s="203">
        <v>1</v>
      </c>
    </row>
    <row r="39" spans="1:9" ht="15" customHeight="1" x14ac:dyDescent="0.25">
      <c r="A39" s="204"/>
      <c r="B39" s="204" t="s">
        <v>344</v>
      </c>
      <c r="C39" s="345">
        <v>4</v>
      </c>
      <c r="D39" s="347" t="s">
        <v>345</v>
      </c>
      <c r="E39" s="203">
        <v>-0.15</v>
      </c>
      <c r="F39" s="203">
        <v>0.2</v>
      </c>
    </row>
    <row r="40" spans="1:9" x14ac:dyDescent="0.25">
      <c r="A40" s="204"/>
      <c r="B40" s="204" t="s">
        <v>344</v>
      </c>
      <c r="C40" s="346"/>
      <c r="D40" s="348"/>
      <c r="E40" s="203">
        <v>-0.3</v>
      </c>
      <c r="F40" s="203">
        <v>0.5</v>
      </c>
    </row>
    <row r="41" spans="1:9" ht="15" customHeight="1" x14ac:dyDescent="0.25">
      <c r="A41" s="204"/>
      <c r="B41" s="204" t="s">
        <v>342</v>
      </c>
      <c r="C41" s="345">
        <v>3</v>
      </c>
      <c r="D41" s="347" t="s">
        <v>343</v>
      </c>
      <c r="E41" s="203">
        <v>-0.1</v>
      </c>
      <c r="F41" s="203">
        <v>0.1</v>
      </c>
    </row>
    <row r="42" spans="1:9" x14ac:dyDescent="0.25">
      <c r="A42" s="204"/>
      <c r="B42" s="204" t="s">
        <v>342</v>
      </c>
      <c r="C42" s="346"/>
      <c r="D42" s="348"/>
      <c r="E42" s="203">
        <v>-0.2</v>
      </c>
      <c r="F42" s="203">
        <v>0.3</v>
      </c>
    </row>
    <row r="43" spans="1:9" ht="15" customHeight="1" x14ac:dyDescent="0.25">
      <c r="A43" s="204"/>
      <c r="B43" s="204" t="s">
        <v>341</v>
      </c>
      <c r="C43" s="345">
        <v>2</v>
      </c>
      <c r="D43" s="347" t="s">
        <v>340</v>
      </c>
      <c r="E43" s="203">
        <v>-0.05</v>
      </c>
      <c r="F43" s="203">
        <v>0.05</v>
      </c>
    </row>
    <row r="44" spans="1:9" x14ac:dyDescent="0.25">
      <c r="A44" s="204"/>
      <c r="B44" s="204" t="s">
        <v>341</v>
      </c>
      <c r="C44" s="346"/>
      <c r="D44" s="348"/>
      <c r="E44" s="203">
        <v>-0.15</v>
      </c>
      <c r="F44" s="203">
        <v>0.2</v>
      </c>
    </row>
    <row r="45" spans="1:9" ht="15" customHeight="1" x14ac:dyDescent="0.25">
      <c r="A45" s="204"/>
      <c r="B45" s="204" t="s">
        <v>339</v>
      </c>
      <c r="C45" s="345">
        <v>1</v>
      </c>
      <c r="D45" s="347" t="s">
        <v>340</v>
      </c>
      <c r="E45" s="203">
        <v>-0.03</v>
      </c>
      <c r="F45" s="203">
        <v>0.03</v>
      </c>
    </row>
    <row r="46" spans="1:9" x14ac:dyDescent="0.25">
      <c r="A46" s="204"/>
      <c r="B46" s="204" t="s">
        <v>339</v>
      </c>
      <c r="C46" s="346"/>
      <c r="D46" s="348"/>
      <c r="E46" s="203">
        <v>-0.1</v>
      </c>
      <c r="F46" s="203">
        <v>0.15</v>
      </c>
    </row>
  </sheetData>
  <protectedRanges>
    <protectedRange algorithmName="SHA-512" hashValue="hPm4Kj/LrV0Rr/2C0TGZRCZ3VDLqOwm5xwLpMsng7V3UHJB/kmuyx1y2XBQ3GlauKxMcQ804Y2u+d0+GOPzhsw==" saltValue="KVCTDUspS40pvStlgAOq/Q==" spinCount="100000" sqref="A25:K35 G24:K24 A24:E24 A22:K23 D13:K21 A13:A21 A8:K12 E7:K7 A7:C7 A1:K6 A36:F46 H36:K46 G36:G47" name="Range1" securityDescriptor="O:WDG:WDD:(A;;CC;;;S-1-5-21-577582919-1435025626-1914702595-4020469)(A;;CC;;;S-1-5-21-577582919-1435025626-1914702595-3758999)(A;;CC;;;S-1-5-21-577582919-1435025626-1914702595-3758875)(A;;CC;;;S-1-5-21-577582919-1435025626-1914702595-4023729)(A;;CC;;;S-1-5-21-577582919-1435025626-1914702595-3758127)"/>
  </protectedRanges>
  <mergeCells count="20">
    <mergeCell ref="C41:C42"/>
    <mergeCell ref="D41:D42"/>
    <mergeCell ref="C43:C44"/>
    <mergeCell ref="D43:D44"/>
    <mergeCell ref="C45:C46"/>
    <mergeCell ref="D45:D46"/>
    <mergeCell ref="C24:C25"/>
    <mergeCell ref="C31:G31"/>
    <mergeCell ref="C37:C38"/>
    <mergeCell ref="D37:D38"/>
    <mergeCell ref="C39:C40"/>
    <mergeCell ref="D39:D40"/>
    <mergeCell ref="B1:C1"/>
    <mergeCell ref="D1:F1"/>
    <mergeCell ref="D5:E5"/>
    <mergeCell ref="B10:G10"/>
    <mergeCell ref="B11:C11"/>
    <mergeCell ref="E11:E12"/>
    <mergeCell ref="F11:F12"/>
    <mergeCell ref="G11:G12"/>
  </mergeCells>
  <conditionalFormatting sqref="B13:C21">
    <cfRule type="cellIs" dxfId="1" priority="8" operator="greaterThan">
      <formula>0</formula>
    </cfRule>
  </conditionalFormatting>
  <conditionalFormatting sqref="C37:F46">
    <cfRule type="expression" dxfId="0" priority="9">
      <formula>$B37=$G$7</formula>
    </cfRule>
  </conditionalFormatting>
  <dataValidations count="1">
    <dataValidation type="list" allowBlank="1" showInputMessage="1" showErrorMessage="1" sqref="D7" xr:uid="{00000000-0002-0000-0100-000000000000}">
      <formula1>$J$4:$J$7</formula1>
    </dataValidation>
  </dataValidations>
  <pageMargins left="0.7" right="0.7" top="0.75" bottom="0.75" header="0.3" footer="0.3"/>
  <pageSetup scale="64" orientation="portrait" r:id="rId1"/>
  <headerFooter>
    <oddHeader>&amp;R&amp;"Times New Roman,Bold"&amp;10KyPSC Case No. 2025-00229
STAFF-DR-01-005(b) Attachment 10
Page &amp;P of &amp;N</oddHead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1D9C5-AD02-4801-B369-B7DD587AAFCD}">
  <sheetPr>
    <tabColor rgb="FF92D050"/>
    <pageSetUpPr fitToPage="1"/>
  </sheetPr>
  <dimension ref="B1:D27"/>
  <sheetViews>
    <sheetView view="pageLayout" zoomScaleNormal="100" workbookViewId="0">
      <selection activeCell="J18" sqref="J18"/>
    </sheetView>
  </sheetViews>
  <sheetFormatPr defaultRowHeight="15" x14ac:dyDescent="0.25"/>
  <cols>
    <col min="1" max="1" width="1.5703125" customWidth="1"/>
    <col min="2" max="2" width="30.42578125" customWidth="1"/>
    <col min="3" max="3" width="23.42578125" customWidth="1"/>
    <col min="4" max="4" width="95" bestFit="1" customWidth="1"/>
  </cols>
  <sheetData>
    <row r="1" spans="2:4" ht="9.75" customHeight="1" thickBot="1" x14ac:dyDescent="0.3"/>
    <row r="2" spans="2:4" ht="23.25" x14ac:dyDescent="0.35">
      <c r="B2" s="349" t="str">
        <f>'Master Tab'!C8</f>
        <v>Line AM07 PH5</v>
      </c>
      <c r="C2" s="350"/>
    </row>
    <row r="3" spans="2:4" ht="21" x14ac:dyDescent="0.35">
      <c r="B3" s="312" t="s">
        <v>230</v>
      </c>
      <c r="C3" s="314"/>
    </row>
    <row r="4" spans="2:4" ht="16.5" thickBot="1" x14ac:dyDescent="0.3">
      <c r="B4" s="351">
        <f>'Master Tab'!C9</f>
        <v>44221</v>
      </c>
      <c r="C4" s="352"/>
    </row>
    <row r="5" spans="2:4" ht="27" customHeight="1" thickBot="1" x14ac:dyDescent="0.3">
      <c r="B5" s="179" t="s">
        <v>39</v>
      </c>
      <c r="C5" s="180" t="s">
        <v>231</v>
      </c>
    </row>
    <row r="6" spans="2:4" x14ac:dyDescent="0.25">
      <c r="B6" s="174" t="s">
        <v>232</v>
      </c>
      <c r="C6" s="175">
        <f>'Cost Report'!D11+'Cost Report'!D14+'Cost Report'!D15+'Cost Report'!D17+'Cost Report'!D18+'Cost Report'!D19+'Cost Report'!D24</f>
        <v>18958000</v>
      </c>
      <c r="D6" t="s">
        <v>254</v>
      </c>
    </row>
    <row r="7" spans="2:4" x14ac:dyDescent="0.25">
      <c r="B7" s="174" t="s">
        <v>233</v>
      </c>
      <c r="C7" s="176">
        <f>'Cost Report'!D16</f>
        <v>2688700</v>
      </c>
      <c r="D7" t="s">
        <v>239</v>
      </c>
    </row>
    <row r="8" spans="2:4" x14ac:dyDescent="0.25">
      <c r="B8" s="174" t="s">
        <v>116</v>
      </c>
      <c r="C8" s="176">
        <f>'Cost Report'!D20</f>
        <v>238000</v>
      </c>
      <c r="D8" t="s">
        <v>240</v>
      </c>
    </row>
    <row r="9" spans="2:4" x14ac:dyDescent="0.25">
      <c r="B9" s="174" t="s">
        <v>234</v>
      </c>
      <c r="C9" s="176">
        <f>'Cost Report'!D12</f>
        <v>1600000</v>
      </c>
      <c r="D9" t="s">
        <v>241</v>
      </c>
    </row>
    <row r="10" spans="2:4" ht="15.75" thickBot="1" x14ac:dyDescent="0.3">
      <c r="B10" s="174" t="s">
        <v>30</v>
      </c>
      <c r="C10" s="177">
        <f>'Cost Report'!D13+'Cost Report'!D21</f>
        <v>240000</v>
      </c>
      <c r="D10" t="s">
        <v>242</v>
      </c>
    </row>
    <row r="11" spans="2:4" x14ac:dyDescent="0.25">
      <c r="B11" s="174" t="s">
        <v>235</v>
      </c>
      <c r="C11" s="175">
        <f>SUM(C6:C10)</f>
        <v>23724700</v>
      </c>
    </row>
    <row r="12" spans="2:4" x14ac:dyDescent="0.25">
      <c r="B12" s="174"/>
      <c r="C12" s="173"/>
    </row>
    <row r="13" spans="2:4" ht="15.75" thickBot="1" x14ac:dyDescent="0.3">
      <c r="B13" s="174" t="s">
        <v>210</v>
      </c>
      <c r="C13" s="177">
        <f>'Cost Report'!D23</f>
        <v>3276900</v>
      </c>
      <c r="D13" t="s">
        <v>210</v>
      </c>
    </row>
    <row r="14" spans="2:4" x14ac:dyDescent="0.25">
      <c r="B14" s="174" t="s">
        <v>235</v>
      </c>
      <c r="C14" s="175">
        <f>SUM(C11:C13)</f>
        <v>27001600</v>
      </c>
    </row>
    <row r="15" spans="2:4" x14ac:dyDescent="0.25">
      <c r="B15" s="174"/>
      <c r="C15" s="173"/>
    </row>
    <row r="16" spans="2:4" x14ac:dyDescent="0.25">
      <c r="B16" s="174" t="s">
        <v>133</v>
      </c>
      <c r="C16" s="176">
        <v>0</v>
      </c>
      <c r="D16" s="182" t="s">
        <v>243</v>
      </c>
    </row>
    <row r="17" spans="2:4" ht="15.75" thickBot="1" x14ac:dyDescent="0.3">
      <c r="B17" s="174" t="s">
        <v>128</v>
      </c>
      <c r="C17" s="177">
        <v>0</v>
      </c>
      <c r="D17" s="182" t="s">
        <v>243</v>
      </c>
    </row>
    <row r="18" spans="2:4" x14ac:dyDescent="0.25">
      <c r="B18" s="174" t="s">
        <v>101</v>
      </c>
      <c r="C18" s="178">
        <f>SUM(C14:C17)</f>
        <v>27001600</v>
      </c>
    </row>
    <row r="19" spans="2:4" x14ac:dyDescent="0.25">
      <c r="B19" s="61"/>
      <c r="C19" s="52"/>
    </row>
    <row r="20" spans="2:4" x14ac:dyDescent="0.25">
      <c r="B20" s="61"/>
      <c r="C20" s="52"/>
    </row>
    <row r="21" spans="2:4" x14ac:dyDescent="0.25">
      <c r="B21" s="181" t="s">
        <v>236</v>
      </c>
      <c r="C21" s="170">
        <f>'Master Tab'!C30</f>
        <v>44562</v>
      </c>
      <c r="D21" t="s">
        <v>244</v>
      </c>
    </row>
    <row r="22" spans="2:4" x14ac:dyDescent="0.25">
      <c r="B22" s="181" t="s">
        <v>237</v>
      </c>
      <c r="C22" s="170">
        <f>'Master Tab'!C31</f>
        <v>45778</v>
      </c>
      <c r="D22" t="s">
        <v>245</v>
      </c>
    </row>
    <row r="23" spans="2:4" x14ac:dyDescent="0.25">
      <c r="B23" s="181" t="s">
        <v>238</v>
      </c>
      <c r="C23" s="170">
        <f>'Master Tab'!C33</f>
        <v>46052</v>
      </c>
      <c r="D23" t="s">
        <v>246</v>
      </c>
    </row>
    <row r="24" spans="2:4" x14ac:dyDescent="0.25">
      <c r="B24" s="61"/>
      <c r="C24" s="52"/>
    </row>
    <row r="25" spans="2:4" ht="15.75" thickBot="1" x14ac:dyDescent="0.3">
      <c r="B25" s="171"/>
      <c r="C25" s="172"/>
    </row>
    <row r="26" spans="2:4" x14ac:dyDescent="0.25">
      <c r="B26" s="353" t="s">
        <v>259</v>
      </c>
      <c r="C26" s="353"/>
    </row>
    <row r="27" spans="2:4" x14ac:dyDescent="0.25">
      <c r="B27" s="354"/>
      <c r="C27" s="354"/>
    </row>
  </sheetData>
  <mergeCells count="4">
    <mergeCell ref="B2:C2"/>
    <mergeCell ref="B3:C3"/>
    <mergeCell ref="B4:C4"/>
    <mergeCell ref="B26:C27"/>
  </mergeCells>
  <pageMargins left="0.7" right="0.7" top="0.75" bottom="0.75" header="0.3" footer="0.3"/>
  <pageSetup scale="81" orientation="landscape" r:id="rId1"/>
  <headerFooter>
    <oddHeader>&amp;R&amp;"Times New Roman,Bold"&amp;10KyPSC Case No. 2025-00229
STAFF-DR-01-005(b) Attachment 10
Page &amp;P of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7C462-5C3B-4DF6-83E7-D2F92DEAB6EA}">
  <sheetPr>
    <tabColor rgb="FF0070C0"/>
    <pageSetUpPr fitToPage="1"/>
  </sheetPr>
  <dimension ref="A1:G20"/>
  <sheetViews>
    <sheetView view="pageLayout" zoomScaleNormal="100" workbookViewId="0">
      <selection activeCell="J18" sqref="J18"/>
    </sheetView>
  </sheetViews>
  <sheetFormatPr defaultRowHeight="15" x14ac:dyDescent="0.25"/>
  <cols>
    <col min="1" max="7" width="18.7109375" customWidth="1"/>
  </cols>
  <sheetData>
    <row r="1" spans="1:7" ht="22.5" customHeight="1" x14ac:dyDescent="0.25">
      <c r="A1" s="358" t="str">
        <f>'Master Tab'!C8</f>
        <v>Line AM07 PH5</v>
      </c>
      <c r="B1" s="359"/>
      <c r="C1" s="359"/>
      <c r="D1" s="359"/>
      <c r="E1" s="359"/>
      <c r="F1" s="359"/>
      <c r="G1" s="360"/>
    </row>
    <row r="2" spans="1:7" ht="22.5" customHeight="1" x14ac:dyDescent="0.25">
      <c r="A2" s="361"/>
      <c r="B2" s="362"/>
      <c r="C2" s="362"/>
      <c r="D2" s="362"/>
      <c r="E2" s="362"/>
      <c r="F2" s="362"/>
      <c r="G2" s="363"/>
    </row>
    <row r="3" spans="1:7" ht="30" customHeight="1" x14ac:dyDescent="0.25">
      <c r="A3" s="367" t="s">
        <v>70</v>
      </c>
      <c r="B3" s="368"/>
      <c r="C3" s="368"/>
      <c r="D3" s="368"/>
      <c r="E3" s="368"/>
      <c r="F3" s="368"/>
      <c r="G3" s="369"/>
    </row>
    <row r="4" spans="1:7" ht="30" customHeight="1" x14ac:dyDescent="0.25">
      <c r="A4" s="370">
        <f>'Master Tab'!C9</f>
        <v>44221</v>
      </c>
      <c r="B4" s="368"/>
      <c r="C4" s="368"/>
      <c r="D4" s="368"/>
      <c r="E4" s="368"/>
      <c r="F4" s="368"/>
      <c r="G4" s="369"/>
    </row>
    <row r="5" spans="1:7" x14ac:dyDescent="0.25">
      <c r="A5" s="45"/>
      <c r="B5" s="46"/>
      <c r="C5" s="46"/>
      <c r="D5" s="46"/>
      <c r="E5" s="46"/>
      <c r="F5" s="46" t="s">
        <v>71</v>
      </c>
      <c r="G5" s="47" t="str">
        <f>'Master Tab'!C6</f>
        <v>C</v>
      </c>
    </row>
    <row r="6" spans="1:7" x14ac:dyDescent="0.25">
      <c r="A6" s="364" t="s">
        <v>72</v>
      </c>
      <c r="B6" s="365"/>
      <c r="C6" s="365"/>
      <c r="D6" s="365"/>
      <c r="E6" s="365"/>
      <c r="F6" s="365"/>
      <c r="G6" s="366"/>
    </row>
    <row r="7" spans="1:7" x14ac:dyDescent="0.25">
      <c r="A7" s="355" t="s">
        <v>73</v>
      </c>
      <c r="B7" s="356"/>
      <c r="C7" s="356"/>
      <c r="D7" s="356"/>
      <c r="E7" s="356"/>
      <c r="F7" s="356"/>
      <c r="G7" s="357"/>
    </row>
    <row r="8" spans="1:7" x14ac:dyDescent="0.25">
      <c r="A8" s="355" t="s">
        <v>74</v>
      </c>
      <c r="B8" s="356"/>
      <c r="C8" s="356"/>
      <c r="D8" s="356"/>
      <c r="E8" s="356"/>
      <c r="F8" s="356"/>
      <c r="G8" s="357"/>
    </row>
    <row r="9" spans="1:7" x14ac:dyDescent="0.25">
      <c r="A9" s="355" t="s">
        <v>75</v>
      </c>
      <c r="B9" s="356"/>
      <c r="C9" s="356"/>
      <c r="D9" s="356"/>
      <c r="E9" s="356"/>
      <c r="F9" s="356"/>
      <c r="G9" s="357"/>
    </row>
    <row r="10" spans="1:7" x14ac:dyDescent="0.25">
      <c r="A10" s="355" t="s">
        <v>76</v>
      </c>
      <c r="B10" s="356"/>
      <c r="C10" s="356"/>
      <c r="D10" s="356"/>
      <c r="E10" s="356"/>
      <c r="F10" s="356"/>
      <c r="G10" s="357"/>
    </row>
    <row r="11" spans="1:7" x14ac:dyDescent="0.25">
      <c r="A11" s="355" t="s">
        <v>77</v>
      </c>
      <c r="B11" s="356"/>
      <c r="C11" s="356"/>
      <c r="D11" s="356"/>
      <c r="E11" s="356"/>
      <c r="F11" s="356"/>
      <c r="G11" s="357"/>
    </row>
    <row r="12" spans="1:7" x14ac:dyDescent="0.25">
      <c r="A12" s="355" t="s">
        <v>78</v>
      </c>
      <c r="B12" s="356"/>
      <c r="C12" s="356"/>
      <c r="D12" s="356"/>
      <c r="E12" s="356"/>
      <c r="F12" s="356"/>
      <c r="G12" s="357"/>
    </row>
    <row r="13" spans="1:7" x14ac:dyDescent="0.25">
      <c r="A13" s="355" t="s">
        <v>79</v>
      </c>
      <c r="B13" s="356"/>
      <c r="C13" s="356"/>
      <c r="D13" s="356"/>
      <c r="E13" s="356"/>
      <c r="F13" s="356"/>
      <c r="G13" s="357"/>
    </row>
    <row r="14" spans="1:7" x14ac:dyDescent="0.25">
      <c r="A14" s="355" t="s">
        <v>80</v>
      </c>
      <c r="B14" s="356"/>
      <c r="C14" s="356"/>
      <c r="D14" s="356"/>
      <c r="E14" s="356"/>
      <c r="F14" s="356"/>
      <c r="G14" s="357"/>
    </row>
    <row r="15" spans="1:7" x14ac:dyDescent="0.25">
      <c r="A15" s="355" t="s">
        <v>81</v>
      </c>
      <c r="B15" s="356"/>
      <c r="C15" s="356"/>
      <c r="D15" s="356"/>
      <c r="E15" s="356"/>
      <c r="F15" s="356"/>
      <c r="G15" s="357"/>
    </row>
    <row r="16" spans="1:7" x14ac:dyDescent="0.25">
      <c r="A16" s="355"/>
      <c r="B16" s="356"/>
      <c r="C16" s="356"/>
      <c r="D16" s="356"/>
      <c r="E16" s="356"/>
      <c r="F16" s="356"/>
      <c r="G16" s="357"/>
    </row>
    <row r="17" spans="1:7" x14ac:dyDescent="0.25">
      <c r="A17" s="355"/>
      <c r="B17" s="356"/>
      <c r="C17" s="356"/>
      <c r="D17" s="356"/>
      <c r="E17" s="356"/>
      <c r="F17" s="356"/>
      <c r="G17" s="357"/>
    </row>
    <row r="18" spans="1:7" x14ac:dyDescent="0.25">
      <c r="A18" s="355"/>
      <c r="B18" s="356"/>
      <c r="C18" s="356"/>
      <c r="D18" s="356"/>
      <c r="E18" s="356"/>
      <c r="F18" s="356"/>
      <c r="G18" s="357"/>
    </row>
    <row r="19" spans="1:7" x14ac:dyDescent="0.25">
      <c r="A19" s="355"/>
      <c r="B19" s="356"/>
      <c r="C19" s="356"/>
      <c r="D19" s="356"/>
      <c r="E19" s="356"/>
      <c r="F19" s="356"/>
      <c r="G19" s="357"/>
    </row>
    <row r="20" spans="1:7" x14ac:dyDescent="0.25">
      <c r="A20" s="371"/>
      <c r="B20" s="372"/>
      <c r="C20" s="372"/>
      <c r="D20" s="372"/>
      <c r="E20" s="372"/>
      <c r="F20" s="372"/>
      <c r="G20" s="373"/>
    </row>
  </sheetData>
  <protectedRanges>
    <protectedRange algorithmName="SHA-512" hashValue="AcDTjHjA8gqQ6FTFjGrK90J4BwckDBvxuwCX4gUWLEmWeLRwaGJQDJl8J5bPdZ6hc+wqjBkbplny6z0gRCbD1w==" saltValue="K3wVTxL8ItBC6b7rKLJN4g==" spinCount="100000" sqref="A1:H21" name="Range1" securityDescriptor="O:WDG:WDD:(A;;CC;;;S-1-5-21-577582919-1435025626-1914702595-4020469)(A;;CC;;;S-1-5-21-577582919-1435025626-1914702595-3758999)(A;;CC;;;S-1-5-21-577582919-1435025626-1914702595-3758875)(A;;CC;;;S-1-5-21-577582919-1435025626-1914702595-4023729)(A;;CC;;;S-1-5-21-577582919-1435025626-1914702595-3758127)"/>
  </protectedRanges>
  <mergeCells count="18">
    <mergeCell ref="A16:G16"/>
    <mergeCell ref="A17:G17"/>
    <mergeCell ref="A18:G18"/>
    <mergeCell ref="A19:G19"/>
    <mergeCell ref="A20:G20"/>
    <mergeCell ref="A15:G15"/>
    <mergeCell ref="A1:G2"/>
    <mergeCell ref="A6:G6"/>
    <mergeCell ref="A7:G7"/>
    <mergeCell ref="A9:G9"/>
    <mergeCell ref="A8:G8"/>
    <mergeCell ref="A3:G3"/>
    <mergeCell ref="A4:G4"/>
    <mergeCell ref="A10:G10"/>
    <mergeCell ref="A11:G11"/>
    <mergeCell ref="A12:G12"/>
    <mergeCell ref="A13:G13"/>
    <mergeCell ref="A14:G14"/>
  </mergeCells>
  <pageMargins left="0.7" right="0.7" top="1.0075000000000001" bottom="0.75" header="0.3" footer="0.3"/>
  <pageSetup scale="93" orientation="landscape" r:id="rId1"/>
  <headerFooter>
    <oddHeader>&amp;R&amp;"Times New Roman,Bold"&amp;10KyPSC Case No. 2025-00229
STAFF-DR-01-005(b) Attachment 10
Page &amp;P of &amp;N</oddHeader>
  </headerFooter>
  <ignoredErrors>
    <ignoredError sqref="A6:G1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7EFBA-E35E-4222-8693-03057374AD29}">
  <sheetPr>
    <tabColor rgb="FF0070C0"/>
    <pageSetUpPr fitToPage="1"/>
  </sheetPr>
  <dimension ref="B1:J34"/>
  <sheetViews>
    <sheetView view="pageLayout" topLeftCell="A2" zoomScaleNormal="100" workbookViewId="0">
      <selection activeCell="J18" sqref="J18"/>
    </sheetView>
  </sheetViews>
  <sheetFormatPr defaultRowHeight="15" x14ac:dyDescent="0.25"/>
  <cols>
    <col min="1" max="1" width="2.85546875" customWidth="1"/>
    <col min="2" max="2" width="6.85546875" style="1" customWidth="1"/>
    <col min="3" max="3" width="8.5703125" style="1" bestFit="1" customWidth="1"/>
    <col min="4" max="4" width="9.5703125" style="1" bestFit="1" customWidth="1"/>
    <col min="5" max="5" width="16.140625" style="1" bestFit="1" customWidth="1"/>
    <col min="6" max="6" width="19.140625" style="1" bestFit="1" customWidth="1"/>
    <col min="7" max="7" width="17.7109375" style="1" bestFit="1" customWidth="1"/>
    <col min="8" max="8" width="15.28515625" style="1" bestFit="1" customWidth="1"/>
    <col min="9" max="9" width="19" style="1" bestFit="1" customWidth="1"/>
    <col min="10" max="10" width="20.28515625" style="1" bestFit="1" customWidth="1"/>
  </cols>
  <sheetData>
    <row r="1" spans="2:10" x14ac:dyDescent="0.25">
      <c r="B1" s="60" t="s">
        <v>82</v>
      </c>
    </row>
    <row r="2" spans="2:10" ht="8.25" customHeight="1" thickBot="1" x14ac:dyDescent="0.3"/>
    <row r="3" spans="2:10" ht="26.25" x14ac:dyDescent="0.4">
      <c r="B3" s="374" t="s">
        <v>84</v>
      </c>
      <c r="C3" s="375"/>
      <c r="D3" s="375"/>
      <c r="E3" s="375"/>
      <c r="F3" s="375"/>
      <c r="G3" s="375"/>
      <c r="H3" s="375"/>
      <c r="I3" s="375"/>
      <c r="J3" s="376"/>
    </row>
    <row r="4" spans="2:10" ht="21" x14ac:dyDescent="0.35">
      <c r="B4" s="312" t="str">
        <f>'Master Tab'!C8</f>
        <v>Line AM07 PH5</v>
      </c>
      <c r="C4" s="313"/>
      <c r="D4" s="313"/>
      <c r="E4" s="313"/>
      <c r="F4" s="313"/>
      <c r="G4" s="313"/>
      <c r="H4" s="313"/>
      <c r="I4" s="313"/>
      <c r="J4" s="314"/>
    </row>
    <row r="5" spans="2:10" ht="21" x14ac:dyDescent="0.35">
      <c r="B5" s="312" t="s">
        <v>85</v>
      </c>
      <c r="C5" s="313"/>
      <c r="D5" s="313"/>
      <c r="E5" s="313"/>
      <c r="F5" s="313"/>
      <c r="G5" s="313"/>
      <c r="H5" s="313"/>
      <c r="I5" s="313"/>
      <c r="J5" s="314"/>
    </row>
    <row r="6" spans="2:10" ht="15.75" thickBot="1" x14ac:dyDescent="0.3">
      <c r="B6" s="378"/>
      <c r="C6" s="379"/>
      <c r="D6" s="379"/>
      <c r="E6" s="379"/>
      <c r="F6" s="379"/>
      <c r="G6" s="377" t="s">
        <v>94</v>
      </c>
      <c r="H6" s="377"/>
      <c r="I6" s="377"/>
      <c r="J6" s="55" t="str">
        <f>'Master Tab'!C6</f>
        <v>C</v>
      </c>
    </row>
    <row r="7" spans="2:10" ht="26.25" customHeight="1" thickBot="1" x14ac:dyDescent="0.3">
      <c r="B7" s="59" t="s">
        <v>86</v>
      </c>
      <c r="C7" s="59" t="s">
        <v>83</v>
      </c>
      <c r="D7" s="59" t="s">
        <v>87</v>
      </c>
      <c r="E7" s="59" t="s">
        <v>39</v>
      </c>
      <c r="F7" s="59" t="s">
        <v>88</v>
      </c>
      <c r="G7" s="59" t="s">
        <v>89</v>
      </c>
      <c r="H7" s="59" t="s">
        <v>90</v>
      </c>
      <c r="I7" s="59" t="s">
        <v>95</v>
      </c>
      <c r="J7" s="59" t="s">
        <v>91</v>
      </c>
    </row>
    <row r="8" spans="2:10" x14ac:dyDescent="0.25">
      <c r="B8" s="10">
        <v>1</v>
      </c>
      <c r="C8" s="53" t="s">
        <v>4</v>
      </c>
      <c r="D8" s="53" t="s">
        <v>92</v>
      </c>
      <c r="E8" s="53" t="s">
        <v>93</v>
      </c>
      <c r="F8" s="56">
        <v>0</v>
      </c>
      <c r="G8" s="56">
        <v>0</v>
      </c>
      <c r="H8" s="56">
        <v>0</v>
      </c>
      <c r="I8" s="53" t="s">
        <v>21</v>
      </c>
      <c r="J8" s="11"/>
    </row>
    <row r="9" spans="2:10" x14ac:dyDescent="0.25">
      <c r="B9" s="19">
        <v>2</v>
      </c>
      <c r="C9" s="3"/>
      <c r="D9" s="3"/>
      <c r="E9" s="3"/>
      <c r="F9" s="57"/>
      <c r="G9" s="57"/>
      <c r="H9" s="57"/>
      <c r="I9" s="3"/>
      <c r="J9" s="20"/>
    </row>
    <row r="10" spans="2:10" x14ac:dyDescent="0.25">
      <c r="B10" s="19">
        <v>3</v>
      </c>
      <c r="C10" s="3"/>
      <c r="D10" s="3"/>
      <c r="E10" s="3"/>
      <c r="F10" s="57"/>
      <c r="G10" s="57"/>
      <c r="H10" s="57"/>
      <c r="I10" s="3"/>
      <c r="J10" s="20"/>
    </row>
    <row r="11" spans="2:10" x14ac:dyDescent="0.25">
      <c r="B11" s="19">
        <v>4</v>
      </c>
      <c r="C11" s="3"/>
      <c r="D11" s="3"/>
      <c r="E11" s="3"/>
      <c r="F11" s="57"/>
      <c r="G11" s="57"/>
      <c r="H11" s="57"/>
      <c r="I11" s="3"/>
      <c r="J11" s="20"/>
    </row>
    <row r="12" spans="2:10" x14ac:dyDescent="0.25">
      <c r="B12" s="19">
        <v>5</v>
      </c>
      <c r="C12" s="3"/>
      <c r="D12" s="3"/>
      <c r="E12" s="3"/>
      <c r="F12" s="57"/>
      <c r="G12" s="57"/>
      <c r="H12" s="57"/>
      <c r="I12" s="3"/>
      <c r="J12" s="20"/>
    </row>
    <row r="13" spans="2:10" x14ac:dyDescent="0.25">
      <c r="B13" s="19">
        <v>6</v>
      </c>
      <c r="C13" s="3"/>
      <c r="D13" s="3"/>
      <c r="E13" s="3"/>
      <c r="F13" s="57"/>
      <c r="G13" s="57"/>
      <c r="H13" s="57"/>
      <c r="I13" s="3"/>
      <c r="J13" s="20"/>
    </row>
    <row r="14" spans="2:10" x14ac:dyDescent="0.25">
      <c r="B14" s="19">
        <v>7</v>
      </c>
      <c r="C14" s="3"/>
      <c r="D14" s="3"/>
      <c r="E14" s="3"/>
      <c r="F14" s="57"/>
      <c r="G14" s="57"/>
      <c r="H14" s="57"/>
      <c r="I14" s="3"/>
      <c r="J14" s="20"/>
    </row>
    <row r="15" spans="2:10" x14ac:dyDescent="0.25">
      <c r="B15" s="19">
        <v>8</v>
      </c>
      <c r="C15" s="3"/>
      <c r="D15" s="3"/>
      <c r="E15" s="3"/>
      <c r="F15" s="57"/>
      <c r="G15" s="57"/>
      <c r="H15" s="57"/>
      <c r="I15" s="3"/>
      <c r="J15" s="20"/>
    </row>
    <row r="16" spans="2:10" x14ac:dyDescent="0.25">
      <c r="B16" s="19">
        <v>9</v>
      </c>
      <c r="C16" s="3"/>
      <c r="D16" s="3"/>
      <c r="E16" s="3"/>
      <c r="F16" s="57"/>
      <c r="G16" s="57"/>
      <c r="H16" s="57"/>
      <c r="I16" s="3"/>
      <c r="J16" s="20"/>
    </row>
    <row r="17" spans="2:10" x14ac:dyDescent="0.25">
      <c r="B17" s="19">
        <v>10</v>
      </c>
      <c r="C17" s="3"/>
      <c r="D17" s="3"/>
      <c r="E17" s="3"/>
      <c r="F17" s="57"/>
      <c r="G17" s="57"/>
      <c r="H17" s="57"/>
      <c r="I17" s="3"/>
      <c r="J17" s="20"/>
    </row>
    <row r="18" spans="2:10" x14ac:dyDescent="0.25">
      <c r="B18" s="19">
        <v>11</v>
      </c>
      <c r="C18" s="3"/>
      <c r="D18" s="3"/>
      <c r="E18" s="3"/>
      <c r="F18" s="57"/>
      <c r="G18" s="57"/>
      <c r="H18" s="57"/>
      <c r="I18" s="3"/>
      <c r="J18" s="20"/>
    </row>
    <row r="19" spans="2:10" x14ac:dyDescent="0.25">
      <c r="B19" s="19">
        <v>12</v>
      </c>
      <c r="C19" s="3"/>
      <c r="D19" s="3"/>
      <c r="E19" s="3"/>
      <c r="F19" s="57"/>
      <c r="G19" s="57"/>
      <c r="H19" s="57"/>
      <c r="I19" s="3"/>
      <c r="J19" s="20"/>
    </row>
    <row r="20" spans="2:10" x14ac:dyDescent="0.25">
      <c r="B20" s="19">
        <v>13</v>
      </c>
      <c r="C20" s="3"/>
      <c r="D20" s="3"/>
      <c r="E20" s="3"/>
      <c r="F20" s="57"/>
      <c r="G20" s="57"/>
      <c r="H20" s="57"/>
      <c r="I20" s="3"/>
      <c r="J20" s="20"/>
    </row>
    <row r="21" spans="2:10" x14ac:dyDescent="0.25">
      <c r="B21" s="19">
        <v>14</v>
      </c>
      <c r="C21" s="3"/>
      <c r="D21" s="3"/>
      <c r="E21" s="3"/>
      <c r="F21" s="57"/>
      <c r="G21" s="57"/>
      <c r="H21" s="57"/>
      <c r="I21" s="3"/>
      <c r="J21" s="20"/>
    </row>
    <row r="22" spans="2:10" x14ac:dyDescent="0.25">
      <c r="B22" s="19">
        <v>15</v>
      </c>
      <c r="C22" s="3"/>
      <c r="D22" s="3"/>
      <c r="E22" s="3"/>
      <c r="F22" s="57"/>
      <c r="G22" s="57"/>
      <c r="H22" s="57"/>
      <c r="I22" s="3"/>
      <c r="J22" s="20"/>
    </row>
    <row r="23" spans="2:10" x14ac:dyDescent="0.25">
      <c r="B23" s="19">
        <v>16</v>
      </c>
      <c r="C23" s="3"/>
      <c r="D23" s="3"/>
      <c r="E23" s="3"/>
      <c r="F23" s="57"/>
      <c r="G23" s="57"/>
      <c r="H23" s="57"/>
      <c r="I23" s="3"/>
      <c r="J23" s="20"/>
    </row>
    <row r="24" spans="2:10" x14ac:dyDescent="0.25">
      <c r="B24" s="19">
        <v>17</v>
      </c>
      <c r="C24" s="3"/>
      <c r="D24" s="3"/>
      <c r="E24" s="3"/>
      <c r="F24" s="57"/>
      <c r="G24" s="57"/>
      <c r="H24" s="57"/>
      <c r="I24" s="3"/>
      <c r="J24" s="20"/>
    </row>
    <row r="25" spans="2:10" x14ac:dyDescent="0.25">
      <c r="B25" s="19">
        <v>18</v>
      </c>
      <c r="C25" s="3"/>
      <c r="D25" s="3"/>
      <c r="E25" s="3"/>
      <c r="F25" s="57"/>
      <c r="G25" s="57"/>
      <c r="H25" s="57"/>
      <c r="I25" s="3"/>
      <c r="J25" s="20"/>
    </row>
    <row r="26" spans="2:10" x14ac:dyDescent="0.25">
      <c r="B26" s="19">
        <v>19</v>
      </c>
      <c r="C26" s="3"/>
      <c r="D26" s="3"/>
      <c r="E26" s="3"/>
      <c r="F26" s="57"/>
      <c r="G26" s="57"/>
      <c r="H26" s="57"/>
      <c r="I26" s="3"/>
      <c r="J26" s="20"/>
    </row>
    <row r="27" spans="2:10" x14ac:dyDescent="0.25">
      <c r="B27" s="19">
        <v>20</v>
      </c>
      <c r="C27" s="3"/>
      <c r="D27" s="3"/>
      <c r="E27" s="3"/>
      <c r="F27" s="57"/>
      <c r="G27" s="57"/>
      <c r="H27" s="57"/>
      <c r="I27" s="3"/>
      <c r="J27" s="20"/>
    </row>
    <row r="28" spans="2:10" x14ac:dyDescent="0.25">
      <c r="B28" s="19">
        <v>21</v>
      </c>
      <c r="C28" s="3"/>
      <c r="D28" s="3"/>
      <c r="E28" s="3"/>
      <c r="F28" s="57"/>
      <c r="G28" s="57"/>
      <c r="H28" s="57"/>
      <c r="I28" s="3"/>
      <c r="J28" s="20"/>
    </row>
    <row r="29" spans="2:10" x14ac:dyDescent="0.25">
      <c r="B29" s="19">
        <v>22</v>
      </c>
      <c r="C29" s="3"/>
      <c r="D29" s="3"/>
      <c r="E29" s="3"/>
      <c r="F29" s="57"/>
      <c r="G29" s="57"/>
      <c r="H29" s="57"/>
      <c r="I29" s="3"/>
      <c r="J29" s="20"/>
    </row>
    <row r="30" spans="2:10" x14ac:dyDescent="0.25">
      <c r="B30" s="19">
        <v>23</v>
      </c>
      <c r="C30" s="3"/>
      <c r="D30" s="3"/>
      <c r="E30" s="3"/>
      <c r="F30" s="57"/>
      <c r="G30" s="57"/>
      <c r="H30" s="57"/>
      <c r="I30" s="3"/>
      <c r="J30" s="20"/>
    </row>
    <row r="31" spans="2:10" x14ac:dyDescent="0.25">
      <c r="B31" s="19">
        <v>24</v>
      </c>
      <c r="C31" s="3"/>
      <c r="D31" s="3"/>
      <c r="E31" s="3"/>
      <c r="F31" s="57"/>
      <c r="G31" s="57"/>
      <c r="H31" s="57"/>
      <c r="I31" s="3"/>
      <c r="J31" s="20"/>
    </row>
    <row r="32" spans="2:10" x14ac:dyDescent="0.25">
      <c r="B32" s="19">
        <v>25</v>
      </c>
      <c r="C32" s="3"/>
      <c r="D32" s="3"/>
      <c r="E32" s="3"/>
      <c r="F32" s="57"/>
      <c r="G32" s="57"/>
      <c r="H32" s="57"/>
      <c r="I32" s="3"/>
      <c r="J32" s="20"/>
    </row>
    <row r="33" spans="2:10" x14ac:dyDescent="0.25">
      <c r="B33" s="19">
        <v>26</v>
      </c>
      <c r="C33" s="3"/>
      <c r="D33" s="3"/>
      <c r="E33" s="3"/>
      <c r="F33" s="57"/>
      <c r="G33" s="57"/>
      <c r="H33" s="57"/>
      <c r="I33" s="3"/>
      <c r="J33" s="20"/>
    </row>
    <row r="34" spans="2:10" ht="15.75" thickBot="1" x14ac:dyDescent="0.3">
      <c r="B34" s="12"/>
      <c r="C34" s="54"/>
      <c r="D34" s="54"/>
      <c r="E34" s="54"/>
      <c r="F34" s="58"/>
      <c r="G34" s="58"/>
      <c r="H34" s="58"/>
      <c r="I34" s="54"/>
      <c r="J34" s="13"/>
    </row>
  </sheetData>
  <protectedRanges>
    <protectedRange algorithmName="SHA-512" hashValue="KUZzOaajJlYykLfdsNW3FRpKsbwmwpAr/41fapyxfUrNcEvkmZ8oJVUTFxWoCsp5Aq0HhUrDqg5xa6dvpONxhQ==" saltValue="1XzJvVSOwsMcfJsKA0bO2g==" spinCount="100000" sqref="B3:J34" name="Range1" securityDescriptor="O:WDG:WDD:(A;;CC;;;S-1-5-21-577582919-1435025626-1914702595-4020469)(A;;CC;;;S-1-5-21-577582919-1435025626-1914702595-3758999)(A;;CC;;;S-1-5-21-577582919-1435025626-1914702595-3758875)(A;;CC;;;S-1-5-21-577582919-1435025626-1914702595-4023729)(A;;CC;;;S-1-5-21-577582919-1435025626-1914702595-3758127)"/>
  </protectedRanges>
  <mergeCells count="5">
    <mergeCell ref="B3:J3"/>
    <mergeCell ref="B4:J4"/>
    <mergeCell ref="B5:J5"/>
    <mergeCell ref="G6:I6"/>
    <mergeCell ref="B6:F6"/>
  </mergeCells>
  <pageMargins left="0.7" right="0.7" top="0.75" bottom="0.75" header="0.3" footer="0.3"/>
  <pageSetup scale="90" orientation="landscape" r:id="rId1"/>
  <headerFooter>
    <oddHeader>&amp;R&amp;"Times New Roman,Bold"&amp;10KyPSC Case No. 2025-00229
STAFF-DR-01-005(b) Attachment 10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2B55C-E7A0-4F76-9B9E-95580C345972}">
  <sheetPr>
    <tabColor rgb="FF0070C0"/>
    <pageSetUpPr fitToPage="1"/>
  </sheetPr>
  <dimension ref="A1:L51"/>
  <sheetViews>
    <sheetView view="pageLayout" zoomScaleNormal="75" workbookViewId="0">
      <selection activeCell="J18" sqref="J18"/>
    </sheetView>
  </sheetViews>
  <sheetFormatPr defaultRowHeight="15" x14ac:dyDescent="0.25"/>
  <cols>
    <col min="1" max="1" width="0.7109375" customWidth="1"/>
    <col min="2" max="2" width="10.85546875" customWidth="1"/>
    <col min="3" max="3" width="26.28515625" customWidth="1"/>
    <col min="4" max="4" width="24.140625" customWidth="1"/>
    <col min="5" max="5" width="1" customWidth="1"/>
    <col min="6" max="6" width="24.140625" customWidth="1"/>
    <col min="7" max="7" width="24.140625" style="1" customWidth="1"/>
    <col min="8" max="8" width="1" customWidth="1"/>
    <col min="9" max="9" width="24.140625" customWidth="1"/>
    <col min="10" max="10" width="1.42578125" bestFit="1" customWidth="1"/>
    <col min="11" max="11" width="10.5703125" bestFit="1" customWidth="1"/>
    <col min="12" max="12" width="7" bestFit="1" customWidth="1"/>
  </cols>
  <sheetData>
    <row r="1" spans="1:10" ht="3.75" customHeight="1" thickBot="1" x14ac:dyDescent="0.3">
      <c r="B1" s="4"/>
      <c r="C1" s="4"/>
      <c r="D1" s="4"/>
      <c r="E1" s="4"/>
      <c r="F1" s="4"/>
      <c r="G1" s="8"/>
      <c r="H1" s="4"/>
      <c r="I1" s="4"/>
    </row>
    <row r="2" spans="1:10" ht="31.5" x14ac:dyDescent="0.25">
      <c r="A2" s="52"/>
      <c r="B2" s="382" t="str">
        <f>'Master Tab'!C8</f>
        <v>Line AM07 PH5</v>
      </c>
      <c r="C2" s="382"/>
      <c r="D2" s="382"/>
      <c r="E2" s="382"/>
      <c r="F2" s="382"/>
      <c r="G2" s="382"/>
      <c r="H2" s="382"/>
      <c r="I2" s="382"/>
    </row>
    <row r="3" spans="1:10" ht="21" x14ac:dyDescent="0.25">
      <c r="A3" s="52"/>
      <c r="B3" s="383" t="str">
        <f>'Master Tab'!C11</f>
        <v>Erlanger,Ky</v>
      </c>
      <c r="C3" s="384"/>
      <c r="D3" s="384"/>
      <c r="E3" s="384"/>
      <c r="F3" s="384"/>
      <c r="G3" s="384"/>
      <c r="H3" s="384"/>
      <c r="I3" s="384"/>
    </row>
    <row r="4" spans="1:10" ht="18.75" x14ac:dyDescent="0.25">
      <c r="A4" s="52"/>
      <c r="B4" s="385" t="s">
        <v>96</v>
      </c>
      <c r="C4" s="385"/>
      <c r="D4" s="385"/>
      <c r="E4" s="385"/>
      <c r="F4" s="385"/>
      <c r="G4" s="385"/>
      <c r="H4" s="385"/>
      <c r="I4" s="385"/>
    </row>
    <row r="5" spans="1:10" ht="18.75" x14ac:dyDescent="0.25">
      <c r="A5" s="52"/>
      <c r="B5" s="385" t="str">
        <f>'Master Tab'!C23</f>
        <v>Class 5</v>
      </c>
      <c r="C5" s="385"/>
      <c r="D5" s="385"/>
      <c r="E5" s="385"/>
      <c r="F5" s="385"/>
      <c r="G5" s="385"/>
      <c r="H5" s="385"/>
      <c r="I5" s="385"/>
    </row>
    <row r="6" spans="1:10" ht="15.75" thickBot="1" x14ac:dyDescent="0.3">
      <c r="A6" s="52"/>
      <c r="B6" s="187" t="s">
        <v>94</v>
      </c>
      <c r="C6" s="381" t="str">
        <f>'Master Tab'!C6</f>
        <v>C</v>
      </c>
      <c r="D6" s="381"/>
      <c r="E6" s="381"/>
      <c r="F6" s="381"/>
      <c r="G6" s="380">
        <f>'Master Tab'!C9</f>
        <v>44221</v>
      </c>
      <c r="H6" s="380"/>
      <c r="I6" s="380"/>
    </row>
    <row r="7" spans="1:10" ht="30" customHeight="1" thickBot="1" x14ac:dyDescent="0.3">
      <c r="A7" s="52"/>
      <c r="B7" s="69"/>
      <c r="C7" s="70"/>
      <c r="D7" s="387" t="s">
        <v>97</v>
      </c>
      <c r="E7" s="79"/>
      <c r="F7" s="386" t="s">
        <v>98</v>
      </c>
      <c r="G7" s="386"/>
      <c r="H7" s="81" t="s">
        <v>21</v>
      </c>
      <c r="I7" s="306" t="s">
        <v>99</v>
      </c>
      <c r="J7" s="61"/>
    </row>
    <row r="8" spans="1:10" ht="15.75" thickBot="1" x14ac:dyDescent="0.3">
      <c r="A8" s="52"/>
      <c r="B8" s="69"/>
      <c r="C8" s="70"/>
      <c r="D8" s="388"/>
      <c r="E8" s="80"/>
      <c r="F8" s="146" t="s">
        <v>218</v>
      </c>
      <c r="G8" s="74" t="s">
        <v>480</v>
      </c>
      <c r="H8" s="82"/>
      <c r="I8" s="77"/>
    </row>
    <row r="9" spans="1:10" ht="15.75" thickBot="1" x14ac:dyDescent="0.3">
      <c r="A9" s="52"/>
      <c r="B9" s="69"/>
      <c r="C9" s="70"/>
      <c r="D9" s="388"/>
      <c r="E9" s="80"/>
      <c r="F9" s="146" t="s">
        <v>219</v>
      </c>
      <c r="G9" s="308" t="s">
        <v>481</v>
      </c>
      <c r="H9" s="82"/>
      <c r="I9" s="77"/>
    </row>
    <row r="10" spans="1:10" ht="21.75" thickBot="1" x14ac:dyDescent="0.3">
      <c r="A10" s="52"/>
      <c r="B10" s="71" t="s">
        <v>100</v>
      </c>
      <c r="C10" s="72" t="s">
        <v>39</v>
      </c>
      <c r="D10" s="388"/>
      <c r="E10" s="80"/>
      <c r="F10" s="75" t="s">
        <v>101</v>
      </c>
      <c r="G10" s="76" t="s">
        <v>141</v>
      </c>
      <c r="H10" s="82"/>
      <c r="I10" s="78" t="s">
        <v>149</v>
      </c>
    </row>
    <row r="11" spans="1:10" x14ac:dyDescent="0.25">
      <c r="A11" s="52"/>
      <c r="B11" s="62" t="s">
        <v>102</v>
      </c>
      <c r="C11" s="65" t="s">
        <v>9</v>
      </c>
      <c r="D11" s="84">
        <f t="shared" ref="D11:D21" si="0">SUM(G11:I11)</f>
        <v>1361000</v>
      </c>
      <c r="E11" s="85"/>
      <c r="F11" s="86">
        <f t="shared" ref="F11:F21" si="1">SUM(G11:G11)</f>
        <v>1282300</v>
      </c>
      <c r="G11" s="86">
        <f>CEILING('Pipeline 1'!$J$13,100)</f>
        <v>1282300</v>
      </c>
      <c r="H11" s="87"/>
      <c r="I11" s="88">
        <f>CEILING('Demo 1'!$J$13,100)</f>
        <v>78700</v>
      </c>
    </row>
    <row r="12" spans="1:10" x14ac:dyDescent="0.25">
      <c r="A12" s="52"/>
      <c r="B12" s="63" t="s">
        <v>103</v>
      </c>
      <c r="C12" s="66" t="s">
        <v>104</v>
      </c>
      <c r="D12" s="89">
        <f t="shared" si="0"/>
        <v>1600000</v>
      </c>
      <c r="E12" s="85"/>
      <c r="F12" s="90">
        <f t="shared" si="1"/>
        <v>1600000</v>
      </c>
      <c r="G12" s="90">
        <f>SUM('Pipeline 1'!I16:I20)</f>
        <v>1600000</v>
      </c>
      <c r="H12" s="87"/>
      <c r="I12" s="91">
        <f>CEILING('Demo 1'!$I$16,100)</f>
        <v>0</v>
      </c>
      <c r="J12" t="s">
        <v>21</v>
      </c>
    </row>
    <row r="13" spans="1:10" x14ac:dyDescent="0.25">
      <c r="A13" s="52"/>
      <c r="B13" s="63" t="s">
        <v>103</v>
      </c>
      <c r="C13" s="66" t="s">
        <v>105</v>
      </c>
      <c r="D13" s="89">
        <f t="shared" si="0"/>
        <v>180000</v>
      </c>
      <c r="E13" s="85"/>
      <c r="F13" s="90">
        <f t="shared" si="1"/>
        <v>180000</v>
      </c>
      <c r="G13" s="90">
        <f>SUM('Pipeline 1'!I21:I24)</f>
        <v>180000</v>
      </c>
      <c r="H13" s="87"/>
      <c r="I13" s="91">
        <f>CEILING(SUM('Demo 1'!$I$17:$I$21),100)</f>
        <v>0</v>
      </c>
    </row>
    <row r="14" spans="1:10" x14ac:dyDescent="0.25">
      <c r="A14" s="52"/>
      <c r="B14" s="63" t="s">
        <v>103</v>
      </c>
      <c r="C14" s="66" t="s">
        <v>106</v>
      </c>
      <c r="D14" s="89">
        <f t="shared" si="0"/>
        <v>720000</v>
      </c>
      <c r="E14" s="85"/>
      <c r="F14" s="90">
        <f t="shared" si="1"/>
        <v>720000</v>
      </c>
      <c r="G14" s="90">
        <f>SUM('Pipeline 1'!I25)</f>
        <v>720000</v>
      </c>
      <c r="H14" s="87"/>
      <c r="I14" s="91">
        <f>CEILING('Demo 1'!$I$22,100)</f>
        <v>0</v>
      </c>
    </row>
    <row r="15" spans="1:10" x14ac:dyDescent="0.25">
      <c r="A15" s="52"/>
      <c r="B15" s="63" t="s">
        <v>103</v>
      </c>
      <c r="C15" s="66" t="s">
        <v>107</v>
      </c>
      <c r="D15" s="89">
        <f t="shared" si="0"/>
        <v>120000</v>
      </c>
      <c r="E15" s="85"/>
      <c r="F15" s="90">
        <f t="shared" si="1"/>
        <v>120000</v>
      </c>
      <c r="G15" s="90">
        <f>CEILING('Pipeline 1'!$I$26,100)</f>
        <v>120000</v>
      </c>
      <c r="H15" s="87"/>
      <c r="I15" s="91">
        <f>CEILING('Demo 1'!$I$23,100)</f>
        <v>0</v>
      </c>
    </row>
    <row r="16" spans="1:10" x14ac:dyDescent="0.25">
      <c r="A16" s="52"/>
      <c r="B16" s="63" t="s">
        <v>108</v>
      </c>
      <c r="C16" s="66" t="s">
        <v>109</v>
      </c>
      <c r="D16" s="89">
        <f t="shared" si="0"/>
        <v>2688700</v>
      </c>
      <c r="E16" s="85"/>
      <c r="F16" s="90">
        <f t="shared" si="1"/>
        <v>2677700</v>
      </c>
      <c r="G16" s="90">
        <f>CEILING('Pipeline 1'!$J$127,100)</f>
        <v>2677700</v>
      </c>
      <c r="H16" s="87"/>
      <c r="I16" s="91">
        <f>CEILING('Demo 1'!$J$54,100)</f>
        <v>11000</v>
      </c>
    </row>
    <row r="17" spans="1:12" x14ac:dyDescent="0.25">
      <c r="A17" s="52"/>
      <c r="B17" s="63" t="s">
        <v>110</v>
      </c>
      <c r="C17" s="66" t="s">
        <v>111</v>
      </c>
      <c r="D17" s="89">
        <f t="shared" si="0"/>
        <v>13378200</v>
      </c>
      <c r="E17" s="85"/>
      <c r="F17" s="90">
        <f t="shared" si="1"/>
        <v>12674200</v>
      </c>
      <c r="G17" s="90">
        <f>CEILING('Pipeline 1'!$J$104,100)</f>
        <v>12674200</v>
      </c>
      <c r="H17" s="87"/>
      <c r="I17" s="91">
        <f>CEILING('Demo 1'!$J$42,100)</f>
        <v>704000</v>
      </c>
    </row>
    <row r="18" spans="1:12" x14ac:dyDescent="0.25">
      <c r="A18" s="52"/>
      <c r="B18" s="63" t="s">
        <v>112</v>
      </c>
      <c r="C18" s="66" t="s">
        <v>113</v>
      </c>
      <c r="D18" s="89">
        <f t="shared" si="0"/>
        <v>0</v>
      </c>
      <c r="E18" s="85"/>
      <c r="F18" s="90">
        <f t="shared" si="1"/>
        <v>0</v>
      </c>
      <c r="G18" s="96">
        <v>0</v>
      </c>
      <c r="H18" s="87"/>
      <c r="I18" s="158">
        <v>0</v>
      </c>
    </row>
    <row r="19" spans="1:12" x14ac:dyDescent="0.25">
      <c r="A19" s="52"/>
      <c r="B19" s="63" t="s">
        <v>255</v>
      </c>
      <c r="C19" s="66" t="s">
        <v>114</v>
      </c>
      <c r="D19" s="89">
        <f t="shared" si="0"/>
        <v>1499800</v>
      </c>
      <c r="E19" s="85"/>
      <c r="F19" s="90">
        <f t="shared" si="1"/>
        <v>1394200</v>
      </c>
      <c r="G19" s="90">
        <f>CEILING('Pipeline 1'!$J$109,100)</f>
        <v>1394200</v>
      </c>
      <c r="H19" s="87"/>
      <c r="I19" s="91">
        <f>CEILING('Demo 1'!$J$47,100)</f>
        <v>105600</v>
      </c>
      <c r="J19" t="s">
        <v>21</v>
      </c>
    </row>
    <row r="20" spans="1:12" x14ac:dyDescent="0.25">
      <c r="A20" s="52"/>
      <c r="B20" s="63" t="s">
        <v>115</v>
      </c>
      <c r="C20" s="66" t="s">
        <v>116</v>
      </c>
      <c r="D20" s="89">
        <f t="shared" si="0"/>
        <v>238000</v>
      </c>
      <c r="E20" s="85"/>
      <c r="F20" s="90">
        <f t="shared" si="1"/>
        <v>174000</v>
      </c>
      <c r="G20" s="90">
        <f>CEILING('Pipeline 1'!$I$5,100)</f>
        <v>174000</v>
      </c>
      <c r="H20" s="87"/>
      <c r="I20" s="91">
        <f>CEILING('Demo 1'!$I$5,100)</f>
        <v>64000</v>
      </c>
      <c r="J20" t="s">
        <v>21</v>
      </c>
    </row>
    <row r="21" spans="1:12" ht="15.75" thickBot="1" x14ac:dyDescent="0.3">
      <c r="A21" s="52"/>
      <c r="B21" s="64" t="s">
        <v>117</v>
      </c>
      <c r="C21" s="67" t="s">
        <v>118</v>
      </c>
      <c r="D21" s="92">
        <f t="shared" si="0"/>
        <v>60000</v>
      </c>
      <c r="E21" s="85"/>
      <c r="F21" s="93">
        <f t="shared" si="1"/>
        <v>44000</v>
      </c>
      <c r="G21" s="93">
        <f>CEILING('Pipeline 1'!$I$6,100)</f>
        <v>44000</v>
      </c>
      <c r="H21" s="87"/>
      <c r="I21" s="94">
        <f>CEILING('Demo 1'!$I$6,100)</f>
        <v>16000</v>
      </c>
    </row>
    <row r="22" spans="1:12" s="73" customFormat="1" ht="15.75" thickBot="1" x14ac:dyDescent="0.3">
      <c r="A22" s="98"/>
      <c r="B22" s="391" t="s">
        <v>119</v>
      </c>
      <c r="C22" s="392"/>
      <c r="D22" s="99">
        <f>SUM(D11:D21)</f>
        <v>21845700</v>
      </c>
      <c r="E22" s="100"/>
      <c r="F22" s="101">
        <f>SUM(F11:F21)</f>
        <v>20866400</v>
      </c>
      <c r="G22" s="101">
        <f t="shared" ref="G22" si="2">SUM(G11:G21)</f>
        <v>20866400</v>
      </c>
      <c r="H22" s="102"/>
      <c r="I22" s="101">
        <f>SUM(I11:I21)</f>
        <v>979300</v>
      </c>
    </row>
    <row r="23" spans="1:12" x14ac:dyDescent="0.25">
      <c r="A23" s="52"/>
      <c r="B23" s="62" t="s">
        <v>21</v>
      </c>
      <c r="C23" s="68" t="s">
        <v>120</v>
      </c>
      <c r="D23" s="95">
        <f>SUM(G23:I23)</f>
        <v>3276900</v>
      </c>
      <c r="E23" s="85"/>
      <c r="F23" s="86">
        <f>SUM(G23:G23)</f>
        <v>3130000</v>
      </c>
      <c r="G23" s="86">
        <f>CEILING('Pipeline 1'!$J$130,100)</f>
        <v>3130000</v>
      </c>
      <c r="H23" s="87"/>
      <c r="I23" s="88">
        <f>CEILING('Demo 1'!$J$57,100)</f>
        <v>146900</v>
      </c>
    </row>
    <row r="24" spans="1:12" ht="15.75" thickBot="1" x14ac:dyDescent="0.3">
      <c r="A24" s="52"/>
      <c r="B24" s="64" t="s">
        <v>21</v>
      </c>
      <c r="C24" s="67" t="s">
        <v>121</v>
      </c>
      <c r="D24" s="92">
        <f>SUM(G24:I24)</f>
        <v>1879000</v>
      </c>
      <c r="E24" s="85"/>
      <c r="F24" s="93">
        <f>SUM(G24:G24)</f>
        <v>1792800</v>
      </c>
      <c r="G24" s="93">
        <f>CEILING('Pipeline 1'!$J$129,100)</f>
        <v>1792800</v>
      </c>
      <c r="H24" s="87"/>
      <c r="I24" s="94">
        <f>CEILING('Demo 1'!$J$56,100)</f>
        <v>86200</v>
      </c>
    </row>
    <row r="25" spans="1:12" s="73" customFormat="1" ht="15.75" thickBot="1" x14ac:dyDescent="0.3">
      <c r="A25" s="98"/>
      <c r="B25" s="395" t="s">
        <v>122</v>
      </c>
      <c r="C25" s="396"/>
      <c r="D25" s="188">
        <f>SUM(D23:D24)</f>
        <v>5155900</v>
      </c>
      <c r="E25" s="100"/>
      <c r="F25" s="190">
        <f>SUM(F23:F24)</f>
        <v>4922800</v>
      </c>
      <c r="G25" s="190">
        <f>SUM(G23:G24)</f>
        <v>4922800</v>
      </c>
      <c r="H25" s="102"/>
      <c r="I25" s="190">
        <f t="shared" ref="I25" si="3">SUM(I23:I24)</f>
        <v>233100</v>
      </c>
    </row>
    <row r="26" spans="1:12" ht="5.25" customHeight="1" thickBot="1" x14ac:dyDescent="0.3">
      <c r="B26" s="83"/>
      <c r="C26" s="192"/>
      <c r="D26" s="193"/>
      <c r="E26" s="87"/>
      <c r="F26" s="194"/>
      <c r="G26" s="194"/>
      <c r="H26" s="87"/>
      <c r="I26" s="194"/>
    </row>
    <row r="27" spans="1:12" s="73" customFormat="1" ht="15.75" thickBot="1" x14ac:dyDescent="0.3">
      <c r="A27" s="98"/>
      <c r="B27" s="393" t="s">
        <v>123</v>
      </c>
      <c r="C27" s="394"/>
      <c r="D27" s="191">
        <f>SUM(D22,D25)</f>
        <v>27001600</v>
      </c>
      <c r="E27" s="100"/>
      <c r="F27" s="189">
        <f>SUM(F25,F22)</f>
        <v>25789200</v>
      </c>
      <c r="G27" s="189">
        <f>SUM(G22,G25)</f>
        <v>25789200</v>
      </c>
      <c r="H27" s="102"/>
      <c r="I27" s="189">
        <f t="shared" ref="I27" si="4">SUM(I22,I25)</f>
        <v>1212400</v>
      </c>
    </row>
    <row r="28" spans="1:12" x14ac:dyDescent="0.25">
      <c r="A28" s="52"/>
      <c r="B28" s="63" t="s">
        <v>115</v>
      </c>
      <c r="C28" s="66" t="s">
        <v>124</v>
      </c>
      <c r="D28" s="89">
        <f>SUM(G28:I28)</f>
        <v>782800</v>
      </c>
      <c r="E28" s="85"/>
      <c r="F28" s="90">
        <f>SUM(G28:G28)</f>
        <v>782800</v>
      </c>
      <c r="G28" s="90">
        <f>CEILING((G27*$L$28)/2,100)</f>
        <v>782800</v>
      </c>
      <c r="H28" s="87"/>
      <c r="I28" s="91">
        <v>0</v>
      </c>
      <c r="K28" s="202" t="s">
        <v>125</v>
      </c>
      <c r="L28" s="202">
        <v>6.0699999999999997E-2</v>
      </c>
    </row>
    <row r="29" spans="1:12" ht="15.75" thickBot="1" x14ac:dyDescent="0.3">
      <c r="A29" s="52"/>
      <c r="B29" s="64" t="s">
        <v>126</v>
      </c>
      <c r="C29" s="67" t="s">
        <v>127</v>
      </c>
      <c r="D29" s="92">
        <f>SUM(G29:I29)</f>
        <v>2603200</v>
      </c>
      <c r="E29" s="85"/>
      <c r="F29" s="93">
        <f>SUM(G29:G29)</f>
        <v>2459000</v>
      </c>
      <c r="G29" s="93">
        <f>CEILING((SUM(G11,G17:G21,G23:G24)*$L$29),100)</f>
        <v>2459000</v>
      </c>
      <c r="H29" s="87"/>
      <c r="I29" s="94">
        <f>CEILING((SUM(I11,I17:I21,I23:I24)*$L$29),100)</f>
        <v>144200</v>
      </c>
      <c r="K29" s="202" t="s">
        <v>128</v>
      </c>
      <c r="L29" s="202">
        <v>0.12</v>
      </c>
    </row>
    <row r="30" spans="1:12" s="73" customFormat="1" ht="15.75" thickBot="1" x14ac:dyDescent="0.3">
      <c r="A30" s="98"/>
      <c r="B30" s="391" t="s">
        <v>129</v>
      </c>
      <c r="C30" s="392"/>
      <c r="D30" s="99">
        <f>SUM(D28:D29)</f>
        <v>3386000</v>
      </c>
      <c r="E30" s="100"/>
      <c r="F30" s="101">
        <f>SUM(F28:F29)</f>
        <v>3241800</v>
      </c>
      <c r="G30" s="101">
        <f>SUM(G28:G29)</f>
        <v>3241800</v>
      </c>
      <c r="H30" s="102"/>
      <c r="I30" s="101">
        <f t="shared" ref="I30" si="5">SUM(I28:I29)</f>
        <v>144200</v>
      </c>
    </row>
    <row r="31" spans="1:12" s="73" customFormat="1" ht="30" customHeight="1" thickBot="1" x14ac:dyDescent="0.3">
      <c r="B31" s="389" t="s">
        <v>130</v>
      </c>
      <c r="C31" s="390"/>
      <c r="D31" s="103">
        <f>SUM(D30,D27)</f>
        <v>30387600</v>
      </c>
      <c r="E31" s="100"/>
      <c r="F31" s="104">
        <f>SUM(F30,F27)</f>
        <v>29031000</v>
      </c>
      <c r="G31" s="104">
        <f t="shared" ref="G31:I31" si="6">SUM(G27,G30)</f>
        <v>29031000</v>
      </c>
      <c r="H31" s="105"/>
      <c r="I31" s="106">
        <f t="shared" si="6"/>
        <v>1356600</v>
      </c>
    </row>
    <row r="32" spans="1:12" ht="6.75" customHeight="1" x14ac:dyDescent="0.25">
      <c r="E32" s="41"/>
    </row>
    <row r="33" spans="2:7" ht="6.75" customHeight="1" x14ac:dyDescent="0.25">
      <c r="B33" s="398" t="s">
        <v>131</v>
      </c>
    </row>
    <row r="34" spans="2:7" ht="18" customHeight="1" x14ac:dyDescent="0.25">
      <c r="B34" s="398"/>
      <c r="C34" s="400" t="s">
        <v>132</v>
      </c>
      <c r="D34" s="400"/>
      <c r="E34" s="400"/>
      <c r="F34" s="400"/>
      <c r="G34" s="400"/>
    </row>
    <row r="35" spans="2:7" x14ac:dyDescent="0.25">
      <c r="B35" s="398"/>
      <c r="C35" s="400" t="s">
        <v>463</v>
      </c>
      <c r="D35" s="400"/>
      <c r="E35" s="400"/>
      <c r="F35" s="400"/>
      <c r="G35" s="400"/>
    </row>
    <row r="36" spans="2:7" x14ac:dyDescent="0.25">
      <c r="B36" s="398"/>
      <c r="C36" s="400" t="s">
        <v>462</v>
      </c>
      <c r="D36" s="400"/>
      <c r="E36" s="400"/>
      <c r="F36" s="400"/>
      <c r="G36" s="400"/>
    </row>
    <row r="37" spans="2:7" x14ac:dyDescent="0.25">
      <c r="B37" s="398"/>
      <c r="C37" s="400" t="s">
        <v>461</v>
      </c>
      <c r="D37" s="400"/>
      <c r="E37" s="400"/>
      <c r="F37" s="400"/>
      <c r="G37" s="400"/>
    </row>
    <row r="38" spans="2:7" x14ac:dyDescent="0.25">
      <c r="C38" t="s">
        <v>21</v>
      </c>
    </row>
    <row r="39" spans="2:7" x14ac:dyDescent="0.25">
      <c r="C39" s="186" t="s">
        <v>133</v>
      </c>
      <c r="D39" s="185" t="s">
        <v>257</v>
      </c>
      <c r="E39" s="399">
        <v>7.51E-2</v>
      </c>
      <c r="F39" s="399"/>
    </row>
    <row r="40" spans="2:7" x14ac:dyDescent="0.25">
      <c r="C40" s="73"/>
      <c r="D40" s="185" t="s">
        <v>258</v>
      </c>
      <c r="E40" s="399">
        <v>3.9100000000000003E-2</v>
      </c>
      <c r="F40" s="399"/>
    </row>
    <row r="41" spans="2:7" x14ac:dyDescent="0.25">
      <c r="C41" s="73"/>
      <c r="D41" s="185" t="s">
        <v>136</v>
      </c>
      <c r="E41" s="399">
        <v>7.9799999999999996E-2</v>
      </c>
      <c r="F41" s="399"/>
    </row>
    <row r="42" spans="2:7" x14ac:dyDescent="0.25">
      <c r="C42" s="73"/>
      <c r="D42" s="185" t="s">
        <v>137</v>
      </c>
      <c r="E42" s="399">
        <v>6.0699999999999997E-2</v>
      </c>
      <c r="F42" s="399"/>
    </row>
    <row r="43" spans="2:7" x14ac:dyDescent="0.25">
      <c r="C43" s="73"/>
      <c r="D43" s="185" t="s">
        <v>138</v>
      </c>
      <c r="E43" s="399">
        <v>7.0699999999999999E-2</v>
      </c>
      <c r="F43" s="399"/>
    </row>
    <row r="44" spans="2:7" x14ac:dyDescent="0.25">
      <c r="C44" s="73"/>
      <c r="D44" s="185" t="s">
        <v>139</v>
      </c>
      <c r="E44" s="399">
        <v>7.2900000000000006E-2</v>
      </c>
      <c r="F44" s="399"/>
    </row>
    <row r="45" spans="2:7" x14ac:dyDescent="0.25">
      <c r="C45" s="73"/>
      <c r="D45" s="185" t="s">
        <v>140</v>
      </c>
      <c r="E45" s="399">
        <v>7.1599999999999997E-2</v>
      </c>
      <c r="F45" s="399"/>
    </row>
    <row r="46" spans="2:7" x14ac:dyDescent="0.25">
      <c r="E46" s="183"/>
      <c r="F46" s="183"/>
    </row>
    <row r="47" spans="2:7" x14ac:dyDescent="0.25">
      <c r="C47" s="185" t="s">
        <v>128</v>
      </c>
      <c r="D47" s="185" t="s">
        <v>134</v>
      </c>
      <c r="E47" s="397">
        <v>0.09</v>
      </c>
      <c r="F47" s="397"/>
    </row>
    <row r="48" spans="2:7" x14ac:dyDescent="0.25">
      <c r="C48" s="73"/>
      <c r="D48" s="185" t="s">
        <v>135</v>
      </c>
      <c r="E48" s="397">
        <v>0.1033</v>
      </c>
      <c r="F48" s="397"/>
    </row>
    <row r="49" spans="3:6" x14ac:dyDescent="0.25">
      <c r="C49" s="73"/>
      <c r="D49" s="185" t="s">
        <v>136</v>
      </c>
      <c r="E49" s="397">
        <v>0.06</v>
      </c>
      <c r="F49" s="397"/>
    </row>
    <row r="50" spans="3:6" x14ac:dyDescent="0.25">
      <c r="C50" s="73"/>
      <c r="D50" s="185" t="s">
        <v>256</v>
      </c>
      <c r="E50" s="397">
        <v>0.12</v>
      </c>
      <c r="F50" s="397"/>
    </row>
    <row r="51" spans="3:6" x14ac:dyDescent="0.25">
      <c r="D51" s="97"/>
    </row>
  </sheetData>
  <protectedRanges>
    <protectedRange algorithmName="SHA-512" hashValue="uRV0uJzeVVv6QoAB0Q1k3fRFjorA9b79PfBmAXp+z/m3hxTpefmJQYKRfVrgXpqXNpmEytpYVOqOJdFsE8rHRg==" saltValue="SDvoNQfcYE0GC4eYp4tMpg==" spinCount="100000" sqref="H1:M51 A1:G11 A16:G51 A12:F15" name="Range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uRV0uJzeVVv6QoAB0Q1k3fRFjorA9b79PfBmAXp+z/m3hxTpefmJQYKRfVrgXpqXNpmEytpYVOqOJdFsE8rHRg==" saltValue="SDvoNQfcYE0GC4eYp4tMpg==" spinCount="100000" sqref="G12:G15" name="Range1_3" securityDescriptor="O:WDG:WDD:(A;;CC;;;S-1-5-21-577582919-1435025626-1914702595-4020469)(A;;CC;;;S-1-5-21-577582919-1435025626-1914702595-3758999)(A;;CC;;;S-1-5-21-577582919-1435025626-1914702595-3758875)(A;;CC;;;S-1-5-21-577582919-1435025626-1914702595-4023729)(A;;CC;;;S-1-5-21-577582919-1435025626-1914702595-3758127)"/>
  </protectedRanges>
  <mergeCells count="29">
    <mergeCell ref="E49:F49"/>
    <mergeCell ref="E50:F50"/>
    <mergeCell ref="B33:B37"/>
    <mergeCell ref="E47:F47"/>
    <mergeCell ref="E48:F48"/>
    <mergeCell ref="E45:F45"/>
    <mergeCell ref="E43:F43"/>
    <mergeCell ref="E44:F44"/>
    <mergeCell ref="E39:F39"/>
    <mergeCell ref="E40:F40"/>
    <mergeCell ref="E41:F41"/>
    <mergeCell ref="E42:F42"/>
    <mergeCell ref="C34:G34"/>
    <mergeCell ref="C35:G35"/>
    <mergeCell ref="C36:G36"/>
    <mergeCell ref="C37:G37"/>
    <mergeCell ref="F7:G7"/>
    <mergeCell ref="D7:D10"/>
    <mergeCell ref="B31:C31"/>
    <mergeCell ref="B30:C30"/>
    <mergeCell ref="B27:C27"/>
    <mergeCell ref="B25:C25"/>
    <mergeCell ref="B22:C22"/>
    <mergeCell ref="G6:I6"/>
    <mergeCell ref="C6:F6"/>
    <mergeCell ref="B2:I2"/>
    <mergeCell ref="B3:I3"/>
    <mergeCell ref="B4:I4"/>
    <mergeCell ref="B5:I5"/>
  </mergeCells>
  <pageMargins left="0.7" right="0.7" top="0.75" bottom="0.75" header="0.3" footer="0.3"/>
  <pageSetup scale="65" orientation="landscape" r:id="rId1"/>
  <headerFooter>
    <oddHeader>&amp;R&amp;"Times New Roman,Bold"&amp;10KyPSC Case No. 2025-00229
STAFF-DR-01-005(b) Attachment 10
Page &amp;P of &amp;N</oddHeader>
  </headerFooter>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Witness xmlns="2612a682-5ffb-4b9c-9555-017618935178">Seiter</Witnes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C8F9251C502B146B2B676A4E4DCE5BB" ma:contentTypeVersion="4" ma:contentTypeDescription="Create a new document." ma:contentTypeScope="" ma:versionID="4de23ef8f6c9bdacef4f4bddb876842f">
  <xsd:schema xmlns:xsd="http://www.w3.org/2001/XMLSchema" xmlns:xs="http://www.w3.org/2001/XMLSchema" xmlns:p="http://schemas.microsoft.com/office/2006/metadata/properties" xmlns:ns2="2612a682-5ffb-4b9c-9555-017618935178" xmlns:ns3="3c9d8c27-8a6d-4d9e-a15e-ef5d28c114af" targetNamespace="http://schemas.microsoft.com/office/2006/metadata/properties" ma:root="true" ma:fieldsID="147db5eb7ec7a17abbdcc7f7c35c2451" ns2:_="" ns3:_="">
    <xsd:import namespace="2612a682-5ffb-4b9c-9555-017618935178"/>
    <xsd:import namespace="3c9d8c27-8a6d-4d9e-a15e-ef5d28c114af"/>
    <xsd:element name="properties">
      <xsd:complexType>
        <xsd:sequence>
          <xsd:element name="documentManagement">
            <xsd:complexType>
              <xsd:all>
                <xsd:element ref="ns2:Witnes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2a682-5ffb-4b9c-9555-017618935178" elementFormDefault="qualified">
    <xsd:import namespace="http://schemas.microsoft.com/office/2006/documentManagement/types"/>
    <xsd:import namespace="http://schemas.microsoft.com/office/infopath/2007/PartnerControls"/>
    <xsd:element name="Witness" ma:index="9" nillable="true" ma:displayName="Witness" ma:internalName="Witnes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d8c27-8a6d-4d9e-a15e-ef5d28c114a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011AF0-A71E-44BE-8D53-95908F311F74}">
  <ds:schemaRef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3c9d8c27-8a6d-4d9e-a15e-ef5d28c114af"/>
    <ds:schemaRef ds:uri="2612a682-5ffb-4b9c-9555-017618935178"/>
    <ds:schemaRef ds:uri="http://purl.org/dc/dcmitype/"/>
  </ds:schemaRefs>
</ds:datastoreItem>
</file>

<file path=customXml/itemProps2.xml><?xml version="1.0" encoding="utf-8"?>
<ds:datastoreItem xmlns:ds="http://schemas.openxmlformats.org/officeDocument/2006/customXml" ds:itemID="{C034AF6F-B872-4140-94B7-04B7CEE524EE}">
  <ds:schemaRefs>
    <ds:schemaRef ds:uri="http://schemas.microsoft.com/sharepoint/v3/contenttype/forms"/>
  </ds:schemaRefs>
</ds:datastoreItem>
</file>

<file path=customXml/itemProps3.xml><?xml version="1.0" encoding="utf-8"?>
<ds:datastoreItem xmlns:ds="http://schemas.openxmlformats.org/officeDocument/2006/customXml" ds:itemID="{F911E4DF-2E2C-4480-B2ED-F1293C7E8C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2a682-5ffb-4b9c-9555-017618935178"/>
    <ds:schemaRef ds:uri="3c9d8c27-8a6d-4d9e-a15e-ef5d28c114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First Sheet</vt:lpstr>
      <vt:lpstr>Check List</vt:lpstr>
      <vt:lpstr>Typical%Check</vt:lpstr>
      <vt:lpstr>Master Tab</vt:lpstr>
      <vt:lpstr>Estimate Uncertainty Tool</vt:lpstr>
      <vt:lpstr>Finance Breakdown</vt:lpstr>
      <vt:lpstr>Assumptions</vt:lpstr>
      <vt:lpstr>Cost Change Log</vt:lpstr>
      <vt:lpstr>Cost Report</vt:lpstr>
      <vt:lpstr>Pipeline 1</vt:lpstr>
      <vt:lpstr>Demo 1</vt:lpstr>
      <vt:lpstr>'Check List'!Print_Area</vt:lpstr>
      <vt:lpstr>'Cost Report'!Print_Area</vt:lpstr>
      <vt:lpstr>'Demo 1'!Print_Area</vt:lpstr>
      <vt:lpstr>'Estimate Uncertainty Tool'!Print_Area</vt:lpstr>
      <vt:lpstr>'Master Tab'!Print_Area</vt:lpstr>
      <vt:lpstr>'Pipeline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Exhibit 5.1(e) - Phase 5 Original Estimate</dc:subject>
  <dc:creator>Gillow, Kyle</dc:creator>
  <cp:lastModifiedBy>Sunderman, Minna</cp:lastModifiedBy>
  <cp:lastPrinted>2025-09-30T18:33:01Z</cp:lastPrinted>
  <dcterms:created xsi:type="dcterms:W3CDTF">2020-08-04T16:48:39Z</dcterms:created>
  <dcterms:modified xsi:type="dcterms:W3CDTF">2025-09-30T18:33:08Z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0x0101005C8F9251C502B146B2B676A4E4DCE5BB</vt:lpwstr>
  </property>
</Properties>
</file>