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DEK Rider PMM Phase 4 Application/Discovery/STAFF's 1st Set of Data Requests/"/>
    </mc:Choice>
  </mc:AlternateContent>
  <xr:revisionPtr revIDLastSave="0" documentId="13_ncr:1_{BBB7B031-88F0-4C79-97D5-1D0493231041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 Summary" sheetId="2" r:id="rId1"/>
    <sheet name="Sch 1.0" sheetId="3" r:id="rId2"/>
    <sheet name="Sch 1.1" sheetId="4" r:id="rId3"/>
    <sheet name="Sch 1.2" sheetId="5" r:id="rId4"/>
    <sheet name="Sch 2.0" sheetId="7" r:id="rId5"/>
    <sheet name="Sch 2.1 (2)" sheetId="20" state="hidden" r:id="rId6"/>
    <sheet name="Sch 2.1" sheetId="8" r:id="rId7"/>
    <sheet name="Sch 2.2" sheetId="9" r:id="rId8"/>
    <sheet name="Sch 3.0" sheetId="10" r:id="rId9"/>
    <sheet name="Sch 4.1" sheetId="14" r:id="rId10"/>
    <sheet name="Sch 4.2" sheetId="15" r:id="rId11"/>
    <sheet name="Sch 4.3" sheetId="16" r:id="rId12"/>
    <sheet name="Sch 4.4 (old)" sheetId="17" state="hidden" r:id="rId13"/>
    <sheet name="Sch 4.4" sheetId="19" r:id="rId14"/>
    <sheet name="Sch 4.5" sheetId="18" r:id="rId15"/>
  </sheets>
  <definedNames>
    <definedName name="_xlnm.Print_Area" localSheetId="0">' Summary'!$B$4:$H$23</definedName>
    <definedName name="_xlnm.Print_Area" localSheetId="1">'Sch 1.0'!$A$1:$J$23</definedName>
    <definedName name="_xlnm.Print_Area" localSheetId="6">'Sch 2.1'!$A$1:$R$60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8" l="1"/>
  <c r="A29" i="4"/>
  <c r="A28" i="4"/>
  <c r="O46" i="8" l="1"/>
  <c r="P46" i="8" s="1"/>
  <c r="O45" i="8"/>
  <c r="P45" i="8" s="1"/>
  <c r="O44" i="8"/>
  <c r="P44" i="8"/>
  <c r="O43" i="8"/>
  <c r="P43" i="8" s="1"/>
  <c r="O42" i="8"/>
  <c r="P42" i="8" s="1"/>
  <c r="O41" i="8"/>
  <c r="P41" i="8" s="1"/>
  <c r="O40" i="8"/>
  <c r="O39" i="8"/>
  <c r="P39" i="8" s="1"/>
  <c r="O38" i="8"/>
  <c r="P38" i="8" s="1"/>
  <c r="O37" i="8"/>
  <c r="P37" i="8" s="1"/>
  <c r="O36" i="8"/>
  <c r="O35" i="8"/>
  <c r="P35" i="8" s="1"/>
  <c r="L47" i="8"/>
  <c r="M32" i="8"/>
  <c r="N25" i="8"/>
  <c r="P40" i="8" s="1"/>
  <c r="O24" i="8"/>
  <c r="F24" i="8"/>
  <c r="O23" i="8"/>
  <c r="F23" i="8"/>
  <c r="O22" i="8"/>
  <c r="F22" i="8"/>
  <c r="O21" i="8"/>
  <c r="F21" i="8"/>
  <c r="O20" i="8"/>
  <c r="F20" i="8"/>
  <c r="O19" i="8"/>
  <c r="F19" i="8"/>
  <c r="O18" i="8"/>
  <c r="F18" i="8"/>
  <c r="O17" i="8"/>
  <c r="O16" i="8"/>
  <c r="O15" i="8"/>
  <c r="F15" i="8"/>
  <c r="O14" i="8"/>
  <c r="O13" i="8"/>
  <c r="I13" i="8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H13" i="8"/>
  <c r="H14" i="8" s="1"/>
  <c r="F12" i="8"/>
  <c r="I11" i="8"/>
  <c r="H11" i="8"/>
  <c r="J10" i="8"/>
  <c r="H10" i="8"/>
  <c r="F10" i="8"/>
  <c r="P43" i="19"/>
  <c r="P42" i="19"/>
  <c r="P41" i="19"/>
  <c r="P40" i="19"/>
  <c r="P39" i="19"/>
  <c r="P38" i="19"/>
  <c r="P37" i="19"/>
  <c r="P36" i="19"/>
  <c r="P35" i="19"/>
  <c r="P34" i="19"/>
  <c r="P33" i="19"/>
  <c r="P32" i="19"/>
  <c r="M32" i="19"/>
  <c r="M33" i="19" s="1"/>
  <c r="M34" i="19" s="1"/>
  <c r="M35" i="19" s="1"/>
  <c r="M36" i="19" s="1"/>
  <c r="M37" i="19" s="1"/>
  <c r="M38" i="19" s="1"/>
  <c r="N23" i="19"/>
  <c r="O21" i="19"/>
  <c r="O20" i="19"/>
  <c r="F20" i="19"/>
  <c r="F19" i="19"/>
  <c r="F18" i="19"/>
  <c r="O17" i="19"/>
  <c r="F17" i="19"/>
  <c r="F15" i="19"/>
  <c r="F14" i="19"/>
  <c r="F13" i="19"/>
  <c r="O12" i="19"/>
  <c r="F12" i="19"/>
  <c r="N11" i="19"/>
  <c r="O15" i="19" s="1"/>
  <c r="F11" i="19"/>
  <c r="L10" i="19"/>
  <c r="M10" i="19" s="1"/>
  <c r="I11" i="19"/>
  <c r="H11" i="19"/>
  <c r="J11" i="8" l="1"/>
  <c r="L11" i="8" s="1"/>
  <c r="D25" i="8"/>
  <c r="E25" i="8"/>
  <c r="M33" i="8"/>
  <c r="F16" i="8"/>
  <c r="F21" i="19"/>
  <c r="F17" i="8"/>
  <c r="K25" i="8"/>
  <c r="I12" i="8"/>
  <c r="M39" i="19"/>
  <c r="M40" i="19" s="1"/>
  <c r="M41" i="19" s="1"/>
  <c r="M42" i="19" s="1"/>
  <c r="M43" i="19" s="1"/>
  <c r="F16" i="19"/>
  <c r="K23" i="19"/>
  <c r="F13" i="8"/>
  <c r="M34" i="8"/>
  <c r="Q33" i="8"/>
  <c r="Q35" i="8" s="1"/>
  <c r="J14" i="8"/>
  <c r="L14" i="8" s="1"/>
  <c r="P14" i="8" s="1"/>
  <c r="H15" i="8"/>
  <c r="I25" i="8"/>
  <c r="J13" i="8"/>
  <c r="L13" i="8" s="1"/>
  <c r="P13" i="8" s="1"/>
  <c r="Q32" i="8"/>
  <c r="P36" i="8"/>
  <c r="H12" i="8"/>
  <c r="F14" i="8"/>
  <c r="C25" i="8"/>
  <c r="L10" i="8"/>
  <c r="F11" i="8"/>
  <c r="Q10" i="19"/>
  <c r="P44" i="19"/>
  <c r="I12" i="19"/>
  <c r="I13" i="19" s="1"/>
  <c r="I14" i="19" s="1"/>
  <c r="I15" i="19" s="1"/>
  <c r="I16" i="19" s="1"/>
  <c r="I17" i="19" s="1"/>
  <c r="I18" i="19" s="1"/>
  <c r="I19" i="19" s="1"/>
  <c r="I20" i="19" s="1"/>
  <c r="I21" i="19" s="1"/>
  <c r="I22" i="19" s="1"/>
  <c r="J11" i="19"/>
  <c r="F22" i="19"/>
  <c r="H12" i="19"/>
  <c r="C23" i="19"/>
  <c r="D23" i="19"/>
  <c r="E23" i="19"/>
  <c r="O14" i="19"/>
  <c r="O11" i="19"/>
  <c r="Q31" i="19"/>
  <c r="Q32" i="19" s="1"/>
  <c r="Q33" i="19" s="1"/>
  <c r="Q34" i="19" s="1"/>
  <c r="Q35" i="19" s="1"/>
  <c r="Q36" i="19" s="1"/>
  <c r="Q37" i="19" s="1"/>
  <c r="Q38" i="19" s="1"/>
  <c r="Q39" i="19" s="1"/>
  <c r="Q40" i="19" s="1"/>
  <c r="Q41" i="19" s="1"/>
  <c r="Q42" i="19" s="1"/>
  <c r="Q43" i="19" s="1"/>
  <c r="Q48" i="19" s="1"/>
  <c r="F10" i="19"/>
  <c r="F23" i="19" s="1"/>
  <c r="O22" i="19"/>
  <c r="O19" i="19"/>
  <c r="O16" i="19"/>
  <c r="O13" i="19"/>
  <c r="L44" i="19"/>
  <c r="O18" i="19"/>
  <c r="F25" i="8" l="1"/>
  <c r="J12" i="8"/>
  <c r="L12" i="8" s="1"/>
  <c r="M10" i="8"/>
  <c r="H16" i="8"/>
  <c r="J15" i="8"/>
  <c r="L15" i="8" s="1"/>
  <c r="P15" i="8" s="1"/>
  <c r="Q36" i="8"/>
  <c r="Q37" i="8" s="1"/>
  <c r="Q38" i="8" s="1"/>
  <c r="Q39" i="8" s="1"/>
  <c r="Q40" i="8" s="1"/>
  <c r="Q41" i="8" s="1"/>
  <c r="Q42" i="8" s="1"/>
  <c r="Q43" i="8" s="1"/>
  <c r="Q44" i="8" s="1"/>
  <c r="Q45" i="8" s="1"/>
  <c r="Q46" i="8" s="1"/>
  <c r="Q51" i="8" s="1"/>
  <c r="Q34" i="8"/>
  <c r="M35" i="8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J12" i="19"/>
  <c r="L12" i="19" s="1"/>
  <c r="P12" i="19" s="1"/>
  <c r="H13" i="19"/>
  <c r="L11" i="19"/>
  <c r="I23" i="19"/>
  <c r="H17" i="8" l="1"/>
  <c r="J16" i="8"/>
  <c r="L16" i="8" s="1"/>
  <c r="P16" i="8" s="1"/>
  <c r="Q10" i="8"/>
  <c r="M11" i="8"/>
  <c r="P11" i="19"/>
  <c r="M11" i="19"/>
  <c r="M12" i="19" s="1"/>
  <c r="J13" i="19"/>
  <c r="H14" i="19"/>
  <c r="M12" i="8" l="1"/>
  <c r="Q11" i="8"/>
  <c r="J17" i="8"/>
  <c r="H18" i="8"/>
  <c r="H15" i="19"/>
  <c r="J14" i="19"/>
  <c r="L14" i="19" s="1"/>
  <c r="P14" i="19" s="1"/>
  <c r="L13" i="19"/>
  <c r="M13" i="19" s="1"/>
  <c r="M14" i="19" s="1"/>
  <c r="Q11" i="19"/>
  <c r="Q12" i="19" s="1"/>
  <c r="H19" i="8" l="1"/>
  <c r="J18" i="8"/>
  <c r="L18" i="8" s="1"/>
  <c r="P18" i="8" s="1"/>
  <c r="L17" i="8"/>
  <c r="Q12" i="8"/>
  <c r="Q13" i="8" s="1"/>
  <c r="Q14" i="8" s="1"/>
  <c r="Q15" i="8" s="1"/>
  <c r="Q16" i="8" s="1"/>
  <c r="M13" i="8"/>
  <c r="M14" i="8" s="1"/>
  <c r="M15" i="8" s="1"/>
  <c r="M16" i="8" s="1"/>
  <c r="M17" i="8" s="1"/>
  <c r="M18" i="8" s="1"/>
  <c r="P13" i="19"/>
  <c r="J15" i="19"/>
  <c r="H16" i="19"/>
  <c r="P17" i="8" l="1"/>
  <c r="Q17" i="8" s="1"/>
  <c r="Q18" i="8" s="1"/>
  <c r="H20" i="8"/>
  <c r="J19" i="8"/>
  <c r="L19" i="8" s="1"/>
  <c r="P19" i="8" s="1"/>
  <c r="H17" i="19"/>
  <c r="J16" i="19"/>
  <c r="L16" i="19" s="1"/>
  <c r="P16" i="19" s="1"/>
  <c r="L15" i="19"/>
  <c r="Q13" i="19"/>
  <c r="Q14" i="19" s="1"/>
  <c r="Q19" i="8" l="1"/>
  <c r="J20" i="8"/>
  <c r="L20" i="8" s="1"/>
  <c r="P20" i="8" s="1"/>
  <c r="Q20" i="8" s="1"/>
  <c r="H21" i="8"/>
  <c r="M19" i="8"/>
  <c r="M20" i="8" s="1"/>
  <c r="P15" i="19"/>
  <c r="M15" i="19"/>
  <c r="M16" i="19" s="1"/>
  <c r="H18" i="19"/>
  <c r="J17" i="19"/>
  <c r="H22" i="8" l="1"/>
  <c r="J21" i="8"/>
  <c r="L21" i="8" s="1"/>
  <c r="L17" i="19"/>
  <c r="H19" i="19"/>
  <c r="J18" i="19"/>
  <c r="L18" i="19" s="1"/>
  <c r="P18" i="19" s="1"/>
  <c r="M17" i="19"/>
  <c r="Q15" i="19"/>
  <c r="Q16" i="19" s="1"/>
  <c r="P21" i="8" l="1"/>
  <c r="Q21" i="8" s="1"/>
  <c r="J22" i="8"/>
  <c r="L22" i="8" s="1"/>
  <c r="P22" i="8" s="1"/>
  <c r="H23" i="8"/>
  <c r="M21" i="8"/>
  <c r="M22" i="8" s="1"/>
  <c r="H20" i="19"/>
  <c r="J19" i="19"/>
  <c r="L19" i="19" s="1"/>
  <c r="P19" i="19" s="1"/>
  <c r="P17" i="19"/>
  <c r="Q17" i="19" s="1"/>
  <c r="Q18" i="19" s="1"/>
  <c r="Q19" i="19" s="1"/>
  <c r="M18" i="19"/>
  <c r="M19" i="19" s="1"/>
  <c r="J23" i="8" l="1"/>
  <c r="L23" i="8" s="1"/>
  <c r="P23" i="8" s="1"/>
  <c r="H24" i="8"/>
  <c r="Q22" i="8"/>
  <c r="H21" i="19"/>
  <c r="J20" i="19"/>
  <c r="L20" i="19" s="1"/>
  <c r="Q23" i="8" l="1"/>
  <c r="M23" i="8"/>
  <c r="J24" i="8"/>
  <c r="H25" i="8"/>
  <c r="P20" i="19"/>
  <c r="Q20" i="19" s="1"/>
  <c r="J21" i="19"/>
  <c r="L21" i="19" s="1"/>
  <c r="P21" i="19" s="1"/>
  <c r="H22" i="19"/>
  <c r="M20" i="19"/>
  <c r="M21" i="19" s="1"/>
  <c r="Q21" i="19" l="1"/>
  <c r="L24" i="8"/>
  <c r="J25" i="8"/>
  <c r="J22" i="19"/>
  <c r="H23" i="19"/>
  <c r="P24" i="8" l="1"/>
  <c r="L25" i="8"/>
  <c r="M24" i="8"/>
  <c r="L22" i="19"/>
  <c r="J23" i="19"/>
  <c r="P25" i="8" l="1"/>
  <c r="Q24" i="8"/>
  <c r="Q29" i="8" s="1"/>
  <c r="P22" i="19"/>
  <c r="L23" i="19"/>
  <c r="M22" i="19"/>
  <c r="Q54" i="8" l="1"/>
  <c r="F16" i="4"/>
  <c r="P23" i="19"/>
  <c r="Q22" i="19"/>
  <c r="Q27" i="19" s="1"/>
  <c r="Q51" i="19" s="1"/>
  <c r="F17" i="14" s="1"/>
  <c r="A37" i="14" l="1"/>
  <c r="G14" i="9" l="1"/>
  <c r="G14" i="18" l="1"/>
  <c r="F27" i="16"/>
  <c r="G27" i="16"/>
  <c r="H27" i="16"/>
  <c r="I27" i="16"/>
  <c r="J27" i="16"/>
  <c r="K27" i="16"/>
  <c r="L27" i="16"/>
  <c r="M27" i="16"/>
  <c r="N27" i="16"/>
  <c r="O27" i="16"/>
  <c r="P27" i="16"/>
  <c r="Q27" i="16"/>
  <c r="E27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E21" i="16"/>
  <c r="E15" i="16" l="1"/>
  <c r="A6" i="2" l="1"/>
  <c r="A7" i="2"/>
  <c r="A33" i="14"/>
  <c r="A34" i="14" s="1"/>
  <c r="A31" i="14"/>
  <c r="A30" i="14"/>
  <c r="F22" i="20"/>
  <c r="L15" i="20" l="1"/>
  <c r="L19" i="20" s="1"/>
  <c r="L14" i="20"/>
  <c r="L18" i="20" s="1"/>
  <c r="D14" i="20" l="1"/>
  <c r="D15" i="20"/>
  <c r="D19" i="20" s="1"/>
  <c r="L11" i="20"/>
  <c r="G14" i="20"/>
  <c r="D18" i="20"/>
  <c r="G15" i="20"/>
  <c r="F15" i="20" l="1"/>
  <c r="J15" i="20" s="1"/>
  <c r="F19" i="20"/>
  <c r="G11" i="20"/>
  <c r="G18" i="20"/>
  <c r="K14" i="20"/>
  <c r="K15" i="20"/>
  <c r="K19" i="20" s="1"/>
  <c r="G19" i="20"/>
  <c r="K11" i="20" l="1"/>
  <c r="K18" i="20"/>
  <c r="M15" i="20"/>
  <c r="J19" i="20"/>
  <c r="D22" i="20" l="1"/>
  <c r="A15" i="20"/>
  <c r="D11" i="20"/>
  <c r="M26" i="20"/>
  <c r="H26" i="20"/>
  <c r="L22" i="20"/>
  <c r="A19" i="20"/>
  <c r="A20" i="20" s="1"/>
  <c r="A22" i="20" s="1"/>
  <c r="A24" i="20" s="1"/>
  <c r="A26" i="20" s="1"/>
  <c r="A27" i="20" s="1"/>
  <c r="A29" i="20" s="1"/>
  <c r="A31" i="20" s="1"/>
  <c r="H15" i="20"/>
  <c r="K20" i="20"/>
  <c r="K24" i="20" s="1"/>
  <c r="K27" i="20" s="1"/>
  <c r="K29" i="20" s="1"/>
  <c r="F11" i="20" l="1"/>
  <c r="H11" i="20" s="1"/>
  <c r="J11" i="20"/>
  <c r="D20" i="20" l="1"/>
  <c r="D24" i="20" s="1"/>
  <c r="D27" i="20" s="1"/>
  <c r="D29" i="20" s="1"/>
  <c r="F14" i="20"/>
  <c r="H14" i="20" s="1"/>
  <c r="J14" i="20"/>
  <c r="J18" i="20" s="1"/>
  <c r="H19" i="20"/>
  <c r="G20" i="20"/>
  <c r="F18" i="20" l="1"/>
  <c r="H18" i="20" s="1"/>
  <c r="M14" i="20"/>
  <c r="M11" i="20"/>
  <c r="F20" i="20" l="1"/>
  <c r="J20" i="20"/>
  <c r="M19" i="20"/>
  <c r="F24" i="20" l="1"/>
  <c r="H20" i="20"/>
  <c r="J24" i="20"/>
  <c r="M18" i="20"/>
  <c r="L20" i="20"/>
  <c r="L24" i="20" s="1"/>
  <c r="L27" i="20" s="1"/>
  <c r="L29" i="20" s="1"/>
  <c r="F27" i="20" l="1"/>
  <c r="H24" i="20"/>
  <c r="M24" i="20"/>
  <c r="J27" i="20"/>
  <c r="M20" i="20"/>
  <c r="F29" i="20" l="1"/>
  <c r="H29" i="20" s="1"/>
  <c r="H27" i="20"/>
  <c r="J29" i="20"/>
  <c r="M29" i="20" s="1"/>
  <c r="M27" i="20"/>
  <c r="M31" i="20" l="1"/>
  <c r="R26" i="7" l="1"/>
  <c r="R25" i="7"/>
  <c r="R24" i="7"/>
  <c r="E46" i="16" l="1"/>
  <c r="E44" i="7"/>
  <c r="Q42" i="7"/>
  <c r="P42" i="7"/>
  <c r="O42" i="7"/>
  <c r="N42" i="7"/>
  <c r="M42" i="7"/>
  <c r="L42" i="7"/>
  <c r="K42" i="7"/>
  <c r="J42" i="7"/>
  <c r="I42" i="7"/>
  <c r="H42" i="7"/>
  <c r="G42" i="7"/>
  <c r="F42" i="7"/>
  <c r="Q41" i="7"/>
  <c r="Q44" i="7" s="1"/>
  <c r="P41" i="7"/>
  <c r="P44" i="7" s="1"/>
  <c r="O41" i="7"/>
  <c r="O44" i="7" s="1"/>
  <c r="N41" i="7"/>
  <c r="N44" i="7" s="1"/>
  <c r="M41" i="7"/>
  <c r="M44" i="7" s="1"/>
  <c r="L41" i="7"/>
  <c r="L44" i="7" s="1"/>
  <c r="K41" i="7"/>
  <c r="K44" i="7" s="1"/>
  <c r="J41" i="7"/>
  <c r="J44" i="7" s="1"/>
  <c r="I41" i="7"/>
  <c r="I44" i="7" s="1"/>
  <c r="H41" i="7"/>
  <c r="H44" i="7" s="1"/>
  <c r="G41" i="7"/>
  <c r="G44" i="7" s="1"/>
  <c r="F41" i="7"/>
  <c r="F44" i="7" s="1"/>
  <c r="G36" i="16" l="1"/>
  <c r="H36" i="16"/>
  <c r="I36" i="16"/>
  <c r="J36" i="16"/>
  <c r="K36" i="16"/>
  <c r="L36" i="16"/>
  <c r="M36" i="16"/>
  <c r="N36" i="16"/>
  <c r="O36" i="16"/>
  <c r="P36" i="16"/>
  <c r="Q36" i="16"/>
  <c r="F36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H23" i="18" l="1"/>
  <c r="H21" i="18"/>
  <c r="D26" i="18"/>
  <c r="D25" i="18"/>
  <c r="D24" i="18"/>
  <c r="D23" i="18"/>
  <c r="D22" i="18"/>
  <c r="D21" i="18"/>
  <c r="D20" i="18"/>
  <c r="D19" i="18"/>
  <c r="D18" i="18"/>
  <c r="H26" i="18"/>
  <c r="H25" i="18"/>
  <c r="H24" i="18"/>
  <c r="H22" i="18"/>
  <c r="H20" i="18"/>
  <c r="H19" i="18"/>
  <c r="H18" i="18"/>
  <c r="H17" i="18"/>
  <c r="H16" i="18"/>
  <c r="H15" i="18"/>
  <c r="H14" i="18"/>
  <c r="Q42" i="16"/>
  <c r="P42" i="16"/>
  <c r="O42" i="16"/>
  <c r="N42" i="16"/>
  <c r="M42" i="16"/>
  <c r="L42" i="16"/>
  <c r="K42" i="16"/>
  <c r="J42" i="16"/>
  <c r="I42" i="16"/>
  <c r="H42" i="16"/>
  <c r="G42" i="16"/>
  <c r="F42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Q35" i="16"/>
  <c r="Q38" i="16" s="1"/>
  <c r="P35" i="16"/>
  <c r="P38" i="16" s="1"/>
  <c r="O35" i="16"/>
  <c r="O38" i="16" s="1"/>
  <c r="N35" i="16"/>
  <c r="N38" i="16" s="1"/>
  <c r="M35" i="16"/>
  <c r="M38" i="16" s="1"/>
  <c r="L35" i="16"/>
  <c r="L38" i="16" s="1"/>
  <c r="K35" i="16"/>
  <c r="K38" i="16" s="1"/>
  <c r="J35" i="16"/>
  <c r="J38" i="16" s="1"/>
  <c r="I35" i="16"/>
  <c r="I38" i="16" s="1"/>
  <c r="H35" i="16"/>
  <c r="H38" i="16" s="1"/>
  <c r="G35" i="16"/>
  <c r="G38" i="16" s="1"/>
  <c r="F35" i="16"/>
  <c r="F38" i="16" s="1"/>
  <c r="E44" i="16"/>
  <c r="R25" i="16" l="1"/>
  <c r="R26" i="16"/>
  <c r="R19" i="16"/>
  <c r="R20" i="16"/>
  <c r="R13" i="16"/>
  <c r="R14" i="16"/>
  <c r="A33" i="4" l="1"/>
  <c r="G36" i="7" l="1"/>
  <c r="H36" i="7"/>
  <c r="I36" i="7"/>
  <c r="J36" i="7"/>
  <c r="K36" i="7"/>
  <c r="L36" i="7"/>
  <c r="M36" i="7"/>
  <c r="N36" i="7"/>
  <c r="O36" i="7"/>
  <c r="P36" i="7"/>
  <c r="Q36" i="7"/>
  <c r="F36" i="7"/>
  <c r="G37" i="7"/>
  <c r="H37" i="7"/>
  <c r="I37" i="7"/>
  <c r="J37" i="7"/>
  <c r="K37" i="7"/>
  <c r="L37" i="7"/>
  <c r="M37" i="7"/>
  <c r="N37" i="7"/>
  <c r="O37" i="7"/>
  <c r="P37" i="7"/>
  <c r="Q37" i="7"/>
  <c r="F37" i="7"/>
  <c r="P35" i="7"/>
  <c r="E38" i="7"/>
  <c r="E46" i="7" s="1"/>
  <c r="P15" i="7"/>
  <c r="Q15" i="7"/>
  <c r="F27" i="7"/>
  <c r="H15" i="9" s="1"/>
  <c r="G27" i="7"/>
  <c r="H16" i="9" s="1"/>
  <c r="H27" i="7"/>
  <c r="H17" i="9" s="1"/>
  <c r="I27" i="7"/>
  <c r="H18" i="9" s="1"/>
  <c r="J27" i="7"/>
  <c r="H19" i="9" s="1"/>
  <c r="K27" i="7"/>
  <c r="H20" i="9" s="1"/>
  <c r="L27" i="7"/>
  <c r="H21" i="9" s="1"/>
  <c r="M27" i="7"/>
  <c r="H22" i="9" s="1"/>
  <c r="N27" i="7"/>
  <c r="H23" i="9" s="1"/>
  <c r="O27" i="7"/>
  <c r="H24" i="9" s="1"/>
  <c r="P27" i="7"/>
  <c r="H25" i="9" s="1"/>
  <c r="Q27" i="7"/>
  <c r="H26" i="9" s="1"/>
  <c r="E27" i="7"/>
  <c r="I14" i="9" s="1"/>
  <c r="N15" i="7"/>
  <c r="D23" i="9" s="1"/>
  <c r="O15" i="7"/>
  <c r="Q21" i="7"/>
  <c r="R20" i="7"/>
  <c r="G22" i="20" l="1"/>
  <c r="G24" i="20" s="1"/>
  <c r="G27" i="20" s="1"/>
  <c r="G29" i="20" s="1"/>
  <c r="F26" i="9"/>
  <c r="D24" i="9"/>
  <c r="D25" i="9"/>
  <c r="D26" i="9"/>
  <c r="P38" i="7"/>
  <c r="R19" i="7"/>
  <c r="R13" i="7"/>
  <c r="R14" i="7"/>
  <c r="C16" i="9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15" i="9"/>
  <c r="O16" i="10" l="1"/>
  <c r="O15" i="10"/>
  <c r="O14" i="10"/>
  <c r="O13" i="10"/>
  <c r="A1" i="7" l="1"/>
  <c r="E33" i="16" l="1"/>
  <c r="E12" i="15" l="1"/>
  <c r="F12" i="15" s="1"/>
  <c r="E11" i="15"/>
  <c r="E10" i="15"/>
  <c r="E33" i="7"/>
  <c r="E12" i="5"/>
  <c r="F12" i="5" s="1"/>
  <c r="E11" i="5"/>
  <c r="E10" i="5"/>
  <c r="A15" i="9" l="1"/>
  <c r="D14" i="17"/>
  <c r="A15" i="18"/>
  <c r="F22" i="17" l="1"/>
  <c r="F11" i="17"/>
  <c r="F15" i="17" s="1"/>
  <c r="F19" i="17" s="1"/>
  <c r="F20" i="17" s="1"/>
  <c r="F24" i="17" s="1"/>
  <c r="F27" i="17" s="1"/>
  <c r="F14" i="17" l="1"/>
  <c r="F29" i="17" l="1"/>
  <c r="F30" i="17"/>
  <c r="F31" i="17" l="1"/>
  <c r="E15" i="7" l="1"/>
  <c r="E14" i="9" l="1"/>
  <c r="F35" i="7"/>
  <c r="F38" i="7" s="1"/>
  <c r="F46" i="7" l="1"/>
  <c r="I14" i="18"/>
  <c r="I15" i="18" l="1"/>
  <c r="I16" i="18" s="1"/>
  <c r="I17" i="18" s="1"/>
  <c r="I18" i="18" s="1"/>
  <c r="I19" i="18" s="1"/>
  <c r="I20" i="18" s="1"/>
  <c r="I21" i="18" s="1"/>
  <c r="I22" i="18" s="1"/>
  <c r="I23" i="18" s="1"/>
  <c r="I24" i="18" s="1"/>
  <c r="I25" i="18" s="1"/>
  <c r="I26" i="18" s="1"/>
  <c r="I15" i="9"/>
  <c r="I27" i="18" l="1"/>
  <c r="I29" i="18" s="1"/>
  <c r="A2" i="17"/>
  <c r="A2" i="15"/>
  <c r="A3" i="18"/>
  <c r="A2" i="18"/>
  <c r="A3" i="17"/>
  <c r="A2" i="16"/>
  <c r="A3" i="15"/>
  <c r="A3" i="14"/>
  <c r="A2" i="14"/>
  <c r="F14" i="14" l="1"/>
  <c r="G26" i="17"/>
  <c r="H26" i="17" s="1"/>
  <c r="C16" i="18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A16" i="18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8" i="18" s="1"/>
  <c r="A29" i="18" s="1"/>
  <c r="A19" i="17"/>
  <c r="A20" i="17" s="1"/>
  <c r="A15" i="17"/>
  <c r="E38" i="16"/>
  <c r="A35" i="16"/>
  <c r="F26" i="18"/>
  <c r="F25" i="18"/>
  <c r="F24" i="18"/>
  <c r="F23" i="18"/>
  <c r="F22" i="18"/>
  <c r="F21" i="18"/>
  <c r="F20" i="18"/>
  <c r="F19" i="18"/>
  <c r="F18" i="18"/>
  <c r="F17" i="18"/>
  <c r="F15" i="18"/>
  <c r="G15" i="18" s="1"/>
  <c r="D17" i="18"/>
  <c r="D16" i="18"/>
  <c r="C13" i="15"/>
  <c r="F11" i="15"/>
  <c r="A11" i="15"/>
  <c r="A12" i="15" s="1"/>
  <c r="A13" i="15" s="1"/>
  <c r="A14" i="14"/>
  <c r="A15" i="14" s="1"/>
  <c r="A16" i="14" s="1"/>
  <c r="A17" i="14" s="1"/>
  <c r="A18" i="14" s="1"/>
  <c r="A19" i="14" s="1"/>
  <c r="A20" i="14" s="1"/>
  <c r="A23" i="14" s="1"/>
  <c r="A24" i="14" s="1"/>
  <c r="H44" i="16" l="1"/>
  <c r="A25" i="14"/>
  <c r="A26" i="14" s="1"/>
  <c r="A28" i="14" s="1"/>
  <c r="A22" i="17"/>
  <c r="A24" i="17" s="1"/>
  <c r="A26" i="17" s="1"/>
  <c r="A27" i="17" s="1"/>
  <c r="A29" i="17" s="1"/>
  <c r="R18" i="16"/>
  <c r="R21" i="16" s="1"/>
  <c r="R12" i="16"/>
  <c r="R15" i="16" s="1"/>
  <c r="R24" i="16"/>
  <c r="R27" i="16" s="1"/>
  <c r="E13" i="15"/>
  <c r="F10" i="15"/>
  <c r="F13" i="15" s="1"/>
  <c r="F19" i="14" s="1"/>
  <c r="F16" i="18"/>
  <c r="D15" i="18"/>
  <c r="F14" i="18"/>
  <c r="G16" i="18" l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9" i="18" s="1"/>
  <c r="G44" i="16"/>
  <c r="N44" i="16"/>
  <c r="I44" i="16"/>
  <c r="P44" i="16"/>
  <c r="M44" i="16"/>
  <c r="Q44" i="16"/>
  <c r="O44" i="16"/>
  <c r="L44" i="16"/>
  <c r="J44" i="16"/>
  <c r="K44" i="16"/>
  <c r="F44" i="16"/>
  <c r="F23" i="14" l="1"/>
  <c r="F46" i="16"/>
  <c r="G46" i="16" s="1"/>
  <c r="H46" i="16" s="1"/>
  <c r="I46" i="16" s="1"/>
  <c r="J46" i="16" s="1"/>
  <c r="K46" i="16" s="1"/>
  <c r="L46" i="16" s="1"/>
  <c r="M46" i="16" s="1"/>
  <c r="N46" i="16" s="1"/>
  <c r="O46" i="16" s="1"/>
  <c r="P46" i="16" s="1"/>
  <c r="Q46" i="16" s="1"/>
  <c r="D15" i="17"/>
  <c r="D19" i="17" s="1"/>
  <c r="I16" i="9"/>
  <c r="D18" i="17" l="1"/>
  <c r="D20" i="17" s="1"/>
  <c r="D24" i="17" s="1"/>
  <c r="D27" i="17" s="1"/>
  <c r="I17" i="9"/>
  <c r="I18" i="9" l="1"/>
  <c r="R46" i="16"/>
  <c r="A5" i="2"/>
  <c r="F15" i="14" l="1"/>
  <c r="G22" i="17"/>
  <c r="H22" i="17" s="1"/>
  <c r="I19" i="9"/>
  <c r="A3" i="10"/>
  <c r="A2" i="10"/>
  <c r="A3" i="9"/>
  <c r="A2" i="9"/>
  <c r="A2" i="7"/>
  <c r="A3" i="5"/>
  <c r="A2" i="5"/>
  <c r="A3" i="4"/>
  <c r="A2" i="4"/>
  <c r="I20" i="9" l="1"/>
  <c r="P21" i="7"/>
  <c r="F25" i="9" s="1"/>
  <c r="O21" i="7"/>
  <c r="F24" i="9" s="1"/>
  <c r="N21" i="7"/>
  <c r="F23" i="9" s="1"/>
  <c r="M21" i="7"/>
  <c r="F22" i="9" s="1"/>
  <c r="L21" i="7"/>
  <c r="F21" i="9" s="1"/>
  <c r="K21" i="7"/>
  <c r="F20" i="9" s="1"/>
  <c r="J21" i="7"/>
  <c r="F19" i="9" s="1"/>
  <c r="I21" i="7"/>
  <c r="F18" i="9" s="1"/>
  <c r="H21" i="7"/>
  <c r="F17" i="9" s="1"/>
  <c r="G21" i="7"/>
  <c r="F16" i="9" s="1"/>
  <c r="F21" i="7"/>
  <c r="F15" i="9" s="1"/>
  <c r="G15" i="9" s="1"/>
  <c r="M15" i="7"/>
  <c r="D22" i="9" s="1"/>
  <c r="L15" i="7"/>
  <c r="D21" i="9" s="1"/>
  <c r="K15" i="7"/>
  <c r="D20" i="9" s="1"/>
  <c r="J15" i="7"/>
  <c r="D19" i="9" s="1"/>
  <c r="I15" i="7"/>
  <c r="D18" i="9" s="1"/>
  <c r="H15" i="7"/>
  <c r="D17" i="9" s="1"/>
  <c r="G15" i="7"/>
  <c r="D16" i="9" s="1"/>
  <c r="F15" i="7"/>
  <c r="D15" i="9" s="1"/>
  <c r="G16" i="9" l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E21" i="7"/>
  <c r="R21" i="7"/>
  <c r="M35" i="7"/>
  <c r="M38" i="7" s="1"/>
  <c r="I35" i="7"/>
  <c r="I38" i="7" s="1"/>
  <c r="L35" i="7"/>
  <c r="L38" i="7" s="1"/>
  <c r="N35" i="7"/>
  <c r="N38" i="7" s="1"/>
  <c r="O35" i="7"/>
  <c r="O38" i="7" s="1"/>
  <c r="Q35" i="7"/>
  <c r="Q38" i="7" s="1"/>
  <c r="K35" i="7"/>
  <c r="K38" i="7" s="1"/>
  <c r="H35" i="7"/>
  <c r="H38" i="7" s="1"/>
  <c r="J35" i="7"/>
  <c r="J38" i="7" s="1"/>
  <c r="G35" i="7"/>
  <c r="G38" i="7" s="1"/>
  <c r="D30" i="17"/>
  <c r="D29" i="17"/>
  <c r="I21" i="9"/>
  <c r="F22" i="4" l="1"/>
  <c r="G46" i="7"/>
  <c r="H46" i="7" s="1"/>
  <c r="I46" i="7" s="1"/>
  <c r="J46" i="7" s="1"/>
  <c r="K46" i="7" s="1"/>
  <c r="L46" i="7" s="1"/>
  <c r="M46" i="7" s="1"/>
  <c r="N46" i="7" s="1"/>
  <c r="O46" i="7" s="1"/>
  <c r="P46" i="7" s="1"/>
  <c r="Q46" i="7" s="1"/>
  <c r="R46" i="7"/>
  <c r="F14" i="4" s="1"/>
  <c r="D31" i="17"/>
  <c r="I22" i="9"/>
  <c r="I23" i="9" l="1"/>
  <c r="I24" i="9" l="1"/>
  <c r="R18" i="7"/>
  <c r="R12" i="7"/>
  <c r="R15" i="7" s="1"/>
  <c r="I25" i="9" l="1"/>
  <c r="I26" i="9" l="1"/>
  <c r="I27" i="9" s="1"/>
  <c r="R27" i="7" l="1"/>
  <c r="E15" i="9" l="1"/>
  <c r="E16" i="9" l="1"/>
  <c r="E17" i="9" l="1"/>
  <c r="E18" i="9" l="1"/>
  <c r="E19" i="9" l="1"/>
  <c r="E20" i="9" l="1"/>
  <c r="E21" i="9" l="1"/>
  <c r="E22" i="9" l="1"/>
  <c r="E23" i="9" l="1"/>
  <c r="E24" i="9" l="1"/>
  <c r="E25" i="9" l="1"/>
  <c r="G27" i="9" l="1"/>
  <c r="G29" i="9" s="1"/>
  <c r="E26" i="9"/>
  <c r="E27" i="9" l="1"/>
  <c r="E29" i="9" s="1"/>
  <c r="F12" i="4"/>
  <c r="A13" i="4"/>
  <c r="H13" i="3" l="1"/>
  <c r="H14" i="3"/>
  <c r="H15" i="3"/>
  <c r="H12" i="3"/>
  <c r="A14" i="10" l="1"/>
  <c r="A15" i="10" s="1"/>
  <c r="A16" i="10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8" i="9" s="1"/>
  <c r="A29" i="9" s="1"/>
  <c r="I29" i="9" l="1"/>
  <c r="F11" i="5"/>
  <c r="F10" i="5"/>
  <c r="E13" i="5"/>
  <c r="C13" i="5"/>
  <c r="A11" i="5"/>
  <c r="A12" i="5" s="1"/>
  <c r="A13" i="5" s="1"/>
  <c r="A14" i="4"/>
  <c r="A15" i="4" s="1"/>
  <c r="A16" i="4" s="1"/>
  <c r="A17" i="4" s="1"/>
  <c r="A18" i="4" s="1"/>
  <c r="A19" i="4" s="1"/>
  <c r="A22" i="4" s="1"/>
  <c r="A23" i="4" s="1"/>
  <c r="A24" i="4" s="1"/>
  <c r="A25" i="4" s="1"/>
  <c r="D16" i="3"/>
  <c r="A13" i="3"/>
  <c r="A14" i="3" s="1"/>
  <c r="A15" i="3" s="1"/>
  <c r="A16" i="3" s="1"/>
  <c r="A27" i="4" l="1"/>
  <c r="F13" i="4"/>
  <c r="F13" i="5"/>
  <c r="F18" i="4" s="1"/>
  <c r="F15" i="4" l="1"/>
  <c r="F23" i="4" s="1"/>
  <c r="F17" i="4" l="1"/>
  <c r="F19" i="4" s="1"/>
  <c r="F24" i="4" s="1"/>
  <c r="F25" i="4" l="1"/>
  <c r="F27" i="4" s="1"/>
  <c r="D14" i="18" l="1"/>
  <c r="E14" i="18"/>
  <c r="E15" i="18" s="1"/>
  <c r="E16" i="18" s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l="1"/>
  <c r="E29" i="18" l="1"/>
  <c r="G11" i="17" l="1"/>
  <c r="G14" i="17" s="1"/>
  <c r="F12" i="14"/>
  <c r="F16" i="14" s="1"/>
  <c r="F24" i="14" s="1"/>
  <c r="H11" i="17" l="1"/>
  <c r="G15" i="17"/>
  <c r="H15" i="17"/>
  <c r="G19" i="17"/>
  <c r="H19" i="17" s="1"/>
  <c r="G18" i="17"/>
  <c r="H14" i="17"/>
  <c r="G20" i="17" l="1"/>
  <c r="H18" i="17"/>
  <c r="G24" i="17" l="1"/>
  <c r="H20" i="17"/>
  <c r="H24" i="17" l="1"/>
  <c r="G27" i="17"/>
  <c r="H27" i="17" l="1"/>
  <c r="G30" i="17"/>
  <c r="H30" i="17" s="1"/>
  <c r="H35" i="17" s="1"/>
  <c r="G29" i="17"/>
  <c r="G31" i="17" l="1"/>
  <c r="H29" i="17"/>
  <c r="H31" i="17" l="1"/>
  <c r="H33" i="17"/>
  <c r="F18" i="14" s="1"/>
  <c r="F20" i="14" s="1"/>
  <c r="F25" i="14" s="1"/>
  <c r="F26" i="14" l="1"/>
  <c r="F28" i="14" s="1"/>
  <c r="F31" i="14" s="1"/>
  <c r="F34" i="14" s="1"/>
  <c r="F16" i="3" l="1"/>
  <c r="F29" i="4"/>
  <c r="F14" i="3"/>
  <c r="F12" i="3"/>
  <c r="F15" i="3"/>
  <c r="F13" i="3"/>
  <c r="E16" i="3" l="1"/>
  <c r="E13" i="3" s="1"/>
  <c r="G13" i="3" s="1"/>
  <c r="I13" i="3" s="1"/>
  <c r="E12" i="3" l="1"/>
  <c r="G12" i="3" s="1"/>
  <c r="I12" i="3" s="1"/>
  <c r="E14" i="3"/>
  <c r="G14" i="3" s="1"/>
  <c r="I14" i="3" s="1"/>
  <c r="E15" i="3"/>
  <c r="G15" i="3" s="1"/>
  <c r="I15" i="3" s="1"/>
  <c r="G16" i="3"/>
</calcChain>
</file>

<file path=xl/sharedStrings.xml><?xml version="1.0" encoding="utf-8"?>
<sst xmlns="http://schemas.openxmlformats.org/spreadsheetml/2006/main" count="718" uniqueCount="267">
  <si>
    <t>Duke Energy Kentucky</t>
  </si>
  <si>
    <t>Table of Contents</t>
  </si>
  <si>
    <t>1.0</t>
  </si>
  <si>
    <t>1.1</t>
  </si>
  <si>
    <t>1.2</t>
  </si>
  <si>
    <t>2.0</t>
  </si>
  <si>
    <t>2.1</t>
  </si>
  <si>
    <t>2.2</t>
  </si>
  <si>
    <t>3.0</t>
  </si>
  <si>
    <t>Description</t>
  </si>
  <si>
    <t>Revenue Requirement</t>
  </si>
  <si>
    <t>Cost of Capital</t>
  </si>
  <si>
    <t>Plant Additions and Depreciation</t>
  </si>
  <si>
    <t>Tax Depreciation</t>
  </si>
  <si>
    <t>Billing Determinants</t>
  </si>
  <si>
    <t>Rate Schedule</t>
  </si>
  <si>
    <t>Revenue</t>
  </si>
  <si>
    <t>Requirement</t>
  </si>
  <si>
    <t>Billing</t>
  </si>
  <si>
    <t>Determinants</t>
  </si>
  <si>
    <t>Monthly</t>
  </si>
  <si>
    <t>Total</t>
  </si>
  <si>
    <t>Reference</t>
  </si>
  <si>
    <t>Return on Investment</t>
  </si>
  <si>
    <t>Rate Base</t>
  </si>
  <si>
    <t>Cost of Removal</t>
  </si>
  <si>
    <t>Accumulated Reserve for Depreciation</t>
  </si>
  <si>
    <t>Net PP&amp;E</t>
  </si>
  <si>
    <t>Deferred Taxes on Liberalized Depreciation</t>
  </si>
  <si>
    <t>Net Rate Base</t>
  </si>
  <si>
    <t>Authorized Rate of Return, Adjusted for Income Taxes</t>
  </si>
  <si>
    <t>Operating Expenses</t>
  </si>
  <si>
    <t>Depreciation</t>
  </si>
  <si>
    <t>Property Tax</t>
  </si>
  <si>
    <t>PSC Assessment</t>
  </si>
  <si>
    <t>Total Operating Expenses</t>
  </si>
  <si>
    <t>Total Annual Revenue Requirement</t>
  </si>
  <si>
    <t>Line 4 + Line 5</t>
  </si>
  <si>
    <t>Line 6 * Line 7</t>
  </si>
  <si>
    <t>Sum Lines 9 thru 11</t>
  </si>
  <si>
    <t>Line 8 + Line 12</t>
  </si>
  <si>
    <t>Notes:</t>
  </si>
  <si>
    <t>Capital Structure</t>
  </si>
  <si>
    <t>Ratio</t>
  </si>
  <si>
    <t>Cost</t>
  </si>
  <si>
    <t xml:space="preserve">Weighted </t>
  </si>
  <si>
    <t>Pre-Tax @ Effect.</t>
  </si>
  <si>
    <t>Short term Debt</t>
  </si>
  <si>
    <t>Long term Debt</t>
  </si>
  <si>
    <t>Equity</t>
  </si>
  <si>
    <t>Acct</t>
  </si>
  <si>
    <t>Number</t>
  </si>
  <si>
    <t>Additions</t>
  </si>
  <si>
    <t>Total Additions</t>
  </si>
  <si>
    <t>Retirements</t>
  </si>
  <si>
    <t>Total Retirements</t>
  </si>
  <si>
    <t>Total Cost of removal</t>
  </si>
  <si>
    <t>Month</t>
  </si>
  <si>
    <t xml:space="preserve">Number of </t>
  </si>
  <si>
    <t>Months</t>
  </si>
  <si>
    <t>RS- Residential</t>
  </si>
  <si>
    <t>IT - Interruptible Transportation</t>
  </si>
  <si>
    <t>GS - General Service</t>
  </si>
  <si>
    <t>(A)</t>
  </si>
  <si>
    <t>(B)</t>
  </si>
  <si>
    <t>Thirteen Month Average Additions and Retirements</t>
  </si>
  <si>
    <t>(C)</t>
  </si>
  <si>
    <t>FT - Firm Transportation (Includes DGS)</t>
  </si>
  <si>
    <t>Tax Base In-service subject to :</t>
  </si>
  <si>
    <t>MACRS on Balance</t>
  </si>
  <si>
    <t>Vintage</t>
  </si>
  <si>
    <t xml:space="preserve">Total Tax Depreciation </t>
  </si>
  <si>
    <t>Book Depreciation</t>
  </si>
  <si>
    <t>Tax Depreciation in Excess of Book Depreciation</t>
  </si>
  <si>
    <t>Deferred Taxes @</t>
  </si>
  <si>
    <t>Total Difference</t>
  </si>
  <si>
    <t>Schedule</t>
  </si>
  <si>
    <t xml:space="preserve">MACRS </t>
  </si>
  <si>
    <t>FT - Firm Transportation (CCF)</t>
  </si>
  <si>
    <t>IT - Interruptible Transportation (CCF)</t>
  </si>
  <si>
    <t>Per CCF</t>
  </si>
  <si>
    <t>Line 4 *</t>
  </si>
  <si>
    <t>TOTAL</t>
  </si>
  <si>
    <t>By Month</t>
  </si>
  <si>
    <t>(D)</t>
  </si>
  <si>
    <t>( F)</t>
  </si>
  <si>
    <t>( G)</t>
  </si>
  <si>
    <t>Cumulative</t>
  </si>
  <si>
    <t>Number of months</t>
  </si>
  <si>
    <t>13 Month Average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</si>
  <si>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</si>
  <si>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</si>
  <si>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</si>
  <si>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</si>
  <si>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</si>
  <si>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</si>
  <si>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</si>
  <si>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</si>
  <si>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</si>
  <si>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</si>
  <si>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</si>
  <si>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</si>
  <si>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EOY</t>
  </si>
  <si>
    <t xml:space="preserve"> </t>
  </si>
  <si>
    <t>Rate</t>
  </si>
  <si>
    <t>Annual</t>
  </si>
  <si>
    <t>13 month</t>
  </si>
  <si>
    <t>Average</t>
  </si>
  <si>
    <t>Total Accumulated Depreciation Reserve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</si>
  <si>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</si>
  <si>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</si>
  <si>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</si>
  <si>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</si>
  <si>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</si>
  <si>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</si>
  <si>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</si>
  <si>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</si>
  <si>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</si>
  <si>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</si>
  <si>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</si>
  <si>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</si>
  <si>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Accumulated Depreciation Reserve</t>
  </si>
  <si>
    <t>(Q)</t>
  </si>
  <si>
    <t>Accumulated Deferred Taxes on Liberalized Depreciation</t>
  </si>
  <si>
    <r>
      <t xml:space="preserve">Gas Plant Investments </t>
    </r>
    <r>
      <rPr>
        <b/>
        <u/>
        <vertAlign val="superscript"/>
        <sz val="11"/>
        <color theme="1"/>
        <rFont val="Calibri"/>
        <family val="2"/>
        <scheme val="minor"/>
      </rPr>
      <t>(1)</t>
    </r>
  </si>
  <si>
    <t>( E)</t>
  </si>
  <si>
    <t>( H)</t>
  </si>
  <si>
    <t>Accumlated Deferred Income Tax</t>
  </si>
  <si>
    <t>Collections/(Refunds) for prior years</t>
  </si>
  <si>
    <t>Adjusted Revenue Requirement</t>
  </si>
  <si>
    <t>Total (Over)/Under Collections</t>
  </si>
  <si>
    <t>Bonus Depreciation- 50%</t>
  </si>
  <si>
    <t>Tax Rate of 24.925%</t>
  </si>
  <si>
    <t>Excess Deferred Income Taxes (EDIT)</t>
  </si>
  <si>
    <t>Pipeline Modernization Mechanism ("Rider PMM")</t>
  </si>
  <si>
    <t>Rider PMM by Rate Schedule</t>
  </si>
  <si>
    <t>Line</t>
  </si>
  <si>
    <t>No.</t>
  </si>
  <si>
    <t>Approved KyPSC</t>
  </si>
  <si>
    <t>Case No. 2021-00190</t>
  </si>
  <si>
    <t>Rider PMM</t>
  </si>
  <si>
    <t>PMM Investment</t>
  </si>
  <si>
    <t>PMM Rates by Rate Schedule</t>
  </si>
  <si>
    <t>PMM Additions and Retirements</t>
  </si>
  <si>
    <t>Capital structure approved in Case No. 2021-00190</t>
  </si>
  <si>
    <t>Total PMM Plant Additions</t>
  </si>
  <si>
    <t>PMM Capex</t>
  </si>
  <si>
    <t>Net PMM Investment  - Property, Plant and Equipment</t>
  </si>
  <si>
    <t>Required Return on PMM Related Investment</t>
  </si>
  <si>
    <t>PMM Rider Billing Determinants by Rate Schedule</t>
  </si>
  <si>
    <t>Sch. 1.1</t>
  </si>
  <si>
    <t>Sch. 4.1</t>
  </si>
  <si>
    <t>Sch. 2.2</t>
  </si>
  <si>
    <t>Sch. 2.0</t>
  </si>
  <si>
    <t>Sch. 2.1</t>
  </si>
  <si>
    <t>Sch. 1.2</t>
  </si>
  <si>
    <t>Sch. 4.5</t>
  </si>
  <si>
    <t>Sch. 4.3</t>
  </si>
  <si>
    <t>Sch. 4.4</t>
  </si>
  <si>
    <t>Sch. 4.2</t>
  </si>
  <si>
    <t>Tax Year 2023</t>
  </si>
  <si>
    <t>Mains - Feeder</t>
  </si>
  <si>
    <t>ROE represents rate approved for use in natural gas capital riders.</t>
  </si>
  <si>
    <t>Tax Year 2024</t>
  </si>
  <si>
    <t>Capital structure and cost of debt approved in Case No. 2021-00190</t>
  </si>
  <si>
    <t>Sch. 3.0</t>
  </si>
  <si>
    <t>Gross Distribution Plant</t>
  </si>
  <si>
    <t>Land and Land Rights</t>
  </si>
  <si>
    <t>System M&amp;R Station Equipment</t>
  </si>
  <si>
    <t>A</t>
  </si>
  <si>
    <t>B</t>
  </si>
  <si>
    <t>H</t>
  </si>
  <si>
    <t>projected</t>
  </si>
  <si>
    <t>Tax Rate</t>
  </si>
  <si>
    <t>Forecasted ADIT</t>
  </si>
  <si>
    <t>Book Adds/Retires - 15 YR MACRS</t>
  </si>
  <si>
    <t>Book Adds/Retires - Non-Depreciable Land</t>
  </si>
  <si>
    <t>Total MACRS Depreciation</t>
  </si>
  <si>
    <t>Days to Prorate</t>
  </si>
  <si>
    <t>Future Days in Period</t>
  </si>
  <si>
    <t>Total Book Additions/ Retirements</t>
  </si>
  <si>
    <t>Book Adds/Retires - 20 YR MACRS</t>
  </si>
  <si>
    <t>C</t>
  </si>
  <si>
    <t>A + B + C = D</t>
  </si>
  <si>
    <t>A * 5% = E</t>
  </si>
  <si>
    <t>B * 3.75% = F</t>
  </si>
  <si>
    <t>E + F = G</t>
  </si>
  <si>
    <t>G  -H = I</t>
  </si>
  <si>
    <t>Book/Tax Difference</t>
  </si>
  <si>
    <t>Accumulated Book/Tax Difference</t>
  </si>
  <si>
    <t>J</t>
  </si>
  <si>
    <t>K</t>
  </si>
  <si>
    <t>L</t>
  </si>
  <si>
    <t>Prorated Book/Tax Difference</t>
  </si>
  <si>
    <t>Prorated Accumulated Book/Tax Difference</t>
  </si>
  <si>
    <t>N</t>
  </si>
  <si>
    <t>Return on equity approved in Case No. 2021-00190 for use in natural gas capital riders</t>
  </si>
  <si>
    <t>Natural gas revenue is defined to include base, gas cost and miscellaneous revenue</t>
  </si>
  <si>
    <t>The cap for the annual PMM revenue requirement is no more than 5% increase in natural gas revenue per year</t>
  </si>
  <si>
    <t>4.1</t>
  </si>
  <si>
    <t>Revenue Requirement - True Up</t>
  </si>
  <si>
    <t>4.2</t>
  </si>
  <si>
    <t>Cost of Captial - True Up</t>
  </si>
  <si>
    <t>4.3</t>
  </si>
  <si>
    <t>Plant Additions and Depreciation - True Up</t>
  </si>
  <si>
    <t>4.4</t>
  </si>
  <si>
    <t>PMM Additions and Retirements - True Up</t>
  </si>
  <si>
    <r>
      <t>RS - Residential (CCF)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</si>
  <si>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GS - General Service (CCF)</t>
    </r>
    <r>
      <rPr>
        <vertAlign val="superscript"/>
        <sz val="11"/>
        <color theme="1"/>
        <rFont val="Calibri"/>
        <family val="2"/>
        <scheme val="minor"/>
      </rPr>
      <t xml:space="preserve"> (1) (2)</t>
    </r>
  </si>
  <si>
    <t xml:space="preserve">(1) General Service includes Commercial, Industrial, OPA, Street Lighting and Interdepartmental. </t>
  </si>
  <si>
    <t>per  CCF</t>
  </si>
  <si>
    <t>Copy Sch 2.1 from the 2022 AS Filed</t>
  </si>
  <si>
    <t>(2) Per Order 2022-00229, all Rider PMM rates should be in volumetric format for the 2025 calendar year.</t>
  </si>
  <si>
    <t>A * Tax Rate Table = E</t>
  </si>
  <si>
    <t>B * Tax Rate Table = F</t>
  </si>
  <si>
    <t>15 Yr MACRS for Tax</t>
  </si>
  <si>
    <t>20 Yr MACRS for Tax</t>
  </si>
  <si>
    <t>n/a</t>
  </si>
  <si>
    <t>TAX RATE TABLE</t>
  </si>
  <si>
    <t>MACRS 15</t>
  </si>
  <si>
    <t>MACRS 20</t>
  </si>
  <si>
    <t>Line No.</t>
  </si>
  <si>
    <t>Total ASRP Plant Additions</t>
  </si>
  <si>
    <t>Tax Year 2025</t>
  </si>
  <si>
    <t xml:space="preserve">15 Yr MACRS </t>
  </si>
  <si>
    <t xml:space="preserve">20 Yr MACRS </t>
  </si>
  <si>
    <t>Cost of Removal Book/Tax Difference</t>
  </si>
  <si>
    <t>Prorated 2024 Book/Tax Difference</t>
  </si>
  <si>
    <t>Total Forecasted ADIT</t>
  </si>
  <si>
    <r>
      <t xml:space="preserve">(1) See Schedule 2.2 for detail of </t>
    </r>
    <r>
      <rPr>
        <sz val="11"/>
        <color rgb="FF0000FF"/>
        <rFont val="Calibri"/>
        <family val="2"/>
        <scheme val="minor"/>
      </rPr>
      <t xml:space="preserve">2025 </t>
    </r>
    <r>
      <rPr>
        <sz val="11"/>
        <color theme="1"/>
        <rFont val="Calibri"/>
        <family val="2"/>
        <scheme val="minor"/>
      </rPr>
      <t>PMM eligible additions.</t>
    </r>
  </si>
  <si>
    <t>1st Yr 15 Yr MACRS for Tax - 5%</t>
  </si>
  <si>
    <t>1st Yr 20 Yr MACRS for Tax - 3.75%</t>
  </si>
  <si>
    <t>Deferred Taxes on Liberalized Depreciation - True Up</t>
  </si>
  <si>
    <t>Actuals</t>
  </si>
  <si>
    <t>Year 1</t>
  </si>
  <si>
    <t>Year 2</t>
  </si>
  <si>
    <t>Year 3</t>
  </si>
  <si>
    <t>Book vs Tax Depreciation</t>
  </si>
  <si>
    <t>(3)  Under collection is driven by the actual in-service date later than the projected in-service date</t>
  </si>
  <si>
    <t>(I * L) / K = M</t>
  </si>
  <si>
    <t>Actual 2024 Depreciation Expense</t>
  </si>
  <si>
    <t>2026 Projected</t>
  </si>
  <si>
    <r>
      <rPr>
        <b/>
        <sz val="11"/>
        <color rgb="FF0000FF"/>
        <rFont val="Calibri"/>
        <family val="2"/>
        <scheme val="minor"/>
      </rPr>
      <t xml:space="preserve">2024 </t>
    </r>
    <r>
      <rPr>
        <b/>
        <sz val="11"/>
        <color theme="1"/>
        <rFont val="Calibri"/>
        <family val="2"/>
        <scheme val="minor"/>
      </rPr>
      <t>True Up</t>
    </r>
  </si>
  <si>
    <t>Forecasted PMM Revenue Requirement for 2026</t>
  </si>
  <si>
    <t>December 31, 2026</t>
  </si>
  <si>
    <t>Projected 2026 Additions</t>
  </si>
  <si>
    <t>Projected 2026 Depreciation Expense</t>
  </si>
  <si>
    <t>2026 Projection Filing</t>
  </si>
  <si>
    <t>Test Year 12/31/26 PMM Investment Summary</t>
  </si>
  <si>
    <t>for the Twelve Month Ending December, 2026</t>
  </si>
  <si>
    <t>PMM Revenue Requirement for 2024</t>
  </si>
  <si>
    <t>December 31, 2024</t>
  </si>
  <si>
    <t>Year 4</t>
  </si>
  <si>
    <t>Actual 2024 Additions</t>
  </si>
  <si>
    <t>Balance @ 12/31/2023</t>
  </si>
  <si>
    <t>Test Year 12/31/24 PMM Investment Summary</t>
  </si>
  <si>
    <t>(Sum Line 8 thru 10) * (0.1493% / (1-0.1493%))</t>
  </si>
  <si>
    <t>2024 Billed Revenues</t>
  </si>
  <si>
    <t>(1) See Sch 4.5 for detail of 2024 PMM eligible additions.</t>
  </si>
  <si>
    <t>(Sum Line 8 thru 10) * (0.1554% / (1-0.1554%))</t>
  </si>
  <si>
    <t>(2) PSC Assessment using Fiscal Year 2024 rate of 0.1554%</t>
  </si>
  <si>
    <t>(2) In 2023 filing, PSC Assessment using Fiscal Year 2021  rate of 0.1493%</t>
  </si>
  <si>
    <t>2024 Projection Filing</t>
  </si>
  <si>
    <t>Total Estimated Annual Revenue Requirement</t>
  </si>
  <si>
    <t>Cap Adjustment</t>
  </si>
  <si>
    <t>(3) Total Approved Revenue  + Prior Period Revenue Requirements cannot exceed 5% increase per 21-00190 Order</t>
  </si>
  <si>
    <t>Balance @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</si>
</sst>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(&quot;$&quot;* #,##0_);_(&quot;$&quot;* \(#,##0\);_(&quot;$&quot;* &quot;-&quot;??_);_(@_)"/>
    <numFmt numFmtId="167" formatCode="[$-409]mmm\-yy;@"/>
    <numFmt numFmtId="168" formatCode="_(&quot;$&quot;* #,##0.00000_);_(&quot;$&quot;* \(#,##0.00000\);_(&quot;$&quot;* &quot;-&quot;?????_);_(@_)"/>
    <numFmt numFmtId="169" formatCode="0.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rgb="FF0070C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A1CC2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33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0" xfId="1" applyNumberFormat="1" applyFont="1" applyAlignment="1">
      <alignment horizontal="center"/>
    </xf>
    <xf numFmtId="165" fontId="0" fillId="0" borderId="0" xfId="3" applyNumberFormat="1" applyFont="1"/>
    <xf numFmtId="165" fontId="0" fillId="0" borderId="2" xfId="3" applyNumberFormat="1" applyFont="1" applyBorder="1"/>
    <xf numFmtId="10" fontId="0" fillId="0" borderId="0" xfId="0" applyNumberFormat="1"/>
    <xf numFmtId="0" fontId="0" fillId="0" borderId="0" xfId="0" quotePrefix="1"/>
    <xf numFmtId="0" fontId="2" fillId="0" borderId="0" xfId="0" quotePrefix="1" applyFont="1" applyAlignment="1">
      <alignment horizontal="center"/>
    </xf>
    <xf numFmtId="165" fontId="0" fillId="0" borderId="0" xfId="3" quotePrefix="1" applyNumberFormat="1" applyFont="1"/>
    <xf numFmtId="164" fontId="0" fillId="0" borderId="0" xfId="1" applyNumberFormat="1" applyFont="1" applyBorder="1"/>
    <xf numFmtId="164" fontId="7" fillId="0" borderId="0" xfId="1" applyNumberFormat="1" applyFont="1" applyBorder="1"/>
    <xf numFmtId="164" fontId="6" fillId="0" borderId="0" xfId="1" applyNumberFormat="1" applyFont="1"/>
    <xf numFmtId="0" fontId="2" fillId="0" borderId="0" xfId="0" applyFont="1" applyAlignment="1">
      <alignment horizontal="left"/>
    </xf>
    <xf numFmtId="167" fontId="0" fillId="0" borderId="0" xfId="0" applyNumberFormat="1"/>
    <xf numFmtId="10" fontId="4" fillId="0" borderId="0" xfId="3" applyNumberFormat="1" applyFont="1" applyBorder="1"/>
    <xf numFmtId="166" fontId="5" fillId="0" borderId="0" xfId="2" applyNumberFormat="1" applyFont="1"/>
    <xf numFmtId="164" fontId="5" fillId="0" borderId="0" xfId="1" applyNumberFormat="1" applyFont="1"/>
    <xf numFmtId="1" fontId="0" fillId="0" borderId="0" xfId="3" quotePrefix="1" applyNumberFormat="1" applyFont="1"/>
    <xf numFmtId="1" fontId="0" fillId="0" borderId="0" xfId="3" applyNumberFormat="1" applyFont="1" applyBorder="1"/>
    <xf numFmtId="164" fontId="5" fillId="0" borderId="0" xfId="1" applyNumberFormat="1" applyFont="1" applyBorder="1"/>
    <xf numFmtId="0" fontId="8" fillId="0" borderId="0" xfId="0" applyFont="1"/>
    <xf numFmtId="3" fontId="0" fillId="0" borderId="0" xfId="0" applyNumberFormat="1"/>
    <xf numFmtId="167" fontId="0" fillId="0" borderId="0" xfId="0" applyNumberFormat="1" applyAlignment="1">
      <alignment wrapText="1"/>
    </xf>
    <xf numFmtId="168" fontId="0" fillId="0" borderId="0" xfId="2" applyNumberFormat="1" applyFont="1" applyAlignment="1">
      <alignment horizontal="center"/>
    </xf>
    <xf numFmtId="165" fontId="0" fillId="0" borderId="0" xfId="0" applyNumberFormat="1"/>
    <xf numFmtId="37" fontId="0" fillId="0" borderId="0" xfId="0" applyNumberFormat="1"/>
    <xf numFmtId="165" fontId="0" fillId="0" borderId="0" xfId="3" quotePrefix="1" applyNumberFormat="1" applyFont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43" fontId="0" fillId="0" borderId="0" xfId="0" applyNumberFormat="1"/>
    <xf numFmtId="167" fontId="0" fillId="0" borderId="0" xfId="0" applyNumberFormat="1" applyAlignment="1">
      <alignment horizontal="left"/>
    </xf>
    <xf numFmtId="10" fontId="2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2" fillId="0" borderId="2" xfId="0" applyFont="1" applyBorder="1" applyAlignment="1">
      <alignment horizontal="center"/>
    </xf>
    <xf numFmtId="164" fontId="0" fillId="0" borderId="0" xfId="1" applyNumberFormat="1" applyFont="1" applyFill="1"/>
    <xf numFmtId="0" fontId="5" fillId="0" borderId="0" xfId="0" applyFont="1"/>
    <xf numFmtId="164" fontId="1" fillId="0" borderId="0" xfId="1" applyNumberFormat="1" applyFont="1" applyBorder="1"/>
    <xf numFmtId="0" fontId="0" fillId="0" borderId="0" xfId="0" applyAlignment="1">
      <alignment horizontal="center" vertical="center"/>
    </xf>
    <xf numFmtId="42" fontId="0" fillId="0" borderId="0" xfId="1" applyNumberFormat="1" applyFont="1" applyAlignment="1">
      <alignment horizontal="center"/>
    </xf>
    <xf numFmtId="42" fontId="0" fillId="0" borderId="1" xfId="1" applyNumberFormat="1" applyFont="1" applyBorder="1"/>
    <xf numFmtId="42" fontId="0" fillId="0" borderId="2" xfId="1" applyNumberFormat="1" applyFont="1" applyBorder="1"/>
    <xf numFmtId="42" fontId="0" fillId="0" borderId="0" xfId="1" applyNumberFormat="1" applyFont="1"/>
    <xf numFmtId="42" fontId="0" fillId="0" borderId="3" xfId="0" applyNumberFormat="1" applyBorder="1"/>
    <xf numFmtId="42" fontId="0" fillId="0" borderId="0" xfId="0" applyNumberFormat="1"/>
    <xf numFmtId="42" fontId="0" fillId="0" borderId="0" xfId="1" applyNumberFormat="1" applyFont="1" applyBorder="1"/>
    <xf numFmtId="42" fontId="0" fillId="0" borderId="2" xfId="0" applyNumberFormat="1" applyBorder="1"/>
    <xf numFmtId="42" fontId="0" fillId="0" borderId="0" xfId="1" applyNumberFormat="1" applyFont="1" applyFill="1"/>
    <xf numFmtId="42" fontId="0" fillId="0" borderId="1" xfId="0" applyNumberFormat="1" applyBorder="1"/>
    <xf numFmtId="42" fontId="0" fillId="0" borderId="4" xfId="0" applyNumberFormat="1" applyBorder="1"/>
    <xf numFmtId="165" fontId="5" fillId="0" borderId="0" xfId="3" applyNumberFormat="1" applyFont="1"/>
    <xf numFmtId="164" fontId="6" fillId="0" borderId="0" xfId="1" applyNumberFormat="1" applyFont="1" applyFill="1"/>
    <xf numFmtId="10" fontId="4" fillId="0" borderId="0" xfId="3" applyNumberFormat="1" applyFont="1" applyFill="1" applyBorder="1"/>
    <xf numFmtId="164" fontId="5" fillId="0" borderId="0" xfId="1" applyNumberFormat="1" applyFont="1" applyFill="1" applyBorder="1"/>
    <xf numFmtId="42" fontId="5" fillId="0" borderId="4" xfId="1" applyNumberFormat="1" applyFont="1" applyFill="1" applyBorder="1"/>
    <xf numFmtId="42" fontId="4" fillId="0" borderId="0" xfId="1" applyNumberFormat="1" applyFont="1" applyFill="1" applyBorder="1"/>
    <xf numFmtId="42" fontId="1" fillId="0" borderId="0" xfId="1" applyNumberFormat="1" applyFont="1" applyBorder="1"/>
    <xf numFmtId="42" fontId="0" fillId="0" borderId="0" xfId="1" applyNumberFormat="1" applyFont="1" applyFill="1" applyBorder="1"/>
    <xf numFmtId="42" fontId="0" fillId="0" borderId="5" xfId="1" applyNumberFormat="1" applyFont="1" applyFill="1" applyBorder="1"/>
    <xf numFmtId="42" fontId="5" fillId="0" borderId="0" xfId="0" applyNumberFormat="1" applyFont="1"/>
    <xf numFmtId="0" fontId="3" fillId="0" borderId="0" xfId="0" quotePrefix="1" applyFont="1" applyAlignment="1">
      <alignment horizontal="center"/>
    </xf>
    <xf numFmtId="0" fontId="0" fillId="0" borderId="2" xfId="0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164" fontId="0" fillId="0" borderId="0" xfId="1" applyNumberFormat="1" applyFont="1" applyFill="1" applyBorder="1"/>
    <xf numFmtId="41" fontId="5" fillId="0" borderId="0" xfId="1" applyNumberFormat="1" applyFont="1" applyFill="1" applyBorder="1"/>
    <xf numFmtId="41" fontId="5" fillId="0" borderId="2" xfId="1" applyNumberFormat="1" applyFont="1" applyFill="1" applyBorder="1"/>
    <xf numFmtId="41" fontId="0" fillId="0" borderId="0" xfId="0" applyNumberFormat="1"/>
    <xf numFmtId="41" fontId="0" fillId="0" borderId="0" xfId="3" applyNumberFormat="1" applyFont="1" applyBorder="1"/>
    <xf numFmtId="41" fontId="0" fillId="0" borderId="2" xfId="0" applyNumberFormat="1" applyBorder="1"/>
    <xf numFmtId="41" fontId="4" fillId="0" borderId="0" xfId="3" applyNumberFormat="1" applyFont="1"/>
    <xf numFmtId="41" fontId="0" fillId="0" borderId="0" xfId="1" quotePrefix="1" applyNumberFormat="1" applyFont="1"/>
    <xf numFmtId="41" fontId="5" fillId="0" borderId="0" xfId="1" applyNumberFormat="1" applyFont="1" applyBorder="1"/>
    <xf numFmtId="41" fontId="5" fillId="0" borderId="2" xfId="1" applyNumberFormat="1" applyFont="1" applyBorder="1"/>
    <xf numFmtId="41" fontId="12" fillId="0" borderId="0" xfId="0" applyNumberFormat="1" applyFont="1"/>
    <xf numFmtId="41" fontId="12" fillId="0" borderId="0" xfId="3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42" fontId="12" fillId="0" borderId="0" xfId="1" applyNumberFormat="1" applyFont="1" applyBorder="1"/>
    <xf numFmtId="42" fontId="12" fillId="0" borderId="0" xfId="1" applyNumberFormat="1" applyFont="1" applyAlignment="1">
      <alignment horizontal="center"/>
    </xf>
    <xf numFmtId="17" fontId="13" fillId="0" borderId="0" xfId="0" applyNumberFormat="1" applyFont="1" applyAlignment="1">
      <alignment horizontal="center"/>
    </xf>
    <xf numFmtId="42" fontId="5" fillId="0" borderId="2" xfId="1" applyNumberFormat="1" applyFont="1" applyFill="1" applyBorder="1"/>
    <xf numFmtId="42" fontId="0" fillId="0" borderId="2" xfId="1" applyNumberFormat="1" applyFont="1" applyFill="1" applyBorder="1"/>
    <xf numFmtId="0" fontId="0" fillId="0" borderId="0" xfId="3" quotePrefix="1" applyNumberFormat="1" applyFont="1" applyAlignment="1">
      <alignment horizontal="center"/>
    </xf>
    <xf numFmtId="41" fontId="5" fillId="0" borderId="0" xfId="0" applyNumberFormat="1" applyFont="1"/>
    <xf numFmtId="42" fontId="5" fillId="0" borderId="0" xfId="1" applyNumberFormat="1" applyFont="1" applyBorder="1"/>
    <xf numFmtId="41" fontId="0" fillId="0" borderId="0" xfId="3" applyNumberFormat="1" applyFont="1" applyFill="1" applyBorder="1"/>
    <xf numFmtId="41" fontId="4" fillId="0" borderId="0" xfId="3" applyNumberFormat="1" applyFont="1" applyFill="1"/>
    <xf numFmtId="0" fontId="0" fillId="0" borderId="0" xfId="1" quotePrefix="1" applyNumberFormat="1" applyFont="1" applyAlignment="1">
      <alignment horizontal="center"/>
    </xf>
    <xf numFmtId="41" fontId="0" fillId="0" borderId="0" xfId="1" applyNumberFormat="1" applyFont="1"/>
    <xf numFmtId="41" fontId="5" fillId="0" borderId="0" xfId="1" applyNumberFormat="1" applyFont="1"/>
    <xf numFmtId="42" fontId="5" fillId="0" borderId="0" xfId="2" applyNumberFormat="1" applyFont="1"/>
    <xf numFmtId="41" fontId="0" fillId="0" borderId="0" xfId="1" applyNumberFormat="1" applyFont="1" applyAlignment="1">
      <alignment horizontal="center"/>
    </xf>
    <xf numFmtId="41" fontId="0" fillId="0" borderId="2" xfId="1" applyNumberFormat="1" applyFont="1" applyFill="1" applyBorder="1"/>
    <xf numFmtId="41" fontId="12" fillId="0" borderId="2" xfId="1" applyNumberFormat="1" applyFont="1" applyBorder="1"/>
    <xf numFmtId="0" fontId="12" fillId="0" borderId="0" xfId="0" applyFont="1"/>
    <xf numFmtId="37" fontId="12" fillId="0" borderId="0" xfId="3" applyNumberFormat="1" applyFont="1" applyFill="1" applyBorder="1"/>
    <xf numFmtId="167" fontId="12" fillId="0" borderId="0" xfId="0" applyNumberFormat="1" applyFont="1" applyAlignment="1">
      <alignment horizontal="right"/>
    </xf>
    <xf numFmtId="167" fontId="12" fillId="0" borderId="0" xfId="0" applyNumberFormat="1" applyFont="1"/>
    <xf numFmtId="167" fontId="0" fillId="0" borderId="0" xfId="0" applyNumberFormat="1" applyAlignment="1">
      <alignment horizontal="right"/>
    </xf>
    <xf numFmtId="42" fontId="12" fillId="0" borderId="0" xfId="1" applyNumberFormat="1" applyFont="1" applyFill="1" applyBorder="1"/>
    <xf numFmtId="0" fontId="13" fillId="0" borderId="0" xfId="0" quotePrefix="1" applyFont="1" applyAlignment="1">
      <alignment horizontal="center"/>
    </xf>
    <xf numFmtId="0" fontId="10" fillId="0" borderId="2" xfId="0" applyFont="1" applyBorder="1" applyAlignment="1">
      <alignment horizontal="centerContinuous"/>
    </xf>
    <xf numFmtId="0" fontId="0" fillId="0" borderId="0" xfId="3" quotePrefix="1" applyNumberFormat="1" applyFont="1" applyFill="1" applyAlignment="1">
      <alignment horizontal="center"/>
    </xf>
    <xf numFmtId="0" fontId="2" fillId="0" borderId="2" xfId="0" applyFont="1" applyBorder="1" applyAlignment="1">
      <alignment horizontal="centerContinuous"/>
    </xf>
    <xf numFmtId="42" fontId="12" fillId="0" borderId="2" xfId="1" applyNumberFormat="1" applyFont="1" applyFill="1" applyBorder="1"/>
    <xf numFmtId="165" fontId="1" fillId="0" borderId="0" xfId="3" applyNumberFormat="1" applyFont="1" applyBorder="1" applyAlignment="1">
      <alignment horizontal="center"/>
    </xf>
    <xf numFmtId="165" fontId="12" fillId="0" borderId="0" xfId="3" applyNumberFormat="1" applyFont="1" applyFill="1"/>
    <xf numFmtId="165" fontId="12" fillId="0" borderId="2" xfId="3" applyNumberFormat="1" applyFont="1" applyFill="1" applyBorder="1"/>
    <xf numFmtId="165" fontId="12" fillId="0" borderId="2" xfId="0" applyNumberFormat="1" applyFont="1" applyBorder="1"/>
    <xf numFmtId="15" fontId="13" fillId="0" borderId="0" xfId="0" quotePrefix="1" applyNumberFormat="1" applyFont="1" applyAlignment="1">
      <alignment horizontal="center"/>
    </xf>
    <xf numFmtId="42" fontId="0" fillId="0" borderId="0" xfId="1" applyNumberFormat="1" applyFont="1" applyFill="1" applyAlignment="1">
      <alignment horizontal="center"/>
    </xf>
    <xf numFmtId="41" fontId="0" fillId="0" borderId="0" xfId="1" applyNumberFormat="1" applyFont="1" applyFill="1" applyAlignment="1">
      <alignment horizontal="center"/>
    </xf>
    <xf numFmtId="42" fontId="0" fillId="0" borderId="1" xfId="1" applyNumberFormat="1" applyFont="1" applyFill="1" applyBorder="1"/>
    <xf numFmtId="165" fontId="12" fillId="0" borderId="0" xfId="1" applyNumberFormat="1" applyFont="1" applyFill="1"/>
    <xf numFmtId="165" fontId="12" fillId="0" borderId="2" xfId="1" applyNumberFormat="1" applyFont="1" applyFill="1" applyBorder="1"/>
    <xf numFmtId="165" fontId="12" fillId="0" borderId="1" xfId="1" applyNumberFormat="1" applyFont="1" applyFill="1" applyBorder="1"/>
    <xf numFmtId="0" fontId="10" fillId="0" borderId="0" xfId="0" applyFont="1" applyAlignment="1">
      <alignment horizontal="centerContinuous"/>
    </xf>
    <xf numFmtId="42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42" fontId="5" fillId="0" borderId="0" xfId="1" applyNumberFormat="1" applyFont="1" applyFill="1" applyBorder="1"/>
    <xf numFmtId="0" fontId="0" fillId="0" borderId="0" xfId="3" quotePrefix="1" applyNumberFormat="1" applyFont="1" applyFill="1" applyBorder="1" applyAlignment="1">
      <alignment horizontal="center"/>
    </xf>
    <xf numFmtId="165" fontId="0" fillId="0" borderId="0" xfId="3" quotePrefix="1" applyNumberFormat="1" applyFont="1" applyBorder="1" applyAlignment="1">
      <alignment horizontal="center"/>
    </xf>
    <xf numFmtId="44" fontId="5" fillId="0" borderId="0" xfId="2" applyFont="1" applyFill="1" applyBorder="1"/>
    <xf numFmtId="41" fontId="5" fillId="0" borderId="0" xfId="3" applyNumberFormat="1" applyFont="1" applyFill="1" applyBorder="1"/>
    <xf numFmtId="42" fontId="12" fillId="0" borderId="2" xfId="1" applyNumberFormat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0" fillId="0" borderId="2" xfId="0" applyBorder="1" applyAlignment="1">
      <alignment horizontal="left" indent="1"/>
    </xf>
    <xf numFmtId="167" fontId="0" fillId="0" borderId="0" xfId="0" applyNumberFormat="1" applyAlignment="1">
      <alignment horizontal="left" wrapText="1"/>
    </xf>
    <xf numFmtId="164" fontId="0" fillId="0" borderId="0" xfId="1" applyNumberFormat="1" applyFont="1" applyAlignme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left" wrapText="1"/>
    </xf>
    <xf numFmtId="164" fontId="0" fillId="0" borderId="2" xfId="1" applyNumberFormat="1" applyFont="1" applyBorder="1" applyAlignment="1">
      <alignment horizontal="left" wrapText="1"/>
    </xf>
    <xf numFmtId="164" fontId="0" fillId="0" borderId="0" xfId="0" applyNumberFormat="1" applyAlignment="1">
      <alignment horizontal="left"/>
    </xf>
    <xf numFmtId="164" fontId="0" fillId="0" borderId="5" xfId="1" applyNumberFormat="1" applyFont="1" applyBorder="1" applyAlignment="1"/>
    <xf numFmtId="164" fontId="0" fillId="0" borderId="0" xfId="1" applyNumberFormat="1" applyFont="1" applyBorder="1" applyAlignment="1"/>
    <xf numFmtId="164" fontId="0" fillId="0" borderId="1" xfId="1" applyNumberFormat="1" applyFont="1" applyBorder="1" applyAlignment="1"/>
    <xf numFmtId="164" fontId="0" fillId="0" borderId="6" xfId="1" applyNumberFormat="1" applyFont="1" applyBorder="1"/>
    <xf numFmtId="0" fontId="0" fillId="0" borderId="2" xfId="0" applyBorder="1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1" applyNumberFormat="1" applyFont="1" applyBorder="1" applyAlignment="1">
      <alignment horizontal="left" wrapText="1"/>
    </xf>
    <xf numFmtId="0" fontId="0" fillId="0" borderId="0" xfId="0" applyAlignment="1">
      <alignment wrapText="1"/>
    </xf>
    <xf numFmtId="43" fontId="0" fillId="0" borderId="0" xfId="0" applyNumberFormat="1" applyAlignment="1">
      <alignment horizontal="center"/>
    </xf>
    <xf numFmtId="0" fontId="0" fillId="3" borderId="0" xfId="0" applyFill="1"/>
    <xf numFmtId="164" fontId="0" fillId="3" borderId="0" xfId="1" applyNumberFormat="1" applyFont="1" applyFill="1" applyAlignment="1"/>
    <xf numFmtId="169" fontId="12" fillId="0" borderId="0" xfId="3" applyNumberFormat="1" applyFont="1" applyFill="1"/>
    <xf numFmtId="0" fontId="2" fillId="2" borderId="2" xfId="0" applyFont="1" applyFill="1" applyBorder="1" applyAlignment="1">
      <alignment horizontal="center"/>
    </xf>
    <xf numFmtId="165" fontId="12" fillId="2" borderId="0" xfId="3" quotePrefix="1" applyNumberFormat="1" applyFont="1" applyFill="1"/>
    <xf numFmtId="0" fontId="19" fillId="0" borderId="0" xfId="0" applyFont="1"/>
    <xf numFmtId="0" fontId="10" fillId="0" borderId="0" xfId="0" applyFont="1"/>
    <xf numFmtId="0" fontId="0" fillId="0" borderId="0" xfId="0" applyAlignment="1">
      <alignment horizontal="left" indent="1"/>
    </xf>
    <xf numFmtId="3" fontId="15" fillId="0" borderId="0" xfId="4" applyNumberFormat="1" applyFont="1"/>
    <xf numFmtId="44" fontId="0" fillId="0" borderId="0" xfId="2" applyFont="1" applyAlignment="1">
      <alignment horizontal="center"/>
    </xf>
    <xf numFmtId="10" fontId="14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center" wrapText="1"/>
    </xf>
    <xf numFmtId="164" fontId="0" fillId="0" borderId="5" xfId="1" applyNumberFormat="1" applyFont="1" applyBorder="1"/>
    <xf numFmtId="164" fontId="0" fillId="0" borderId="0" xfId="1" applyNumberFormat="1" applyFont="1" applyBorder="1" applyAlignment="1">
      <alignment horizontal="left" indent="1"/>
    </xf>
    <xf numFmtId="164" fontId="0" fillId="0" borderId="0" xfId="1" applyNumberFormat="1" applyFont="1" applyBorder="1" applyAlignment="1">
      <alignment horizontal="center" wrapText="1"/>
    </xf>
    <xf numFmtId="164" fontId="0" fillId="0" borderId="0" xfId="1" applyNumberFormat="1" applyFont="1" applyFill="1" applyAlignment="1"/>
    <xf numFmtId="164" fontId="0" fillId="0" borderId="2" xfId="1" applyNumberFormat="1" applyFont="1" applyBorder="1" applyAlignment="1"/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3" fontId="0" fillId="0" borderId="0" xfId="3" applyNumberFormat="1" applyFont="1" applyBorder="1"/>
    <xf numFmtId="3" fontId="0" fillId="0" borderId="0" xfId="3" applyNumberFormat="1" applyFont="1" applyFill="1" applyBorder="1"/>
    <xf numFmtId="3" fontId="0" fillId="0" borderId="2" xfId="0" applyNumberFormat="1" applyBorder="1"/>
    <xf numFmtId="3" fontId="4" fillId="0" borderId="0" xfId="3" applyNumberFormat="1" applyFont="1"/>
    <xf numFmtId="3" fontId="4" fillId="0" borderId="0" xfId="3" applyNumberFormat="1" applyFont="1" applyFill="1"/>
    <xf numFmtId="3" fontId="20" fillId="0" borderId="0" xfId="3" applyNumberFormat="1" applyFont="1" applyFill="1" applyBorder="1"/>
    <xf numFmtId="3" fontId="0" fillId="0" borderId="4" xfId="0" applyNumberFormat="1" applyBorder="1"/>
    <xf numFmtId="3" fontId="20" fillId="0" borderId="0" xfId="0" applyNumberFormat="1" applyFont="1"/>
    <xf numFmtId="10" fontId="0" fillId="0" borderId="0" xfId="3" quotePrefix="1" applyNumberFormat="1" applyFont="1"/>
    <xf numFmtId="164" fontId="0" fillId="0" borderId="0" xfId="0" applyNumberFormat="1" applyAlignment="1">
      <alignment horizontal="center" wrapText="1"/>
    </xf>
    <xf numFmtId="0" fontId="2" fillId="0" borderId="0" xfId="0" applyFont="1" applyAlignment="1">
      <alignment horizontal="right"/>
    </xf>
    <xf numFmtId="44" fontId="5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3" fontId="16" fillId="0" borderId="0" xfId="0" applyNumberFormat="1" applyFont="1"/>
    <xf numFmtId="165" fontId="5" fillId="0" borderId="0" xfId="3" quotePrefix="1" applyNumberFormat="1" applyFont="1" applyFill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165" fontId="5" fillId="0" borderId="0" xfId="3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3" quotePrefix="1" applyNumberFormat="1" applyFont="1" applyAlignment="1">
      <alignment horizontal="center"/>
    </xf>
    <xf numFmtId="165" fontId="5" fillId="0" borderId="0" xfId="3" quotePrefix="1" applyNumberFormat="1" applyFont="1" applyBorder="1" applyAlignment="1">
      <alignment horizontal="center"/>
    </xf>
    <xf numFmtId="165" fontId="5" fillId="0" borderId="0" xfId="3" quotePrefix="1" applyNumberFormat="1" applyFont="1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right" wrapText="1"/>
    </xf>
    <xf numFmtId="0" fontId="19" fillId="0" borderId="0" xfId="0" quotePrefix="1" applyFont="1"/>
    <xf numFmtId="42" fontId="5" fillId="0" borderId="0" xfId="2" applyNumberFormat="1" applyFont="1" applyFill="1"/>
    <xf numFmtId="41" fontId="5" fillId="0" borderId="0" xfId="1" applyNumberFormat="1" applyFont="1" applyFill="1"/>
    <xf numFmtId="41" fontId="0" fillId="0" borderId="0" xfId="1" applyNumberFormat="1" applyFont="1" applyFill="1"/>
    <xf numFmtId="41" fontId="12" fillId="0" borderId="2" xfId="1" applyNumberFormat="1" applyFont="1" applyFill="1" applyBorder="1"/>
    <xf numFmtId="0" fontId="14" fillId="0" borderId="2" xfId="0" applyFont="1" applyBorder="1" applyAlignment="1">
      <alignment horizontal="centerContinuous"/>
    </xf>
    <xf numFmtId="15" fontId="3" fillId="0" borderId="0" xfId="0" quotePrefix="1" applyNumberFormat="1" applyFont="1" applyAlignment="1">
      <alignment horizontal="center"/>
    </xf>
    <xf numFmtId="41" fontId="12" fillId="0" borderId="0" xfId="1" applyNumberFormat="1" applyFont="1" applyFill="1" applyBorder="1"/>
    <xf numFmtId="0" fontId="14" fillId="0" borderId="0" xfId="0" applyFont="1" applyAlignment="1">
      <alignment horizontal="left"/>
    </xf>
    <xf numFmtId="42" fontId="2" fillId="0" borderId="3" xfId="0" applyNumberFormat="1" applyFont="1" applyBorder="1"/>
    <xf numFmtId="0" fontId="21" fillId="0" borderId="0" xfId="0" applyFont="1"/>
    <xf numFmtId="165" fontId="0" fillId="0" borderId="0" xfId="3" applyNumberFormat="1" applyFont="1" applyFill="1"/>
    <xf numFmtId="165" fontId="0" fillId="0" borderId="2" xfId="3" applyNumberFormat="1" applyFont="1" applyFill="1" applyBorder="1"/>
    <xf numFmtId="165" fontId="0" fillId="0" borderId="2" xfId="0" applyNumberFormat="1" applyBorder="1"/>
    <xf numFmtId="164" fontId="0" fillId="0" borderId="0" xfId="1" applyNumberFormat="1" applyFont="1" applyFill="1" applyAlignment="1">
      <alignment horizontal="left" wrapText="1"/>
    </xf>
    <xf numFmtId="164" fontId="0" fillId="0" borderId="0" xfId="1" applyNumberFormat="1" applyFont="1" applyFill="1" applyAlignment="1">
      <alignment horizontal="right"/>
    </xf>
    <xf numFmtId="164" fontId="0" fillId="0" borderId="2" xfId="1" applyNumberFormat="1" applyFont="1" applyFill="1" applyBorder="1" applyAlignment="1">
      <alignment horizontal="left" wrapText="1"/>
    </xf>
    <xf numFmtId="164" fontId="0" fillId="0" borderId="2" xfId="1" applyNumberFormat="1" applyFont="1" applyFill="1" applyBorder="1" applyAlignment="1"/>
    <xf numFmtId="164" fontId="0" fillId="0" borderId="0" xfId="1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/>
    <xf numFmtId="164" fontId="0" fillId="0" borderId="6" xfId="0" applyNumberFormat="1" applyBorder="1"/>
    <xf numFmtId="0" fontId="17" fillId="0" borderId="0" xfId="0" applyFont="1"/>
    <xf numFmtId="164" fontId="16" fillId="0" borderId="0" xfId="1" applyNumberFormat="1" applyFont="1" applyFill="1"/>
    <xf numFmtId="0" fontId="0" fillId="0" borderId="0" xfId="0" applyAlignment="1">
      <alignment horizontal="right" wrapText="1"/>
    </xf>
    <xf numFmtId="42" fontId="16" fillId="0" borderId="0" xfId="0" applyNumberFormat="1" applyFont="1"/>
    <xf numFmtId="164" fontId="2" fillId="0" borderId="6" xfId="0" applyNumberFormat="1" applyFont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quotePrefix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FFCCFF"/>
      <color rgb="FF0000FF"/>
      <color rgb="FF00FF00"/>
      <color rgb="FF0A1CC2"/>
      <color rgb="FF0070C0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23"/>
  <sheetViews>
    <sheetView tabSelected="1" view="pageLayout" zoomScaleNormal="100" workbookViewId="0">
      <selection activeCell="I7" sqref="I7"/>
    </sheetView>
  </sheetViews>
  <sheetFormatPr defaultRowHeight="15" x14ac:dyDescent="0.25"/>
  <cols>
    <col min="4" max="4" width="2.5703125" customWidth="1"/>
    <col min="5" max="5" width="48" customWidth="1"/>
    <col min="6" max="6" width="13" customWidth="1"/>
    <col min="8" max="8" width="25" customWidth="1"/>
  </cols>
  <sheetData>
    <row r="5" spans="1:12" x14ac:dyDescent="0.25">
      <c r="A5" s="227" t="str">
        <f>'Sch 1.0'!A2:J2</f>
        <v>Duke Energy Kentucky</v>
      </c>
      <c r="B5" s="227"/>
      <c r="C5" s="227"/>
      <c r="D5" s="227"/>
      <c r="E5" s="227"/>
      <c r="F5" s="227"/>
      <c r="G5" s="227"/>
      <c r="H5" s="69"/>
      <c r="I5" s="69"/>
      <c r="J5" s="69"/>
      <c r="K5" s="69"/>
    </row>
    <row r="6" spans="1:12" x14ac:dyDescent="0.25">
      <c r="A6" s="227" t="str">
        <f>'Sch 1.0'!A3:J3</f>
        <v>Pipeline Modernization Mechanism ("Rider PMM")</v>
      </c>
      <c r="B6" s="227"/>
      <c r="C6" s="227"/>
      <c r="D6" s="227"/>
      <c r="E6" s="227"/>
      <c r="F6" s="227"/>
      <c r="G6" s="227"/>
      <c r="H6" s="69"/>
      <c r="I6" s="69"/>
      <c r="J6" s="69"/>
      <c r="K6" s="69"/>
    </row>
    <row r="7" spans="1:12" x14ac:dyDescent="0.25">
      <c r="A7" s="228" t="str">
        <f>"Forecasted Period Ending "&amp;'Sch 1.1'!F7</f>
        <v>Forecasted Period Ending December 31, 2026</v>
      </c>
      <c r="B7" s="228"/>
      <c r="C7" s="228"/>
      <c r="D7" s="228"/>
      <c r="E7" s="228"/>
      <c r="F7" s="228"/>
      <c r="G7" s="228"/>
      <c r="H7" s="126"/>
      <c r="I7" s="126"/>
      <c r="J7" s="126"/>
      <c r="K7" s="126"/>
      <c r="L7" s="85"/>
    </row>
    <row r="8" spans="1:12" x14ac:dyDescent="0.25">
      <c r="A8" s="227" t="s">
        <v>1</v>
      </c>
      <c r="B8" s="227"/>
      <c r="C8" s="227"/>
      <c r="D8" s="227"/>
      <c r="E8" s="227"/>
      <c r="F8" s="227"/>
      <c r="G8" s="227"/>
      <c r="H8" s="69"/>
      <c r="I8" s="69"/>
      <c r="J8" s="69"/>
      <c r="K8" s="69"/>
    </row>
    <row r="11" spans="1:12" x14ac:dyDescent="0.25">
      <c r="C11" s="8" t="s">
        <v>76</v>
      </c>
      <c r="D11" s="9"/>
      <c r="E11" s="10" t="s">
        <v>9</v>
      </c>
      <c r="F11" s="9"/>
    </row>
    <row r="12" spans="1:12" x14ac:dyDescent="0.25">
      <c r="C12" s="5" t="s">
        <v>2</v>
      </c>
      <c r="E12" s="6" t="s">
        <v>142</v>
      </c>
    </row>
    <row r="13" spans="1:12" x14ac:dyDescent="0.25">
      <c r="C13" s="5" t="s">
        <v>3</v>
      </c>
      <c r="E13" s="6" t="s">
        <v>10</v>
      </c>
    </row>
    <row r="14" spans="1:12" x14ac:dyDescent="0.25">
      <c r="C14" s="5" t="s">
        <v>4</v>
      </c>
      <c r="E14" s="6" t="s">
        <v>11</v>
      </c>
    </row>
    <row r="15" spans="1:12" x14ac:dyDescent="0.25">
      <c r="C15" s="5" t="s">
        <v>5</v>
      </c>
      <c r="E15" s="6" t="s">
        <v>12</v>
      </c>
    </row>
    <row r="16" spans="1:12" x14ac:dyDescent="0.25">
      <c r="C16" s="5" t="s">
        <v>6</v>
      </c>
      <c r="E16" s="6" t="s">
        <v>28</v>
      </c>
    </row>
    <row r="17" spans="3:9" x14ac:dyDescent="0.25">
      <c r="C17" s="5" t="s">
        <v>7</v>
      </c>
      <c r="E17" s="6" t="s">
        <v>143</v>
      </c>
      <c r="I17" s="85"/>
    </row>
    <row r="18" spans="3:9" x14ac:dyDescent="0.25">
      <c r="C18" s="5" t="s">
        <v>8</v>
      </c>
      <c r="E18" s="6" t="s">
        <v>14</v>
      </c>
      <c r="I18" s="85"/>
    </row>
    <row r="19" spans="3:9" x14ac:dyDescent="0.25">
      <c r="C19" s="5" t="s">
        <v>199</v>
      </c>
      <c r="E19" s="6" t="s">
        <v>200</v>
      </c>
    </row>
    <row r="20" spans="3:9" x14ac:dyDescent="0.25">
      <c r="C20" s="5" t="s">
        <v>201</v>
      </c>
      <c r="E20" s="6" t="s">
        <v>202</v>
      </c>
    </row>
    <row r="21" spans="3:9" x14ac:dyDescent="0.25">
      <c r="C21" s="5" t="s">
        <v>203</v>
      </c>
      <c r="E21" s="6" t="s">
        <v>204</v>
      </c>
    </row>
    <row r="22" spans="3:9" x14ac:dyDescent="0.25">
      <c r="C22" s="5" t="s">
        <v>205</v>
      </c>
      <c r="E22" s="6" t="s">
        <v>232</v>
      </c>
    </row>
    <row r="23" spans="3:9" x14ac:dyDescent="0.25">
      <c r="C23" s="4">
        <v>4.5</v>
      </c>
      <c r="E23" s="6" t="s">
        <v>206</v>
      </c>
    </row>
  </sheetData>
  <mergeCells count="4">
    <mergeCell ref="A5:G5"/>
    <mergeCell ref="A6:G6"/>
    <mergeCell ref="A7:G7"/>
    <mergeCell ref="A8:G8"/>
  </mergeCells>
  <printOptions horizontalCentered="1"/>
  <pageMargins left="0.7" right="0.7" top="0.75" bottom="0.75" header="0.3" footer="0.3"/>
  <pageSetup scale="80" orientation="landscape" r:id="rId1"/>
  <headerFooter>
    <oddHeader xml:space="preserve">&amp;R&amp;"Times New Roman,Bold"&amp;10KyPSC Case No. 2025-00229
STAFF-DR-01-001 Attachment
Page &amp;P of &amp;N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39"/>
  <sheetViews>
    <sheetView view="pageLayout" zoomScaleNormal="100" workbookViewId="0">
      <selection activeCell="I7" sqref="I7"/>
    </sheetView>
  </sheetViews>
  <sheetFormatPr defaultRowHeight="15" x14ac:dyDescent="0.25"/>
  <cols>
    <col min="1" max="1" width="8.28515625" bestFit="1" customWidth="1"/>
    <col min="2" max="2" width="4.5703125" customWidth="1"/>
    <col min="3" max="3" width="6.5703125" customWidth="1"/>
    <col min="4" max="4" width="43" customWidth="1"/>
    <col min="5" max="5" width="7.5703125" customWidth="1"/>
    <col min="6" max="6" width="24.140625" customWidth="1"/>
    <col min="7" max="7" width="1.28515625" customWidth="1"/>
    <col min="8" max="8" width="10.7109375" customWidth="1"/>
  </cols>
  <sheetData>
    <row r="1" spans="1:12" x14ac:dyDescent="0.25">
      <c r="A1" s="4"/>
      <c r="E1" s="4"/>
      <c r="F1" s="4"/>
      <c r="G1" s="4"/>
      <c r="H1" s="4"/>
      <c r="I1" s="4"/>
    </row>
    <row r="2" spans="1:12" x14ac:dyDescent="0.25">
      <c r="A2" s="69" t="str">
        <f>'Sch 1.0'!A2:J2</f>
        <v>Duke Energy Kentucky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x14ac:dyDescent="0.25">
      <c r="A3" s="69" t="str">
        <f>'Sch 1.0'!A3:J3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x14ac:dyDescent="0.25">
      <c r="A4" s="69" t="s">
        <v>250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3" t="s">
        <v>136</v>
      </c>
      <c r="B6" s="7"/>
      <c r="C6" s="7"/>
      <c r="F6" s="3" t="s">
        <v>141</v>
      </c>
      <c r="G6" s="3"/>
      <c r="H6" s="3"/>
      <c r="I6" s="4"/>
    </row>
    <row r="7" spans="1:12" x14ac:dyDescent="0.25">
      <c r="A7" s="8" t="s">
        <v>137</v>
      </c>
      <c r="B7" s="9"/>
      <c r="C7" s="9"/>
      <c r="F7" s="207" t="s">
        <v>251</v>
      </c>
      <c r="G7" s="207"/>
      <c r="H7" s="8" t="s">
        <v>22</v>
      </c>
    </row>
    <row r="8" spans="1:12" x14ac:dyDescent="0.25">
      <c r="A8" s="9"/>
      <c r="B8" s="232" t="s">
        <v>63</v>
      </c>
      <c r="C8" s="232"/>
      <c r="D8" s="232"/>
      <c r="F8" s="3" t="s">
        <v>64</v>
      </c>
      <c r="G8" s="3"/>
      <c r="H8" s="3" t="s">
        <v>66</v>
      </c>
    </row>
    <row r="10" spans="1:12" x14ac:dyDescent="0.25">
      <c r="B10" s="7" t="s">
        <v>23</v>
      </c>
    </row>
    <row r="11" spans="1:12" x14ac:dyDescent="0.25">
      <c r="B11" s="9" t="s">
        <v>24</v>
      </c>
    </row>
    <row r="12" spans="1:12" x14ac:dyDescent="0.25">
      <c r="A12" s="4">
        <v>1</v>
      </c>
      <c r="C12" t="s">
        <v>147</v>
      </c>
      <c r="F12" s="100">
        <f>'Sch 4.5'!E29-'Sch 4.5'!G29</f>
        <v>47811192</v>
      </c>
      <c r="G12" s="24"/>
      <c r="H12" t="s">
        <v>156</v>
      </c>
      <c r="J12" s="85"/>
    </row>
    <row r="13" spans="1:12" x14ac:dyDescent="0.25">
      <c r="A13" s="4"/>
      <c r="F13" s="24"/>
      <c r="G13" s="24"/>
    </row>
    <row r="14" spans="1:12" x14ac:dyDescent="0.25">
      <c r="A14" s="4">
        <f>A12+1</f>
        <v>2</v>
      </c>
      <c r="C14" t="s">
        <v>25</v>
      </c>
      <c r="F14" s="99">
        <f>'Sch 4.5'!I29</f>
        <v>445205</v>
      </c>
      <c r="G14" s="25"/>
      <c r="H14" t="s">
        <v>156</v>
      </c>
    </row>
    <row r="15" spans="1:12" x14ac:dyDescent="0.25">
      <c r="A15" s="4">
        <f t="shared" ref="A15:A20" si="0">A14+1</f>
        <v>3</v>
      </c>
      <c r="C15" t="s">
        <v>26</v>
      </c>
      <c r="F15" s="75">
        <f>-'Sch 4.3'!R46</f>
        <v>-243638.07692307694</v>
      </c>
      <c r="G15" s="60"/>
      <c r="H15" s="43" t="s">
        <v>157</v>
      </c>
    </row>
    <row r="16" spans="1:12" x14ac:dyDescent="0.25">
      <c r="A16" s="4">
        <f t="shared" si="0"/>
        <v>4</v>
      </c>
      <c r="D16" t="s">
        <v>27</v>
      </c>
      <c r="F16" s="98">
        <f>SUM(F12:F15)</f>
        <v>48012758.92307692</v>
      </c>
      <c r="G16" s="1"/>
    </row>
    <row r="17" spans="1:13" x14ac:dyDescent="0.25">
      <c r="A17" s="4">
        <f t="shared" si="0"/>
        <v>5</v>
      </c>
      <c r="C17" t="s">
        <v>123</v>
      </c>
      <c r="F17" s="75">
        <f>-'Sch 4.4'!Q51</f>
        <v>-709805.15526290738</v>
      </c>
      <c r="G17" s="60"/>
      <c r="H17" t="s">
        <v>158</v>
      </c>
    </row>
    <row r="18" spans="1:13" x14ac:dyDescent="0.25">
      <c r="A18" s="4">
        <f t="shared" si="0"/>
        <v>6</v>
      </c>
      <c r="D18" t="s">
        <v>29</v>
      </c>
      <c r="F18" s="98">
        <f>SUM(F16:F17)</f>
        <v>47302953.76781401</v>
      </c>
      <c r="G18" s="1"/>
      <c r="H18" t="s">
        <v>37</v>
      </c>
    </row>
    <row r="19" spans="1:13" x14ac:dyDescent="0.25">
      <c r="A19" s="4">
        <f t="shared" si="0"/>
        <v>7</v>
      </c>
      <c r="C19" t="s">
        <v>30</v>
      </c>
      <c r="F19" s="57">
        <f>'Sch 4.2'!F13</f>
        <v>8.0869999999999997E-2</v>
      </c>
      <c r="G19" s="57"/>
      <c r="H19" t="s">
        <v>159</v>
      </c>
    </row>
    <row r="20" spans="1:13" x14ac:dyDescent="0.25">
      <c r="A20" s="4">
        <f t="shared" si="0"/>
        <v>8</v>
      </c>
      <c r="C20" t="s">
        <v>148</v>
      </c>
      <c r="F20" s="48">
        <f>ROUND(F18*F19,0)</f>
        <v>3825390</v>
      </c>
      <c r="G20" s="52"/>
      <c r="H20" t="s">
        <v>38</v>
      </c>
    </row>
    <row r="22" spans="1:13" x14ac:dyDescent="0.25">
      <c r="B22" s="9" t="s">
        <v>31</v>
      </c>
    </row>
    <row r="23" spans="1:13" x14ac:dyDescent="0.25">
      <c r="A23" s="4">
        <f>A20+1</f>
        <v>9</v>
      </c>
      <c r="C23" t="s">
        <v>32</v>
      </c>
      <c r="F23" s="202">
        <f>SUM('Sch 4.3'!F38:Q38)-SUM('Sch 4.3'!F44:Q44)</f>
        <v>613039</v>
      </c>
      <c r="G23" s="49"/>
      <c r="H23" t="s">
        <v>157</v>
      </c>
    </row>
    <row r="24" spans="1:13" x14ac:dyDescent="0.25">
      <c r="A24" s="4">
        <f>A23+1</f>
        <v>10</v>
      </c>
      <c r="C24" t="s">
        <v>33</v>
      </c>
      <c r="F24" s="98">
        <f>ROUND(F16*I24,0)</f>
        <v>605114</v>
      </c>
      <c r="G24" s="1"/>
      <c r="H24" t="s">
        <v>81</v>
      </c>
      <c r="I24" s="157">
        <v>1.26032E-2</v>
      </c>
      <c r="J24" s="161"/>
    </row>
    <row r="25" spans="1:13" x14ac:dyDescent="0.25">
      <c r="A25" s="4">
        <f>A24+1</f>
        <v>11</v>
      </c>
      <c r="C25" t="s">
        <v>34</v>
      </c>
      <c r="F25" s="102">
        <f>ROUND(SUM(F20:F24)*(0.001493/(1-0.001493)),0)</f>
        <v>7541</v>
      </c>
      <c r="G25" s="73"/>
      <c r="H25" t="s">
        <v>256</v>
      </c>
      <c r="M25" s="161"/>
    </row>
    <row r="26" spans="1:13" x14ac:dyDescent="0.25">
      <c r="A26" s="4">
        <f>A25+1</f>
        <v>12</v>
      </c>
      <c r="C26" t="s">
        <v>35</v>
      </c>
      <c r="F26" s="51">
        <f>SUM(F23:F25)</f>
        <v>1225694</v>
      </c>
      <c r="G26" s="51"/>
      <c r="H26" t="s">
        <v>39</v>
      </c>
    </row>
    <row r="28" spans="1:13" ht="15.75" thickBot="1" x14ac:dyDescent="0.3">
      <c r="A28" s="4">
        <f>A26+1</f>
        <v>13</v>
      </c>
      <c r="B28" s="9" t="s">
        <v>36</v>
      </c>
      <c r="F28" s="50">
        <f>F20+F26</f>
        <v>5051084</v>
      </c>
      <c r="G28" s="51"/>
      <c r="H28" t="s">
        <v>40</v>
      </c>
    </row>
    <row r="30" spans="1:13" x14ac:dyDescent="0.25">
      <c r="A30" s="4">
        <f>+A28+1</f>
        <v>14</v>
      </c>
      <c r="D30" t="s">
        <v>128</v>
      </c>
      <c r="F30" s="103">
        <v>0</v>
      </c>
      <c r="G30" s="44"/>
    </row>
    <row r="31" spans="1:13" x14ac:dyDescent="0.25">
      <c r="A31" s="4">
        <f>+A30+1</f>
        <v>15</v>
      </c>
      <c r="D31" t="s">
        <v>129</v>
      </c>
      <c r="F31" s="51">
        <f>F28-F30</f>
        <v>5051084</v>
      </c>
      <c r="G31" s="51"/>
    </row>
    <row r="33" spans="1:8" x14ac:dyDescent="0.25">
      <c r="A33" s="4">
        <f>+A31+1</f>
        <v>16</v>
      </c>
      <c r="D33" t="s">
        <v>257</v>
      </c>
      <c r="F33" s="205">
        <v>3550163</v>
      </c>
      <c r="G33" s="34"/>
      <c r="H33" s="161"/>
    </row>
    <row r="34" spans="1:8" ht="15.75" thickBot="1" x14ac:dyDescent="0.3">
      <c r="A34" s="4">
        <f>+A33+1</f>
        <v>17</v>
      </c>
      <c r="D34" t="s">
        <v>130</v>
      </c>
      <c r="F34" s="55">
        <f>F31-F33</f>
        <v>1500921</v>
      </c>
      <c r="G34" s="51"/>
    </row>
    <row r="35" spans="1:8" ht="15.75" thickTop="1" x14ac:dyDescent="0.25"/>
    <row r="36" spans="1:8" x14ac:dyDescent="0.25">
      <c r="A36" s="4" t="s">
        <v>41</v>
      </c>
    </row>
    <row r="37" spans="1:8" x14ac:dyDescent="0.25">
      <c r="A37" t="str">
        <f>"(1) In 2023 filing, Property taxes using an effective rate of "&amp;TEXT(I24,"0.00000%")</f>
        <v>(1) In 2023 filing, Property taxes using an effective rate of 1.26032%</v>
      </c>
    </row>
    <row r="38" spans="1:8" x14ac:dyDescent="0.25">
      <c r="A38" t="s">
        <v>261</v>
      </c>
    </row>
    <row r="39" spans="1:8" x14ac:dyDescent="0.25">
      <c r="A39" t="s">
        <v>238</v>
      </c>
    </row>
  </sheetData>
  <mergeCells count="1">
    <mergeCell ref="B8:D8"/>
  </mergeCells>
  <printOptions horizontalCentered="1"/>
  <pageMargins left="0.7" right="0.7" top="0.75" bottom="0.75" header="0.3" footer="0.3"/>
  <pageSetup scale="80" orientation="landscape" r:id="rId1"/>
  <headerFooter>
    <oddHeader xml:space="preserve">&amp;R&amp;"Times New Roman,Bold"&amp;10KyPSC Case No. 2025-00229
STAFF-DR-01-001 Attachment
Page &amp;P of &amp;N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K19"/>
  <sheetViews>
    <sheetView view="pageLayout" zoomScaleNormal="100" workbookViewId="0">
      <selection activeCell="I7" sqref="I7"/>
    </sheetView>
  </sheetViews>
  <sheetFormatPr defaultRowHeight="15" x14ac:dyDescent="0.25"/>
  <cols>
    <col min="1" max="1" width="8.28515625" bestFit="1" customWidth="1"/>
    <col min="2" max="2" width="19.7109375" customWidth="1"/>
    <col min="3" max="3" width="13.5703125" customWidth="1"/>
    <col min="4" max="4" width="17.42578125" customWidth="1"/>
    <col min="5" max="5" width="16.7109375" customWidth="1"/>
    <col min="6" max="6" width="17.7109375" customWidth="1"/>
  </cols>
  <sheetData>
    <row r="1" spans="1:11" x14ac:dyDescent="0.25">
      <c r="A1" s="4"/>
      <c r="E1" s="4"/>
      <c r="F1" s="4"/>
      <c r="H1" s="4"/>
    </row>
    <row r="2" spans="1:11" x14ac:dyDescent="0.25">
      <c r="A2" s="69" t="str">
        <f>'Sch 1.0'!A2:J2</f>
        <v>Duke Energy Kentucky</v>
      </c>
      <c r="B2" s="69"/>
      <c r="C2" s="69"/>
      <c r="D2" s="69"/>
      <c r="E2" s="69"/>
      <c r="F2" s="69"/>
      <c r="H2" s="69"/>
      <c r="I2" s="69"/>
    </row>
    <row r="3" spans="1:11" x14ac:dyDescent="0.25">
      <c r="A3" s="69" t="str">
        <f>'Sch 1.0'!A4:J4</f>
        <v>Rider PMM by Rate Schedule</v>
      </c>
      <c r="B3" s="69"/>
      <c r="C3" s="69"/>
      <c r="D3" s="69"/>
      <c r="E3" s="69"/>
      <c r="F3" s="69"/>
      <c r="H3" s="69"/>
      <c r="I3" s="69"/>
    </row>
    <row r="4" spans="1:11" x14ac:dyDescent="0.25">
      <c r="A4" s="69" t="s">
        <v>11</v>
      </c>
      <c r="B4" s="69"/>
      <c r="C4" s="69"/>
      <c r="D4" s="69"/>
      <c r="E4" s="69"/>
      <c r="F4" s="69"/>
      <c r="H4" s="69"/>
      <c r="I4" s="69"/>
    </row>
    <row r="5" spans="1:11" x14ac:dyDescent="0.25">
      <c r="A5" s="4"/>
      <c r="B5" s="4"/>
      <c r="C5" s="4"/>
      <c r="D5" s="4"/>
      <c r="E5" s="4"/>
      <c r="F5" s="4"/>
      <c r="H5" s="4"/>
      <c r="I5" s="4"/>
      <c r="J5" s="4"/>
      <c r="K5" s="4"/>
    </row>
    <row r="6" spans="1:11" x14ac:dyDescent="0.25">
      <c r="A6" s="3" t="s">
        <v>136</v>
      </c>
      <c r="B6" s="3"/>
      <c r="C6" s="3"/>
      <c r="D6" s="3"/>
      <c r="E6" s="3" t="s">
        <v>45</v>
      </c>
      <c r="F6" s="3" t="s">
        <v>46</v>
      </c>
    </row>
    <row r="7" spans="1:11" x14ac:dyDescent="0.25">
      <c r="A7" s="8" t="s">
        <v>137</v>
      </c>
      <c r="B7" s="8" t="s">
        <v>42</v>
      </c>
      <c r="C7" s="8" t="s">
        <v>43</v>
      </c>
      <c r="D7" s="8" t="s">
        <v>44</v>
      </c>
      <c r="E7" s="8" t="s">
        <v>44</v>
      </c>
      <c r="F7" s="8" t="s">
        <v>132</v>
      </c>
    </row>
    <row r="8" spans="1:11" x14ac:dyDescent="0.25">
      <c r="A8" s="8"/>
      <c r="B8" s="16" t="s">
        <v>63</v>
      </c>
      <c r="C8" s="3" t="s">
        <v>64</v>
      </c>
      <c r="D8" s="3" t="s">
        <v>66</v>
      </c>
      <c r="E8" s="3" t="s">
        <v>84</v>
      </c>
      <c r="F8" s="3" t="s">
        <v>109</v>
      </c>
    </row>
    <row r="10" spans="1:11" x14ac:dyDescent="0.25">
      <c r="A10" s="4">
        <v>1</v>
      </c>
      <c r="B10" t="s">
        <v>47</v>
      </c>
      <c r="C10" s="116">
        <v>2.6169999999999999E-2</v>
      </c>
      <c r="D10" s="116">
        <v>1.6670000000000001E-2</v>
      </c>
      <c r="E10" s="212">
        <f>ROUND(C10*D10,5)</f>
        <v>4.4000000000000002E-4</v>
      </c>
      <c r="F10" s="33">
        <f>E10</f>
        <v>4.4000000000000002E-4</v>
      </c>
    </row>
    <row r="11" spans="1:11" x14ac:dyDescent="0.25">
      <c r="A11" s="4">
        <f>A10+1</f>
        <v>2</v>
      </c>
      <c r="B11" t="s">
        <v>48</v>
      </c>
      <c r="C11" s="116">
        <v>0.46039000000000002</v>
      </c>
      <c r="D11" s="116">
        <v>3.6560000000000002E-2</v>
      </c>
      <c r="E11" s="212">
        <f>ROUND(C11*D11,5)</f>
        <v>1.6830000000000001E-2</v>
      </c>
      <c r="F11" s="33">
        <f>E11</f>
        <v>1.6830000000000001E-2</v>
      </c>
    </row>
    <row r="12" spans="1:11" x14ac:dyDescent="0.25">
      <c r="A12" s="4">
        <f>A11+1</f>
        <v>3</v>
      </c>
      <c r="B12" t="s">
        <v>49</v>
      </c>
      <c r="C12" s="117">
        <v>0.51344000000000001</v>
      </c>
      <c r="D12" s="116">
        <v>9.2999999999999999E-2</v>
      </c>
      <c r="E12" s="213">
        <f>ROUND(C12*D12,5)</f>
        <v>4.7750000000000001E-2</v>
      </c>
      <c r="F12" s="214">
        <f>ROUND(E12/(1-0.24925),5)</f>
        <v>6.3600000000000004E-2</v>
      </c>
    </row>
    <row r="13" spans="1:11" x14ac:dyDescent="0.25">
      <c r="A13" s="4">
        <f>A12+1</f>
        <v>4</v>
      </c>
      <c r="B13" t="s">
        <v>21</v>
      </c>
      <c r="C13" s="212">
        <f>SUM(C10:C12)</f>
        <v>1</v>
      </c>
      <c r="E13" s="33">
        <f>SUM(E10:E12)</f>
        <v>6.5019999999999994E-2</v>
      </c>
      <c r="F13" s="33">
        <f>SUM(F10:F12)</f>
        <v>8.0869999999999997E-2</v>
      </c>
    </row>
    <row r="18" spans="2:2" x14ac:dyDescent="0.25">
      <c r="B18" t="s">
        <v>144</v>
      </c>
    </row>
    <row r="19" spans="2:2" x14ac:dyDescent="0.25">
      <c r="B19" t="s">
        <v>162</v>
      </c>
    </row>
  </sheetData>
  <printOptions horizontalCentered="1"/>
  <pageMargins left="0.7" right="0.7" top="0.75" bottom="0.75" header="0.3" footer="0.3"/>
  <pageSetup scale="80" orientation="landscape" r:id="rId1"/>
  <headerFooter>
    <oddHeader xml:space="preserve">&amp;R&amp;"Times New Roman,Bold"&amp;10KyPSC Case No. 2025-00229
STAFF-DR-01-001 Attachment
Page &amp;P of &amp;N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T50"/>
  <sheetViews>
    <sheetView view="pageLayout" topLeftCell="C1" zoomScaleNormal="100" zoomScaleSheetLayoutView="93" workbookViewId="0">
      <selection activeCell="I7" sqref="I7"/>
    </sheetView>
  </sheetViews>
  <sheetFormatPr defaultRowHeight="15" x14ac:dyDescent="0.25"/>
  <cols>
    <col min="1" max="1" width="8.28515625" bestFit="1" customWidth="1"/>
    <col min="2" max="2" width="30.42578125" customWidth="1"/>
    <col min="3" max="4" width="13.5703125" customWidth="1"/>
    <col min="5" max="5" width="15.28515625" bestFit="1" customWidth="1"/>
    <col min="6" max="8" width="11.7109375" customWidth="1"/>
    <col min="9" max="9" width="12.28515625" bestFit="1" customWidth="1"/>
    <col min="10" max="11" width="12.5703125" bestFit="1" customWidth="1"/>
    <col min="12" max="12" width="11.7109375" customWidth="1"/>
    <col min="13" max="14" width="12.28515625" bestFit="1" customWidth="1"/>
    <col min="15" max="15" width="11.7109375" customWidth="1"/>
    <col min="16" max="17" width="12.5703125" bestFit="1" customWidth="1"/>
    <col min="18" max="18" width="13" bestFit="1" customWidth="1"/>
    <col min="19" max="19" width="10.5703125" bestFit="1" customWidth="1"/>
    <col min="20" max="20" width="13.5703125" customWidth="1"/>
  </cols>
  <sheetData>
    <row r="1" spans="1:20" x14ac:dyDescent="0.25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20" x14ac:dyDescent="0.25">
      <c r="A2" s="69" t="str">
        <f>'Sch 1.0'!A3:J3</f>
        <v>Pipeline Modernization Mechanism ("Rider PMM")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20" x14ac:dyDescent="0.25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0" x14ac:dyDescent="0.25">
      <c r="A4" s="4"/>
    </row>
    <row r="5" spans="1:20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R5" s="3"/>
    </row>
    <row r="6" spans="1:20" x14ac:dyDescent="0.25">
      <c r="A6" s="3" t="s">
        <v>136</v>
      </c>
      <c r="B6" s="3"/>
      <c r="C6" s="3" t="s">
        <v>50</v>
      </c>
      <c r="D6" s="3"/>
      <c r="E6" s="3" t="s">
        <v>102</v>
      </c>
      <c r="F6" s="206" t="s">
        <v>253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3" t="s">
        <v>102</v>
      </c>
    </row>
    <row r="7" spans="1:20" x14ac:dyDescent="0.25">
      <c r="A7" s="8" t="s">
        <v>137</v>
      </c>
      <c r="B7" s="8" t="s">
        <v>9</v>
      </c>
      <c r="C7" s="8" t="s">
        <v>51</v>
      </c>
      <c r="D7" s="8"/>
      <c r="E7" s="110">
        <v>2023</v>
      </c>
      <c r="F7" s="8" t="s">
        <v>91</v>
      </c>
      <c r="G7" s="8" t="s">
        <v>92</v>
      </c>
      <c r="H7" s="8" t="s">
        <v>93</v>
      </c>
      <c r="I7" s="8" t="s">
        <v>94</v>
      </c>
      <c r="J7" s="8" t="s">
        <v>95</v>
      </c>
      <c r="K7" s="8" t="s">
        <v>96</v>
      </c>
      <c r="L7" s="8" t="s">
        <v>97</v>
      </c>
      <c r="M7" s="8" t="s">
        <v>98</v>
      </c>
      <c r="N7" s="8" t="s">
        <v>99</v>
      </c>
      <c r="O7" s="8" t="s">
        <v>100</v>
      </c>
      <c r="P7" s="8" t="s">
        <v>101</v>
      </c>
      <c r="Q7" s="8" t="s">
        <v>90</v>
      </c>
      <c r="R7" s="110">
        <v>2024</v>
      </c>
    </row>
    <row r="8" spans="1:20" x14ac:dyDescent="0.25">
      <c r="B8" s="16" t="s">
        <v>63</v>
      </c>
      <c r="C8" s="16" t="s">
        <v>64</v>
      </c>
      <c r="D8" s="16" t="s">
        <v>66</v>
      </c>
      <c r="E8" s="16" t="s">
        <v>84</v>
      </c>
      <c r="F8" s="16" t="s">
        <v>109</v>
      </c>
      <c r="G8" s="16" t="s">
        <v>110</v>
      </c>
      <c r="H8" s="16" t="s">
        <v>111</v>
      </c>
      <c r="I8" s="16" t="s">
        <v>112</v>
      </c>
      <c r="J8" s="16" t="s">
        <v>113</v>
      </c>
      <c r="K8" s="16" t="s">
        <v>114</v>
      </c>
      <c r="L8" s="16" t="s">
        <v>115</v>
      </c>
      <c r="M8" s="16" t="s">
        <v>116</v>
      </c>
      <c r="N8" s="16" t="s">
        <v>117</v>
      </c>
      <c r="O8" s="16" t="s">
        <v>118</v>
      </c>
      <c r="P8" s="16" t="s">
        <v>119</v>
      </c>
      <c r="Q8" s="16" t="s">
        <v>120</v>
      </c>
      <c r="R8" s="16" t="s">
        <v>122</v>
      </c>
    </row>
    <row r="10" spans="1:20" ht="17.25" x14ac:dyDescent="0.25">
      <c r="B10" s="9" t="s">
        <v>124</v>
      </c>
    </row>
    <row r="11" spans="1:20" x14ac:dyDescent="0.25">
      <c r="B11" s="9" t="s">
        <v>52</v>
      </c>
    </row>
    <row r="12" spans="1:20" x14ac:dyDescent="0.25">
      <c r="A12" s="4">
        <v>1</v>
      </c>
      <c r="B12" t="s">
        <v>161</v>
      </c>
      <c r="C12" s="112">
        <v>376</v>
      </c>
      <c r="D12" s="192"/>
      <c r="E12" s="52">
        <v>26203210</v>
      </c>
      <c r="F12" s="52">
        <v>908454.40999999968</v>
      </c>
      <c r="G12" s="52">
        <v>-122211.71000000008</v>
      </c>
      <c r="H12" s="52">
        <v>-581594.57999999996</v>
      </c>
      <c r="I12" s="87">
        <v>-878861.44</v>
      </c>
      <c r="J12" s="87">
        <v>-437445.25</v>
      </c>
      <c r="K12" s="87">
        <v>898296.1</v>
      </c>
      <c r="L12" s="87">
        <v>-330531.94000000006</v>
      </c>
      <c r="M12" s="87">
        <v>-14330.260000000009</v>
      </c>
      <c r="N12" s="87">
        <v>-169784.15000000002</v>
      </c>
      <c r="O12" s="87">
        <v>-116319.79999999999</v>
      </c>
      <c r="P12" s="87">
        <v>45046325.939999998</v>
      </c>
      <c r="Q12" s="109">
        <v>2772894.3099999996</v>
      </c>
      <c r="R12" s="51">
        <f>SUM(E12:Q12)</f>
        <v>73178101.629999995</v>
      </c>
      <c r="T12" s="109"/>
    </row>
    <row r="13" spans="1:20" x14ac:dyDescent="0.25">
      <c r="A13" s="4">
        <v>2</v>
      </c>
      <c r="B13" t="s">
        <v>168</v>
      </c>
      <c r="C13" s="112">
        <v>378</v>
      </c>
      <c r="D13" s="192"/>
      <c r="E13" s="52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15747865.119999999</v>
      </c>
      <c r="L13" s="87">
        <v>316626.6399999999</v>
      </c>
      <c r="M13" s="87">
        <v>1045917.13</v>
      </c>
      <c r="N13" s="87">
        <v>280439.99</v>
      </c>
      <c r="O13" s="87">
        <v>269690.64</v>
      </c>
      <c r="P13" s="87">
        <v>485323.3000000001</v>
      </c>
      <c r="Q13" s="87">
        <v>611421.1100000001</v>
      </c>
      <c r="R13" s="51">
        <f>SUM(E13:Q13)</f>
        <v>18757283.93</v>
      </c>
      <c r="T13" s="109"/>
    </row>
    <row r="14" spans="1:20" x14ac:dyDescent="0.25">
      <c r="A14" s="4">
        <v>3</v>
      </c>
      <c r="B14" t="s">
        <v>167</v>
      </c>
      <c r="C14" s="112">
        <v>374</v>
      </c>
      <c r="D14" s="192"/>
      <c r="E14" s="48">
        <v>5857760</v>
      </c>
      <c r="F14" s="114">
        <v>924.27999999999884</v>
      </c>
      <c r="G14" s="114">
        <v>13358.28</v>
      </c>
      <c r="H14" s="114">
        <v>28923.339999999993</v>
      </c>
      <c r="I14" s="136">
        <v>-352921.58999999997</v>
      </c>
      <c r="J14" s="136">
        <v>4255.87</v>
      </c>
      <c r="K14" s="136">
        <v>5919.99</v>
      </c>
      <c r="L14" s="136">
        <v>4625.5200000000004</v>
      </c>
      <c r="M14" s="136">
        <v>0</v>
      </c>
      <c r="N14" s="136">
        <v>1492.68</v>
      </c>
      <c r="O14" s="136">
        <v>1422.4199999999998</v>
      </c>
      <c r="P14" s="136">
        <v>358250.25</v>
      </c>
      <c r="Q14" s="114">
        <v>226.05</v>
      </c>
      <c r="R14" s="53">
        <f>SUM(E14:Q14)</f>
        <v>5924237.0899999999</v>
      </c>
      <c r="T14" s="109"/>
    </row>
    <row r="15" spans="1:20" x14ac:dyDescent="0.25">
      <c r="A15" s="4">
        <v>4</v>
      </c>
      <c r="B15" t="s">
        <v>53</v>
      </c>
      <c r="C15" s="36"/>
      <c r="D15" s="193"/>
      <c r="E15" s="52">
        <f>SUM(E12:E14)</f>
        <v>32060970</v>
      </c>
      <c r="F15" s="52">
        <f t="shared" ref="F15:Q15" si="0">SUM(F12:F14)</f>
        <v>909378.68999999971</v>
      </c>
      <c r="G15" s="52">
        <f t="shared" si="0"/>
        <v>-108853.43000000008</v>
      </c>
      <c r="H15" s="52">
        <f t="shared" si="0"/>
        <v>-552671.24</v>
      </c>
      <c r="I15" s="52">
        <f t="shared" si="0"/>
        <v>-1231783.0299999998</v>
      </c>
      <c r="J15" s="52">
        <f t="shared" si="0"/>
        <v>-433189.38</v>
      </c>
      <c r="K15" s="52">
        <f t="shared" si="0"/>
        <v>16652081.209999999</v>
      </c>
      <c r="L15" s="52">
        <f t="shared" si="0"/>
        <v>-9279.7800000001625</v>
      </c>
      <c r="M15" s="52">
        <f t="shared" si="0"/>
        <v>1031586.87</v>
      </c>
      <c r="N15" s="52">
        <f t="shared" si="0"/>
        <v>112148.51999999996</v>
      </c>
      <c r="O15" s="52">
        <f t="shared" si="0"/>
        <v>154793.26000000004</v>
      </c>
      <c r="P15" s="52">
        <f t="shared" si="0"/>
        <v>45889899.489999995</v>
      </c>
      <c r="Q15" s="52">
        <f t="shared" si="0"/>
        <v>3384541.4699999997</v>
      </c>
      <c r="R15" s="52">
        <f>SUM(R12:R14)</f>
        <v>97859622.650000006</v>
      </c>
    </row>
    <row r="16" spans="1:20" x14ac:dyDescent="0.25">
      <c r="A16" s="4"/>
      <c r="C16" s="36"/>
      <c r="D16" s="194"/>
      <c r="E16" s="5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8"/>
    </row>
    <row r="17" spans="1:20" x14ac:dyDescent="0.25">
      <c r="B17" s="9" t="s">
        <v>54</v>
      </c>
      <c r="C17" s="4"/>
      <c r="D17" s="195"/>
      <c r="E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25">
      <c r="A18" s="4">
        <v>5</v>
      </c>
      <c r="B18" t="s">
        <v>161</v>
      </c>
      <c r="C18" s="112">
        <v>376</v>
      </c>
      <c r="D18" s="196"/>
      <c r="E18" s="52">
        <v>142000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259459.20000000001</v>
      </c>
      <c r="Q18" s="87">
        <v>260801</v>
      </c>
      <c r="R18" s="51">
        <f>SUM(E18:Q18)</f>
        <v>662260.19999999995</v>
      </c>
    </row>
    <row r="19" spans="1:20" x14ac:dyDescent="0.25">
      <c r="A19" s="4">
        <v>6</v>
      </c>
      <c r="B19" t="s">
        <v>168</v>
      </c>
      <c r="C19" s="132">
        <v>378</v>
      </c>
      <c r="D19" s="197"/>
      <c r="E19" s="52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51">
        <f>SUM(E19:Q19)</f>
        <v>0</v>
      </c>
      <c r="T19" s="51"/>
    </row>
    <row r="20" spans="1:20" x14ac:dyDescent="0.25">
      <c r="A20" s="4">
        <v>7</v>
      </c>
      <c r="B20" t="s">
        <v>167</v>
      </c>
      <c r="C20" s="132">
        <v>374</v>
      </c>
      <c r="D20" s="197"/>
      <c r="E20" s="48">
        <v>0</v>
      </c>
      <c r="F20" s="136">
        <v>0</v>
      </c>
      <c r="G20" s="136">
        <v>0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2407</v>
      </c>
      <c r="R20" s="53">
        <f>SUM(E20:Q20)</f>
        <v>2407</v>
      </c>
      <c r="T20" s="109"/>
    </row>
    <row r="21" spans="1:20" x14ac:dyDescent="0.25">
      <c r="A21" s="4">
        <v>8</v>
      </c>
      <c r="B21" t="s">
        <v>55</v>
      </c>
      <c r="C21" s="4"/>
      <c r="D21" s="195"/>
      <c r="E21" s="52">
        <f>SUM(E18:E20)</f>
        <v>142000</v>
      </c>
      <c r="F21" s="52">
        <f t="shared" ref="F21:R21" si="1">SUM(F18:F20)</f>
        <v>0</v>
      </c>
      <c r="G21" s="52">
        <f t="shared" si="1"/>
        <v>0</v>
      </c>
      <c r="H21" s="52">
        <f t="shared" si="1"/>
        <v>0</v>
      </c>
      <c r="I21" s="52">
        <f t="shared" si="1"/>
        <v>0</v>
      </c>
      <c r="J21" s="52">
        <f t="shared" si="1"/>
        <v>0</v>
      </c>
      <c r="K21" s="52">
        <f t="shared" si="1"/>
        <v>0</v>
      </c>
      <c r="L21" s="52">
        <f t="shared" si="1"/>
        <v>0</v>
      </c>
      <c r="M21" s="52">
        <f t="shared" si="1"/>
        <v>0</v>
      </c>
      <c r="N21" s="52">
        <f t="shared" si="1"/>
        <v>0</v>
      </c>
      <c r="O21" s="52">
        <f t="shared" si="1"/>
        <v>0</v>
      </c>
      <c r="P21" s="52">
        <f t="shared" si="1"/>
        <v>259459.20000000001</v>
      </c>
      <c r="Q21" s="52">
        <f t="shared" si="1"/>
        <v>263208</v>
      </c>
      <c r="R21" s="52">
        <f t="shared" si="1"/>
        <v>664667.19999999995</v>
      </c>
      <c r="T21" s="51"/>
    </row>
    <row r="22" spans="1:20" x14ac:dyDescent="0.25">
      <c r="C22" s="4"/>
      <c r="D22" s="195"/>
      <c r="E22" s="52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T22" s="51"/>
    </row>
    <row r="23" spans="1:20" x14ac:dyDescent="0.25">
      <c r="B23" s="9" t="s">
        <v>25</v>
      </c>
      <c r="C23" s="4"/>
      <c r="D23" s="195"/>
      <c r="E23" s="52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25">
      <c r="A24" s="4">
        <v>9</v>
      </c>
      <c r="B24" t="s">
        <v>161</v>
      </c>
      <c r="C24" s="112">
        <v>376</v>
      </c>
      <c r="D24" s="192"/>
      <c r="E24" s="52">
        <v>125221</v>
      </c>
      <c r="F24" s="52">
        <v>7895.37</v>
      </c>
      <c r="G24" s="52">
        <v>95803.23</v>
      </c>
      <c r="H24" s="87">
        <v>1827.71</v>
      </c>
      <c r="I24" s="87">
        <v>13220.990000000002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1297277.6700000002</v>
      </c>
      <c r="Q24" s="87">
        <v>10738.699999999997</v>
      </c>
      <c r="R24" s="51">
        <f>SUM(E24:Q24)</f>
        <v>1551984.6700000002</v>
      </c>
      <c r="T24" s="109"/>
    </row>
    <row r="25" spans="1:20" x14ac:dyDescent="0.25">
      <c r="A25" s="4">
        <v>10</v>
      </c>
      <c r="B25" t="s">
        <v>168</v>
      </c>
      <c r="C25" s="132">
        <v>378</v>
      </c>
      <c r="D25" s="198"/>
      <c r="E25" s="52">
        <v>0</v>
      </c>
      <c r="F25" s="87">
        <v>0</v>
      </c>
      <c r="G25" s="87">
        <v>0</v>
      </c>
      <c r="H25" s="87">
        <v>0</v>
      </c>
      <c r="I25" s="87">
        <v>24126.559999999998</v>
      </c>
      <c r="J25" s="87">
        <v>0</v>
      </c>
      <c r="K25" s="87">
        <v>0</v>
      </c>
      <c r="L25" s="87">
        <v>8585.0400000000009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51">
        <f>SUM(E25:Q25)</f>
        <v>32711.599999999999</v>
      </c>
      <c r="T25" s="109"/>
    </row>
    <row r="26" spans="1:20" x14ac:dyDescent="0.25">
      <c r="A26" s="4">
        <v>11</v>
      </c>
      <c r="B26" t="s">
        <v>167</v>
      </c>
      <c r="C26" s="132">
        <v>374</v>
      </c>
      <c r="D26" s="198"/>
      <c r="E26" s="48">
        <v>0</v>
      </c>
      <c r="F26" s="136">
        <v>0</v>
      </c>
      <c r="G26" s="136">
        <v>0</v>
      </c>
      <c r="H26" s="136">
        <v>0</v>
      </c>
      <c r="I26" s="136">
        <v>0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  <c r="Q26" s="136">
        <v>0</v>
      </c>
      <c r="R26" s="53">
        <f>SUM(E26:Q26)</f>
        <v>0</v>
      </c>
    </row>
    <row r="27" spans="1:20" x14ac:dyDescent="0.25">
      <c r="A27" s="4">
        <v>12</v>
      </c>
      <c r="B27" t="s">
        <v>56</v>
      </c>
      <c r="E27" s="52">
        <f>SUM(E24:E26)</f>
        <v>125221</v>
      </c>
      <c r="F27" s="52">
        <f t="shared" ref="F27:R27" si="2">SUM(F24:F26)</f>
        <v>7895.37</v>
      </c>
      <c r="G27" s="52">
        <f t="shared" si="2"/>
        <v>95803.23</v>
      </c>
      <c r="H27" s="52">
        <f t="shared" si="2"/>
        <v>1827.71</v>
      </c>
      <c r="I27" s="52">
        <f t="shared" si="2"/>
        <v>37347.550000000003</v>
      </c>
      <c r="J27" s="52">
        <f t="shared" si="2"/>
        <v>0</v>
      </c>
      <c r="K27" s="52">
        <f t="shared" si="2"/>
        <v>0</v>
      </c>
      <c r="L27" s="52">
        <f t="shared" si="2"/>
        <v>8585.0400000000009</v>
      </c>
      <c r="M27" s="52">
        <f t="shared" si="2"/>
        <v>0</v>
      </c>
      <c r="N27" s="52">
        <f t="shared" si="2"/>
        <v>0</v>
      </c>
      <c r="O27" s="52">
        <f t="shared" si="2"/>
        <v>0</v>
      </c>
      <c r="P27" s="52">
        <f t="shared" si="2"/>
        <v>1297277.6700000002</v>
      </c>
      <c r="Q27" s="52">
        <f t="shared" si="2"/>
        <v>10738.699999999997</v>
      </c>
      <c r="R27" s="52">
        <f t="shared" si="2"/>
        <v>1584696.2700000003</v>
      </c>
    </row>
    <row r="29" spans="1:20" x14ac:dyDescent="0.25">
      <c r="B29" s="9"/>
      <c r="C29" s="39"/>
      <c r="D29" s="39"/>
      <c r="E29" s="127"/>
      <c r="G29" s="42"/>
      <c r="H29" s="42"/>
      <c r="I29" s="223"/>
      <c r="J29" s="42"/>
      <c r="K29" s="42"/>
      <c r="L29" s="42"/>
      <c r="M29" s="42"/>
      <c r="N29" s="42"/>
      <c r="O29" s="42"/>
      <c r="P29" s="42"/>
      <c r="Q29" s="42"/>
      <c r="R29" s="127"/>
    </row>
    <row r="30" spans="1:20" x14ac:dyDescent="0.25">
      <c r="A30" s="4"/>
      <c r="B30" s="38"/>
      <c r="C30" s="39"/>
      <c r="D30" s="39" t="s">
        <v>105</v>
      </c>
      <c r="E30" s="5"/>
      <c r="H30" s="40"/>
      <c r="I30" s="16"/>
      <c r="J30" s="16"/>
      <c r="K30" s="16"/>
      <c r="L30" s="16"/>
      <c r="M30" s="16"/>
      <c r="N30" s="16"/>
      <c r="O30" s="16"/>
      <c r="P30" s="16"/>
      <c r="Q30" s="16"/>
      <c r="R30" s="1"/>
    </row>
    <row r="31" spans="1:20" x14ac:dyDescent="0.25">
      <c r="A31" s="4"/>
      <c r="B31" s="38"/>
      <c r="D31" s="3" t="s">
        <v>32</v>
      </c>
      <c r="E31" s="3" t="s">
        <v>103</v>
      </c>
      <c r="R31" s="3" t="s">
        <v>106</v>
      </c>
    </row>
    <row r="32" spans="1:20" x14ac:dyDescent="0.25">
      <c r="A32" s="4"/>
      <c r="D32" s="3" t="s">
        <v>104</v>
      </c>
      <c r="E32" s="3" t="s">
        <v>102</v>
      </c>
      <c r="F32" s="206" t="s">
        <v>240</v>
      </c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41" t="s">
        <v>107</v>
      </c>
    </row>
    <row r="33" spans="1:18" x14ac:dyDescent="0.25">
      <c r="A33" s="4"/>
      <c r="B33" s="9" t="s">
        <v>121</v>
      </c>
      <c r="D33" s="3"/>
      <c r="E33" s="67">
        <f>E7</f>
        <v>2023</v>
      </c>
      <c r="F33" s="8" t="s">
        <v>91</v>
      </c>
      <c r="G33" s="8" t="s">
        <v>92</v>
      </c>
      <c r="H33" s="8" t="s">
        <v>93</v>
      </c>
      <c r="I33" s="8" t="s">
        <v>94</v>
      </c>
      <c r="J33" s="8" t="s">
        <v>95</v>
      </c>
      <c r="K33" s="8" t="s">
        <v>96</v>
      </c>
      <c r="L33" s="8" t="s">
        <v>97</v>
      </c>
      <c r="M33" s="8" t="s">
        <v>98</v>
      </c>
      <c r="N33" s="8" t="s">
        <v>99</v>
      </c>
      <c r="O33" s="8" t="s">
        <v>100</v>
      </c>
      <c r="P33" s="8" t="s">
        <v>101</v>
      </c>
      <c r="Q33" s="8" t="s">
        <v>90</v>
      </c>
    </row>
    <row r="34" spans="1:18" x14ac:dyDescent="0.25">
      <c r="A34" s="4"/>
      <c r="B34" s="9" t="s">
        <v>52</v>
      </c>
      <c r="D34" s="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8" x14ac:dyDescent="0.25">
      <c r="A35" s="4">
        <f>A27+1</f>
        <v>13</v>
      </c>
      <c r="B35" t="s">
        <v>161</v>
      </c>
      <c r="C35" s="92">
        <v>376</v>
      </c>
      <c r="D35" s="165">
        <v>1.49E-2</v>
      </c>
      <c r="E35" s="87">
        <v>0</v>
      </c>
      <c r="F35" s="64">
        <f>ROUND(SUM($E$12:E12)*0.0149/12,0)</f>
        <v>32536</v>
      </c>
      <c r="G35" s="64">
        <f>ROUND(SUM($E$12:F12)*0.0149/12,0)</f>
        <v>33664</v>
      </c>
      <c r="H35" s="64">
        <f>ROUND(SUM($E$12:G12)*0.0149/12,0)</f>
        <v>33512</v>
      </c>
      <c r="I35" s="64">
        <f>ROUND(SUM($E$12:H12)*0.0149/12,0)</f>
        <v>32790</v>
      </c>
      <c r="J35" s="64">
        <f>ROUND(SUM($E$12:I12)*0.0149/12,0)</f>
        <v>31699</v>
      </c>
      <c r="K35" s="64">
        <f>ROUND(SUM($E$12:J12)*0.0149/12,0)</f>
        <v>31155</v>
      </c>
      <c r="L35" s="64">
        <f>ROUND(SUM($E$12:K12)*0.0149/12,0)</f>
        <v>32271</v>
      </c>
      <c r="M35" s="64">
        <f>ROUND(SUM($E$12:L12)*0.0149/12,0)</f>
        <v>31860</v>
      </c>
      <c r="N35" s="64">
        <f>ROUND(SUM($E$12:M12)*0.0149/12,0)</f>
        <v>31843</v>
      </c>
      <c r="O35" s="64">
        <f>ROUND(SUM($E$12:N12)*0.0149/12,0)</f>
        <v>31632</v>
      </c>
      <c r="P35" s="64">
        <f>ROUND(SUM($E$12:O12)*0.0149/12,0)</f>
        <v>31487</v>
      </c>
      <c r="Q35" s="64">
        <f>ROUND(SUM($E$12:P12)*0.0149/12,0)</f>
        <v>87420</v>
      </c>
      <c r="R35" s="18"/>
    </row>
    <row r="36" spans="1:18" x14ac:dyDescent="0.25">
      <c r="A36" s="4">
        <v>14</v>
      </c>
      <c r="B36" t="s">
        <v>168</v>
      </c>
      <c r="C36" s="92">
        <v>378</v>
      </c>
      <c r="D36" s="165">
        <v>2.0400000000000001E-2</v>
      </c>
      <c r="E36" s="87">
        <v>0</v>
      </c>
      <c r="F36" s="64">
        <f>ROUND(SUM($E$13:E13)*0.0204/12,0)</f>
        <v>0</v>
      </c>
      <c r="G36" s="64">
        <f>ROUND(SUM($E$13:F13)*0.0204/12,0)</f>
        <v>0</v>
      </c>
      <c r="H36" s="64">
        <f>ROUND(SUM($E$13:G13)*0.0204/12,0)</f>
        <v>0</v>
      </c>
      <c r="I36" s="64">
        <f>ROUND(SUM($E$13:H13)*0.0204/12,0)</f>
        <v>0</v>
      </c>
      <c r="J36" s="64">
        <f>ROUND(SUM($E$13:I13)*0.0204/12,0)</f>
        <v>0</v>
      </c>
      <c r="K36" s="64">
        <f>ROUND(SUM($E$13:J13)*0.0204/12,0)</f>
        <v>0</v>
      </c>
      <c r="L36" s="64">
        <f>ROUND(SUM($E$13:K13)*0.0204/12,0)</f>
        <v>26771</v>
      </c>
      <c r="M36" s="64">
        <f>ROUND(SUM($E$13:L13)*0.0204/12,0)</f>
        <v>27310</v>
      </c>
      <c r="N36" s="64">
        <f>ROUND(SUM($E$13:M13)*0.0204/12,0)</f>
        <v>29088</v>
      </c>
      <c r="O36" s="64">
        <f>ROUND(SUM($E$13:N13)*0.0204/12,0)</f>
        <v>29564</v>
      </c>
      <c r="P36" s="64">
        <f>ROUND(SUM($E$13:O13)*0.0204/12,0)</f>
        <v>30023</v>
      </c>
      <c r="Q36" s="64">
        <f>ROUND(SUM($E$13:P13)*0.0204/12,0)</f>
        <v>30848</v>
      </c>
      <c r="R36" s="18"/>
    </row>
    <row r="37" spans="1:18" x14ac:dyDescent="0.25">
      <c r="A37" s="4">
        <v>15</v>
      </c>
      <c r="B37" t="s">
        <v>167</v>
      </c>
      <c r="C37" s="92">
        <v>374</v>
      </c>
      <c r="D37" s="165">
        <v>0</v>
      </c>
      <c r="E37" s="136">
        <v>0</v>
      </c>
      <c r="F37" s="91">
        <v>0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  <c r="R37" s="18"/>
    </row>
    <row r="38" spans="1:18" x14ac:dyDescent="0.25">
      <c r="A38" s="4">
        <v>16</v>
      </c>
      <c r="B38" t="s">
        <v>53</v>
      </c>
      <c r="C38" s="36"/>
      <c r="D38" s="199"/>
      <c r="E38" s="54">
        <f>SUM(E35:E35)</f>
        <v>0</v>
      </c>
      <c r="F38" s="54">
        <f>SUM(F35:F37)</f>
        <v>32536</v>
      </c>
      <c r="G38" s="54">
        <f t="shared" ref="G38:Q38" si="3">SUM(G35:G37)</f>
        <v>33664</v>
      </c>
      <c r="H38" s="54">
        <f t="shared" si="3"/>
        <v>33512</v>
      </c>
      <c r="I38" s="54">
        <f t="shared" si="3"/>
        <v>32790</v>
      </c>
      <c r="J38" s="54">
        <f t="shared" si="3"/>
        <v>31699</v>
      </c>
      <c r="K38" s="54">
        <f t="shared" si="3"/>
        <v>31155</v>
      </c>
      <c r="L38" s="54">
        <f t="shared" si="3"/>
        <v>59042</v>
      </c>
      <c r="M38" s="54">
        <f t="shared" si="3"/>
        <v>59170</v>
      </c>
      <c r="N38" s="54">
        <f t="shared" si="3"/>
        <v>60931</v>
      </c>
      <c r="O38" s="54">
        <f t="shared" si="3"/>
        <v>61196</v>
      </c>
      <c r="P38" s="54">
        <f t="shared" si="3"/>
        <v>61510</v>
      </c>
      <c r="Q38" s="54">
        <f t="shared" si="3"/>
        <v>118268</v>
      </c>
      <c r="R38" s="18"/>
    </row>
    <row r="39" spans="1:18" x14ac:dyDescent="0.25">
      <c r="A39" s="4"/>
      <c r="C39" s="36"/>
      <c r="D39" s="199"/>
      <c r="F39" s="1"/>
    </row>
    <row r="40" spans="1:18" x14ac:dyDescent="0.25">
      <c r="A40" s="4"/>
      <c r="B40" s="9" t="s">
        <v>54</v>
      </c>
      <c r="D40" s="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8" x14ac:dyDescent="0.25">
      <c r="A41" s="4">
        <v>17</v>
      </c>
      <c r="B41" t="s">
        <v>161</v>
      </c>
      <c r="C41" s="92">
        <v>376</v>
      </c>
      <c r="D41" s="165">
        <v>1.49E-2</v>
      </c>
      <c r="E41" s="87">
        <v>0</v>
      </c>
      <c r="F41" s="64">
        <f>ROUND(SUM($E$18:E18)*0.0149/12,0)</f>
        <v>176</v>
      </c>
      <c r="G41" s="64">
        <f>ROUND(SUM($E$18:F18)*0.0149/12,0)</f>
        <v>176</v>
      </c>
      <c r="H41" s="64">
        <f>ROUND(SUM($E$18:G18)*0.0149/12,0)</f>
        <v>176</v>
      </c>
      <c r="I41" s="64">
        <f>ROUND(SUM($E$18:H18)*0.0149/12,0)</f>
        <v>176</v>
      </c>
      <c r="J41" s="64">
        <f>ROUND(SUM($E$18:I18)*0.0149/12,0)</f>
        <v>176</v>
      </c>
      <c r="K41" s="64">
        <f>ROUND(SUM($E$18:J18)*0.0149/12,0)</f>
        <v>176</v>
      </c>
      <c r="L41" s="64">
        <f>ROUND(SUM($E$18:K18)*0.0149/12,0)</f>
        <v>176</v>
      </c>
      <c r="M41" s="64">
        <f>ROUND(SUM($E$18:L18)*0.0149/12,0)</f>
        <v>176</v>
      </c>
      <c r="N41" s="64">
        <f>ROUND(SUM($E$18:M18)*0.0149/12,0)</f>
        <v>176</v>
      </c>
      <c r="O41" s="64">
        <f>ROUND(SUM($E$18:N18)*0.0149/12,0)</f>
        <v>176</v>
      </c>
      <c r="P41" s="64">
        <f>ROUND(SUM($E$18:O18)*0.0149/12,0)</f>
        <v>176</v>
      </c>
      <c r="Q41" s="64">
        <f>ROUND(SUM($E$18:P18)*0.0149/12,0)</f>
        <v>498</v>
      </c>
      <c r="R41" s="18"/>
    </row>
    <row r="42" spans="1:18" x14ac:dyDescent="0.25">
      <c r="A42" s="4">
        <v>18</v>
      </c>
      <c r="B42" t="s">
        <v>168</v>
      </c>
      <c r="C42" s="92">
        <v>378</v>
      </c>
      <c r="D42" s="165">
        <v>2.0400000000000001E-2</v>
      </c>
      <c r="E42" s="87">
        <v>0</v>
      </c>
      <c r="F42" s="64">
        <f>ROUND(SUM($E$19:E19)*0.0204/12,0)</f>
        <v>0</v>
      </c>
      <c r="G42" s="64">
        <f>ROUND(SUM($E$19:F19)*0.0204/12,0)</f>
        <v>0</v>
      </c>
      <c r="H42" s="64">
        <f>ROUND(SUM($E$19:G19)*0.0204/12,0)</f>
        <v>0</v>
      </c>
      <c r="I42" s="64">
        <f>ROUND(SUM($E$19:H19)*0.0204/12,0)</f>
        <v>0</v>
      </c>
      <c r="J42" s="64">
        <f>ROUND(SUM($E$19:I19)*0.0204/12,0)</f>
        <v>0</v>
      </c>
      <c r="K42" s="64">
        <f>ROUND(SUM($E$19:J19)*0.0204/12,0)</f>
        <v>0</v>
      </c>
      <c r="L42" s="64">
        <f>ROUND(SUM($E$19:K19)*0.0204/12,0)</f>
        <v>0</v>
      </c>
      <c r="M42" s="64">
        <f>ROUND(SUM($E$19:L19)*0.0204/12,0)</f>
        <v>0</v>
      </c>
      <c r="N42" s="64">
        <f>ROUND(SUM($E$19:M19)*0.0204/12,0)</f>
        <v>0</v>
      </c>
      <c r="O42" s="64">
        <f>ROUND(SUM($E$19:N19)*0.0204/12,0)</f>
        <v>0</v>
      </c>
      <c r="P42" s="64">
        <f>ROUND(SUM($E$19:O19)*0.0204/12,0)</f>
        <v>0</v>
      </c>
      <c r="Q42" s="64">
        <f>ROUND(SUM($E$19:P19)*0.0204/12,0)</f>
        <v>0</v>
      </c>
      <c r="R42" s="18"/>
    </row>
    <row r="43" spans="1:18" x14ac:dyDescent="0.25">
      <c r="A43" s="4">
        <v>19</v>
      </c>
      <c r="B43" t="s">
        <v>167</v>
      </c>
      <c r="C43" s="92">
        <v>374</v>
      </c>
      <c r="D43" s="165">
        <v>0</v>
      </c>
      <c r="E43" s="136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18"/>
    </row>
    <row r="44" spans="1:18" x14ac:dyDescent="0.25">
      <c r="A44" s="4">
        <v>20</v>
      </c>
      <c r="B44" t="s">
        <v>55</v>
      </c>
      <c r="C44" s="36"/>
      <c r="D44" s="199"/>
      <c r="E44" s="54">
        <f t="shared" ref="E44:Q44" si="4">SUM(E41:E41)</f>
        <v>0</v>
      </c>
      <c r="F44" s="54">
        <f t="shared" si="4"/>
        <v>176</v>
      </c>
      <c r="G44" s="49">
        <f t="shared" si="4"/>
        <v>176</v>
      </c>
      <c r="H44" s="49">
        <f t="shared" si="4"/>
        <v>176</v>
      </c>
      <c r="I44" s="49">
        <f t="shared" si="4"/>
        <v>176</v>
      </c>
      <c r="J44" s="49">
        <f t="shared" si="4"/>
        <v>176</v>
      </c>
      <c r="K44" s="49">
        <f t="shared" si="4"/>
        <v>176</v>
      </c>
      <c r="L44" s="49">
        <f t="shared" si="4"/>
        <v>176</v>
      </c>
      <c r="M44" s="49">
        <f t="shared" si="4"/>
        <v>176</v>
      </c>
      <c r="N44" s="49">
        <f t="shared" si="4"/>
        <v>176</v>
      </c>
      <c r="O44" s="49">
        <f t="shared" si="4"/>
        <v>176</v>
      </c>
      <c r="P44" s="49">
        <f t="shared" si="4"/>
        <v>176</v>
      </c>
      <c r="Q44" s="49">
        <f t="shared" si="4"/>
        <v>498</v>
      </c>
      <c r="R44" s="18"/>
    </row>
    <row r="45" spans="1:18" x14ac:dyDescent="0.25">
      <c r="A45" s="4"/>
      <c r="C45" s="36"/>
      <c r="D45" s="199"/>
      <c r="F45" s="1"/>
    </row>
    <row r="46" spans="1:18" ht="15.75" thickBot="1" x14ac:dyDescent="0.3">
      <c r="A46" s="4">
        <v>21</v>
      </c>
      <c r="B46" s="9" t="s">
        <v>108</v>
      </c>
      <c r="C46" s="4"/>
      <c r="D46" s="4"/>
      <c r="E46" s="55">
        <f>+E38-E44</f>
        <v>0</v>
      </c>
      <c r="F46" s="55">
        <f>E46+F38-F44</f>
        <v>32360</v>
      </c>
      <c r="G46" s="55">
        <f t="shared" ref="G46:Q46" si="5">F46+G38-G44</f>
        <v>65848</v>
      </c>
      <c r="H46" s="55">
        <f t="shared" si="5"/>
        <v>99184</v>
      </c>
      <c r="I46" s="55">
        <f t="shared" si="5"/>
        <v>131798</v>
      </c>
      <c r="J46" s="55">
        <f t="shared" si="5"/>
        <v>163321</v>
      </c>
      <c r="K46" s="55">
        <f t="shared" si="5"/>
        <v>194300</v>
      </c>
      <c r="L46" s="55">
        <f>K46+L38-L44</f>
        <v>253166</v>
      </c>
      <c r="M46" s="55">
        <f t="shared" si="5"/>
        <v>312160</v>
      </c>
      <c r="N46" s="55">
        <f t="shared" si="5"/>
        <v>372915</v>
      </c>
      <c r="O46" s="55">
        <f t="shared" si="5"/>
        <v>433935</v>
      </c>
      <c r="P46" s="55">
        <f t="shared" si="5"/>
        <v>495269</v>
      </c>
      <c r="Q46" s="55">
        <f t="shared" si="5"/>
        <v>613039</v>
      </c>
      <c r="R46" s="55">
        <f>AVERAGE(E46:Q46)</f>
        <v>243638.07692307694</v>
      </c>
    </row>
    <row r="47" spans="1:18" ht="15.75" thickTop="1" x14ac:dyDescent="0.25">
      <c r="A47" s="4"/>
      <c r="C47" s="4"/>
      <c r="D47" s="4"/>
      <c r="E47" s="42"/>
      <c r="F47" s="4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9" spans="1:1" x14ac:dyDescent="0.25">
      <c r="A49" t="s">
        <v>41</v>
      </c>
    </row>
    <row r="50" spans="1:1" x14ac:dyDescent="0.25">
      <c r="A50" s="15" t="s">
        <v>258</v>
      </c>
    </row>
  </sheetData>
  <mergeCells count="1">
    <mergeCell ref="A1:R1"/>
  </mergeCells>
  <printOptions horizontalCentered="1"/>
  <pageMargins left="0.7" right="0.7" top="0.75" bottom="0.75" header="0.3" footer="0.3"/>
  <pageSetup scale="51" orientation="landscape" r:id="rId1"/>
  <headerFooter>
    <oddHeader xml:space="preserve">&amp;R&amp;"Times New Roman,Bold"&amp;10KyPSC Case No. 2025-00229
STAFF-DR-01-001 Attachment
Page &amp;P of &amp;N
</oddHeader>
  </headerFooter>
  <ignoredErrors>
    <ignoredError sqref="G35:Q35 G41:Q4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J36"/>
  <sheetViews>
    <sheetView zoomScaleNormal="100" workbookViewId="0">
      <selection activeCell="L29" sqref="L29"/>
    </sheetView>
  </sheetViews>
  <sheetFormatPr defaultRowHeight="15" x14ac:dyDescent="0.25"/>
  <cols>
    <col min="1" max="1" width="8.28515625" bestFit="1" customWidth="1"/>
    <col min="2" max="2" width="35.85546875" customWidth="1"/>
    <col min="3" max="3" width="13.5703125" customWidth="1"/>
    <col min="4" max="4" width="13.140625" customWidth="1"/>
    <col min="5" max="5" width="3.7109375" customWidth="1"/>
    <col min="6" max="8" width="13.140625" customWidth="1"/>
  </cols>
  <sheetData>
    <row r="1" spans="1:10" x14ac:dyDescent="0.25">
      <c r="A1" s="4"/>
      <c r="B1" s="29"/>
      <c r="D1" s="4"/>
    </row>
    <row r="2" spans="1:10" x14ac:dyDescent="0.25">
      <c r="A2" s="69" t="str">
        <f>'Sch 1.0'!A2:J2</f>
        <v>Duke Energy Kentucky</v>
      </c>
      <c r="B2" s="69"/>
      <c r="C2" s="69"/>
      <c r="D2" s="69"/>
      <c r="E2" s="69"/>
      <c r="F2" s="69"/>
      <c r="G2" s="69"/>
      <c r="H2" s="69"/>
      <c r="J2" s="85" t="s">
        <v>211</v>
      </c>
    </row>
    <row r="3" spans="1:10" x14ac:dyDescent="0.25">
      <c r="A3" s="69" t="str">
        <f>'Sch 1.0'!A3:J3</f>
        <v>Pipeline Modernization Mechanism ("Rider PMM")</v>
      </c>
      <c r="B3" s="69"/>
      <c r="C3" s="69"/>
      <c r="D3" s="69"/>
      <c r="E3" s="69"/>
      <c r="F3" s="69"/>
      <c r="G3" s="69"/>
      <c r="H3" s="69"/>
    </row>
    <row r="4" spans="1:10" x14ac:dyDescent="0.25">
      <c r="A4" s="69" t="s">
        <v>28</v>
      </c>
      <c r="B4" s="69"/>
      <c r="C4" s="69"/>
      <c r="D4" s="69"/>
      <c r="E4" s="69"/>
      <c r="F4" s="69"/>
      <c r="G4" s="69"/>
      <c r="H4" s="69"/>
    </row>
    <row r="5" spans="1:10" x14ac:dyDescent="0.25">
      <c r="A5" s="71"/>
      <c r="B5" s="71"/>
      <c r="C5" s="71"/>
      <c r="D5" s="71"/>
      <c r="E5" s="71"/>
      <c r="F5" s="71"/>
      <c r="G5" s="71"/>
      <c r="H5" s="71"/>
    </row>
    <row r="6" spans="1:10" ht="15" customHeight="1" x14ac:dyDescent="0.25">
      <c r="A6" s="4"/>
      <c r="D6" s="158" t="s">
        <v>160</v>
      </c>
      <c r="E6" s="7"/>
      <c r="F6" s="113" t="s">
        <v>163</v>
      </c>
      <c r="G6" s="113"/>
      <c r="H6" s="68"/>
    </row>
    <row r="7" spans="1:10" x14ac:dyDescent="0.25">
      <c r="A7" s="3" t="s">
        <v>136</v>
      </c>
      <c r="B7" s="3"/>
      <c r="C7" s="3"/>
      <c r="D7" s="3" t="s">
        <v>70</v>
      </c>
      <c r="F7" s="3"/>
      <c r="G7" s="3" t="s">
        <v>70</v>
      </c>
    </row>
    <row r="8" spans="1:10" x14ac:dyDescent="0.25">
      <c r="A8" s="8" t="s">
        <v>137</v>
      </c>
      <c r="B8" s="8"/>
      <c r="C8" s="8"/>
      <c r="D8" s="70">
        <v>2023</v>
      </c>
      <c r="F8" s="70">
        <v>2023</v>
      </c>
      <c r="G8" s="70">
        <v>2024</v>
      </c>
      <c r="H8" s="8" t="s">
        <v>82</v>
      </c>
    </row>
    <row r="9" spans="1:10" x14ac:dyDescent="0.25">
      <c r="B9" s="16" t="s">
        <v>63</v>
      </c>
      <c r="C9" s="16" t="s">
        <v>64</v>
      </c>
      <c r="D9" s="16" t="s">
        <v>66</v>
      </c>
      <c r="F9" s="16" t="s">
        <v>84</v>
      </c>
      <c r="G9" s="16" t="s">
        <v>109</v>
      </c>
      <c r="H9" s="16" t="s">
        <v>110</v>
      </c>
    </row>
    <row r="10" spans="1:10" x14ac:dyDescent="0.25">
      <c r="A10" s="4"/>
    </row>
    <row r="11" spans="1:10" x14ac:dyDescent="0.25">
      <c r="A11" s="4">
        <v>1</v>
      </c>
      <c r="B11" t="s">
        <v>145</v>
      </c>
      <c r="C11" s="17"/>
      <c r="D11" s="94">
        <v>0</v>
      </c>
      <c r="E11" s="51"/>
      <c r="F11" s="66">
        <f>D11</f>
        <v>0</v>
      </c>
      <c r="G11" s="94">
        <f>'Sch 4.5'!$E$29</f>
        <v>48013356</v>
      </c>
      <c r="H11" s="51">
        <f>SUM(F11:G11)</f>
        <v>48013356</v>
      </c>
    </row>
    <row r="12" spans="1:10" ht="17.25" x14ac:dyDescent="0.4">
      <c r="A12" s="4"/>
      <c r="C12" s="17"/>
      <c r="D12" s="20"/>
      <c r="F12" s="58"/>
      <c r="G12" s="20"/>
      <c r="H12" s="58"/>
    </row>
    <row r="13" spans="1:10" x14ac:dyDescent="0.25">
      <c r="A13" s="4"/>
      <c r="B13" t="s">
        <v>68</v>
      </c>
      <c r="C13" s="26"/>
      <c r="D13" s="23"/>
      <c r="F13" s="59"/>
      <c r="G13" s="23"/>
      <c r="H13" s="59"/>
    </row>
    <row r="14" spans="1:10" x14ac:dyDescent="0.25">
      <c r="A14" s="4">
        <v>2</v>
      </c>
      <c r="B14" t="s">
        <v>131</v>
      </c>
      <c r="C14" s="27"/>
      <c r="D14" s="77">
        <f>D11</f>
        <v>0</v>
      </c>
      <c r="E14" s="76"/>
      <c r="F14" s="95">
        <f>F11</f>
        <v>0</v>
      </c>
      <c r="G14" s="77">
        <f>G11</f>
        <v>48013356</v>
      </c>
      <c r="H14" s="74">
        <f>SUM(F14:G14)</f>
        <v>48013356</v>
      </c>
    </row>
    <row r="15" spans="1:10" x14ac:dyDescent="0.25">
      <c r="A15" s="4">
        <f t="shared" ref="A15:A20" si="0">A14+1</f>
        <v>3</v>
      </c>
      <c r="B15" t="s">
        <v>77</v>
      </c>
      <c r="C15" s="27"/>
      <c r="D15" s="78">
        <f>ROUND(D11/2,0)</f>
        <v>0</v>
      </c>
      <c r="E15" s="76"/>
      <c r="F15" s="78">
        <f>ROUND(F11/2,0)</f>
        <v>0</v>
      </c>
      <c r="G15" s="78">
        <f>ROUND(G11/2,0)</f>
        <v>24006678</v>
      </c>
      <c r="H15" s="78">
        <f>SUM(F15:G15)</f>
        <v>24006678</v>
      </c>
    </row>
    <row r="16" spans="1:10" x14ac:dyDescent="0.25">
      <c r="A16" s="4"/>
      <c r="B16" s="9"/>
      <c r="C16" s="27"/>
      <c r="D16" s="76"/>
      <c r="E16" s="76"/>
      <c r="F16" s="76"/>
      <c r="G16" s="76"/>
      <c r="H16" s="76"/>
    </row>
    <row r="17" spans="1:8" x14ac:dyDescent="0.25">
      <c r="A17" s="4"/>
      <c r="B17" t="s">
        <v>13</v>
      </c>
      <c r="C17" s="17"/>
      <c r="D17" s="79"/>
      <c r="E17" s="76"/>
      <c r="F17" s="96"/>
      <c r="G17" s="79"/>
      <c r="H17" s="96"/>
    </row>
    <row r="18" spans="1:8" x14ac:dyDescent="0.25">
      <c r="A18" s="4">
        <v>4</v>
      </c>
      <c r="B18" t="s">
        <v>131</v>
      </c>
      <c r="C18" s="27"/>
      <c r="D18" s="77">
        <f>ROUND(D14*0.5,0)</f>
        <v>0</v>
      </c>
      <c r="E18" s="76"/>
      <c r="F18" s="77">
        <v>0</v>
      </c>
      <c r="G18" s="77">
        <f>ROUND(G14*0.5,0)</f>
        <v>24006678</v>
      </c>
      <c r="H18" s="74">
        <f>SUM(F18:G18)</f>
        <v>24006678</v>
      </c>
    </row>
    <row r="19" spans="1:8" x14ac:dyDescent="0.25">
      <c r="A19" s="4">
        <f t="shared" si="0"/>
        <v>5</v>
      </c>
      <c r="B19" t="s">
        <v>69</v>
      </c>
      <c r="C19" s="27"/>
      <c r="D19" s="78">
        <f>ROUND(D15*0.0375,0)</f>
        <v>0</v>
      </c>
      <c r="E19" s="76"/>
      <c r="F19" s="78">
        <f>ROUND(F15*0.07219,0)</f>
        <v>0</v>
      </c>
      <c r="G19" s="78">
        <f>ROUND(G15*0.0375,0)</f>
        <v>900250</v>
      </c>
      <c r="H19" s="74">
        <f>SUM(F19:G19)</f>
        <v>900250</v>
      </c>
    </row>
    <row r="20" spans="1:8" x14ac:dyDescent="0.25">
      <c r="A20" s="4">
        <f t="shared" si="0"/>
        <v>6</v>
      </c>
      <c r="B20" t="s">
        <v>71</v>
      </c>
      <c r="C20" s="27"/>
      <c r="D20" s="56">
        <f>D18+D19</f>
        <v>0</v>
      </c>
      <c r="E20" s="76"/>
      <c r="F20" s="56">
        <f>F18+F19</f>
        <v>0</v>
      </c>
      <c r="G20" s="56">
        <f>G18+G19</f>
        <v>24906928</v>
      </c>
      <c r="H20" s="56">
        <f>SUM(F20:G20)</f>
        <v>24906928</v>
      </c>
    </row>
    <row r="21" spans="1:8" x14ac:dyDescent="0.25">
      <c r="A21" s="4"/>
      <c r="C21" s="27"/>
      <c r="D21" s="76"/>
      <c r="E21" s="76"/>
      <c r="F21" s="76"/>
      <c r="G21" s="76"/>
      <c r="H21" s="76"/>
    </row>
    <row r="22" spans="1:8" x14ac:dyDescent="0.25">
      <c r="A22" s="4">
        <f>A20+1</f>
        <v>7</v>
      </c>
      <c r="B22" t="s">
        <v>72</v>
      </c>
      <c r="D22" s="76">
        <v>0</v>
      </c>
      <c r="E22" s="76"/>
      <c r="F22" s="93">
        <f>D22</f>
        <v>0</v>
      </c>
      <c r="G22" s="76">
        <f>'Sch 4.3'!$R$46</f>
        <v>243638.07692307694</v>
      </c>
      <c r="H22" s="76">
        <f>SUM(F22:G22)</f>
        <v>243638.07692307694</v>
      </c>
    </row>
    <row r="23" spans="1:8" x14ac:dyDescent="0.25">
      <c r="A23" s="4"/>
      <c r="D23" s="76"/>
      <c r="E23" s="76"/>
      <c r="F23" s="76"/>
      <c r="G23" s="76"/>
      <c r="H23" s="76"/>
    </row>
    <row r="24" spans="1:8" x14ac:dyDescent="0.25">
      <c r="A24" s="4">
        <f>A22+1</f>
        <v>8</v>
      </c>
      <c r="B24" t="s">
        <v>73</v>
      </c>
      <c r="D24" s="76">
        <f>D20-D22</f>
        <v>0</v>
      </c>
      <c r="E24" s="76"/>
      <c r="F24" s="76">
        <f>F20-F22</f>
        <v>0</v>
      </c>
      <c r="G24" s="76">
        <f>G20-G22</f>
        <v>24663289.923076924</v>
      </c>
      <c r="H24" s="74">
        <f>SUM(F24:G24)</f>
        <v>24663289.923076924</v>
      </c>
    </row>
    <row r="25" spans="1:8" x14ac:dyDescent="0.25">
      <c r="A25" s="4"/>
      <c r="D25" s="76"/>
      <c r="E25" s="76"/>
      <c r="F25" s="76"/>
      <c r="G25" s="76"/>
      <c r="H25" s="76"/>
    </row>
    <row r="26" spans="1:8" x14ac:dyDescent="0.25">
      <c r="A26" s="4">
        <f>A24+1</f>
        <v>9</v>
      </c>
      <c r="B26" t="s">
        <v>25</v>
      </c>
      <c r="D26" s="76">
        <v>0</v>
      </c>
      <c r="E26" s="76"/>
      <c r="F26" s="76">
        <v>0</v>
      </c>
      <c r="G26" s="76">
        <f>'Sch 4.5'!$I$29</f>
        <v>445205</v>
      </c>
      <c r="H26" s="76">
        <f>SUM(F26:G26)</f>
        <v>445205</v>
      </c>
    </row>
    <row r="27" spans="1:8" x14ac:dyDescent="0.25">
      <c r="A27" s="4">
        <f>A26+1</f>
        <v>10</v>
      </c>
      <c r="B27" t="s">
        <v>75</v>
      </c>
      <c r="D27" s="56">
        <f>D24+D26</f>
        <v>0</v>
      </c>
      <c r="E27" s="51"/>
      <c r="F27" s="56">
        <f>F24+F26</f>
        <v>0</v>
      </c>
      <c r="G27" s="56">
        <f>G24+G26</f>
        <v>25108494.923076924</v>
      </c>
      <c r="H27" s="61">
        <f>SUM(F27:G27)</f>
        <v>25108494.923076924</v>
      </c>
    </row>
    <row r="28" spans="1:8" x14ac:dyDescent="0.25">
      <c r="A28" s="4"/>
      <c r="D28" s="30"/>
      <c r="F28" s="30"/>
      <c r="G28" s="30"/>
      <c r="H28" s="30"/>
    </row>
    <row r="29" spans="1:8" x14ac:dyDescent="0.25">
      <c r="A29" s="4">
        <f>A27+1</f>
        <v>11</v>
      </c>
      <c r="B29" t="s">
        <v>74</v>
      </c>
      <c r="C29" s="159">
        <v>0.24925115</v>
      </c>
      <c r="D29" s="76">
        <f>ROUND(D27*$C$29,0)</f>
        <v>0</v>
      </c>
      <c r="E29" s="76"/>
      <c r="F29" s="76">
        <f>ROUND(F27*$C$29,0)</f>
        <v>0</v>
      </c>
      <c r="G29" s="76">
        <f>ROUND(G27*$C$29,0)</f>
        <v>6258321</v>
      </c>
      <c r="H29" s="74">
        <f>SUM(F29:G29)</f>
        <v>6258321</v>
      </c>
    </row>
    <row r="30" spans="1:8" x14ac:dyDescent="0.25">
      <c r="A30" s="4">
        <v>12</v>
      </c>
      <c r="B30" t="s">
        <v>133</v>
      </c>
      <c r="C30" s="159">
        <v>0.13549266299999999</v>
      </c>
      <c r="D30" s="76">
        <f>ROUND(D27*$C$30,0)</f>
        <v>0</v>
      </c>
      <c r="E30" s="76"/>
      <c r="F30" s="76">
        <f>ROUND(F27*$C$30,0)</f>
        <v>0</v>
      </c>
      <c r="G30" s="76">
        <f>ROUND(G27*$C$30,0)</f>
        <v>3402017</v>
      </c>
      <c r="H30" s="74">
        <f>SUM(F30:G30)</f>
        <v>3402017</v>
      </c>
    </row>
    <row r="31" spans="1:8" x14ac:dyDescent="0.25">
      <c r="A31" s="4"/>
      <c r="D31" s="56">
        <f>SUM(D29:D30)</f>
        <v>0</v>
      </c>
      <c r="E31" s="76"/>
      <c r="F31" s="56">
        <f>SUM(F29:F30)</f>
        <v>0</v>
      </c>
      <c r="G31" s="56">
        <f>SUM(G29:G30)</f>
        <v>9660338</v>
      </c>
      <c r="H31" s="56">
        <f>SUM(H29:H30)</f>
        <v>9660338</v>
      </c>
    </row>
    <row r="32" spans="1:8" x14ac:dyDescent="0.25">
      <c r="A32" s="4"/>
    </row>
    <row r="33" spans="1:8" ht="15.75" thickBot="1" x14ac:dyDescent="0.3">
      <c r="A33" s="4">
        <v>13</v>
      </c>
      <c r="B33" t="s">
        <v>127</v>
      </c>
      <c r="H33" s="55">
        <f>D29+H29</f>
        <v>6258321</v>
      </c>
    </row>
    <row r="34" spans="1:8" ht="16.5" thickTop="1" thickBot="1" x14ac:dyDescent="0.3">
      <c r="A34" s="4"/>
      <c r="H34" s="55"/>
    </row>
    <row r="35" spans="1:8" ht="16.5" thickTop="1" thickBot="1" x14ac:dyDescent="0.3">
      <c r="A35" s="5">
        <v>14</v>
      </c>
      <c r="B35" t="s">
        <v>133</v>
      </c>
      <c r="H35" s="55">
        <f>D30+H30</f>
        <v>3402017</v>
      </c>
    </row>
    <row r="36" spans="1:8" ht="15.75" thickTop="1" x14ac:dyDescent="0.25"/>
  </sheetData>
  <pageMargins left="0.7" right="0.7" top="0.75" bottom="0.75" header="0.3" footer="0.3"/>
  <pageSetup scale="97" orientation="landscape" r:id="rId1"/>
  <headerFooter>
    <oddHeader xml:space="preserve">&amp;RExhibit 1
Schedule 4.4
Page &amp;P of &amp;N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8A0E-3B24-45B5-B4AD-07D29DAEA84F}">
  <sheetPr>
    <tabColor rgb="FFFFFF00"/>
    <pageSetUpPr fitToPage="1"/>
  </sheetPr>
  <dimension ref="A1:V56"/>
  <sheetViews>
    <sheetView view="pageLayout" zoomScale="175" zoomScaleNormal="100" zoomScalePageLayoutView="175" workbookViewId="0">
      <selection activeCell="I7" sqref="I7"/>
    </sheetView>
  </sheetViews>
  <sheetFormatPr defaultRowHeight="15" x14ac:dyDescent="0.25"/>
  <cols>
    <col min="1" max="1" width="10.28515625" customWidth="1"/>
    <col min="2" max="2" width="11.85546875" customWidth="1"/>
    <col min="3" max="3" width="20.28515625" customWidth="1"/>
    <col min="4" max="4" width="19.42578125" customWidth="1"/>
    <col min="5" max="5" width="18.28515625" customWidth="1"/>
    <col min="6" max="6" width="11.42578125" bestFit="1" customWidth="1"/>
    <col min="7" max="7" width="3.7109375" customWidth="1"/>
    <col min="8" max="8" width="14" customWidth="1"/>
    <col min="9" max="9" width="16.140625" customWidth="1"/>
    <col min="10" max="10" width="13.42578125" customWidth="1"/>
    <col min="11" max="11" width="18.85546875" bestFit="1" customWidth="1"/>
    <col min="12" max="12" width="15.42578125" customWidth="1"/>
    <col min="13" max="13" width="15.28515625" customWidth="1"/>
    <col min="14" max="14" width="12.42578125" customWidth="1"/>
    <col min="15" max="15" width="11.7109375" customWidth="1"/>
    <col min="16" max="16" width="14.85546875" customWidth="1"/>
    <col min="17" max="17" width="13.28515625" customWidth="1"/>
    <col min="18" max="18" width="23.42578125" bestFit="1" customWidth="1"/>
  </cols>
  <sheetData>
    <row r="1" spans="1:18" x14ac:dyDescent="0.25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69"/>
    </row>
    <row r="2" spans="1:18" x14ac:dyDescent="0.25">
      <c r="A2" s="227" t="s">
        <v>134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69"/>
    </row>
    <row r="3" spans="1:18" x14ac:dyDescent="0.25">
      <c r="A3" s="227" t="s">
        <v>28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69"/>
    </row>
    <row r="4" spans="1:18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8" ht="15.75" x14ac:dyDescent="0.25">
      <c r="A5" s="222"/>
      <c r="B5" s="7"/>
      <c r="C5" s="7"/>
      <c r="D5" s="7"/>
      <c r="E5" s="7"/>
      <c r="F5" s="7"/>
      <c r="G5" s="7"/>
      <c r="H5" s="7"/>
      <c r="I5" s="7"/>
      <c r="J5" s="7"/>
      <c r="K5" s="7"/>
      <c r="N5" s="21"/>
      <c r="O5" s="21"/>
      <c r="P5" s="69"/>
    </row>
    <row r="7" spans="1:18" s="7" customFormat="1" x14ac:dyDescent="0.25">
      <c r="A7" s="137" t="s">
        <v>262</v>
      </c>
      <c r="B7" s="190"/>
      <c r="C7" s="138" t="s">
        <v>169</v>
      </c>
      <c r="D7" s="138" t="s">
        <v>170</v>
      </c>
      <c r="E7" s="138" t="s">
        <v>182</v>
      </c>
      <c r="F7" s="138" t="s">
        <v>183</v>
      </c>
      <c r="G7" s="137"/>
      <c r="H7" s="138" t="s">
        <v>184</v>
      </c>
      <c r="I7" s="138" t="s">
        <v>185</v>
      </c>
      <c r="J7" s="138" t="s">
        <v>186</v>
      </c>
      <c r="K7" s="138" t="s">
        <v>171</v>
      </c>
      <c r="L7" s="189" t="s">
        <v>187</v>
      </c>
      <c r="M7" s="189" t="s">
        <v>190</v>
      </c>
      <c r="N7" s="189" t="s">
        <v>191</v>
      </c>
      <c r="O7" s="189" t="s">
        <v>192</v>
      </c>
      <c r="P7" s="189" t="s">
        <v>239</v>
      </c>
      <c r="Q7" s="189" t="s">
        <v>195</v>
      </c>
    </row>
    <row r="8" spans="1:18" ht="15" customHeight="1" x14ac:dyDescent="0.25">
      <c r="H8" s="4"/>
      <c r="I8" s="4"/>
      <c r="J8" s="4"/>
      <c r="L8" s="4"/>
      <c r="M8" s="153"/>
      <c r="N8" s="4"/>
      <c r="O8" s="4"/>
      <c r="P8" s="4"/>
      <c r="Q8" s="4"/>
    </row>
    <row r="9" spans="1:18" ht="60" x14ac:dyDescent="0.25">
      <c r="B9" s="139" t="s">
        <v>57</v>
      </c>
      <c r="C9" s="150" t="s">
        <v>175</v>
      </c>
      <c r="D9" s="150" t="s">
        <v>181</v>
      </c>
      <c r="E9" s="150" t="s">
        <v>176</v>
      </c>
      <c r="F9" s="150" t="s">
        <v>180</v>
      </c>
      <c r="G9" s="162"/>
      <c r="H9" s="150" t="s">
        <v>230</v>
      </c>
      <c r="I9" s="150" t="s">
        <v>231</v>
      </c>
      <c r="J9" s="150" t="s">
        <v>177</v>
      </c>
      <c r="K9" s="139" t="s">
        <v>72</v>
      </c>
      <c r="L9" s="150" t="s">
        <v>188</v>
      </c>
      <c r="M9" s="150" t="s">
        <v>189</v>
      </c>
      <c r="N9" s="150" t="s">
        <v>178</v>
      </c>
      <c r="O9" s="150" t="s">
        <v>179</v>
      </c>
      <c r="P9" s="150" t="s">
        <v>193</v>
      </c>
      <c r="Q9" s="150" t="s">
        <v>194</v>
      </c>
    </row>
    <row r="10" spans="1:18" x14ac:dyDescent="0.25">
      <c r="B10" s="140">
        <v>45261</v>
      </c>
      <c r="C10" s="200">
        <v>26061210</v>
      </c>
      <c r="D10" s="143">
        <v>0</v>
      </c>
      <c r="E10" s="143">
        <v>5857760</v>
      </c>
      <c r="F10" s="152">
        <f t="shared" ref="F10:F21" si="0">SUM(C10:E10)</f>
        <v>31918970</v>
      </c>
      <c r="G10" s="140"/>
      <c r="H10" s="215">
        <v>1303060.5</v>
      </c>
      <c r="I10" s="215">
        <v>0</v>
      </c>
      <c r="J10" s="215">
        <v>1303060.5</v>
      </c>
      <c r="K10" s="215">
        <v>0</v>
      </c>
      <c r="L10" s="170">
        <f t="shared" ref="L10:L18" si="1">J10-K10</f>
        <v>1303060.5</v>
      </c>
      <c r="M10" s="216">
        <f>L10</f>
        <v>1303060.5</v>
      </c>
      <c r="N10" s="141"/>
      <c r="O10" s="141"/>
      <c r="P10" s="141"/>
      <c r="Q10" s="141">
        <f>+M10</f>
        <v>1303060.5</v>
      </c>
    </row>
    <row r="11" spans="1:18" x14ac:dyDescent="0.25">
      <c r="A11" t="s">
        <v>233</v>
      </c>
      <c r="B11" s="140">
        <v>45292</v>
      </c>
      <c r="C11" s="143">
        <v>908454.40999999968</v>
      </c>
      <c r="D11" s="143">
        <v>0</v>
      </c>
      <c r="E11" s="143">
        <v>924.27999999999884</v>
      </c>
      <c r="F11" s="152">
        <f t="shared" si="0"/>
        <v>909378.68999999971</v>
      </c>
      <c r="G11" s="140"/>
      <c r="H11" s="215">
        <f>((C10*C55)+(C11*5%))/12</f>
        <v>210103.13920833333</v>
      </c>
      <c r="I11" s="215">
        <f>((D10*C55)+(D11*3.75%))/12</f>
        <v>0</v>
      </c>
      <c r="J11" s="215">
        <f>H11+I11</f>
        <v>210103.13920833333</v>
      </c>
      <c r="K11" s="215">
        <v>32360</v>
      </c>
      <c r="L11" s="170">
        <f t="shared" si="1"/>
        <v>177743.13920833333</v>
      </c>
      <c r="M11" s="216">
        <f>M10+L11</f>
        <v>1480803.6392083333</v>
      </c>
      <c r="N11" s="141">
        <f>+B11-B10</f>
        <v>31</v>
      </c>
      <c r="O11" s="141">
        <f>365-SUM(N$11:N11)+1</f>
        <v>335</v>
      </c>
      <c r="P11" s="141">
        <f t="shared" ref="P11:P22" si="2">+L11*O11/N$23</f>
        <v>163134.11406792238</v>
      </c>
      <c r="Q11" s="141">
        <f>+Q10+P11</f>
        <v>1466194.6140679223</v>
      </c>
    </row>
    <row r="12" spans="1:18" x14ac:dyDescent="0.25">
      <c r="A12" t="s">
        <v>233</v>
      </c>
      <c r="B12" s="140">
        <v>45323</v>
      </c>
      <c r="C12" s="143">
        <v>-122211.71000000008</v>
      </c>
      <c r="D12" s="143">
        <v>0</v>
      </c>
      <c r="E12" s="143">
        <v>13358.28</v>
      </c>
      <c r="F12" s="152">
        <f t="shared" si="0"/>
        <v>-108853.43000000008</v>
      </c>
      <c r="G12" s="140"/>
      <c r="H12" s="215">
        <f>H11+((C12*5%)/11)</f>
        <v>209547.63143560605</v>
      </c>
      <c r="I12" s="215">
        <f>I11+((D12*3.75%)/11)</f>
        <v>0</v>
      </c>
      <c r="J12" s="215">
        <f t="shared" ref="J12:J22" si="3">H12+I12</f>
        <v>209547.63143560605</v>
      </c>
      <c r="K12" s="215">
        <v>33488</v>
      </c>
      <c r="L12" s="170">
        <f t="shared" si="1"/>
        <v>176059.63143560605</v>
      </c>
      <c r="M12" s="216">
        <f t="shared" ref="M12:M22" si="4">M11+L12</f>
        <v>1656863.2706439393</v>
      </c>
      <c r="N12" s="141">
        <v>28</v>
      </c>
      <c r="O12" s="141">
        <f>365-SUM(N$11:N12)+1</f>
        <v>307</v>
      </c>
      <c r="P12" s="141">
        <f t="shared" si="2"/>
        <v>148083.03246775633</v>
      </c>
      <c r="Q12" s="141">
        <f t="shared" ref="Q12:Q22" si="5">+Q11+P12</f>
        <v>1614277.6465356788</v>
      </c>
    </row>
    <row r="13" spans="1:18" x14ac:dyDescent="0.25">
      <c r="A13" t="s">
        <v>233</v>
      </c>
      <c r="B13" s="140">
        <v>45352</v>
      </c>
      <c r="C13" s="143">
        <v>-581594.57999999996</v>
      </c>
      <c r="D13" s="143">
        <v>0</v>
      </c>
      <c r="E13" s="143">
        <v>28923.339999999993</v>
      </c>
      <c r="F13" s="152">
        <f t="shared" si="0"/>
        <v>-552671.24</v>
      </c>
      <c r="G13" s="140"/>
      <c r="H13" s="215">
        <f>H12+((C13*5%)/10)</f>
        <v>206639.65853560605</v>
      </c>
      <c r="I13" s="215">
        <f>I12+((D13*3.75%)/10)</f>
        <v>0</v>
      </c>
      <c r="J13" s="215">
        <f t="shared" si="3"/>
        <v>206639.65853560605</v>
      </c>
      <c r="K13" s="215">
        <v>33336</v>
      </c>
      <c r="L13" s="170">
        <f t="shared" si="1"/>
        <v>173303.65853560605</v>
      </c>
      <c r="M13" s="216">
        <f t="shared" si="4"/>
        <v>1830166.9291795453</v>
      </c>
      <c r="N13" s="141">
        <v>31</v>
      </c>
      <c r="O13" s="141">
        <f>365-SUM(N$11:N13)+1</f>
        <v>276</v>
      </c>
      <c r="P13" s="141">
        <f t="shared" si="2"/>
        <v>131046.05412555416</v>
      </c>
      <c r="Q13" s="141">
        <f t="shared" si="5"/>
        <v>1745323.7006612329</v>
      </c>
    </row>
    <row r="14" spans="1:18" x14ac:dyDescent="0.25">
      <c r="A14" t="s">
        <v>233</v>
      </c>
      <c r="B14" s="140">
        <v>45383</v>
      </c>
      <c r="C14" s="143">
        <v>-878861.44</v>
      </c>
      <c r="D14" s="143">
        <v>0</v>
      </c>
      <c r="E14" s="143">
        <v>-352921.58999999997</v>
      </c>
      <c r="F14" s="152">
        <f t="shared" si="0"/>
        <v>-1231783.0299999998</v>
      </c>
      <c r="G14" s="140"/>
      <c r="H14" s="215">
        <f>H13+((C14*5%)/9)</f>
        <v>201757.09498005049</v>
      </c>
      <c r="I14" s="215">
        <f>I13+((D14*3.75%)/9)</f>
        <v>0</v>
      </c>
      <c r="J14" s="215">
        <f t="shared" si="3"/>
        <v>201757.09498005049</v>
      </c>
      <c r="K14" s="215">
        <v>32614</v>
      </c>
      <c r="L14" s="170">
        <f t="shared" si="1"/>
        <v>169143.09498005049</v>
      </c>
      <c r="M14" s="216">
        <f t="shared" si="4"/>
        <v>1999310.0241595958</v>
      </c>
      <c r="N14" s="141">
        <v>30</v>
      </c>
      <c r="O14" s="141">
        <f>365-SUM(N$11:N14)+1</f>
        <v>246</v>
      </c>
      <c r="P14" s="141">
        <f t="shared" si="2"/>
        <v>113997.81195915732</v>
      </c>
      <c r="Q14" s="141">
        <f t="shared" si="5"/>
        <v>1859321.5126203902</v>
      </c>
    </row>
    <row r="15" spans="1:18" x14ac:dyDescent="0.25">
      <c r="A15" t="s">
        <v>233</v>
      </c>
      <c r="B15" s="140">
        <v>45413</v>
      </c>
      <c r="C15" s="143">
        <v>-437445.25</v>
      </c>
      <c r="D15" s="143">
        <v>0</v>
      </c>
      <c r="E15" s="143">
        <v>4255.87</v>
      </c>
      <c r="F15" s="152">
        <f t="shared" si="0"/>
        <v>-433189.38</v>
      </c>
      <c r="G15" s="140"/>
      <c r="H15" s="215">
        <f>H14+((C15*5%)/8)</f>
        <v>199023.0621675505</v>
      </c>
      <c r="I15" s="215">
        <f>I14+((D15*3.75%)/8)</f>
        <v>0</v>
      </c>
      <c r="J15" s="215">
        <f t="shared" si="3"/>
        <v>199023.0621675505</v>
      </c>
      <c r="K15" s="215">
        <v>31523</v>
      </c>
      <c r="L15" s="170">
        <f t="shared" si="1"/>
        <v>167500.0621675505</v>
      </c>
      <c r="M15" s="216">
        <f t="shared" si="4"/>
        <v>2166810.0863271463</v>
      </c>
      <c r="N15" s="141">
        <v>31</v>
      </c>
      <c r="O15" s="141">
        <f>365-SUM(N$11:N15)+1</f>
        <v>215</v>
      </c>
      <c r="P15" s="141">
        <f t="shared" si="2"/>
        <v>98664.420180885907</v>
      </c>
      <c r="Q15" s="141">
        <f t="shared" si="5"/>
        <v>1957985.932801276</v>
      </c>
    </row>
    <row r="16" spans="1:18" x14ac:dyDescent="0.25">
      <c r="A16" t="s">
        <v>233</v>
      </c>
      <c r="B16" s="140">
        <v>45444</v>
      </c>
      <c r="C16" s="143">
        <v>898296.1</v>
      </c>
      <c r="D16" s="143">
        <v>15747865.119999999</v>
      </c>
      <c r="E16" s="143">
        <v>5919.99</v>
      </c>
      <c r="F16" s="152">
        <f t="shared" si="0"/>
        <v>16652081.209999999</v>
      </c>
      <c r="G16" s="140"/>
      <c r="H16" s="215">
        <f>H15+((C16*5%)/7)</f>
        <v>205439.4628818362</v>
      </c>
      <c r="I16" s="215">
        <f>I15+((D16*3.75%)/7)</f>
        <v>84363.563142857136</v>
      </c>
      <c r="J16" s="215">
        <f t="shared" si="3"/>
        <v>289803.02602469333</v>
      </c>
      <c r="K16" s="215">
        <v>30979</v>
      </c>
      <c r="L16" s="170">
        <f t="shared" si="1"/>
        <v>258824.02602469333</v>
      </c>
      <c r="M16" s="216">
        <f t="shared" si="4"/>
        <v>2425634.1123518394</v>
      </c>
      <c r="N16" s="141">
        <v>30</v>
      </c>
      <c r="O16" s="141">
        <f>365-SUM(N$11:N16)+1</f>
        <v>185</v>
      </c>
      <c r="P16" s="141">
        <f t="shared" si="2"/>
        <v>131184.78031388565</v>
      </c>
      <c r="Q16" s="141">
        <f t="shared" si="5"/>
        <v>2089170.7131151618</v>
      </c>
    </row>
    <row r="17" spans="1:18" x14ac:dyDescent="0.25">
      <c r="A17" t="s">
        <v>233</v>
      </c>
      <c r="B17" s="140">
        <v>45474</v>
      </c>
      <c r="C17" s="143">
        <v>-330531.94000000006</v>
      </c>
      <c r="D17" s="143">
        <v>316626.6399999999</v>
      </c>
      <c r="E17" s="143">
        <v>4625.5200000000004</v>
      </c>
      <c r="F17" s="152">
        <f t="shared" si="0"/>
        <v>-9279.7800000001625</v>
      </c>
      <c r="G17" s="140"/>
      <c r="H17" s="215">
        <f>H16+((C17*5%)/6)</f>
        <v>202685.03004850287</v>
      </c>
      <c r="I17" s="215">
        <f>I16+((D17*3.75%)/6)</f>
        <v>86342.479642857128</v>
      </c>
      <c r="J17" s="215">
        <f t="shared" si="3"/>
        <v>289027.50969136</v>
      </c>
      <c r="K17" s="215">
        <v>58866</v>
      </c>
      <c r="L17" s="170">
        <f t="shared" si="1"/>
        <v>230161.50969136</v>
      </c>
      <c r="M17" s="216">
        <f t="shared" si="4"/>
        <v>2655795.6220431994</v>
      </c>
      <c r="N17" s="141">
        <v>31</v>
      </c>
      <c r="O17" s="141">
        <f>365-SUM(N$11:N17)+1</f>
        <v>154</v>
      </c>
      <c r="P17" s="141">
        <f t="shared" si="2"/>
        <v>97109.239705395725</v>
      </c>
      <c r="Q17" s="141">
        <f t="shared" si="5"/>
        <v>2186279.9528205576</v>
      </c>
    </row>
    <row r="18" spans="1:18" x14ac:dyDescent="0.25">
      <c r="A18" t="s">
        <v>233</v>
      </c>
      <c r="B18" s="140">
        <v>45505</v>
      </c>
      <c r="C18" s="143">
        <v>-14330.260000000009</v>
      </c>
      <c r="D18" s="143">
        <v>1045917.13</v>
      </c>
      <c r="E18" s="143">
        <v>0</v>
      </c>
      <c r="F18" s="152">
        <f t="shared" si="0"/>
        <v>1031586.87</v>
      </c>
      <c r="G18" s="140"/>
      <c r="H18" s="215">
        <f>H17+((C18*5%)/5)</f>
        <v>202541.72744850288</v>
      </c>
      <c r="I18" s="215">
        <f>I17+((D18*3.75%)/5)</f>
        <v>94186.858117857133</v>
      </c>
      <c r="J18" s="215">
        <f t="shared" si="3"/>
        <v>296728.58556636004</v>
      </c>
      <c r="K18" s="215">
        <v>58994</v>
      </c>
      <c r="L18" s="170">
        <f t="shared" si="1"/>
        <v>237734.58556636004</v>
      </c>
      <c r="M18" s="216">
        <f t="shared" si="4"/>
        <v>2893530.2076095594</v>
      </c>
      <c r="N18" s="141">
        <v>31</v>
      </c>
      <c r="O18" s="141">
        <f>365-SUM(N$11:N18)+1</f>
        <v>123</v>
      </c>
      <c r="P18" s="141">
        <f t="shared" si="2"/>
        <v>80113.2986977049</v>
      </c>
      <c r="Q18" s="141">
        <f t="shared" si="5"/>
        <v>2266393.2515182626</v>
      </c>
    </row>
    <row r="19" spans="1:18" x14ac:dyDescent="0.25">
      <c r="A19" t="s">
        <v>233</v>
      </c>
      <c r="B19" s="140">
        <v>45536</v>
      </c>
      <c r="C19" s="143">
        <v>-169784.15000000002</v>
      </c>
      <c r="D19" s="143">
        <v>280439.99</v>
      </c>
      <c r="E19" s="143">
        <v>1492.68</v>
      </c>
      <c r="F19" s="152">
        <f t="shared" si="0"/>
        <v>112148.51999999996</v>
      </c>
      <c r="G19" s="152"/>
      <c r="H19" s="215">
        <f>H18+((C19*5%)/4)</f>
        <v>200419.42557350287</v>
      </c>
      <c r="I19" s="215">
        <f>I18+((D19*3.75%)/4)</f>
        <v>96815.983024107132</v>
      </c>
      <c r="J19" s="215">
        <f t="shared" si="3"/>
        <v>297235.40859761002</v>
      </c>
      <c r="K19" s="215">
        <v>60755</v>
      </c>
      <c r="L19" s="170">
        <f>J19-K19</f>
        <v>236480.40859761002</v>
      </c>
      <c r="M19" s="216">
        <f t="shared" si="4"/>
        <v>3130010.6162071694</v>
      </c>
      <c r="N19" s="141">
        <v>30</v>
      </c>
      <c r="O19" s="141">
        <f>365-SUM(N$11:N19)+1</f>
        <v>93</v>
      </c>
      <c r="P19" s="141">
        <f>+L19*O19/N$23</f>
        <v>60253.912327610218</v>
      </c>
      <c r="Q19" s="141">
        <f t="shared" si="5"/>
        <v>2326647.163845873</v>
      </c>
    </row>
    <row r="20" spans="1:18" x14ac:dyDescent="0.25">
      <c r="A20" t="s">
        <v>233</v>
      </c>
      <c r="B20" s="140">
        <v>45566</v>
      </c>
      <c r="C20" s="143">
        <v>-116319.79999999999</v>
      </c>
      <c r="D20" s="143">
        <v>269690.64</v>
      </c>
      <c r="E20" s="143">
        <v>1422.4199999999998</v>
      </c>
      <c r="F20" s="152">
        <f t="shared" si="0"/>
        <v>154793.26000000004</v>
      </c>
      <c r="G20" s="152"/>
      <c r="H20" s="215">
        <f>H19+((C20*5%)/3)</f>
        <v>198480.76224016954</v>
      </c>
      <c r="I20" s="215">
        <f>I19+((D20*3.75%)/3)</f>
        <v>100187.11602410713</v>
      </c>
      <c r="J20" s="215">
        <f t="shared" si="3"/>
        <v>298667.87826427666</v>
      </c>
      <c r="K20" s="215">
        <v>61020</v>
      </c>
      <c r="L20" s="170">
        <f>J20-K20</f>
        <v>237647.87826427666</v>
      </c>
      <c r="M20" s="216">
        <f t="shared" si="4"/>
        <v>3367658.4944714461</v>
      </c>
      <c r="N20" s="141">
        <v>31</v>
      </c>
      <c r="O20" s="141">
        <f>365-SUM(N$11:N20)+1</f>
        <v>62</v>
      </c>
      <c r="P20" s="141">
        <f t="shared" si="2"/>
        <v>40367.584801055214</v>
      </c>
      <c r="Q20" s="141">
        <f t="shared" si="5"/>
        <v>2367014.748646928</v>
      </c>
    </row>
    <row r="21" spans="1:18" x14ac:dyDescent="0.25">
      <c r="A21" t="s">
        <v>233</v>
      </c>
      <c r="B21" s="140">
        <v>45597</v>
      </c>
      <c r="C21" s="143">
        <v>44786866.739999995</v>
      </c>
      <c r="D21" s="143">
        <v>485323.3000000001</v>
      </c>
      <c r="E21" s="143">
        <v>358250.25</v>
      </c>
      <c r="F21" s="152">
        <f t="shared" si="0"/>
        <v>45630440.289999992</v>
      </c>
      <c r="G21" s="152"/>
      <c r="H21" s="215">
        <f>H20+((C21*5%)/2)</f>
        <v>1318152.4307401695</v>
      </c>
      <c r="I21" s="215">
        <f>I20+((D21*3.75%)/2)</f>
        <v>109286.92789910713</v>
      </c>
      <c r="J21" s="215">
        <f t="shared" si="3"/>
        <v>1427439.3586392766</v>
      </c>
      <c r="K21" s="215">
        <v>61334</v>
      </c>
      <c r="L21" s="170">
        <f>J21-K21</f>
        <v>1366105.3586392766</v>
      </c>
      <c r="M21" s="216">
        <f t="shared" si="4"/>
        <v>4733763.8531107232</v>
      </c>
      <c r="N21" s="141">
        <v>30</v>
      </c>
      <c r="O21" s="141">
        <f>365-SUM(N$11:N21)+1</f>
        <v>32</v>
      </c>
      <c r="P21" s="141">
        <f>+L21*O21/N$23</f>
        <v>119768.14103138863</v>
      </c>
      <c r="Q21" s="141">
        <f t="shared" si="5"/>
        <v>2486782.8896783167</v>
      </c>
    </row>
    <row r="22" spans="1:18" ht="14.45" customHeight="1" x14ac:dyDescent="0.25">
      <c r="A22" t="s">
        <v>233</v>
      </c>
      <c r="B22" s="140">
        <v>45627</v>
      </c>
      <c r="C22" s="144">
        <v>2512093.3099999996</v>
      </c>
      <c r="D22" s="144">
        <v>611421.1100000001</v>
      </c>
      <c r="E22" s="144">
        <v>-2180.9499999999998</v>
      </c>
      <c r="F22" s="144">
        <f>SUM(C22:E22)</f>
        <v>3121333.4699999997</v>
      </c>
      <c r="G22" s="152"/>
      <c r="H22" s="217">
        <f>H21+((C22*5%)/1)</f>
        <v>1443757.0962401694</v>
      </c>
      <c r="I22" s="217">
        <f>I21+((D22*3.75%)/1)</f>
        <v>132215.21952410715</v>
      </c>
      <c r="J22" s="217">
        <f t="shared" si="3"/>
        <v>1575972.3157642765</v>
      </c>
      <c r="K22" s="217">
        <v>117770</v>
      </c>
      <c r="L22" s="218">
        <f>J22-K22</f>
        <v>1458202.3157642765</v>
      </c>
      <c r="M22" s="219">
        <f t="shared" si="4"/>
        <v>6191966.1688749995</v>
      </c>
      <c r="N22" s="141">
        <v>31</v>
      </c>
      <c r="O22" s="141">
        <f>365-SUM(N$11:N22)+1</f>
        <v>1</v>
      </c>
      <c r="P22" s="141">
        <f t="shared" si="2"/>
        <v>3995.0748377103469</v>
      </c>
      <c r="Q22" s="170">
        <f t="shared" si="5"/>
        <v>2490777.9645160269</v>
      </c>
    </row>
    <row r="23" spans="1:18" ht="15.75" thickBot="1" x14ac:dyDescent="0.3">
      <c r="B23" s="6" t="s">
        <v>21</v>
      </c>
      <c r="C23" s="145">
        <f>SUM(C10:C22)</f>
        <v>72515841.429999992</v>
      </c>
      <c r="D23" s="145">
        <f>SUM(D10:D22)</f>
        <v>18757283.93</v>
      </c>
      <c r="E23" s="145">
        <f t="shared" ref="E23:F23" si="6">SUM(E10:E22)</f>
        <v>5921830.0899999999</v>
      </c>
      <c r="F23" s="145">
        <f t="shared" si="6"/>
        <v>97194955.449999988</v>
      </c>
      <c r="G23" s="145"/>
      <c r="H23" s="145">
        <f>SUM(H11:H22)</f>
        <v>4798546.5214999998</v>
      </c>
      <c r="I23" s="145">
        <f>SUM(I11:I22)</f>
        <v>703398.14737499994</v>
      </c>
      <c r="J23" s="145">
        <f>SUM(J11:J22)</f>
        <v>5501944.6688749995</v>
      </c>
      <c r="K23" s="145">
        <f>SUM(K11:K22)</f>
        <v>613039</v>
      </c>
      <c r="L23" s="147">
        <f>SUM(L11:L22)</f>
        <v>4888905.6688749995</v>
      </c>
      <c r="M23" s="147"/>
      <c r="N23" s="148">
        <f>SUM(N11:N22)</f>
        <v>365</v>
      </c>
      <c r="O23" s="141"/>
      <c r="P23" s="146">
        <f>SUM(P11:P22)</f>
        <v>1187717.4645160267</v>
      </c>
      <c r="Q23" s="3"/>
    </row>
    <row r="24" spans="1:18" ht="14.45" customHeight="1" thickTop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147"/>
      <c r="M24" s="147"/>
      <c r="N24" s="147"/>
      <c r="O24" s="141"/>
      <c r="P24" s="147"/>
      <c r="Q24" s="3"/>
    </row>
    <row r="25" spans="1:18" x14ac:dyDescent="0.25">
      <c r="C25" s="154" t="s">
        <v>157</v>
      </c>
      <c r="D25" s="154" t="s">
        <v>157</v>
      </c>
      <c r="E25" s="154" t="s">
        <v>157</v>
      </c>
      <c r="F25" s="154" t="s">
        <v>157</v>
      </c>
      <c r="K25" s="154" t="s">
        <v>157</v>
      </c>
      <c r="P25" t="s">
        <v>173</v>
      </c>
      <c r="Q25" s="12">
        <v>0.24925</v>
      </c>
    </row>
    <row r="26" spans="1:18" ht="15.75" thickBot="1" x14ac:dyDescent="0.3"/>
    <row r="27" spans="1:18" ht="15.75" thickBot="1" x14ac:dyDescent="0.3">
      <c r="L27" s="187"/>
      <c r="M27" s="187"/>
      <c r="P27" s="7" t="s">
        <v>174</v>
      </c>
      <c r="Q27" s="149">
        <f>Q22*Q25</f>
        <v>620826.40765561967</v>
      </c>
      <c r="R27" t="s">
        <v>237</v>
      </c>
    </row>
    <row r="28" spans="1:18" x14ac:dyDescent="0.25">
      <c r="F28" s="151"/>
      <c r="G28" s="151"/>
      <c r="Q28" s="4"/>
    </row>
    <row r="30" spans="1:18" ht="60" x14ac:dyDescent="0.25">
      <c r="K30" s="139" t="s">
        <v>57</v>
      </c>
      <c r="L30" s="150" t="s">
        <v>226</v>
      </c>
      <c r="M30" s="150" t="s">
        <v>189</v>
      </c>
      <c r="N30" s="150" t="s">
        <v>178</v>
      </c>
      <c r="O30" s="150" t="s">
        <v>179</v>
      </c>
      <c r="P30" s="150" t="s">
        <v>227</v>
      </c>
      <c r="Q30" s="150" t="s">
        <v>194</v>
      </c>
    </row>
    <row r="31" spans="1:18" x14ac:dyDescent="0.25">
      <c r="K31" s="140">
        <v>45261</v>
      </c>
      <c r="L31" s="169">
        <v>125221</v>
      </c>
      <c r="M31" s="169">
        <v>125221</v>
      </c>
      <c r="N31" s="141" t="s">
        <v>217</v>
      </c>
      <c r="O31" s="141" t="s">
        <v>217</v>
      </c>
      <c r="P31" s="141" t="s">
        <v>217</v>
      </c>
      <c r="Q31" s="184">
        <f>M31</f>
        <v>125221</v>
      </c>
    </row>
    <row r="32" spans="1:18" x14ac:dyDescent="0.25">
      <c r="J32" t="s">
        <v>233</v>
      </c>
      <c r="K32" s="140">
        <v>45292</v>
      </c>
      <c r="L32" s="170">
        <v>7895.37</v>
      </c>
      <c r="M32" s="216">
        <f>M31+L32</f>
        <v>133116.37</v>
      </c>
      <c r="N32" s="141">
        <v>31</v>
      </c>
      <c r="O32" s="141">
        <v>335</v>
      </c>
      <c r="P32" s="141">
        <f t="shared" ref="P32:P42" si="7">+L32*O32/N$44</f>
        <v>7246.435479452055</v>
      </c>
      <c r="Q32" s="141">
        <f>+Q31+P32</f>
        <v>132467.43547945205</v>
      </c>
    </row>
    <row r="33" spans="10:18" x14ac:dyDescent="0.25">
      <c r="J33" t="s">
        <v>233</v>
      </c>
      <c r="K33" s="140">
        <v>45323</v>
      </c>
      <c r="L33" s="170">
        <v>95803.23</v>
      </c>
      <c r="M33" s="216">
        <f t="shared" ref="M33:M43" si="8">M32+L33</f>
        <v>228919.59999999998</v>
      </c>
      <c r="N33" s="141">
        <v>28</v>
      </c>
      <c r="O33" s="141">
        <v>307</v>
      </c>
      <c r="P33" s="141">
        <f t="shared" si="7"/>
        <v>80579.703041095883</v>
      </c>
      <c r="Q33" s="141">
        <f t="shared" ref="Q33:Q43" si="9">+Q32+P33</f>
        <v>213047.13852054795</v>
      </c>
    </row>
    <row r="34" spans="10:18" x14ac:dyDescent="0.25">
      <c r="J34" t="s">
        <v>233</v>
      </c>
      <c r="K34" s="140">
        <v>45352</v>
      </c>
      <c r="L34" s="170">
        <v>1827.71</v>
      </c>
      <c r="M34" s="216">
        <f t="shared" si="8"/>
        <v>230747.30999999997</v>
      </c>
      <c r="N34" s="141">
        <v>31</v>
      </c>
      <c r="O34" s="141">
        <v>276</v>
      </c>
      <c r="P34" s="141">
        <f t="shared" si="7"/>
        <v>1382.0492054794522</v>
      </c>
      <c r="Q34" s="141">
        <f t="shared" si="9"/>
        <v>214429.18772602739</v>
      </c>
    </row>
    <row r="35" spans="10:18" x14ac:dyDescent="0.25">
      <c r="J35" t="s">
        <v>233</v>
      </c>
      <c r="K35" s="140">
        <v>45383</v>
      </c>
      <c r="L35" s="170">
        <v>37347.550000000003</v>
      </c>
      <c r="M35" s="216">
        <f t="shared" si="8"/>
        <v>268094.86</v>
      </c>
      <c r="N35" s="141">
        <v>30</v>
      </c>
      <c r="O35" s="141">
        <v>246</v>
      </c>
      <c r="P35" s="141">
        <f t="shared" si="7"/>
        <v>25171.225479452056</v>
      </c>
      <c r="Q35" s="141">
        <f t="shared" si="9"/>
        <v>239600.41320547945</v>
      </c>
    </row>
    <row r="36" spans="10:18" x14ac:dyDescent="0.25">
      <c r="J36" t="s">
        <v>233</v>
      </c>
      <c r="K36" s="140">
        <v>45413</v>
      </c>
      <c r="L36" s="170">
        <v>0</v>
      </c>
      <c r="M36" s="216">
        <f t="shared" si="8"/>
        <v>268094.86</v>
      </c>
      <c r="N36" s="141">
        <v>31</v>
      </c>
      <c r="O36" s="141">
        <v>215</v>
      </c>
      <c r="P36" s="141">
        <f t="shared" si="7"/>
        <v>0</v>
      </c>
      <c r="Q36" s="141">
        <f t="shared" si="9"/>
        <v>239600.41320547945</v>
      </c>
    </row>
    <row r="37" spans="10:18" x14ac:dyDescent="0.25">
      <c r="J37" t="s">
        <v>233</v>
      </c>
      <c r="K37" s="140">
        <v>45444</v>
      </c>
      <c r="L37" s="170">
        <v>0</v>
      </c>
      <c r="M37" s="216">
        <f t="shared" si="8"/>
        <v>268094.86</v>
      </c>
      <c r="N37" s="141">
        <v>30</v>
      </c>
      <c r="O37" s="141">
        <v>185</v>
      </c>
      <c r="P37" s="141">
        <f t="shared" si="7"/>
        <v>0</v>
      </c>
      <c r="Q37" s="141">
        <f t="shared" si="9"/>
        <v>239600.41320547945</v>
      </c>
    </row>
    <row r="38" spans="10:18" x14ac:dyDescent="0.25">
      <c r="J38" t="s">
        <v>233</v>
      </c>
      <c r="K38" s="140">
        <v>45474</v>
      </c>
      <c r="L38" s="170">
        <v>8585.0400000000009</v>
      </c>
      <c r="M38" s="216">
        <f t="shared" si="8"/>
        <v>276679.89999999997</v>
      </c>
      <c r="N38" s="141">
        <v>31</v>
      </c>
      <c r="O38" s="141">
        <v>154</v>
      </c>
      <c r="P38" s="141">
        <f t="shared" si="7"/>
        <v>3622.1812602739728</v>
      </c>
      <c r="Q38" s="141">
        <f t="shared" si="9"/>
        <v>243222.59446575341</v>
      </c>
    </row>
    <row r="39" spans="10:18" x14ac:dyDescent="0.25">
      <c r="J39" t="s">
        <v>233</v>
      </c>
      <c r="K39" s="140">
        <v>45505</v>
      </c>
      <c r="L39" s="170">
        <v>0</v>
      </c>
      <c r="M39" s="216">
        <f t="shared" si="8"/>
        <v>276679.89999999997</v>
      </c>
      <c r="N39" s="141">
        <v>31</v>
      </c>
      <c r="O39" s="141">
        <v>123</v>
      </c>
      <c r="P39" s="141">
        <f t="shared" si="7"/>
        <v>0</v>
      </c>
      <c r="Q39" s="141">
        <f t="shared" si="9"/>
        <v>243222.59446575341</v>
      </c>
    </row>
    <row r="40" spans="10:18" x14ac:dyDescent="0.25">
      <c r="J40" t="s">
        <v>233</v>
      </c>
      <c r="K40" s="140">
        <v>45536</v>
      </c>
      <c r="L40" s="170">
        <v>0</v>
      </c>
      <c r="M40" s="216">
        <f t="shared" si="8"/>
        <v>276679.89999999997</v>
      </c>
      <c r="N40" s="141">
        <v>30</v>
      </c>
      <c r="O40" s="141">
        <v>93</v>
      </c>
      <c r="P40" s="141">
        <f t="shared" si="7"/>
        <v>0</v>
      </c>
      <c r="Q40" s="141">
        <f t="shared" si="9"/>
        <v>243222.59446575341</v>
      </c>
    </row>
    <row r="41" spans="10:18" x14ac:dyDescent="0.25">
      <c r="J41" t="s">
        <v>233</v>
      </c>
      <c r="K41" s="140">
        <v>45566</v>
      </c>
      <c r="L41" s="170">
        <v>0</v>
      </c>
      <c r="M41" s="216">
        <f t="shared" si="8"/>
        <v>276679.89999999997</v>
      </c>
      <c r="N41" s="141">
        <v>31</v>
      </c>
      <c r="O41" s="141">
        <v>62</v>
      </c>
      <c r="P41" s="141">
        <f t="shared" si="7"/>
        <v>0</v>
      </c>
      <c r="Q41" s="141">
        <f t="shared" si="9"/>
        <v>243222.59446575341</v>
      </c>
    </row>
    <row r="42" spans="10:18" x14ac:dyDescent="0.25">
      <c r="J42" t="s">
        <v>233</v>
      </c>
      <c r="K42" s="140">
        <v>45597</v>
      </c>
      <c r="L42" s="170">
        <v>1297277.6700000002</v>
      </c>
      <c r="M42" s="216">
        <f t="shared" si="8"/>
        <v>1573957.57</v>
      </c>
      <c r="N42" s="141">
        <v>30</v>
      </c>
      <c r="O42" s="141">
        <v>32</v>
      </c>
      <c r="P42" s="141">
        <f t="shared" si="7"/>
        <v>113733.93271232878</v>
      </c>
      <c r="Q42" s="141">
        <f t="shared" si="9"/>
        <v>356956.52717808221</v>
      </c>
    </row>
    <row r="43" spans="10:18" x14ac:dyDescent="0.25">
      <c r="J43" t="s">
        <v>233</v>
      </c>
      <c r="K43" s="140">
        <v>45627</v>
      </c>
      <c r="L43" s="218">
        <v>10738.699999999997</v>
      </c>
      <c r="M43" s="216">
        <f t="shared" si="8"/>
        <v>1584696.27</v>
      </c>
      <c r="N43" s="141">
        <v>31</v>
      </c>
      <c r="O43" s="141">
        <v>1</v>
      </c>
      <c r="P43" s="141">
        <f>+L43*O43/N$44</f>
        <v>29.42109589041095</v>
      </c>
      <c r="Q43" s="220">
        <f t="shared" si="9"/>
        <v>356985.94827397261</v>
      </c>
    </row>
    <row r="44" spans="10:18" ht="15.75" thickBot="1" x14ac:dyDescent="0.3">
      <c r="K44" s="6" t="s">
        <v>21</v>
      </c>
      <c r="L44" s="146">
        <f>SUM(L31:L43)</f>
        <v>1584696.27</v>
      </c>
      <c r="M44" s="147"/>
      <c r="N44" s="148">
        <v>365</v>
      </c>
      <c r="O44" s="141"/>
      <c r="P44" s="146">
        <f>SUM(P32:P43)</f>
        <v>231764.94827397261</v>
      </c>
      <c r="Q44" s="3"/>
    </row>
    <row r="45" spans="10:18" ht="15.75" thickTop="1" x14ac:dyDescent="0.25"/>
    <row r="46" spans="10:18" x14ac:dyDescent="0.25">
      <c r="P46" t="s">
        <v>173</v>
      </c>
      <c r="Q46" s="12">
        <v>0.24925</v>
      </c>
    </row>
    <row r="47" spans="10:18" ht="15.75" thickBot="1" x14ac:dyDescent="0.3"/>
    <row r="48" spans="10:18" ht="15.75" thickBot="1" x14ac:dyDescent="0.3">
      <c r="P48" s="7" t="s">
        <v>174</v>
      </c>
      <c r="Q48" s="149">
        <f>Q43*Q46</f>
        <v>88978.747607287674</v>
      </c>
      <c r="R48" t="s">
        <v>25</v>
      </c>
    </row>
    <row r="50" spans="1:22" ht="15.75" thickBot="1" x14ac:dyDescent="0.3"/>
    <row r="51" spans="1:22" ht="15.75" thickBot="1" x14ac:dyDescent="0.3">
      <c r="P51" s="185" t="s">
        <v>228</v>
      </c>
      <c r="Q51" s="221">
        <f>Q27+Q48</f>
        <v>709805.15526290738</v>
      </c>
    </row>
    <row r="53" spans="1:22" x14ac:dyDescent="0.25">
      <c r="A53" s="7" t="s">
        <v>218</v>
      </c>
    </row>
    <row r="54" spans="1:22" x14ac:dyDescent="0.25">
      <c r="A54" t="s">
        <v>103</v>
      </c>
      <c r="B54" s="4" t="s">
        <v>234</v>
      </c>
      <c r="C54" s="4" t="s">
        <v>235</v>
      </c>
      <c r="D54" s="4" t="s">
        <v>236</v>
      </c>
      <c r="E54" s="4" t="s">
        <v>252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5">
      <c r="A55" t="s">
        <v>219</v>
      </c>
      <c r="B55">
        <v>0.05</v>
      </c>
      <c r="C55">
        <v>9.5000000000000001E-2</v>
      </c>
      <c r="D55">
        <v>8.5500000000000007E-2</v>
      </c>
    </row>
    <row r="56" spans="1:22" x14ac:dyDescent="0.25">
      <c r="A56" t="s">
        <v>220</v>
      </c>
      <c r="B56">
        <v>3.7499999999999999E-2</v>
      </c>
      <c r="C56">
        <v>7.2190000000000004E-2</v>
      </c>
      <c r="D56">
        <v>6.6769999999999996E-2</v>
      </c>
    </row>
  </sheetData>
  <mergeCells count="3">
    <mergeCell ref="A1:Q1"/>
    <mergeCell ref="A2:Q2"/>
    <mergeCell ref="A3:Q3"/>
  </mergeCells>
  <printOptions horizontalCentered="1"/>
  <pageMargins left="0.7" right="0.7" top="0.75" bottom="0.75" header="0.3" footer="0.3"/>
  <pageSetup paperSize="5" scale="55" orientation="landscape" r:id="rId1"/>
  <headerFooter>
    <oddHeader xml:space="preserve">&amp;R&amp;"Times New Roman,Bold"&amp;10KyPSC Case No. 2025-00229
STAFF-DR-01-001 Attachment
Page &amp;P of &amp;N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L33"/>
  <sheetViews>
    <sheetView view="pageLayout" zoomScaleNormal="100" workbookViewId="0">
      <selection activeCell="I7" sqref="I7"/>
    </sheetView>
  </sheetViews>
  <sheetFormatPr defaultRowHeight="15" x14ac:dyDescent="0.25"/>
  <cols>
    <col min="1" max="1" width="8.28515625" bestFit="1" customWidth="1"/>
    <col min="2" max="2" width="22.140625" customWidth="1"/>
    <col min="3" max="3" width="10.7109375" customWidth="1"/>
    <col min="4" max="4" width="13.5703125" customWidth="1"/>
    <col min="5" max="6" width="17.42578125" customWidth="1"/>
    <col min="7" max="8" width="16.7109375" customWidth="1"/>
    <col min="9" max="9" width="17.7109375" customWidth="1"/>
    <col min="10" max="10" width="4.28515625" customWidth="1"/>
    <col min="12" max="12" width="12.5703125" bestFit="1" customWidth="1"/>
  </cols>
  <sheetData>
    <row r="1" spans="1:12" x14ac:dyDescent="0.25">
      <c r="A1" s="4"/>
      <c r="G1" s="4"/>
      <c r="H1" s="4"/>
      <c r="I1" s="4"/>
    </row>
    <row r="2" spans="1:12" x14ac:dyDescent="0.25">
      <c r="A2" s="69" t="str">
        <f>'Sch 1.0'!A2:J2</f>
        <v>Duke Energy Kentucky</v>
      </c>
      <c r="B2" s="69"/>
      <c r="C2" s="69"/>
      <c r="D2" s="69"/>
      <c r="E2" s="69"/>
      <c r="F2" s="69"/>
      <c r="G2" s="69"/>
      <c r="H2" s="69"/>
      <c r="I2" s="69"/>
      <c r="K2" s="69"/>
      <c r="L2" s="69"/>
    </row>
    <row r="3" spans="1:12" x14ac:dyDescent="0.25">
      <c r="A3" s="69" t="str">
        <f>'Sch 1.0'!A3:J3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K3" s="69"/>
      <c r="L3" s="69"/>
    </row>
    <row r="4" spans="1:12" x14ac:dyDescent="0.25">
      <c r="A4" s="69" t="s">
        <v>65</v>
      </c>
      <c r="B4" s="69"/>
      <c r="C4" s="69"/>
      <c r="D4" s="69"/>
      <c r="E4" s="69"/>
      <c r="F4" s="69"/>
      <c r="G4" s="69"/>
      <c r="H4" s="69"/>
      <c r="I4" s="69"/>
      <c r="K4" s="69"/>
      <c r="L4" s="69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K5" s="4"/>
      <c r="L5" s="4"/>
    </row>
    <row r="6" spans="1:12" x14ac:dyDescent="0.25">
      <c r="A6" s="4"/>
      <c r="G6" s="4"/>
      <c r="H6" s="4"/>
      <c r="I6" s="4"/>
    </row>
    <row r="7" spans="1:12" x14ac:dyDescent="0.25">
      <c r="A7" s="209" t="s">
        <v>255</v>
      </c>
      <c r="B7" s="104"/>
      <c r="C7" s="104"/>
      <c r="G7" s="4"/>
      <c r="H7" s="4"/>
      <c r="I7" s="4"/>
    </row>
    <row r="8" spans="1:12" x14ac:dyDescent="0.25">
      <c r="A8" s="4"/>
      <c r="G8" s="4"/>
      <c r="H8" s="4"/>
      <c r="I8" s="4"/>
    </row>
    <row r="9" spans="1:12" x14ac:dyDescent="0.25">
      <c r="A9" s="3" t="s">
        <v>136</v>
      </c>
      <c r="B9" s="3"/>
      <c r="C9" s="3" t="s">
        <v>58</v>
      </c>
      <c r="D9" s="231" t="s">
        <v>146</v>
      </c>
      <c r="E9" s="231"/>
      <c r="F9" s="231" t="s">
        <v>54</v>
      </c>
      <c r="G9" s="231"/>
      <c r="H9" s="231" t="s">
        <v>25</v>
      </c>
      <c r="I9" s="231"/>
    </row>
    <row r="10" spans="1:12" x14ac:dyDescent="0.25">
      <c r="A10" s="8" t="s">
        <v>137</v>
      </c>
      <c r="B10" s="8" t="s">
        <v>57</v>
      </c>
      <c r="C10" s="8" t="s">
        <v>59</v>
      </c>
      <c r="D10" s="8" t="s">
        <v>83</v>
      </c>
      <c r="E10" s="8" t="s">
        <v>87</v>
      </c>
      <c r="F10" s="8" t="s">
        <v>83</v>
      </c>
      <c r="G10" s="8" t="s">
        <v>87</v>
      </c>
      <c r="H10" s="8" t="s">
        <v>83</v>
      </c>
      <c r="I10" s="8" t="s">
        <v>87</v>
      </c>
    </row>
    <row r="11" spans="1:12" x14ac:dyDescent="0.25">
      <c r="B11" s="16" t="s">
        <v>63</v>
      </c>
      <c r="C11" s="16" t="s">
        <v>64</v>
      </c>
      <c r="D11" s="16" t="s">
        <v>66</v>
      </c>
      <c r="E11" s="16" t="s">
        <v>84</v>
      </c>
      <c r="F11" s="16" t="s">
        <v>109</v>
      </c>
      <c r="G11" s="16" t="s">
        <v>110</v>
      </c>
      <c r="H11" s="16" t="s">
        <v>111</v>
      </c>
      <c r="I11" s="16" t="s">
        <v>112</v>
      </c>
    </row>
    <row r="12" spans="1:12" x14ac:dyDescent="0.25">
      <c r="G12" s="34"/>
      <c r="H12" s="34"/>
    </row>
    <row r="13" spans="1:12" x14ac:dyDescent="0.25">
      <c r="G13" s="34"/>
      <c r="H13" s="34"/>
    </row>
    <row r="14" spans="1:12" x14ac:dyDescent="0.25">
      <c r="A14" s="4">
        <v>1</v>
      </c>
      <c r="B14" s="106" t="s">
        <v>254</v>
      </c>
      <c r="C14" s="97">
        <v>13</v>
      </c>
      <c r="D14" s="109">
        <f>+'Sch 4.3'!E15</f>
        <v>32060970</v>
      </c>
      <c r="E14" s="63">
        <f>D14</f>
        <v>32060970</v>
      </c>
      <c r="F14" s="109">
        <f>+'Sch 4.3'!$E$21</f>
        <v>142000</v>
      </c>
      <c r="G14" s="87">
        <f t="shared" ref="G14:G26" si="0">G13+F14</f>
        <v>142000</v>
      </c>
      <c r="H14" s="109">
        <f>+'Sch 4.3'!E27</f>
        <v>125221</v>
      </c>
      <c r="I14" s="63">
        <f>H14</f>
        <v>125221</v>
      </c>
      <c r="L14" s="51"/>
    </row>
    <row r="15" spans="1:12" x14ac:dyDescent="0.25">
      <c r="A15" s="4">
        <f>A14+1</f>
        <v>2</v>
      </c>
      <c r="B15" s="107">
        <v>45292</v>
      </c>
      <c r="C15" s="97">
        <v>12</v>
      </c>
      <c r="D15" s="208">
        <f>+'Sch 4.3'!F15</f>
        <v>909378.68999999971</v>
      </c>
      <c r="E15" s="81">
        <f>E14+D15</f>
        <v>32970348.690000001</v>
      </c>
      <c r="F15" s="208">
        <f>+'Sch 4.3'!$F$21</f>
        <v>0</v>
      </c>
      <c r="G15" s="81">
        <f t="shared" si="0"/>
        <v>142000</v>
      </c>
      <c r="H15" s="208">
        <f>+'Sch 4.3'!$F$27</f>
        <v>7895.37</v>
      </c>
      <c r="I15" s="81">
        <f>I14+H15</f>
        <v>133116.37</v>
      </c>
      <c r="J15" s="18"/>
    </row>
    <row r="16" spans="1:12" ht="17.25" x14ac:dyDescent="0.4">
      <c r="A16" s="4">
        <f>A15+1</f>
        <v>3</v>
      </c>
      <c r="B16" s="107">
        <v>45323</v>
      </c>
      <c r="C16" s="97">
        <f>C15-1</f>
        <v>11</v>
      </c>
      <c r="D16" s="208">
        <f>+'Sch 4.3'!G$15</f>
        <v>-108853.43000000008</v>
      </c>
      <c r="E16" s="81">
        <f t="shared" ref="E16:E26" si="1">E15+D16</f>
        <v>32861495.260000002</v>
      </c>
      <c r="F16" s="208">
        <f>+'Sch 4.3'!$G$21</f>
        <v>0</v>
      </c>
      <c r="G16" s="81">
        <f t="shared" si="0"/>
        <v>142000</v>
      </c>
      <c r="H16" s="208">
        <f>+'Sch 4.3'!$G$27</f>
        <v>95803.23</v>
      </c>
      <c r="I16" s="81">
        <f t="shared" ref="I16:I26" si="2">I15+H16</f>
        <v>228919.59999999998</v>
      </c>
      <c r="J16" s="19"/>
    </row>
    <row r="17" spans="1:12" x14ac:dyDescent="0.25">
      <c r="A17" s="4">
        <f t="shared" ref="A17:A26" si="3">A16+1</f>
        <v>4</v>
      </c>
      <c r="B17" s="107">
        <v>45352</v>
      </c>
      <c r="C17" s="97">
        <f t="shared" ref="C17:C26" si="4">C16-1</f>
        <v>10</v>
      </c>
      <c r="D17" s="208">
        <f>+'Sch 4.3'!H$15</f>
        <v>-552671.24</v>
      </c>
      <c r="E17" s="81">
        <f t="shared" si="1"/>
        <v>32308824.020000003</v>
      </c>
      <c r="F17" s="208">
        <f>+'Sch 4.3'!$H$21</f>
        <v>0</v>
      </c>
      <c r="G17" s="81">
        <f t="shared" si="0"/>
        <v>142000</v>
      </c>
      <c r="H17" s="208">
        <f>+'Sch 4.3'!$H$27</f>
        <v>1827.71</v>
      </c>
      <c r="I17" s="81">
        <f t="shared" si="2"/>
        <v>230747.30999999997</v>
      </c>
      <c r="J17" s="18"/>
    </row>
    <row r="18" spans="1:12" x14ac:dyDescent="0.25">
      <c r="A18" s="4">
        <f t="shared" si="3"/>
        <v>5</v>
      </c>
      <c r="B18" s="107">
        <v>45383</v>
      </c>
      <c r="C18" s="97">
        <f t="shared" si="4"/>
        <v>9</v>
      </c>
      <c r="D18" s="208">
        <f>+'Sch 4.3'!I$15</f>
        <v>-1231783.0299999998</v>
      </c>
      <c r="E18" s="81">
        <f t="shared" si="1"/>
        <v>31077040.990000002</v>
      </c>
      <c r="F18" s="208">
        <f>+'Sch 4.3'!$I$21</f>
        <v>0</v>
      </c>
      <c r="G18" s="81">
        <f t="shared" si="0"/>
        <v>142000</v>
      </c>
      <c r="H18" s="208">
        <f>+'Sch 4.3'!$I$27</f>
        <v>37347.550000000003</v>
      </c>
      <c r="I18" s="81">
        <f t="shared" si="2"/>
        <v>268094.86</v>
      </c>
      <c r="J18" s="14"/>
    </row>
    <row r="19" spans="1:12" x14ac:dyDescent="0.25">
      <c r="A19" s="4">
        <f t="shared" si="3"/>
        <v>6</v>
      </c>
      <c r="B19" s="107">
        <v>45413</v>
      </c>
      <c r="C19" s="97">
        <f t="shared" si="4"/>
        <v>8</v>
      </c>
      <c r="D19" s="208">
        <f>+'Sch 4.3'!J$15</f>
        <v>-433189.38</v>
      </c>
      <c r="E19" s="81">
        <f t="shared" si="1"/>
        <v>30643851.610000003</v>
      </c>
      <c r="F19" s="208">
        <f>+'Sch 4.3'!$J$21</f>
        <v>0</v>
      </c>
      <c r="G19" s="81">
        <f t="shared" si="0"/>
        <v>142000</v>
      </c>
      <c r="H19" s="208">
        <f>+'Sch 4.3'!$J$27</f>
        <v>0</v>
      </c>
      <c r="I19" s="81">
        <f t="shared" si="2"/>
        <v>268094.86</v>
      </c>
    </row>
    <row r="20" spans="1:12" x14ac:dyDescent="0.25">
      <c r="A20" s="4">
        <f t="shared" si="3"/>
        <v>7</v>
      </c>
      <c r="B20" s="107">
        <v>45444</v>
      </c>
      <c r="C20" s="97">
        <f t="shared" si="4"/>
        <v>7</v>
      </c>
      <c r="D20" s="208">
        <f>+'Sch 4.3'!K$15</f>
        <v>16652081.209999999</v>
      </c>
      <c r="E20" s="81">
        <f t="shared" si="1"/>
        <v>47295932.82</v>
      </c>
      <c r="F20" s="208">
        <f>+'Sch 4.3'!$K$21</f>
        <v>0</v>
      </c>
      <c r="G20" s="81">
        <f t="shared" si="0"/>
        <v>142000</v>
      </c>
      <c r="H20" s="208">
        <f>+'Sch 4.3'!$K$27</f>
        <v>0</v>
      </c>
      <c r="I20" s="81">
        <f t="shared" si="2"/>
        <v>268094.86</v>
      </c>
      <c r="J20" s="1"/>
    </row>
    <row r="21" spans="1:12" ht="17.25" x14ac:dyDescent="0.4">
      <c r="A21" s="4">
        <f t="shared" si="3"/>
        <v>8</v>
      </c>
      <c r="B21" s="107">
        <v>45474</v>
      </c>
      <c r="C21" s="97">
        <f t="shared" si="4"/>
        <v>6</v>
      </c>
      <c r="D21" s="208">
        <f>+'Sch 4.3'!L$15</f>
        <v>-9279.7800000001625</v>
      </c>
      <c r="E21" s="81">
        <f t="shared" si="1"/>
        <v>47286653.039999999</v>
      </c>
      <c r="F21" s="208">
        <f>+'Sch 4.3'!$L$21</f>
        <v>0</v>
      </c>
      <c r="G21" s="81">
        <f t="shared" si="0"/>
        <v>142000</v>
      </c>
      <c r="H21" s="208">
        <f>+'Sch 4.3'!$L$27</f>
        <v>8585.0400000000009</v>
      </c>
      <c r="I21" s="81">
        <f t="shared" si="2"/>
        <v>276679.89999999997</v>
      </c>
      <c r="J21" s="19"/>
    </row>
    <row r="22" spans="1:12" x14ac:dyDescent="0.25">
      <c r="A22" s="4">
        <f t="shared" si="3"/>
        <v>9</v>
      </c>
      <c r="B22" s="107">
        <v>45505</v>
      </c>
      <c r="C22" s="97">
        <f t="shared" si="4"/>
        <v>5</v>
      </c>
      <c r="D22" s="208">
        <f>+'Sch 4.3'!M$15</f>
        <v>1031586.87</v>
      </c>
      <c r="E22" s="81">
        <f t="shared" si="1"/>
        <v>48318239.909999996</v>
      </c>
      <c r="F22" s="208">
        <f>+'Sch 4.3'!$M$21</f>
        <v>0</v>
      </c>
      <c r="G22" s="81">
        <f t="shared" si="0"/>
        <v>142000</v>
      </c>
      <c r="H22" s="208">
        <f>+'Sch 4.3'!$M$27</f>
        <v>0</v>
      </c>
      <c r="I22" s="81">
        <f t="shared" si="2"/>
        <v>276679.89999999997</v>
      </c>
      <c r="J22" s="18"/>
    </row>
    <row r="23" spans="1:12" x14ac:dyDescent="0.25">
      <c r="A23" s="4">
        <f t="shared" si="3"/>
        <v>10</v>
      </c>
      <c r="B23" s="107">
        <v>45536</v>
      </c>
      <c r="C23" s="97">
        <f t="shared" si="4"/>
        <v>4</v>
      </c>
      <c r="D23" s="208">
        <f>+'Sch 4.3'!N$15</f>
        <v>112148.51999999996</v>
      </c>
      <c r="E23" s="81">
        <f t="shared" si="1"/>
        <v>48430388.43</v>
      </c>
      <c r="F23" s="208">
        <f>+'Sch 4.3'!$N$21</f>
        <v>0</v>
      </c>
      <c r="G23" s="81">
        <f t="shared" si="0"/>
        <v>142000</v>
      </c>
      <c r="H23" s="208">
        <f>+'Sch 4.3'!$N$27</f>
        <v>0</v>
      </c>
      <c r="I23" s="81">
        <f t="shared" si="2"/>
        <v>276679.89999999997</v>
      </c>
    </row>
    <row r="24" spans="1:12" x14ac:dyDescent="0.25">
      <c r="A24" s="4">
        <f t="shared" si="3"/>
        <v>11</v>
      </c>
      <c r="B24" s="107">
        <v>45566</v>
      </c>
      <c r="C24" s="97">
        <f t="shared" si="4"/>
        <v>3</v>
      </c>
      <c r="D24" s="208">
        <f>+'Sch 4.3'!O$15</f>
        <v>154793.26000000004</v>
      </c>
      <c r="E24" s="81">
        <f t="shared" si="1"/>
        <v>48585181.689999998</v>
      </c>
      <c r="F24" s="208">
        <f>+'Sch 4.3'!$O$21</f>
        <v>0</v>
      </c>
      <c r="G24" s="81">
        <f t="shared" si="0"/>
        <v>142000</v>
      </c>
      <c r="H24" s="208">
        <f>+'Sch 4.3'!$O$27</f>
        <v>0</v>
      </c>
      <c r="I24" s="81">
        <f t="shared" si="2"/>
        <v>276679.89999999997</v>
      </c>
      <c r="J24" s="2"/>
    </row>
    <row r="25" spans="1:12" x14ac:dyDescent="0.25">
      <c r="A25" s="4">
        <f t="shared" si="3"/>
        <v>12</v>
      </c>
      <c r="B25" s="107">
        <v>45597</v>
      </c>
      <c r="C25" s="97">
        <f t="shared" si="4"/>
        <v>2</v>
      </c>
      <c r="D25" s="208">
        <f>+'Sch 4.3'!P$15</f>
        <v>45889899.489999995</v>
      </c>
      <c r="E25" s="81">
        <f t="shared" si="1"/>
        <v>94475081.179999992</v>
      </c>
      <c r="F25" s="208">
        <f>+'Sch 4.3'!$P$21</f>
        <v>259459.20000000001</v>
      </c>
      <c r="G25" s="81">
        <f t="shared" si="0"/>
        <v>401459.20000000001</v>
      </c>
      <c r="H25" s="208">
        <f>+'Sch 4.3'!$P$27</f>
        <v>1297277.6700000002</v>
      </c>
      <c r="I25" s="81">
        <f t="shared" si="2"/>
        <v>1573957.57</v>
      </c>
    </row>
    <row r="26" spans="1:12" x14ac:dyDescent="0.25">
      <c r="A26" s="4">
        <f t="shared" si="3"/>
        <v>13</v>
      </c>
      <c r="B26" s="107">
        <v>45627</v>
      </c>
      <c r="C26" s="97">
        <f t="shared" si="4"/>
        <v>1</v>
      </c>
      <c r="D26" s="208">
        <f>+'Sch 4.3'!Q$15</f>
        <v>3384541.4699999997</v>
      </c>
      <c r="E26" s="82">
        <f t="shared" si="1"/>
        <v>97859622.649999991</v>
      </c>
      <c r="F26" s="208">
        <f>+'Sch 4.3'!$Q$21</f>
        <v>263208</v>
      </c>
      <c r="G26" s="82">
        <f t="shared" si="0"/>
        <v>664667.19999999995</v>
      </c>
      <c r="H26" s="208">
        <f>+'Sch 4.3'!$Q$27</f>
        <v>10738.699999999997</v>
      </c>
      <c r="I26" s="82">
        <f t="shared" si="2"/>
        <v>1584696.27</v>
      </c>
      <c r="L26" s="51"/>
    </row>
    <row r="27" spans="1:12" x14ac:dyDescent="0.25">
      <c r="A27" s="4"/>
      <c r="E27" s="76">
        <f>SUM(E14:E26)</f>
        <v>624173630.29000008</v>
      </c>
      <c r="G27" s="76">
        <f>SUM(G14:G26)</f>
        <v>2628126.4</v>
      </c>
      <c r="H27" s="2"/>
      <c r="I27" s="76">
        <f>SUM(I14:I26)</f>
        <v>5787662.2999999989</v>
      </c>
      <c r="J27" s="2"/>
    </row>
    <row r="28" spans="1:12" x14ac:dyDescent="0.25">
      <c r="A28" s="4">
        <f>A26+1</f>
        <v>14</v>
      </c>
      <c r="B28" t="s">
        <v>88</v>
      </c>
      <c r="E28" s="104">
        <v>13</v>
      </c>
      <c r="F28" s="104"/>
      <c r="G28" s="104">
        <v>13</v>
      </c>
      <c r="H28" s="104"/>
      <c r="I28" s="105">
        <v>13</v>
      </c>
    </row>
    <row r="29" spans="1:12" ht="15.75" thickBot="1" x14ac:dyDescent="0.3">
      <c r="A29" s="4">
        <f>A28+1</f>
        <v>15</v>
      </c>
      <c r="B29" t="s">
        <v>89</v>
      </c>
      <c r="E29" s="55">
        <f>ROUND(E27/E28,0)</f>
        <v>48013356</v>
      </c>
      <c r="F29" s="51"/>
      <c r="G29" s="55">
        <f>ROUND(G27/G28,0)</f>
        <v>202164</v>
      </c>
      <c r="H29" s="51"/>
      <c r="I29" s="55">
        <f>ROUND(I27/I28,0)</f>
        <v>445205</v>
      </c>
    </row>
    <row r="30" spans="1:12" ht="15.75" thickTop="1" x14ac:dyDescent="0.25"/>
    <row r="31" spans="1:12" x14ac:dyDescent="0.25">
      <c r="A31" s="4"/>
      <c r="E31" s="34"/>
      <c r="G31" s="34"/>
      <c r="H31" s="34"/>
      <c r="I31" s="34"/>
    </row>
    <row r="32" spans="1:12" x14ac:dyDescent="0.25">
      <c r="F32" s="37"/>
    </row>
    <row r="33" spans="5:5" x14ac:dyDescent="0.25">
      <c r="E33" s="76"/>
    </row>
  </sheetData>
  <mergeCells count="3">
    <mergeCell ref="D9:E9"/>
    <mergeCell ref="F9:G9"/>
    <mergeCell ref="H9:I9"/>
  </mergeCells>
  <printOptions horizontalCentered="1"/>
  <pageMargins left="0.7" right="0.7" top="0.75" bottom="0.75" header="0.3" footer="0.3"/>
  <pageSetup scale="73" orientation="landscape" r:id="rId1"/>
  <headerFooter>
    <oddHeader xml:space="preserve">&amp;R&amp;"Times New Roman,Bold"&amp;10KyPSC Case No. 2025-00229
STAFF-DR-01-001 Attachment
Page &amp;P of &amp;N
</oddHeader>
  </headerFooter>
  <ignoredErrors>
    <ignoredError sqref="F15:F26 H15:H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50"/>
  <sheetViews>
    <sheetView view="pageLayout" zoomScaleNormal="100" workbookViewId="0">
      <selection activeCell="I7" sqref="I7"/>
    </sheetView>
  </sheetViews>
  <sheetFormatPr defaultRowHeight="15" x14ac:dyDescent="0.25"/>
  <cols>
    <col min="1" max="1" width="6.7109375" style="4" customWidth="1"/>
    <col min="2" max="2" width="35.42578125" customWidth="1"/>
    <col min="3" max="3" width="3.42578125" customWidth="1"/>
    <col min="4" max="4" width="20.85546875" customWidth="1"/>
    <col min="5" max="5" width="16.85546875" style="4" bestFit="1" customWidth="1"/>
    <col min="6" max="7" width="16.85546875" style="4" customWidth="1"/>
    <col min="8" max="8" width="15.42578125" style="4" customWidth="1"/>
    <col min="9" max="9" width="12.7109375" style="4" customWidth="1"/>
    <col min="10" max="10" width="15.28515625" customWidth="1"/>
  </cols>
  <sheetData>
    <row r="2" spans="1:10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25">
      <c r="A3" s="69" t="s">
        <v>134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x14ac:dyDescent="0.25">
      <c r="A4" s="69" t="s">
        <v>135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25">
      <c r="B5" s="4"/>
      <c r="C5" s="4"/>
      <c r="D5" s="4"/>
      <c r="J5" s="4"/>
    </row>
    <row r="6" spans="1:10" x14ac:dyDescent="0.25">
      <c r="D6" s="3" t="s">
        <v>45</v>
      </c>
    </row>
    <row r="7" spans="1:10" x14ac:dyDescent="0.25">
      <c r="A7" s="3"/>
      <c r="B7" s="7"/>
      <c r="C7" s="7"/>
      <c r="D7" s="3" t="s">
        <v>166</v>
      </c>
      <c r="E7" s="3" t="s">
        <v>241</v>
      </c>
      <c r="F7" s="3" t="s">
        <v>242</v>
      </c>
      <c r="G7" s="3"/>
      <c r="H7" s="3" t="s">
        <v>18</v>
      </c>
    </row>
    <row r="8" spans="1:10" x14ac:dyDescent="0.25">
      <c r="A8" s="3" t="s">
        <v>136</v>
      </c>
      <c r="B8" s="7"/>
      <c r="C8" s="7"/>
      <c r="D8" s="3" t="s">
        <v>138</v>
      </c>
      <c r="E8" s="3" t="s">
        <v>16</v>
      </c>
      <c r="F8" s="3" t="s">
        <v>16</v>
      </c>
      <c r="G8" s="3"/>
      <c r="H8" s="3" t="s">
        <v>19</v>
      </c>
      <c r="I8" s="3" t="s">
        <v>20</v>
      </c>
    </row>
    <row r="9" spans="1:10" x14ac:dyDescent="0.25">
      <c r="A9" s="8" t="s">
        <v>137</v>
      </c>
      <c r="B9" s="9" t="s">
        <v>15</v>
      </c>
      <c r="C9" s="9"/>
      <c r="D9" s="8" t="s">
        <v>139</v>
      </c>
      <c r="E9" s="8" t="s">
        <v>17</v>
      </c>
      <c r="F9" s="8" t="s">
        <v>17</v>
      </c>
      <c r="G9" s="8" t="s">
        <v>21</v>
      </c>
      <c r="H9" s="8" t="s">
        <v>210</v>
      </c>
      <c r="I9" s="8" t="s">
        <v>140</v>
      </c>
    </row>
    <row r="10" spans="1:10" x14ac:dyDescent="0.25">
      <c r="B10" s="16" t="s">
        <v>63</v>
      </c>
      <c r="C10" s="3"/>
      <c r="D10" s="3" t="s">
        <v>64</v>
      </c>
      <c r="E10" s="3" t="s">
        <v>66</v>
      </c>
      <c r="F10" s="3" t="s">
        <v>84</v>
      </c>
      <c r="G10" s="3" t="s">
        <v>109</v>
      </c>
      <c r="H10" s="3" t="s">
        <v>110</v>
      </c>
      <c r="I10" s="3" t="s">
        <v>111</v>
      </c>
    </row>
    <row r="11" spans="1:10" x14ac:dyDescent="0.25">
      <c r="B11" s="16"/>
    </row>
    <row r="12" spans="1:10" x14ac:dyDescent="0.25">
      <c r="A12" s="4">
        <v>1</v>
      </c>
      <c r="B12" s="22" t="s">
        <v>60</v>
      </c>
      <c r="D12" s="123">
        <v>0.86931999999999998</v>
      </c>
      <c r="E12" s="46">
        <f>ROUND($E$16*D12,0)</f>
        <v>13073613</v>
      </c>
      <c r="F12" s="120">
        <f>ROUND($F$16*D12,0)</f>
        <v>1304781</v>
      </c>
      <c r="G12" s="46">
        <f>E12+F12</f>
        <v>14378394</v>
      </c>
      <c r="H12" s="11">
        <f>'Sch 3.0'!O13</f>
        <v>61304219</v>
      </c>
      <c r="I12" s="164">
        <f>G12/H12</f>
        <v>0.23454167159359782</v>
      </c>
      <c r="J12" t="s">
        <v>80</v>
      </c>
    </row>
    <row r="13" spans="1:10" x14ac:dyDescent="0.25">
      <c r="A13" s="4">
        <f>A12+1</f>
        <v>2</v>
      </c>
      <c r="B13" s="22" t="s">
        <v>62</v>
      </c>
      <c r="D13" s="123">
        <v>0.12506</v>
      </c>
      <c r="E13" s="101">
        <f>ROUND($E$16*D13,0)</f>
        <v>1880764</v>
      </c>
      <c r="F13" s="121">
        <f>ROUND($F$16*D13,0)</f>
        <v>187705</v>
      </c>
      <c r="G13" s="101">
        <f>E13+F13</f>
        <v>2068469</v>
      </c>
      <c r="H13" s="11">
        <f>'Sch 3.0'!O14</f>
        <v>34133572</v>
      </c>
      <c r="I13" s="164">
        <f>G13/H13</f>
        <v>6.0599254013028583E-2</v>
      </c>
      <c r="J13" t="s">
        <v>80</v>
      </c>
    </row>
    <row r="14" spans="1:10" x14ac:dyDescent="0.25">
      <c r="A14" s="4">
        <f>A13+1</f>
        <v>3</v>
      </c>
      <c r="B14" s="22" t="s">
        <v>67</v>
      </c>
      <c r="D14" s="123">
        <v>3.4099999999999998E-3</v>
      </c>
      <c r="E14" s="101">
        <f>ROUND($E$16*D14,0)</f>
        <v>51283</v>
      </c>
      <c r="F14" s="121">
        <f>ROUND($F$16*D14,0)</f>
        <v>5118</v>
      </c>
      <c r="G14" s="101">
        <f>E14+F14</f>
        <v>56401</v>
      </c>
      <c r="H14" s="11">
        <f>'Sch 3.0'!O15</f>
        <v>30021837</v>
      </c>
      <c r="I14" s="32">
        <f>G14/H14</f>
        <v>1.8786658524593282E-3</v>
      </c>
      <c r="J14" t="s">
        <v>80</v>
      </c>
    </row>
    <row r="15" spans="1:10" x14ac:dyDescent="0.25">
      <c r="A15" s="4">
        <f>A14+1</f>
        <v>4</v>
      </c>
      <c r="B15" s="22" t="s">
        <v>61</v>
      </c>
      <c r="D15" s="124">
        <v>2.2100000000000002E-3</v>
      </c>
      <c r="E15" s="101">
        <f>ROUND($E$16*D15,0)</f>
        <v>33236</v>
      </c>
      <c r="F15" s="121">
        <f>ROUND($F$16*D15,0)</f>
        <v>3317</v>
      </c>
      <c r="G15" s="101">
        <f>E15+F15</f>
        <v>36553</v>
      </c>
      <c r="H15" s="11">
        <f>'Sch 3.0'!O16</f>
        <v>16549168</v>
      </c>
      <c r="I15" s="32">
        <f>G15/H15</f>
        <v>2.208751521526641E-3</v>
      </c>
      <c r="J15" t="s">
        <v>80</v>
      </c>
    </row>
    <row r="16" spans="1:10" ht="15.75" thickBot="1" x14ac:dyDescent="0.3">
      <c r="A16" s="4">
        <f>A15+1</f>
        <v>5</v>
      </c>
      <c r="B16" t="s">
        <v>21</v>
      </c>
      <c r="D16" s="125">
        <f>SUM(D10:D15)</f>
        <v>1</v>
      </c>
      <c r="E16" s="47">
        <f>+'Sch 1.1'!F29</f>
        <v>15038896</v>
      </c>
      <c r="F16" s="122">
        <f>'Sch 4.1'!F34</f>
        <v>1500921</v>
      </c>
      <c r="G16" s="47">
        <f>E16+F16</f>
        <v>16539817</v>
      </c>
      <c r="H16" s="18"/>
    </row>
    <row r="17" spans="2:9" ht="15.75" thickTop="1" x14ac:dyDescent="0.25">
      <c r="E17" s="4" t="s">
        <v>150</v>
      </c>
      <c r="F17" s="4" t="s">
        <v>151</v>
      </c>
      <c r="H17" s="4" t="s">
        <v>165</v>
      </c>
    </row>
    <row r="20" spans="2:9" x14ac:dyDescent="0.25">
      <c r="B20" t="s">
        <v>198</v>
      </c>
    </row>
    <row r="21" spans="2:9" x14ac:dyDescent="0.25">
      <c r="B21" t="s">
        <v>197</v>
      </c>
    </row>
    <row r="22" spans="2:9" x14ac:dyDescent="0.25">
      <c r="F22" s="86"/>
      <c r="G22" s="127"/>
    </row>
    <row r="23" spans="2:9" x14ac:dyDescent="0.25">
      <c r="D23" s="85"/>
    </row>
    <row r="24" spans="2:9" x14ac:dyDescent="0.25">
      <c r="E24" s="127"/>
      <c r="F24" s="127"/>
      <c r="G24" s="127"/>
    </row>
    <row r="25" spans="2:9" x14ac:dyDescent="0.25">
      <c r="E25" s="127"/>
      <c r="F25" s="127"/>
      <c r="G25" s="127"/>
    </row>
    <row r="26" spans="2:9" x14ac:dyDescent="0.25">
      <c r="E26" s="127"/>
      <c r="F26" s="127"/>
      <c r="G26" s="127"/>
    </row>
    <row r="27" spans="2:9" x14ac:dyDescent="0.25">
      <c r="E27" s="127"/>
      <c r="F27" s="127"/>
      <c r="G27" s="127"/>
    </row>
    <row r="28" spans="2:9" x14ac:dyDescent="0.25">
      <c r="E28" s="127"/>
      <c r="F28" s="127"/>
      <c r="G28" s="127"/>
    </row>
    <row r="29" spans="2:9" x14ac:dyDescent="0.25">
      <c r="E29" s="127"/>
      <c r="F29" s="127"/>
      <c r="H29" s="129"/>
      <c r="I29" s="128"/>
    </row>
    <row r="30" spans="2:9" x14ac:dyDescent="0.25">
      <c r="E30" s="127"/>
      <c r="G30" s="127"/>
    </row>
    <row r="31" spans="2:9" x14ac:dyDescent="0.25">
      <c r="E31" s="127"/>
      <c r="G31" s="127"/>
    </row>
    <row r="32" spans="2:9" x14ac:dyDescent="0.25">
      <c r="E32" s="127"/>
      <c r="G32" s="127"/>
    </row>
    <row r="33" spans="4:8" x14ac:dyDescent="0.25">
      <c r="E33" s="127"/>
    </row>
    <row r="36" spans="4:8" x14ac:dyDescent="0.25">
      <c r="F36" s="128"/>
      <c r="G36" s="128"/>
      <c r="H36" s="128"/>
    </row>
    <row r="37" spans="4:8" x14ac:dyDescent="0.25">
      <c r="F37" s="128"/>
      <c r="G37" s="128"/>
    </row>
    <row r="38" spans="4:8" x14ac:dyDescent="0.25">
      <c r="F38" s="128"/>
      <c r="G38" s="128"/>
    </row>
    <row r="39" spans="4:8" x14ac:dyDescent="0.25">
      <c r="F39" s="128"/>
      <c r="G39" s="128"/>
      <c r="H39" s="128"/>
    </row>
    <row r="40" spans="4:8" x14ac:dyDescent="0.25">
      <c r="F40" s="128"/>
      <c r="G40" s="128"/>
    </row>
    <row r="41" spans="4:8" x14ac:dyDescent="0.25">
      <c r="F41" s="128"/>
      <c r="G41" s="128"/>
    </row>
    <row r="42" spans="4:8" x14ac:dyDescent="0.25">
      <c r="F42" s="128"/>
      <c r="G42" s="128"/>
    </row>
    <row r="43" spans="4:8" x14ac:dyDescent="0.25">
      <c r="F43" s="128"/>
      <c r="G43" s="128"/>
      <c r="H43" s="128"/>
    </row>
    <row r="44" spans="4:8" x14ac:dyDescent="0.25">
      <c r="F44" s="128"/>
      <c r="G44" s="128"/>
    </row>
    <row r="45" spans="4:8" x14ac:dyDescent="0.25">
      <c r="F45" s="128"/>
      <c r="G45" s="128"/>
    </row>
    <row r="46" spans="4:8" x14ac:dyDescent="0.25">
      <c r="D46" s="29"/>
      <c r="F46" s="128"/>
      <c r="G46" s="128"/>
    </row>
    <row r="47" spans="4:8" x14ac:dyDescent="0.25">
      <c r="D47" s="88"/>
      <c r="E47" s="127"/>
      <c r="F47" s="128"/>
      <c r="G47" s="128"/>
    </row>
    <row r="48" spans="4:8" x14ac:dyDescent="0.25">
      <c r="D48" s="1"/>
      <c r="E48" s="130"/>
      <c r="F48" s="128"/>
      <c r="G48" s="128"/>
    </row>
    <row r="49" spans="4:5" x14ac:dyDescent="0.25">
      <c r="D49" s="46"/>
      <c r="E49" s="46"/>
    </row>
    <row r="50" spans="4:5" x14ac:dyDescent="0.25">
      <c r="D50" s="2"/>
    </row>
  </sheetData>
  <printOptions horizontalCentered="1"/>
  <pageMargins left="0.7" right="0.7" top="0.75" bottom="0.75" header="0.3" footer="0.3"/>
  <pageSetup scale="76" orientation="landscape" r:id="rId1"/>
  <headerFooter>
    <oddHeader xml:space="preserve">&amp;R&amp;"Times New Roman,Bold"&amp;10KyPSC Case No. 2025-00229
STAFF-DR-01-001 Attachment
Page &amp;P of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view="pageLayout" zoomScale="115" zoomScaleNormal="100" zoomScalePageLayoutView="115" workbookViewId="0">
      <selection activeCell="I7" sqref="I7"/>
    </sheetView>
  </sheetViews>
  <sheetFormatPr defaultRowHeight="15" x14ac:dyDescent="0.25"/>
  <cols>
    <col min="1" max="1" width="6.7109375" customWidth="1"/>
    <col min="2" max="2" width="4.5703125" customWidth="1"/>
    <col min="3" max="3" width="6.5703125" customWidth="1"/>
    <col min="4" max="4" width="43" customWidth="1"/>
    <col min="5" max="5" width="2.28515625" customWidth="1"/>
    <col min="6" max="6" width="20.7109375" customWidth="1"/>
    <col min="7" max="7" width="2.42578125" customWidth="1"/>
    <col min="8" max="8" width="9.5703125" customWidth="1"/>
  </cols>
  <sheetData>
    <row r="1" spans="1:12" x14ac:dyDescent="0.25">
      <c r="A1" s="4"/>
      <c r="E1" s="4"/>
      <c r="F1" s="4"/>
      <c r="G1" s="4"/>
      <c r="H1" s="4"/>
      <c r="I1" s="4"/>
    </row>
    <row r="2" spans="1:12" x14ac:dyDescent="0.25">
      <c r="A2" s="69" t="str">
        <f>'Sch 1.0'!A2</f>
        <v>Duke Energy Kentucky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</row>
    <row r="3" spans="1:12" x14ac:dyDescent="0.25">
      <c r="A3" s="69" t="str">
        <f>'Sch 1.0'!A3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</row>
    <row r="4" spans="1:12" x14ac:dyDescent="0.25">
      <c r="A4" s="69" t="s">
        <v>243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1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3" t="s">
        <v>136</v>
      </c>
      <c r="B6" s="7"/>
      <c r="C6" s="7"/>
      <c r="F6" s="3" t="s">
        <v>141</v>
      </c>
      <c r="G6" s="3"/>
      <c r="H6" s="3"/>
      <c r="I6" s="4"/>
    </row>
    <row r="7" spans="1:12" x14ac:dyDescent="0.25">
      <c r="A7" s="8" t="s">
        <v>137</v>
      </c>
      <c r="B7" s="9"/>
      <c r="C7" s="9"/>
      <c r="F7" s="119" t="s">
        <v>244</v>
      </c>
      <c r="G7" s="119"/>
      <c r="H7" s="8" t="s">
        <v>22</v>
      </c>
    </row>
    <row r="8" spans="1:12" x14ac:dyDescent="0.25">
      <c r="A8" s="9"/>
      <c r="B8" s="72" t="s">
        <v>63</v>
      </c>
      <c r="C8" s="72"/>
      <c r="D8" s="72"/>
      <c r="F8" s="3" t="s">
        <v>64</v>
      </c>
      <c r="G8" s="3"/>
      <c r="H8" s="3" t="s">
        <v>66</v>
      </c>
    </row>
    <row r="10" spans="1:12" x14ac:dyDescent="0.25">
      <c r="B10" s="7" t="s">
        <v>23</v>
      </c>
    </row>
    <row r="11" spans="1:12" x14ac:dyDescent="0.25">
      <c r="B11" s="9" t="s">
        <v>24</v>
      </c>
    </row>
    <row r="12" spans="1:12" x14ac:dyDescent="0.25">
      <c r="A12" s="4">
        <v>1</v>
      </c>
      <c r="C12" t="s">
        <v>147</v>
      </c>
      <c r="F12" s="202">
        <f>'Sch 2.2'!E29-'Sch 2.2'!G29</f>
        <v>151257430</v>
      </c>
      <c r="G12" s="24"/>
      <c r="H12" t="s">
        <v>152</v>
      </c>
    </row>
    <row r="13" spans="1:12" x14ac:dyDescent="0.25">
      <c r="A13" s="4">
        <f t="shared" ref="A13:A19" si="0">A12+1</f>
        <v>2</v>
      </c>
      <c r="C13" t="s">
        <v>25</v>
      </c>
      <c r="F13" s="203">
        <f>'Sch 2.2'!I29</f>
        <v>2831227</v>
      </c>
      <c r="G13" s="25"/>
      <c r="H13" t="s">
        <v>152</v>
      </c>
    </row>
    <row r="14" spans="1:12" x14ac:dyDescent="0.25">
      <c r="A14" s="4">
        <f t="shared" si="0"/>
        <v>3</v>
      </c>
      <c r="C14" t="s">
        <v>26</v>
      </c>
      <c r="F14" s="75">
        <f>-'Sch 2.0'!R46</f>
        <v>-3197319.230769231</v>
      </c>
      <c r="G14" s="60"/>
      <c r="H14" s="43" t="s">
        <v>153</v>
      </c>
    </row>
    <row r="15" spans="1:12" x14ac:dyDescent="0.25">
      <c r="A15" s="4">
        <f t="shared" si="0"/>
        <v>4</v>
      </c>
      <c r="D15" t="s">
        <v>27</v>
      </c>
      <c r="F15" s="98">
        <f>SUM(F12:F14)</f>
        <v>150891337.76923078</v>
      </c>
      <c r="G15" s="1"/>
    </row>
    <row r="16" spans="1:12" x14ac:dyDescent="0.25">
      <c r="A16" s="4">
        <f t="shared" si="0"/>
        <v>5</v>
      </c>
      <c r="C16" t="s">
        <v>123</v>
      </c>
      <c r="F16" s="75">
        <f>-'Sch 2.1'!Q29-'Sch 2.1'!Q51</f>
        <v>-5201244.5136308903</v>
      </c>
      <c r="G16" s="28"/>
      <c r="H16" t="s">
        <v>154</v>
      </c>
      <c r="J16" s="85"/>
    </row>
    <row r="17" spans="1:13" x14ac:dyDescent="0.25">
      <c r="A17" s="4">
        <f t="shared" si="0"/>
        <v>6</v>
      </c>
      <c r="D17" t="s">
        <v>29</v>
      </c>
      <c r="F17" s="98">
        <f>SUM(F15:F16)</f>
        <v>145690093.25559989</v>
      </c>
      <c r="G17" s="1"/>
      <c r="H17" t="s">
        <v>37</v>
      </c>
    </row>
    <row r="18" spans="1:13" x14ac:dyDescent="0.25">
      <c r="A18" s="4">
        <f t="shared" si="0"/>
        <v>7</v>
      </c>
      <c r="C18" t="s">
        <v>30</v>
      </c>
      <c r="F18" s="57">
        <f>'Sch 1.2'!F13</f>
        <v>8.0869999999999997E-2</v>
      </c>
      <c r="G18" s="57"/>
      <c r="H18" s="43" t="s">
        <v>155</v>
      </c>
    </row>
    <row r="19" spans="1:13" x14ac:dyDescent="0.25">
      <c r="A19" s="4">
        <f t="shared" si="0"/>
        <v>8</v>
      </c>
      <c r="C19" t="s">
        <v>148</v>
      </c>
      <c r="F19" s="48">
        <f>ROUND(F17*F18,0)</f>
        <v>11781958</v>
      </c>
      <c r="G19" s="52"/>
      <c r="H19" t="s">
        <v>38</v>
      </c>
    </row>
    <row r="21" spans="1:13" x14ac:dyDescent="0.25">
      <c r="B21" s="9" t="s">
        <v>31</v>
      </c>
    </row>
    <row r="22" spans="1:13" x14ac:dyDescent="0.25">
      <c r="A22" s="4">
        <f>A19+1</f>
        <v>9</v>
      </c>
      <c r="C22" t="s">
        <v>32</v>
      </c>
      <c r="F22" s="54">
        <f>SUM('Sch 2.0'!F38:Q38)-SUM('Sch 2.0'!F44:Q44)</f>
        <v>2176922</v>
      </c>
      <c r="G22" s="54"/>
      <c r="H22" t="s">
        <v>153</v>
      </c>
    </row>
    <row r="23" spans="1:13" x14ac:dyDescent="0.25">
      <c r="A23" s="4">
        <f>A22+1</f>
        <v>10</v>
      </c>
      <c r="C23" t="s">
        <v>33</v>
      </c>
      <c r="F23" s="204">
        <f>ROUND(F15*I23,0)</f>
        <v>1978487</v>
      </c>
      <c r="G23" s="42"/>
      <c r="H23" t="s">
        <v>81</v>
      </c>
      <c r="I23" s="157">
        <v>1.3112E-2</v>
      </c>
    </row>
    <row r="24" spans="1:13" x14ac:dyDescent="0.25">
      <c r="A24" s="4">
        <f>A23+1</f>
        <v>11</v>
      </c>
      <c r="C24" t="s">
        <v>34</v>
      </c>
      <c r="F24" s="102">
        <f>ROUND(SUM(F19:F23)*(0.001554/(1-0.001554)),0)</f>
        <v>24805</v>
      </c>
      <c r="G24" s="73"/>
      <c r="H24" t="s">
        <v>259</v>
      </c>
      <c r="M24" s="85"/>
    </row>
    <row r="25" spans="1:13" x14ac:dyDescent="0.25">
      <c r="A25" s="4">
        <f>A24+1</f>
        <v>12</v>
      </c>
      <c r="C25" t="s">
        <v>35</v>
      </c>
      <c r="F25" s="76">
        <f>SUM(F22:F24)</f>
        <v>4180214</v>
      </c>
      <c r="G25" s="2"/>
      <c r="H25" t="s">
        <v>39</v>
      </c>
      <c r="J25" s="85"/>
    </row>
    <row r="27" spans="1:13" x14ac:dyDescent="0.25">
      <c r="A27" s="4">
        <f>A25+1</f>
        <v>13</v>
      </c>
      <c r="B27" s="7" t="s">
        <v>263</v>
      </c>
      <c r="F27" s="51">
        <f>F19+F25</f>
        <v>15962172</v>
      </c>
      <c r="G27" s="51"/>
      <c r="H27" t="s">
        <v>40</v>
      </c>
      <c r="J27" s="85"/>
    </row>
    <row r="28" spans="1:13" x14ac:dyDescent="0.25">
      <c r="A28" s="4">
        <f>A27+1</f>
        <v>14</v>
      </c>
      <c r="B28" s="9"/>
      <c r="C28" t="s">
        <v>264</v>
      </c>
      <c r="F28" s="18">
        <v>-923276</v>
      </c>
      <c r="G28" s="51"/>
      <c r="J28" s="85"/>
    </row>
    <row r="29" spans="1:13" ht="15.75" thickBot="1" x14ac:dyDescent="0.3">
      <c r="A29" s="4">
        <f>A28+1</f>
        <v>15</v>
      </c>
      <c r="B29" s="9" t="s">
        <v>36</v>
      </c>
      <c r="F29" s="210">
        <f>SUM(F27:F28)</f>
        <v>15038896</v>
      </c>
      <c r="G29" s="51"/>
      <c r="J29" s="85"/>
    </row>
    <row r="32" spans="1:13" x14ac:dyDescent="0.25">
      <c r="A32" s="4" t="s">
        <v>41</v>
      </c>
    </row>
    <row r="33" spans="1:10" x14ac:dyDescent="0.25">
      <c r="A33" s="43" t="str">
        <f>"(1) Property taxes estimated using an effective rate of "&amp;TEXT(I23,"0.00000%")</f>
        <v>(1) Property taxes estimated using an effective rate of 1.31120%</v>
      </c>
    </row>
    <row r="34" spans="1:10" x14ac:dyDescent="0.25">
      <c r="A34" s="43" t="s">
        <v>260</v>
      </c>
      <c r="J34" s="85"/>
    </row>
    <row r="35" spans="1:10" x14ac:dyDescent="0.25">
      <c r="A35" s="43" t="s">
        <v>265</v>
      </c>
    </row>
  </sheetData>
  <printOptions horizontalCentered="1"/>
  <pageMargins left="0.7" right="0.7" top="0.75" bottom="0.75" header="0.3" footer="0.3"/>
  <pageSetup scale="80" orientation="landscape" r:id="rId1"/>
  <headerFooter>
    <oddHeader xml:space="preserve">&amp;R&amp;"Times New Roman,Bold"&amp;10KyPSC Case No. 2025-00229
STAFF-DR-01-001 Attachment
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"/>
  <sheetViews>
    <sheetView view="pageLayout" zoomScaleNormal="100" workbookViewId="0">
      <selection activeCell="I7" sqref="I7"/>
    </sheetView>
  </sheetViews>
  <sheetFormatPr defaultRowHeight="15" x14ac:dyDescent="0.25"/>
  <cols>
    <col min="1" max="1" width="6.7109375" customWidth="1"/>
    <col min="2" max="2" width="19.7109375" customWidth="1"/>
    <col min="3" max="3" width="13.5703125" customWidth="1"/>
    <col min="4" max="4" width="12.140625" customWidth="1"/>
    <col min="5" max="5" width="13.5703125" customWidth="1"/>
    <col min="6" max="6" width="17.7109375" customWidth="1"/>
  </cols>
  <sheetData>
    <row r="1" spans="1:11" x14ac:dyDescent="0.25">
      <c r="A1" s="4"/>
      <c r="E1" s="4"/>
      <c r="F1" s="4"/>
      <c r="H1" s="4"/>
    </row>
    <row r="2" spans="1:11" x14ac:dyDescent="0.25">
      <c r="A2" s="69" t="str">
        <f>'Sch 1.0'!A2</f>
        <v>Duke Energy Kentucky</v>
      </c>
      <c r="B2" s="69"/>
      <c r="C2" s="69"/>
      <c r="D2" s="69"/>
      <c r="E2" s="69"/>
      <c r="F2" s="69"/>
      <c r="H2" s="69"/>
      <c r="I2" s="69"/>
    </row>
    <row r="3" spans="1:11" x14ac:dyDescent="0.25">
      <c r="A3" s="69" t="str">
        <f>'Sch 1.0'!A3</f>
        <v>Pipeline Modernization Mechanism ("Rider PMM")</v>
      </c>
      <c r="B3" s="69"/>
      <c r="C3" s="69"/>
      <c r="D3" s="69"/>
      <c r="E3" s="69"/>
      <c r="F3" s="69"/>
      <c r="H3" s="69"/>
      <c r="I3" s="69"/>
    </row>
    <row r="4" spans="1:11" x14ac:dyDescent="0.25">
      <c r="A4" s="69" t="s">
        <v>11</v>
      </c>
      <c r="B4" s="69"/>
      <c r="C4" s="69"/>
      <c r="D4" s="69"/>
      <c r="E4" s="69"/>
      <c r="F4" s="69"/>
      <c r="H4" s="69"/>
      <c r="I4" s="69"/>
    </row>
    <row r="5" spans="1:11" x14ac:dyDescent="0.25">
      <c r="A5" s="4"/>
      <c r="B5" s="4"/>
      <c r="C5" s="4"/>
      <c r="D5" s="4"/>
      <c r="E5" s="4"/>
      <c r="F5" s="4"/>
      <c r="H5" s="4"/>
      <c r="I5" s="4"/>
      <c r="J5" s="4"/>
      <c r="K5" s="4"/>
    </row>
    <row r="6" spans="1:11" x14ac:dyDescent="0.25">
      <c r="A6" s="3" t="s">
        <v>136</v>
      </c>
      <c r="B6" s="3"/>
      <c r="C6" s="3"/>
      <c r="D6" s="3"/>
      <c r="E6" s="3" t="s">
        <v>45</v>
      </c>
      <c r="F6" s="3" t="s">
        <v>46</v>
      </c>
    </row>
    <row r="7" spans="1:11" x14ac:dyDescent="0.25">
      <c r="A7" s="8" t="s">
        <v>137</v>
      </c>
      <c r="B7" s="8" t="s">
        <v>42</v>
      </c>
      <c r="C7" s="8" t="s">
        <v>43</v>
      </c>
      <c r="D7" s="8" t="s">
        <v>44</v>
      </c>
      <c r="E7" s="8" t="s">
        <v>44</v>
      </c>
      <c r="F7" s="8" t="s">
        <v>132</v>
      </c>
    </row>
    <row r="8" spans="1:11" x14ac:dyDescent="0.25">
      <c r="A8" s="8"/>
      <c r="B8" s="16" t="s">
        <v>63</v>
      </c>
      <c r="C8" s="3" t="s">
        <v>64</v>
      </c>
      <c r="D8" s="3" t="s">
        <v>66</v>
      </c>
      <c r="E8" s="3" t="s">
        <v>84</v>
      </c>
      <c r="F8" s="3" t="s">
        <v>109</v>
      </c>
    </row>
    <row r="10" spans="1:11" x14ac:dyDescent="0.25">
      <c r="A10" s="4">
        <v>1</v>
      </c>
      <c r="B10" t="s">
        <v>47</v>
      </c>
      <c r="C10" s="116">
        <v>2.6169999999999999E-2</v>
      </c>
      <c r="D10" s="116">
        <v>1.6670000000000001E-2</v>
      </c>
      <c r="E10" s="12">
        <f>ROUND(C10*D10,5)</f>
        <v>4.4000000000000002E-4</v>
      </c>
      <c r="F10" s="33">
        <f>E10</f>
        <v>4.4000000000000002E-4</v>
      </c>
    </row>
    <row r="11" spans="1:11" x14ac:dyDescent="0.25">
      <c r="A11" s="4">
        <f>A10+1</f>
        <v>2</v>
      </c>
      <c r="B11" t="s">
        <v>48</v>
      </c>
      <c r="C11" s="116">
        <v>0.46039000000000002</v>
      </c>
      <c r="D11" s="116">
        <v>3.6560000000000002E-2</v>
      </c>
      <c r="E11" s="12">
        <f>ROUND(C11*D11,5)</f>
        <v>1.6830000000000001E-2</v>
      </c>
      <c r="F11" s="33">
        <f>E11</f>
        <v>1.6830000000000001E-2</v>
      </c>
    </row>
    <row r="12" spans="1:11" x14ac:dyDescent="0.25">
      <c r="A12" s="4">
        <f>A11+1</f>
        <v>3</v>
      </c>
      <c r="B12" t="s">
        <v>49</v>
      </c>
      <c r="C12" s="117">
        <v>0.51344000000000001</v>
      </c>
      <c r="D12" s="116">
        <v>9.2999999999999999E-2</v>
      </c>
      <c r="E12" s="13">
        <f>ROUND(C12*D12,5)</f>
        <v>4.7750000000000001E-2</v>
      </c>
      <c r="F12" s="118">
        <f>ROUND(E12/(1-0.24925),5)</f>
        <v>6.3600000000000004E-2</v>
      </c>
    </row>
    <row r="13" spans="1:11" x14ac:dyDescent="0.25">
      <c r="A13" s="4">
        <f>A12+1</f>
        <v>4</v>
      </c>
      <c r="B13" t="s">
        <v>21</v>
      </c>
      <c r="C13" s="12">
        <f>SUM(C10:C12)</f>
        <v>1</v>
      </c>
      <c r="E13" s="33">
        <f>SUM(E10:E12)</f>
        <v>6.5019999999999994E-2</v>
      </c>
      <c r="F13" s="33">
        <f>SUM(F10:F12)</f>
        <v>8.0869999999999997E-2</v>
      </c>
    </row>
    <row r="18" spans="2:2" x14ac:dyDescent="0.25">
      <c r="B18" t="s">
        <v>164</v>
      </c>
    </row>
    <row r="19" spans="2:2" x14ac:dyDescent="0.25">
      <c r="B19" t="s">
        <v>196</v>
      </c>
    </row>
  </sheetData>
  <printOptions horizontalCentered="1"/>
  <pageMargins left="0.7" right="0.7" top="0.75" bottom="0.75" header="0.3" footer="0.3"/>
  <pageSetup scale="80" orientation="landscape" r:id="rId1"/>
  <headerFooter>
    <oddHeader xml:space="preserve">&amp;R&amp;"Times New Roman,Bold"&amp;10KyPSC Case No. 2025-00229
STAFF-DR-01-001 Attachment
Page &amp;P of &amp;N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0"/>
  <sheetViews>
    <sheetView view="pageLayout" topLeftCell="B1" zoomScaleNormal="85" zoomScaleSheetLayoutView="93" workbookViewId="0">
      <selection activeCell="I7" sqref="I7"/>
    </sheetView>
  </sheetViews>
  <sheetFormatPr defaultRowHeight="15" x14ac:dyDescent="0.25"/>
  <cols>
    <col min="1" max="1" width="8.28515625" bestFit="1" customWidth="1"/>
    <col min="2" max="2" width="31.42578125" customWidth="1"/>
    <col min="3" max="4" width="13.5703125" customWidth="1"/>
    <col min="5" max="5" width="13.7109375" bestFit="1" customWidth="1"/>
    <col min="6" max="12" width="11.7109375" customWidth="1"/>
    <col min="13" max="13" width="12.42578125" bestFit="1" customWidth="1"/>
    <col min="14" max="14" width="12.5703125" bestFit="1" customWidth="1"/>
    <col min="15" max="15" width="12.85546875" bestFit="1" customWidth="1"/>
    <col min="16" max="17" width="13.28515625" customWidth="1"/>
    <col min="18" max="18" width="16" customWidth="1"/>
    <col min="19" max="19" width="12.5703125" bestFit="1" customWidth="1"/>
    <col min="20" max="20" width="15.7109375" customWidth="1"/>
  </cols>
  <sheetData>
    <row r="1" spans="1:20" x14ac:dyDescent="0.25">
      <c r="A1" s="69" t="str">
        <f>'Sch 1.0'!A2</f>
        <v>Duke Energy Kentucky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0" x14ac:dyDescent="0.25">
      <c r="A2" s="69" t="str">
        <f>'Sch 1.0'!A3</f>
        <v>Pipeline Modernization Mechanism ("Rider PMM")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20" x14ac:dyDescent="0.25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0" x14ac:dyDescent="0.25">
      <c r="A4" s="4"/>
      <c r="O4" s="160"/>
    </row>
    <row r="5" spans="1:20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R5" s="3"/>
    </row>
    <row r="6" spans="1:20" x14ac:dyDescent="0.25">
      <c r="A6" s="3" t="s">
        <v>136</v>
      </c>
      <c r="B6" s="3"/>
      <c r="C6" s="3" t="s">
        <v>50</v>
      </c>
      <c r="D6" s="3"/>
      <c r="E6" s="3" t="s">
        <v>102</v>
      </c>
      <c r="F6" s="111" t="s">
        <v>245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3" t="s">
        <v>102</v>
      </c>
    </row>
    <row r="7" spans="1:20" x14ac:dyDescent="0.25">
      <c r="A7" s="8" t="s">
        <v>137</v>
      </c>
      <c r="B7" s="8" t="s">
        <v>9</v>
      </c>
      <c r="C7" s="8" t="s">
        <v>51</v>
      </c>
      <c r="D7" s="8"/>
      <c r="E7" s="110">
        <v>2025</v>
      </c>
      <c r="F7" s="8" t="s">
        <v>91</v>
      </c>
      <c r="G7" s="8" t="s">
        <v>92</v>
      </c>
      <c r="H7" s="8" t="s">
        <v>93</v>
      </c>
      <c r="I7" s="8" t="s">
        <v>94</v>
      </c>
      <c r="J7" s="8" t="s">
        <v>95</v>
      </c>
      <c r="K7" s="8" t="s">
        <v>96</v>
      </c>
      <c r="L7" s="8" t="s">
        <v>97</v>
      </c>
      <c r="M7" s="8" t="s">
        <v>98</v>
      </c>
      <c r="N7" s="8" t="s">
        <v>99</v>
      </c>
      <c r="O7" s="8" t="s">
        <v>100</v>
      </c>
      <c r="P7" s="8" t="s">
        <v>101</v>
      </c>
      <c r="Q7" s="8" t="s">
        <v>90</v>
      </c>
      <c r="R7" s="110">
        <v>2026</v>
      </c>
    </row>
    <row r="8" spans="1:20" x14ac:dyDescent="0.25">
      <c r="B8" s="16" t="s">
        <v>63</v>
      </c>
      <c r="C8" s="16" t="s">
        <v>64</v>
      </c>
      <c r="D8" s="16" t="s">
        <v>66</v>
      </c>
      <c r="E8" s="16" t="s">
        <v>84</v>
      </c>
      <c r="F8" s="16" t="s">
        <v>109</v>
      </c>
      <c r="G8" s="16" t="s">
        <v>110</v>
      </c>
      <c r="H8" s="16" t="s">
        <v>111</v>
      </c>
      <c r="I8" s="16" t="s">
        <v>112</v>
      </c>
      <c r="J8" s="16" t="s">
        <v>113</v>
      </c>
      <c r="K8" s="16" t="s">
        <v>114</v>
      </c>
      <c r="L8" s="16" t="s">
        <v>115</v>
      </c>
      <c r="M8" s="16" t="s">
        <v>116</v>
      </c>
      <c r="N8" s="16" t="s">
        <v>117</v>
      </c>
      <c r="O8" s="16" t="s">
        <v>118</v>
      </c>
      <c r="P8" s="16" t="s">
        <v>119</v>
      </c>
      <c r="Q8" s="16" t="s">
        <v>120</v>
      </c>
      <c r="R8" s="16" t="s">
        <v>122</v>
      </c>
    </row>
    <row r="10" spans="1:20" ht="17.25" x14ac:dyDescent="0.25">
      <c r="B10" s="9" t="s">
        <v>124</v>
      </c>
    </row>
    <row r="11" spans="1:20" x14ac:dyDescent="0.25">
      <c r="B11" s="9" t="s">
        <v>52</v>
      </c>
    </row>
    <row r="12" spans="1:20" x14ac:dyDescent="0.25">
      <c r="A12" s="4">
        <v>1</v>
      </c>
      <c r="B12" t="s">
        <v>161</v>
      </c>
      <c r="C12" s="112">
        <v>376</v>
      </c>
      <c r="D12" s="35"/>
      <c r="E12" s="109">
        <v>115385876</v>
      </c>
      <c r="F12" s="109">
        <v>67985.500225750002</v>
      </c>
      <c r="G12" s="109">
        <v>103535.01613631001</v>
      </c>
      <c r="H12" s="109">
        <v>14337.12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32567904.461882699</v>
      </c>
      <c r="P12" s="109">
        <v>2607896.9283556198</v>
      </c>
      <c r="Q12" s="109">
        <v>1926245.96157012</v>
      </c>
      <c r="R12" s="51">
        <f>SUM(E12:Q12)</f>
        <v>152673780.9881705</v>
      </c>
      <c r="T12" s="225"/>
    </row>
    <row r="13" spans="1:20" x14ac:dyDescent="0.25">
      <c r="A13" s="4">
        <v>2</v>
      </c>
      <c r="B13" t="s">
        <v>168</v>
      </c>
      <c r="C13" s="112">
        <v>378</v>
      </c>
      <c r="D13" s="35"/>
      <c r="E13" s="109">
        <v>18757284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51">
        <f>SUM(E13:Q13)</f>
        <v>18757284</v>
      </c>
      <c r="T13" s="85"/>
    </row>
    <row r="14" spans="1:20" x14ac:dyDescent="0.25">
      <c r="A14" s="4">
        <v>3</v>
      </c>
      <c r="B14" t="s">
        <v>167</v>
      </c>
      <c r="C14" s="112">
        <v>374</v>
      </c>
      <c r="D14" s="35"/>
      <c r="E14" s="114">
        <v>8491295</v>
      </c>
      <c r="F14" s="114">
        <v>20000</v>
      </c>
      <c r="G14" s="114">
        <v>20000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4964038.18</v>
      </c>
      <c r="P14" s="114">
        <v>0</v>
      </c>
      <c r="Q14" s="114">
        <v>0</v>
      </c>
      <c r="R14" s="53">
        <f>SUM(E14:Q14)</f>
        <v>13495333.18</v>
      </c>
    </row>
    <row r="15" spans="1:20" x14ac:dyDescent="0.25">
      <c r="A15" s="4">
        <v>4</v>
      </c>
      <c r="B15" t="s">
        <v>53</v>
      </c>
      <c r="C15" s="36"/>
      <c r="D15" s="36"/>
      <c r="E15" s="54">
        <f>SUM(E12:E14)</f>
        <v>142634455</v>
      </c>
      <c r="F15" s="54">
        <f t="shared" ref="F15:R15" si="0">SUM(F12:F14)</f>
        <v>87985.500225750002</v>
      </c>
      <c r="G15" s="54">
        <f t="shared" si="0"/>
        <v>123535.01613631001</v>
      </c>
      <c r="H15" s="54">
        <f t="shared" si="0"/>
        <v>14337.12</v>
      </c>
      <c r="I15" s="54">
        <f t="shared" si="0"/>
        <v>0</v>
      </c>
      <c r="J15" s="54">
        <f t="shared" si="0"/>
        <v>0</v>
      </c>
      <c r="K15" s="54">
        <f t="shared" si="0"/>
        <v>0</v>
      </c>
      <c r="L15" s="54">
        <f t="shared" si="0"/>
        <v>0</v>
      </c>
      <c r="M15" s="54">
        <f t="shared" si="0"/>
        <v>0</v>
      </c>
      <c r="N15" s="54">
        <f t="shared" si="0"/>
        <v>0</v>
      </c>
      <c r="O15" s="54">
        <f t="shared" si="0"/>
        <v>37531942.641882703</v>
      </c>
      <c r="P15" s="54">
        <f t="shared" si="0"/>
        <v>2607896.9283556198</v>
      </c>
      <c r="Q15" s="54">
        <f t="shared" si="0"/>
        <v>1926245.96157012</v>
      </c>
      <c r="R15" s="54">
        <f t="shared" si="0"/>
        <v>184926398.16817051</v>
      </c>
      <c r="S15" s="51"/>
    </row>
    <row r="16" spans="1:20" x14ac:dyDescent="0.25">
      <c r="A16" s="4"/>
      <c r="C16" s="36"/>
      <c r="D16" s="36"/>
      <c r="E16" s="4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8"/>
    </row>
    <row r="17" spans="1:20" x14ac:dyDescent="0.25">
      <c r="B17" s="9" t="s">
        <v>54</v>
      </c>
      <c r="C17" s="4"/>
      <c r="D17" s="4"/>
      <c r="E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25">
      <c r="A18" s="4">
        <v>5</v>
      </c>
      <c r="B18" t="s">
        <v>161</v>
      </c>
      <c r="C18" s="112">
        <v>376</v>
      </c>
      <c r="D18" s="35"/>
      <c r="E18" s="131">
        <v>735941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199584</v>
      </c>
      <c r="P18" s="87">
        <v>0</v>
      </c>
      <c r="Q18" s="87">
        <v>0</v>
      </c>
      <c r="R18" s="51">
        <f>SUM(E18:Q18)</f>
        <v>935525</v>
      </c>
      <c r="T18" s="51"/>
    </row>
    <row r="19" spans="1:20" x14ac:dyDescent="0.25">
      <c r="A19" s="4">
        <v>6</v>
      </c>
      <c r="B19" t="s">
        <v>168</v>
      </c>
      <c r="C19" s="132">
        <v>378</v>
      </c>
      <c r="D19" s="133"/>
      <c r="E19" s="131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51">
        <f>SUM(E19:Q19)</f>
        <v>0</v>
      </c>
    </row>
    <row r="20" spans="1:20" x14ac:dyDescent="0.25">
      <c r="A20" s="4">
        <v>7</v>
      </c>
      <c r="B20" t="s">
        <v>167</v>
      </c>
      <c r="C20" s="132">
        <v>374</v>
      </c>
      <c r="D20" s="133"/>
      <c r="E20" s="90">
        <v>2407</v>
      </c>
      <c r="F20" s="136">
        <v>0</v>
      </c>
      <c r="G20" s="136">
        <v>0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0</v>
      </c>
      <c r="R20" s="53">
        <f>SUM(E20:Q20)</f>
        <v>2407</v>
      </c>
    </row>
    <row r="21" spans="1:20" x14ac:dyDescent="0.25">
      <c r="A21" s="4">
        <v>8</v>
      </c>
      <c r="B21" t="s">
        <v>55</v>
      </c>
      <c r="C21" s="4"/>
      <c r="D21" s="4"/>
      <c r="E21" s="54">
        <f>SUM(E18:E20)</f>
        <v>738348</v>
      </c>
      <c r="F21" s="54">
        <f t="shared" ref="F21:Q21" si="1">SUM(F18:F20)</f>
        <v>0</v>
      </c>
      <c r="G21" s="54">
        <f t="shared" si="1"/>
        <v>0</v>
      </c>
      <c r="H21" s="54">
        <f t="shared" si="1"/>
        <v>0</v>
      </c>
      <c r="I21" s="54">
        <f t="shared" si="1"/>
        <v>0</v>
      </c>
      <c r="J21" s="54">
        <f t="shared" si="1"/>
        <v>0</v>
      </c>
      <c r="K21" s="54">
        <f t="shared" si="1"/>
        <v>0</v>
      </c>
      <c r="L21" s="54">
        <f t="shared" si="1"/>
        <v>0</v>
      </c>
      <c r="M21" s="54">
        <f t="shared" si="1"/>
        <v>0</v>
      </c>
      <c r="N21" s="54">
        <f t="shared" si="1"/>
        <v>0</v>
      </c>
      <c r="O21" s="54">
        <f t="shared" si="1"/>
        <v>199584</v>
      </c>
      <c r="P21" s="54">
        <f t="shared" si="1"/>
        <v>0</v>
      </c>
      <c r="Q21" s="54">
        <f t="shared" si="1"/>
        <v>0</v>
      </c>
      <c r="R21" s="51">
        <f>SUM(E21:Q21)</f>
        <v>937932</v>
      </c>
      <c r="S21" s="51"/>
    </row>
    <row r="22" spans="1:20" x14ac:dyDescent="0.25">
      <c r="C22" s="4"/>
      <c r="D22" s="4"/>
      <c r="E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25">
      <c r="B23" s="9" t="s">
        <v>25</v>
      </c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25">
      <c r="A24" s="4">
        <v>9</v>
      </c>
      <c r="B24" t="s">
        <v>161</v>
      </c>
      <c r="C24" s="112">
        <v>376</v>
      </c>
      <c r="D24" s="35"/>
      <c r="E24" s="131">
        <v>2669814.9699999997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557700</v>
      </c>
      <c r="P24" s="109">
        <v>0</v>
      </c>
      <c r="Q24" s="109">
        <v>0</v>
      </c>
      <c r="R24" s="131">
        <f>SUM(E24:Q24)</f>
        <v>3227514.9699999997</v>
      </c>
    </row>
    <row r="25" spans="1:20" x14ac:dyDescent="0.25">
      <c r="A25" s="4">
        <v>10</v>
      </c>
      <c r="B25" t="s">
        <v>168</v>
      </c>
      <c r="C25" s="132">
        <v>378</v>
      </c>
      <c r="D25" s="133"/>
      <c r="E25" s="131">
        <v>32711.599999999999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31">
        <f>SUM(E25:Q25)</f>
        <v>32711.599999999999</v>
      </c>
    </row>
    <row r="26" spans="1:20" x14ac:dyDescent="0.25">
      <c r="A26" s="4">
        <v>11</v>
      </c>
      <c r="B26" t="s">
        <v>167</v>
      </c>
      <c r="C26" s="132">
        <v>374</v>
      </c>
      <c r="D26" s="133"/>
      <c r="E26" s="90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14">
        <v>0</v>
      </c>
      <c r="Q26" s="114">
        <v>0</v>
      </c>
      <c r="R26" s="90">
        <f>SUM(E26:Q26)</f>
        <v>0</v>
      </c>
    </row>
    <row r="27" spans="1:20" x14ac:dyDescent="0.25">
      <c r="A27" s="4">
        <v>12</v>
      </c>
      <c r="B27" t="s">
        <v>56</v>
      </c>
      <c r="E27" s="65">
        <f>SUM(E24:E26)</f>
        <v>2702526.57</v>
      </c>
      <c r="F27" s="65">
        <f t="shared" ref="F27:R27" si="2">SUM(F24:F26)</f>
        <v>0</v>
      </c>
      <c r="G27" s="65">
        <f t="shared" si="2"/>
        <v>0</v>
      </c>
      <c r="H27" s="65">
        <f t="shared" si="2"/>
        <v>0</v>
      </c>
      <c r="I27" s="65">
        <f t="shared" si="2"/>
        <v>0</v>
      </c>
      <c r="J27" s="65">
        <f t="shared" si="2"/>
        <v>0</v>
      </c>
      <c r="K27" s="65">
        <f t="shared" si="2"/>
        <v>0</v>
      </c>
      <c r="L27" s="65">
        <f t="shared" si="2"/>
        <v>0</v>
      </c>
      <c r="M27" s="65">
        <f t="shared" si="2"/>
        <v>0</v>
      </c>
      <c r="N27" s="65">
        <f t="shared" si="2"/>
        <v>0</v>
      </c>
      <c r="O27" s="65">
        <f t="shared" si="2"/>
        <v>557700</v>
      </c>
      <c r="P27" s="65">
        <f t="shared" si="2"/>
        <v>0</v>
      </c>
      <c r="Q27" s="65">
        <f t="shared" si="2"/>
        <v>0</v>
      </c>
      <c r="R27" s="65">
        <f t="shared" si="2"/>
        <v>3260226.57</v>
      </c>
    </row>
    <row r="29" spans="1:20" x14ac:dyDescent="0.25">
      <c r="B29" s="211"/>
      <c r="C29" s="39"/>
      <c r="D29" s="39"/>
      <c r="E29" s="127"/>
      <c r="G29" s="223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127"/>
    </row>
    <row r="30" spans="1:20" x14ac:dyDescent="0.25">
      <c r="A30" s="4"/>
      <c r="B30" s="38"/>
      <c r="C30" s="39"/>
      <c r="E30" s="5"/>
      <c r="H30" s="40"/>
      <c r="I30" s="16"/>
      <c r="J30" s="16"/>
      <c r="K30" s="16"/>
      <c r="L30" s="16"/>
      <c r="M30" s="16"/>
      <c r="N30" s="16"/>
      <c r="O30" s="16"/>
      <c r="P30" s="16"/>
      <c r="Q30" s="16"/>
      <c r="R30" s="1"/>
    </row>
    <row r="31" spans="1:20" x14ac:dyDescent="0.25">
      <c r="A31" s="4"/>
      <c r="B31" s="38"/>
      <c r="D31" s="39" t="s">
        <v>105</v>
      </c>
      <c r="E31" s="3" t="s">
        <v>103</v>
      </c>
      <c r="G31" s="51"/>
      <c r="R31" s="3" t="s">
        <v>106</v>
      </c>
    </row>
    <row r="32" spans="1:20" x14ac:dyDescent="0.25">
      <c r="A32" s="4"/>
      <c r="D32" s="3" t="s">
        <v>32</v>
      </c>
      <c r="E32" s="3" t="s">
        <v>102</v>
      </c>
      <c r="F32" s="113" t="s">
        <v>246</v>
      </c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41" t="s">
        <v>107</v>
      </c>
    </row>
    <row r="33" spans="1:19" x14ac:dyDescent="0.25">
      <c r="A33" s="4"/>
      <c r="B33" s="9" t="s">
        <v>121</v>
      </c>
      <c r="D33" s="8" t="s">
        <v>104</v>
      </c>
      <c r="E33" s="67">
        <f>E7</f>
        <v>2025</v>
      </c>
      <c r="F33" s="8" t="s">
        <v>91</v>
      </c>
      <c r="G33" s="8" t="s">
        <v>92</v>
      </c>
      <c r="H33" s="8" t="s">
        <v>93</v>
      </c>
      <c r="I33" s="8" t="s">
        <v>94</v>
      </c>
      <c r="J33" s="8" t="s">
        <v>95</v>
      </c>
      <c r="K33" s="8" t="s">
        <v>96</v>
      </c>
      <c r="L33" s="8" t="s">
        <v>97</v>
      </c>
      <c r="M33" s="8" t="s">
        <v>98</v>
      </c>
      <c r="N33" s="8" t="s">
        <v>99</v>
      </c>
      <c r="O33" s="8" t="s">
        <v>100</v>
      </c>
      <c r="P33" s="8" t="s">
        <v>101</v>
      </c>
      <c r="Q33" s="8" t="s">
        <v>90</v>
      </c>
    </row>
    <row r="34" spans="1:19" x14ac:dyDescent="0.25">
      <c r="A34" s="4"/>
      <c r="B34" s="9" t="s">
        <v>52</v>
      </c>
      <c r="D34" s="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9" x14ac:dyDescent="0.25">
      <c r="A35" s="4">
        <v>13</v>
      </c>
      <c r="B35" t="s">
        <v>161</v>
      </c>
      <c r="C35" s="112">
        <v>376</v>
      </c>
      <c r="D35" s="165">
        <v>1.49E-2</v>
      </c>
      <c r="E35" s="109">
        <v>1634701</v>
      </c>
      <c r="F35" s="64">
        <f>ROUND(SUM($E$12:E12)*$D$35/12,0)</f>
        <v>143271</v>
      </c>
      <c r="G35" s="64">
        <f>ROUND(SUM($E$12:F12)*$D$35/12,0)</f>
        <v>143355</v>
      </c>
      <c r="H35" s="64">
        <f>ROUND(SUM($E$12:G12)*$D$35/12,0)</f>
        <v>143484</v>
      </c>
      <c r="I35" s="64">
        <f>ROUND(SUM($E$12:H12)*$D$35/12,0)</f>
        <v>143502</v>
      </c>
      <c r="J35" s="64">
        <f>ROUND(SUM($E$12:I12)*$D$35/12,0)</f>
        <v>143502</v>
      </c>
      <c r="K35" s="64">
        <f>ROUND(SUM($E$12:J12)*$D$35/12,0)</f>
        <v>143502</v>
      </c>
      <c r="L35" s="64">
        <f>ROUND(SUM($E$12:K12)*$D$35/12,0)</f>
        <v>143502</v>
      </c>
      <c r="M35" s="64">
        <f>ROUND(SUM($E$12:L12)*$D$35/12,0)</f>
        <v>143502</v>
      </c>
      <c r="N35" s="64">
        <f>ROUND(SUM($E$12:M12)*$D$35/12,0)</f>
        <v>143502</v>
      </c>
      <c r="O35" s="64">
        <f>ROUND(SUM($E$12:N12)*$D$35/12,0)</f>
        <v>143502</v>
      </c>
      <c r="P35" s="64">
        <f>ROUND(SUM($E$12:O12)*$D$35/12,0)</f>
        <v>183940</v>
      </c>
      <c r="Q35" s="64">
        <f>ROUND(SUM($E$12:P12)*$D$35/12,0)</f>
        <v>187178</v>
      </c>
      <c r="R35" s="18"/>
    </row>
    <row r="36" spans="1:19" x14ac:dyDescent="0.25">
      <c r="A36" s="4">
        <v>14</v>
      </c>
      <c r="B36" t="s">
        <v>168</v>
      </c>
      <c r="C36" s="112">
        <v>378</v>
      </c>
      <c r="D36" s="165">
        <v>2.0400000000000001E-2</v>
      </c>
      <c r="E36" s="109">
        <v>519078</v>
      </c>
      <c r="F36" s="64">
        <f>ROUND(SUM($E$13:E13)*$D$36/12,0)</f>
        <v>31887</v>
      </c>
      <c r="G36" s="64">
        <f>ROUND(SUM($E$13:F13)*$D$36/12,0)</f>
        <v>31887</v>
      </c>
      <c r="H36" s="64">
        <f>ROUND(SUM($E$13:G13)*$D$36/12,0)</f>
        <v>31887</v>
      </c>
      <c r="I36" s="64">
        <f>ROUND(SUM($E$13:H13)*$D$36/12,0)</f>
        <v>31887</v>
      </c>
      <c r="J36" s="64">
        <f>ROUND(SUM($E$13:I13)*$D$36/12,0)</f>
        <v>31887</v>
      </c>
      <c r="K36" s="64">
        <f>ROUND(SUM($E$13:J13)*$D$36/12,0)</f>
        <v>31887</v>
      </c>
      <c r="L36" s="64">
        <f>ROUND(SUM($E$13:K13)*$D$36/12,0)</f>
        <v>31887</v>
      </c>
      <c r="M36" s="64">
        <f>ROUND(SUM($E$13:L13)*$D$36/12,0)</f>
        <v>31887</v>
      </c>
      <c r="N36" s="64">
        <f>ROUND(SUM($E$13:M13)*$D$36/12,0)</f>
        <v>31887</v>
      </c>
      <c r="O36" s="64">
        <f>ROUND(SUM($E$13:N13)*$D$36/12,0)</f>
        <v>31887</v>
      </c>
      <c r="P36" s="64">
        <f>ROUND(SUM($E$13:O13)*$D$36/12,0)</f>
        <v>31887</v>
      </c>
      <c r="Q36" s="64">
        <f>ROUND(SUM($E$13:P13)*$D$36/12,0)</f>
        <v>31887</v>
      </c>
      <c r="R36" s="18"/>
    </row>
    <row r="37" spans="1:19" x14ac:dyDescent="0.25">
      <c r="A37" s="4">
        <v>15</v>
      </c>
      <c r="B37" t="s">
        <v>167</v>
      </c>
      <c r="C37" s="112">
        <v>374</v>
      </c>
      <c r="D37" s="165">
        <v>0</v>
      </c>
      <c r="E37" s="114">
        <v>0</v>
      </c>
      <c r="F37" s="91">
        <f>ROUND(SUM($E$14:E14)*$D$37/12,0)</f>
        <v>0</v>
      </c>
      <c r="G37" s="91">
        <f>ROUND(SUM($E$14:F14)*$D$37/12,0)</f>
        <v>0</v>
      </c>
      <c r="H37" s="91">
        <f>ROUND(SUM($E$14:G14)*$D$37/12,0)</f>
        <v>0</v>
      </c>
      <c r="I37" s="91">
        <f>ROUND(SUM($E$14:H14)*$D$37/12,0)</f>
        <v>0</v>
      </c>
      <c r="J37" s="91">
        <f>ROUND(SUM($E$14:I14)*$D$37/12,0)</f>
        <v>0</v>
      </c>
      <c r="K37" s="91">
        <f>ROUND(SUM($E$14:J14)*$D$37/12,0)</f>
        <v>0</v>
      </c>
      <c r="L37" s="91">
        <f>ROUND(SUM($E$14:K14)*$D$37/12,0)</f>
        <v>0</v>
      </c>
      <c r="M37" s="91">
        <f>ROUND(SUM($E$14:L14)*$D$37/12,0)</f>
        <v>0</v>
      </c>
      <c r="N37" s="91">
        <f>ROUND(SUM($E$14:M14)*$D$37/12,0)</f>
        <v>0</v>
      </c>
      <c r="O37" s="91">
        <f>ROUND(SUM($E$14:N14)*$D$37/12,0)</f>
        <v>0</v>
      </c>
      <c r="P37" s="91">
        <f>ROUND(SUM($E$14:O14)*$D$37/12,0)</f>
        <v>0</v>
      </c>
      <c r="Q37" s="91">
        <f>ROUND(SUM($E$14:P14)*$D$37/12,0)</f>
        <v>0</v>
      </c>
      <c r="R37" s="18"/>
    </row>
    <row r="38" spans="1:19" x14ac:dyDescent="0.25">
      <c r="A38" s="4">
        <v>16</v>
      </c>
      <c r="B38" t="s">
        <v>53</v>
      </c>
      <c r="C38" s="36"/>
      <c r="D38" s="115"/>
      <c r="E38" s="54">
        <f>SUM(E35:E37)</f>
        <v>2153779</v>
      </c>
      <c r="F38" s="54">
        <f t="shared" ref="F38:Q38" si="3">SUM(F35:F37)</f>
        <v>175158</v>
      </c>
      <c r="G38" s="54">
        <f t="shared" si="3"/>
        <v>175242</v>
      </c>
      <c r="H38" s="54">
        <f t="shared" si="3"/>
        <v>175371</v>
      </c>
      <c r="I38" s="54">
        <f t="shared" si="3"/>
        <v>175389</v>
      </c>
      <c r="J38" s="54">
        <f t="shared" si="3"/>
        <v>175389</v>
      </c>
      <c r="K38" s="54">
        <f t="shared" si="3"/>
        <v>175389</v>
      </c>
      <c r="L38" s="54">
        <f t="shared" si="3"/>
        <v>175389</v>
      </c>
      <c r="M38" s="54">
        <f t="shared" si="3"/>
        <v>175389</v>
      </c>
      <c r="N38" s="54">
        <f t="shared" si="3"/>
        <v>175389</v>
      </c>
      <c r="O38" s="54">
        <f t="shared" si="3"/>
        <v>175389</v>
      </c>
      <c r="P38" s="54">
        <f t="shared" si="3"/>
        <v>215827</v>
      </c>
      <c r="Q38" s="54">
        <f t="shared" si="3"/>
        <v>219065</v>
      </c>
      <c r="R38" s="18"/>
      <c r="S38" s="51"/>
    </row>
    <row r="39" spans="1:19" x14ac:dyDescent="0.25">
      <c r="A39" s="4"/>
      <c r="C39" s="36"/>
      <c r="D39" s="115"/>
      <c r="F39" s="1"/>
    </row>
    <row r="40" spans="1:19" x14ac:dyDescent="0.25">
      <c r="A40" s="4"/>
      <c r="B40" s="9" t="s">
        <v>54</v>
      </c>
      <c r="D40" s="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9" x14ac:dyDescent="0.25">
      <c r="A41" s="4">
        <v>17</v>
      </c>
      <c r="B41" t="s">
        <v>161</v>
      </c>
      <c r="C41" s="92">
        <v>376</v>
      </c>
      <c r="D41" s="165">
        <v>1.49E-2</v>
      </c>
      <c r="E41" s="109">
        <v>12482</v>
      </c>
      <c r="F41" s="64">
        <f>ROUND(SUM($E$18:E18)*0.0149/12,0)</f>
        <v>914</v>
      </c>
      <c r="G41" s="64">
        <f>ROUND(SUM($E$18:F18)*0.0149/12,0)</f>
        <v>914</v>
      </c>
      <c r="H41" s="64">
        <f>ROUND(SUM($E$18:G18)*0.0149/12,0)</f>
        <v>914</v>
      </c>
      <c r="I41" s="64">
        <f>ROUND(SUM($E$18:H18)*0.0149/12,0)</f>
        <v>914</v>
      </c>
      <c r="J41" s="64">
        <f>ROUND(SUM($E$18:I18)*0.0149/12,0)</f>
        <v>914</v>
      </c>
      <c r="K41" s="64">
        <f>ROUND(SUM($E$18:J18)*0.0149/12,0)</f>
        <v>914</v>
      </c>
      <c r="L41" s="64">
        <f>ROUND(SUM($E$18:K18)*0.0149/12,0)</f>
        <v>914</v>
      </c>
      <c r="M41" s="64">
        <f>ROUND(SUM($E$18:L18)*0.0149/12,0)</f>
        <v>914</v>
      </c>
      <c r="N41" s="64">
        <f>ROUND(SUM($E$18:M18)*0.0149/12,0)</f>
        <v>914</v>
      </c>
      <c r="O41" s="64">
        <f>ROUND(SUM($E$18:N18)*0.0149/12,0)</f>
        <v>914</v>
      </c>
      <c r="P41" s="64">
        <f>ROUND(SUM($E$18:O18)*0.0149/12,0)</f>
        <v>1162</v>
      </c>
      <c r="Q41" s="64">
        <f>ROUND(SUM($E$18:P18)*0.0149/12,0)</f>
        <v>1162</v>
      </c>
      <c r="R41" s="18"/>
    </row>
    <row r="42" spans="1:19" x14ac:dyDescent="0.25">
      <c r="A42" s="4">
        <v>18</v>
      </c>
      <c r="B42" t="s">
        <v>168</v>
      </c>
      <c r="C42" s="92">
        <v>378</v>
      </c>
      <c r="D42" s="165">
        <v>2.0400000000000001E-2</v>
      </c>
      <c r="E42" s="87">
        <v>0</v>
      </c>
      <c r="F42" s="64">
        <f>ROUND(SUM($E$19:E19)*0.0204/12,0)</f>
        <v>0</v>
      </c>
      <c r="G42" s="64">
        <f>ROUND(SUM($E$19:F19)*0.0204/12,0)</f>
        <v>0</v>
      </c>
      <c r="H42" s="64">
        <f>ROUND(SUM($E$19:G19)*0.0204/12,0)</f>
        <v>0</v>
      </c>
      <c r="I42" s="64">
        <f>ROUND(SUM($E$19:H19)*0.0204/12,0)</f>
        <v>0</v>
      </c>
      <c r="J42" s="64">
        <f>ROUND(SUM($E$19:I19)*0.0204/12,0)</f>
        <v>0</v>
      </c>
      <c r="K42" s="64">
        <f>ROUND(SUM($E$19:J19)*0.0204/12,0)</f>
        <v>0</v>
      </c>
      <c r="L42" s="64">
        <f>ROUND(SUM($E$19:K19)*0.0204/12,0)</f>
        <v>0</v>
      </c>
      <c r="M42" s="64">
        <f>ROUND(SUM($E$19:L19)*0.0204/12,0)</f>
        <v>0</v>
      </c>
      <c r="N42" s="64">
        <f>ROUND(SUM($E$19:M19)*0.0204/12,0)</f>
        <v>0</v>
      </c>
      <c r="O42" s="64">
        <f>ROUND(SUM($E$19:N19)*0.0204/12,0)</f>
        <v>0</v>
      </c>
      <c r="P42" s="64">
        <f>ROUND(SUM($E$19:O19)*0.0204/12,0)</f>
        <v>0</v>
      </c>
      <c r="Q42" s="64">
        <f>ROUND(SUM($E$19:P19)*0.0204/12,0)</f>
        <v>0</v>
      </c>
      <c r="R42" s="18"/>
    </row>
    <row r="43" spans="1:19" x14ac:dyDescent="0.25">
      <c r="A43" s="4">
        <v>19</v>
      </c>
      <c r="B43" t="s">
        <v>167</v>
      </c>
      <c r="C43" s="92">
        <v>374</v>
      </c>
      <c r="D43" s="165">
        <v>0</v>
      </c>
      <c r="E43" s="136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18"/>
    </row>
    <row r="44" spans="1:19" x14ac:dyDescent="0.25">
      <c r="A44" s="4">
        <v>20</v>
      </c>
      <c r="B44" t="s">
        <v>53</v>
      </c>
      <c r="C44" s="36"/>
      <c r="D44" s="36"/>
      <c r="E44" s="54">
        <f t="shared" ref="E44:Q44" si="4">SUM(E41:E41)</f>
        <v>12482</v>
      </c>
      <c r="F44" s="54">
        <f t="shared" si="4"/>
        <v>914</v>
      </c>
      <c r="G44" s="49">
        <f t="shared" si="4"/>
        <v>914</v>
      </c>
      <c r="H44" s="49">
        <f t="shared" si="4"/>
        <v>914</v>
      </c>
      <c r="I44" s="49">
        <f t="shared" si="4"/>
        <v>914</v>
      </c>
      <c r="J44" s="49">
        <f t="shared" si="4"/>
        <v>914</v>
      </c>
      <c r="K44" s="49">
        <f t="shared" si="4"/>
        <v>914</v>
      </c>
      <c r="L44" s="49">
        <f t="shared" si="4"/>
        <v>914</v>
      </c>
      <c r="M44" s="49">
        <f t="shared" si="4"/>
        <v>914</v>
      </c>
      <c r="N44" s="49">
        <f t="shared" si="4"/>
        <v>914</v>
      </c>
      <c r="O44" s="49">
        <f t="shared" si="4"/>
        <v>914</v>
      </c>
      <c r="P44" s="49">
        <f t="shared" si="4"/>
        <v>1162</v>
      </c>
      <c r="Q44" s="49">
        <f t="shared" si="4"/>
        <v>1162</v>
      </c>
      <c r="R44" s="18"/>
      <c r="S44" s="51"/>
    </row>
    <row r="45" spans="1:19" x14ac:dyDescent="0.25">
      <c r="A45" s="4"/>
      <c r="C45" s="36"/>
      <c r="D45" s="36"/>
      <c r="F45" s="1"/>
      <c r="S45" s="51"/>
    </row>
    <row r="46" spans="1:19" ht="15.75" thickBot="1" x14ac:dyDescent="0.3">
      <c r="A46" s="4">
        <v>21</v>
      </c>
      <c r="B46" s="9" t="s">
        <v>108</v>
      </c>
      <c r="C46" s="4"/>
      <c r="D46" s="4"/>
      <c r="E46" s="55">
        <f>+E38-E44</f>
        <v>2141297</v>
      </c>
      <c r="F46" s="55">
        <f>E46+F38-F44</f>
        <v>2315541</v>
      </c>
      <c r="G46" s="55">
        <f t="shared" ref="G46:Q46" si="5">F46+G38-G44</f>
        <v>2489869</v>
      </c>
      <c r="H46" s="55">
        <f t="shared" si="5"/>
        <v>2664326</v>
      </c>
      <c r="I46" s="55">
        <f t="shared" si="5"/>
        <v>2838801</v>
      </c>
      <c r="J46" s="55">
        <f t="shared" si="5"/>
        <v>3013276</v>
      </c>
      <c r="K46" s="55">
        <f t="shared" si="5"/>
        <v>3187751</v>
      </c>
      <c r="L46" s="55">
        <f t="shared" si="5"/>
        <v>3362226</v>
      </c>
      <c r="M46" s="55">
        <f t="shared" si="5"/>
        <v>3536701</v>
      </c>
      <c r="N46" s="55">
        <f t="shared" si="5"/>
        <v>3711176</v>
      </c>
      <c r="O46" s="55">
        <f t="shared" si="5"/>
        <v>3885651</v>
      </c>
      <c r="P46" s="55">
        <f t="shared" si="5"/>
        <v>4100316</v>
      </c>
      <c r="Q46" s="55">
        <f t="shared" si="5"/>
        <v>4318219</v>
      </c>
      <c r="R46" s="55">
        <f>AVERAGE(E46:Q46)</f>
        <v>3197319.230769231</v>
      </c>
    </row>
    <row r="47" spans="1:19" ht="15.75" thickTop="1" x14ac:dyDescent="0.25">
      <c r="A47" s="4"/>
      <c r="C47" s="4"/>
      <c r="D47" s="4"/>
      <c r="E47" s="42"/>
      <c r="F47" s="4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9" spans="1:1" x14ac:dyDescent="0.25">
      <c r="A49" t="s">
        <v>41</v>
      </c>
    </row>
    <row r="50" spans="1:1" x14ac:dyDescent="0.25">
      <c r="A50" s="15" t="s">
        <v>229</v>
      </c>
    </row>
  </sheetData>
  <printOptions horizontalCentered="1"/>
  <pageMargins left="0.7" right="0.7" top="0.75" bottom="0.75" header="0.3" footer="0.3"/>
  <pageSetup paperSize="5" scale="66" orientation="landscape" r:id="rId1"/>
  <headerFooter>
    <oddHeader xml:space="preserve">&amp;R&amp;"Times New Roman,Bold"&amp;10KyPSC Case No. 2025-00229
STAFF-DR-01-001 Attachment
Page &amp;P of &amp;N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4F04-2824-43B1-BE77-853FEA8C785D}">
  <sheetPr>
    <pageSetUpPr fitToPage="1"/>
  </sheetPr>
  <dimension ref="A1:N32"/>
  <sheetViews>
    <sheetView zoomScaleNormal="100" workbookViewId="0">
      <selection activeCell="J22" sqref="J22"/>
    </sheetView>
  </sheetViews>
  <sheetFormatPr defaultRowHeight="15" x14ac:dyDescent="0.25"/>
  <cols>
    <col min="1" max="1" width="7.140625" customWidth="1"/>
    <col min="2" max="2" width="35.85546875" customWidth="1"/>
    <col min="3" max="3" width="8.28515625" customWidth="1"/>
    <col min="4" max="4" width="13.140625" customWidth="1"/>
    <col min="5" max="5" width="3.7109375" customWidth="1"/>
    <col min="6" max="8" width="13.140625" customWidth="1"/>
    <col min="9" max="9" width="3.7109375" customWidth="1"/>
    <col min="10" max="12" width="13.140625" customWidth="1"/>
    <col min="13" max="13" width="13.7109375" bestFit="1" customWidth="1"/>
  </cols>
  <sheetData>
    <row r="1" spans="1:14" x14ac:dyDescent="0.25">
      <c r="A1" s="4"/>
      <c r="B1" s="29"/>
      <c r="D1" s="4"/>
      <c r="F1" s="4"/>
    </row>
    <row r="2" spans="1:14" x14ac:dyDescent="0.25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1:14" x14ac:dyDescent="0.25">
      <c r="A3" s="227" t="s">
        <v>134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1:14" x14ac:dyDescent="0.25">
      <c r="A4" s="227" t="s">
        <v>28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x14ac:dyDescent="0.25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</row>
    <row r="6" spans="1:14" x14ac:dyDescent="0.25">
      <c r="A6" s="4"/>
      <c r="D6" s="174" t="s">
        <v>160</v>
      </c>
      <c r="F6" s="230" t="s">
        <v>163</v>
      </c>
      <c r="G6" s="230"/>
      <c r="H6" s="230"/>
      <c r="J6" s="230" t="s">
        <v>223</v>
      </c>
      <c r="K6" s="230"/>
      <c r="L6" s="230"/>
      <c r="M6" s="230"/>
    </row>
    <row r="7" spans="1:14" x14ac:dyDescent="0.25">
      <c r="A7" s="3"/>
      <c r="B7" s="3"/>
      <c r="C7" s="3"/>
      <c r="D7" s="3" t="s">
        <v>70</v>
      </c>
      <c r="F7" s="3" t="s">
        <v>70</v>
      </c>
      <c r="G7" s="3" t="s">
        <v>70</v>
      </c>
      <c r="J7" s="3" t="s">
        <v>70</v>
      </c>
      <c r="K7" s="3" t="s">
        <v>70</v>
      </c>
      <c r="L7" s="3" t="s">
        <v>70</v>
      </c>
    </row>
    <row r="8" spans="1:14" x14ac:dyDescent="0.25">
      <c r="A8" s="8" t="s">
        <v>221</v>
      </c>
      <c r="B8" s="8"/>
      <c r="C8" s="8"/>
      <c r="D8" s="8">
        <v>2023</v>
      </c>
      <c r="F8" s="8">
        <v>2023</v>
      </c>
      <c r="G8" s="8">
        <v>2024</v>
      </c>
      <c r="H8" s="8" t="s">
        <v>82</v>
      </c>
      <c r="J8" s="8">
        <v>2023</v>
      </c>
      <c r="K8" s="8">
        <v>2024</v>
      </c>
      <c r="L8" s="8">
        <v>2025</v>
      </c>
      <c r="M8" s="8" t="s">
        <v>82</v>
      </c>
    </row>
    <row r="9" spans="1:14" x14ac:dyDescent="0.25">
      <c r="B9" s="16" t="s">
        <v>63</v>
      </c>
      <c r="C9" s="16" t="s">
        <v>64</v>
      </c>
      <c r="D9" s="16" t="s">
        <v>66</v>
      </c>
      <c r="F9" s="16" t="s">
        <v>84</v>
      </c>
      <c r="G9" s="16" t="s">
        <v>109</v>
      </c>
      <c r="H9" s="16" t="s">
        <v>110</v>
      </c>
      <c r="J9" s="16" t="s">
        <v>111</v>
      </c>
      <c r="K9" s="16" t="s">
        <v>112</v>
      </c>
      <c r="L9" s="16" t="s">
        <v>113</v>
      </c>
      <c r="M9" s="16" t="s">
        <v>114</v>
      </c>
    </row>
    <row r="10" spans="1:14" x14ac:dyDescent="0.25">
      <c r="A10" s="4"/>
    </row>
    <row r="11" spans="1:14" x14ac:dyDescent="0.25">
      <c r="A11" s="4">
        <v>1</v>
      </c>
      <c r="B11" t="s">
        <v>222</v>
      </c>
      <c r="C11" s="17"/>
      <c r="D11" s="66">
        <f>+'Sch 4.3'!Q12-'Sch 4.3'!Q18</f>
        <v>2512093.3099999996</v>
      </c>
      <c r="E11" s="186"/>
      <c r="F11" s="66">
        <f>+D11</f>
        <v>2512093.3099999996</v>
      </c>
      <c r="G11" s="66">
        <f>+G14+G15</f>
        <v>65211915</v>
      </c>
      <c r="H11" s="51">
        <f>SUM(F11:G11)</f>
        <v>67724008.310000002</v>
      </c>
      <c r="J11" s="51">
        <f>+D11</f>
        <v>2512093.3099999996</v>
      </c>
      <c r="K11" s="51">
        <f>+K14+K15</f>
        <v>65211915</v>
      </c>
      <c r="L11" s="51">
        <f>+'Sch 2.1'!C22+'Sch 2.1'!C23+'Sch 2.1'!C24</f>
        <v>36902463</v>
      </c>
      <c r="M11" s="51">
        <f>SUM(J11:L11)</f>
        <v>104626471.31</v>
      </c>
    </row>
    <row r="12" spans="1:14" ht="17.25" x14ac:dyDescent="0.4">
      <c r="A12" s="4"/>
      <c r="C12" s="17"/>
      <c r="D12" s="20"/>
      <c r="F12" s="58"/>
      <c r="G12" s="58"/>
      <c r="H12" s="58"/>
      <c r="J12" s="58"/>
      <c r="K12" s="58"/>
      <c r="L12" s="58"/>
      <c r="M12" s="58"/>
    </row>
    <row r="13" spans="1:14" x14ac:dyDescent="0.25">
      <c r="A13" s="4"/>
      <c r="B13" t="s">
        <v>68</v>
      </c>
      <c r="C13" s="26"/>
      <c r="D13" s="23"/>
      <c r="F13" s="59"/>
      <c r="G13" s="59"/>
      <c r="H13" s="59"/>
      <c r="J13" s="59"/>
      <c r="K13" s="59"/>
      <c r="L13" s="59"/>
      <c r="M13" s="59"/>
    </row>
    <row r="14" spans="1:14" x14ac:dyDescent="0.25">
      <c r="A14" s="4">
        <v>2</v>
      </c>
      <c r="B14" t="s">
        <v>224</v>
      </c>
      <c r="C14" s="27"/>
      <c r="D14" s="175">
        <f>+'Sch 2.1'!C10</f>
        <v>26061210</v>
      </c>
      <c r="F14" s="176">
        <f>F11</f>
        <v>2512093.3099999996</v>
      </c>
      <c r="G14" s="176">
        <f>+'Sch 2.1'!C11</f>
        <v>46454631</v>
      </c>
      <c r="H14" s="60">
        <f>SUM(F14:G14)</f>
        <v>48966724.310000002</v>
      </c>
      <c r="J14" s="176">
        <f>J11</f>
        <v>2512093.3099999996</v>
      </c>
      <c r="K14" s="176">
        <f>+G14</f>
        <v>46454631</v>
      </c>
      <c r="L14" s="176">
        <f>+'Sch 2.1'!C22+'Sch 2.1'!C23+'Sch 2.1'!C24</f>
        <v>36902463</v>
      </c>
      <c r="M14" s="60">
        <f>SUM(J14:L14)</f>
        <v>85869187.310000002</v>
      </c>
    </row>
    <row r="15" spans="1:14" x14ac:dyDescent="0.25">
      <c r="A15" s="4">
        <f>A14+1</f>
        <v>3</v>
      </c>
      <c r="B15" t="s">
        <v>225</v>
      </c>
      <c r="C15" s="27"/>
      <c r="D15" s="177">
        <f>+'Sch 2.1'!D10</f>
        <v>0</v>
      </c>
      <c r="F15" s="177">
        <f>+D15</f>
        <v>0</v>
      </c>
      <c r="G15" s="177">
        <f>+'Sch 2.1'!D11</f>
        <v>18757284</v>
      </c>
      <c r="H15" s="177">
        <f>SUM(F15:G15)</f>
        <v>18757284</v>
      </c>
      <c r="J15" s="177">
        <f>+F15</f>
        <v>0</v>
      </c>
      <c r="K15" s="177">
        <f>+G15</f>
        <v>18757284</v>
      </c>
      <c r="L15" s="177">
        <f>+'Sch 2.1'!D22+'Sch 2.1'!D23+'Sch 2.1'!D24</f>
        <v>0</v>
      </c>
      <c r="M15" s="177">
        <f>SUM(J15:L15)</f>
        <v>18757284</v>
      </c>
    </row>
    <row r="16" spans="1:14" x14ac:dyDescent="0.25">
      <c r="A16" s="4"/>
      <c r="B16" s="9"/>
      <c r="C16" s="27"/>
      <c r="D16" s="30"/>
      <c r="F16" s="30"/>
      <c r="G16" s="30"/>
      <c r="H16" s="30"/>
      <c r="J16" s="30"/>
      <c r="K16" s="30"/>
      <c r="L16" s="30"/>
      <c r="M16" s="30"/>
    </row>
    <row r="17" spans="1:13" x14ac:dyDescent="0.25">
      <c r="A17" s="4"/>
      <c r="B17" t="s">
        <v>13</v>
      </c>
      <c r="C17" s="17"/>
      <c r="D17" s="178"/>
      <c r="F17" s="179"/>
      <c r="G17" s="179"/>
      <c r="H17" s="179"/>
      <c r="J17" s="179"/>
      <c r="K17" s="179"/>
      <c r="L17" s="179"/>
      <c r="M17" s="179"/>
    </row>
    <row r="18" spans="1:13" x14ac:dyDescent="0.25">
      <c r="A18" s="4">
        <v>4</v>
      </c>
      <c r="B18" t="s">
        <v>224</v>
      </c>
      <c r="C18" s="27"/>
      <c r="D18" s="175">
        <f>+'Sch 2.1'!H10</f>
        <v>1303060.5</v>
      </c>
      <c r="F18" s="176" t="e">
        <f>+F14*'Sch 2.1'!#REF!</f>
        <v>#REF!</v>
      </c>
      <c r="G18" s="176" t="e">
        <f>ROUND(G14*'Sch 2.1'!#REF!,0)</f>
        <v>#REF!</v>
      </c>
      <c r="H18" s="60" t="e">
        <f>SUM(F18:G18)</f>
        <v>#REF!</v>
      </c>
      <c r="J18" s="176" t="e">
        <f>+J14*'Sch 2.1'!#REF!</f>
        <v>#REF!</v>
      </c>
      <c r="K18" s="180" t="e">
        <f>+K14*'Sch 2.1'!#REF!</f>
        <v>#REF!</v>
      </c>
      <c r="L18" s="176" t="e">
        <f>+L14*'Sch 2.1'!#REF!</f>
        <v>#REF!</v>
      </c>
      <c r="M18" s="60" t="e">
        <f>SUM(J18:L18)</f>
        <v>#REF!</v>
      </c>
    </row>
    <row r="19" spans="1:13" x14ac:dyDescent="0.25">
      <c r="A19" s="4">
        <f t="shared" ref="A19:A20" si="0">A18+1</f>
        <v>5</v>
      </c>
      <c r="B19" t="s">
        <v>225</v>
      </c>
      <c r="C19" s="27"/>
      <c r="D19" s="177">
        <f>+D15*'Sch 2.1'!B60</f>
        <v>0</v>
      </c>
      <c r="F19" s="177">
        <f>+F15*'Sch 2.1'!C60</f>
        <v>0</v>
      </c>
      <c r="G19" s="177">
        <f>+G15*'Sch 2.1'!B60</f>
        <v>937864.20000000007</v>
      </c>
      <c r="H19" s="60">
        <f>SUM(F19:G19)</f>
        <v>937864.20000000007</v>
      </c>
      <c r="J19" s="177">
        <f>+J15*'Sch 2.1'!D60</f>
        <v>0</v>
      </c>
      <c r="K19" s="177">
        <f>+K15*'Sch 2.1'!C60</f>
        <v>1781941.98</v>
      </c>
      <c r="L19" s="177">
        <f>+L15*'Sch 2.1'!B60</f>
        <v>0</v>
      </c>
      <c r="M19" s="60">
        <f>SUM(J19:L19)</f>
        <v>1781941.98</v>
      </c>
    </row>
    <row r="20" spans="1:13" x14ac:dyDescent="0.25">
      <c r="A20" s="4">
        <f t="shared" si="0"/>
        <v>6</v>
      </c>
      <c r="B20" t="s">
        <v>71</v>
      </c>
      <c r="C20" s="27"/>
      <c r="D20" s="181">
        <f>+D18+D19</f>
        <v>1303060.5</v>
      </c>
      <c r="F20" s="181" t="e">
        <f>+F18+F19</f>
        <v>#REF!</v>
      </c>
      <c r="G20" s="181" t="e">
        <f>+G18+G19</f>
        <v>#REF!</v>
      </c>
      <c r="H20" s="181" t="e">
        <f>SUM(F20:G20)</f>
        <v>#REF!</v>
      </c>
      <c r="J20" s="181" t="e">
        <f>+J18+J19</f>
        <v>#REF!</v>
      </c>
      <c r="K20" s="181" t="e">
        <f>+K18+K19</f>
        <v>#REF!</v>
      </c>
      <c r="L20" s="181" t="e">
        <f>+L18+L19</f>
        <v>#REF!</v>
      </c>
      <c r="M20" s="181" t="e">
        <f>SUM(J20:L20)</f>
        <v>#REF!</v>
      </c>
    </row>
    <row r="21" spans="1:13" x14ac:dyDescent="0.25">
      <c r="A21" s="4"/>
      <c r="C21" s="27"/>
      <c r="D21" s="30"/>
      <c r="F21" s="30"/>
      <c r="G21" s="30"/>
      <c r="H21" s="30"/>
      <c r="J21" s="30"/>
      <c r="K21" s="30"/>
      <c r="L21" s="30"/>
      <c r="M21" s="30"/>
    </row>
    <row r="22" spans="1:13" x14ac:dyDescent="0.25">
      <c r="A22" s="4">
        <f>+A20+1</f>
        <v>7</v>
      </c>
      <c r="B22" t="s">
        <v>72</v>
      </c>
      <c r="D22" s="182">
        <f>+'Sch 2.1'!K10</f>
        <v>0</v>
      </c>
      <c r="F22" s="182">
        <f>+'Sch 2.1'!K10</f>
        <v>0</v>
      </c>
      <c r="G22" s="182">
        <f>+'Sch 2.1'!K11</f>
        <v>613039</v>
      </c>
      <c r="H22" s="60">
        <v>202555</v>
      </c>
      <c r="J22" s="182">
        <v>120165</v>
      </c>
      <c r="K22" s="182">
        <v>219705.90282759999</v>
      </c>
      <c r="L22" s="182">
        <f>M22-J22-K22</f>
        <v>89056.097172400012</v>
      </c>
      <c r="M22" s="60">
        <v>428927</v>
      </c>
    </row>
    <row r="23" spans="1:13" x14ac:dyDescent="0.25">
      <c r="A23" s="4"/>
      <c r="D23" s="30"/>
      <c r="F23" s="30"/>
      <c r="G23" s="30"/>
      <c r="H23" s="30"/>
      <c r="J23" s="30"/>
      <c r="K23" s="30"/>
      <c r="L23" s="30"/>
      <c r="M23" s="30"/>
    </row>
    <row r="24" spans="1:13" x14ac:dyDescent="0.25">
      <c r="A24" s="4">
        <f>A22+1</f>
        <v>8</v>
      </c>
      <c r="B24" t="s">
        <v>73</v>
      </c>
      <c r="D24" s="30">
        <f>+D20-D22</f>
        <v>1303060.5</v>
      </c>
      <c r="F24" s="30" t="e">
        <f>+F20-F22</f>
        <v>#REF!</v>
      </c>
      <c r="G24" s="30" t="e">
        <f>+G20-G22</f>
        <v>#REF!</v>
      </c>
      <c r="H24" s="60" t="e">
        <f>SUM(F24:G24)</f>
        <v>#REF!</v>
      </c>
      <c r="J24" s="30" t="e">
        <f>+J20-J22</f>
        <v>#REF!</v>
      </c>
      <c r="K24" s="30" t="e">
        <f>+K20-K22</f>
        <v>#REF!</v>
      </c>
      <c r="L24" s="30" t="e">
        <f>+L20-L22</f>
        <v>#REF!</v>
      </c>
      <c r="M24" s="60" t="e">
        <f>SUM(J24:L24)</f>
        <v>#REF!</v>
      </c>
    </row>
    <row r="25" spans="1:13" x14ac:dyDescent="0.25">
      <c r="A25" s="4"/>
      <c r="D25" s="30"/>
      <c r="F25" s="30"/>
      <c r="G25" s="30"/>
      <c r="H25" s="30"/>
      <c r="J25" s="30"/>
      <c r="K25" s="30"/>
      <c r="L25" s="30"/>
      <c r="M25" s="30"/>
    </row>
    <row r="26" spans="1:13" x14ac:dyDescent="0.25">
      <c r="A26" s="4">
        <f>+A24+1</f>
        <v>9</v>
      </c>
      <c r="B26" t="s">
        <v>25</v>
      </c>
      <c r="D26" s="30">
        <v>8798</v>
      </c>
      <c r="F26" s="30">
        <v>0</v>
      </c>
      <c r="G26" s="30">
        <v>0</v>
      </c>
      <c r="H26" s="60">
        <f>SUM(F26:G26)</f>
        <v>0</v>
      </c>
      <c r="J26" s="30">
        <v>0</v>
      </c>
      <c r="K26" s="30">
        <v>0</v>
      </c>
      <c r="L26" s="30">
        <v>0</v>
      </c>
      <c r="M26" s="60">
        <f>SUM(J26:L26)</f>
        <v>0</v>
      </c>
    </row>
    <row r="27" spans="1:13" x14ac:dyDescent="0.25">
      <c r="A27" s="4">
        <f>+A26+1</f>
        <v>10</v>
      </c>
      <c r="B27" t="s">
        <v>75</v>
      </c>
      <c r="D27" s="56">
        <f>+D24+D26</f>
        <v>1311858.5</v>
      </c>
      <c r="E27" s="51"/>
      <c r="F27" s="56" t="e">
        <f>+F24+F26</f>
        <v>#REF!</v>
      </c>
      <c r="G27" s="56" t="e">
        <f>+G24+G26</f>
        <v>#REF!</v>
      </c>
      <c r="H27" s="61" t="e">
        <f>SUM(F27:G27)</f>
        <v>#REF!</v>
      </c>
      <c r="J27" s="56" t="e">
        <f>+J24+J26</f>
        <v>#REF!</v>
      </c>
      <c r="K27" s="56" t="e">
        <f>+K24+K26</f>
        <v>#REF!</v>
      </c>
      <c r="L27" s="56" t="e">
        <f>+L24+L26</f>
        <v>#REF!</v>
      </c>
      <c r="M27" s="61" t="e">
        <f>SUM(J27:L27)</f>
        <v>#REF!</v>
      </c>
    </row>
    <row r="28" spans="1:13" x14ac:dyDescent="0.25">
      <c r="A28" s="4"/>
      <c r="D28" s="30"/>
      <c r="F28" s="30"/>
      <c r="G28" s="30"/>
      <c r="H28" s="30"/>
      <c r="J28" s="30"/>
      <c r="K28" s="30"/>
      <c r="L28" s="30"/>
      <c r="M28" s="30"/>
    </row>
    <row r="29" spans="1:13" x14ac:dyDescent="0.25">
      <c r="A29" s="4">
        <f>A27+1</f>
        <v>11</v>
      </c>
      <c r="B29" t="s">
        <v>74</v>
      </c>
      <c r="C29" s="183">
        <v>0.38469999999999999</v>
      </c>
      <c r="D29" s="30">
        <f>ROUND(D27*$C$29,0)</f>
        <v>504672</v>
      </c>
      <c r="F29" s="30" t="e">
        <f>ROUND(F27*$C$29,0)</f>
        <v>#REF!</v>
      </c>
      <c r="G29" s="30" t="e">
        <f>ROUND(G27*$C$29,0)</f>
        <v>#REF!</v>
      </c>
      <c r="H29" s="60" t="e">
        <f>SUM(F29:G29)</f>
        <v>#REF!</v>
      </c>
      <c r="J29" s="30" t="e">
        <f>ROUND(J27*$C$29,0)</f>
        <v>#REF!</v>
      </c>
      <c r="K29" s="30" t="e">
        <f>ROUND(K27*$C$29,0)</f>
        <v>#REF!</v>
      </c>
      <c r="L29" s="30" t="e">
        <f>ROUND(L27*$C$29,0)</f>
        <v>#REF!</v>
      </c>
      <c r="M29" s="60" t="e">
        <f>SUM(J29:L29)</f>
        <v>#REF!</v>
      </c>
    </row>
    <row r="30" spans="1:13" x14ac:dyDescent="0.25">
      <c r="A30" s="4"/>
    </row>
    <row r="31" spans="1:13" ht="15.75" thickBot="1" x14ac:dyDescent="0.3">
      <c r="A31" s="4">
        <f>A29+1</f>
        <v>12</v>
      </c>
      <c r="B31" t="s">
        <v>127</v>
      </c>
      <c r="H31" s="51"/>
      <c r="M31" s="55" t="e">
        <f>+D29+M29+H29</f>
        <v>#REF!</v>
      </c>
    </row>
    <row r="32" spans="1:13" ht="15.75" thickTop="1" x14ac:dyDescent="0.25">
      <c r="A32" s="5"/>
    </row>
  </sheetData>
  <mergeCells count="6">
    <mergeCell ref="A2:N2"/>
    <mergeCell ref="A3:N3"/>
    <mergeCell ref="A4:N4"/>
    <mergeCell ref="A5:N5"/>
    <mergeCell ref="F6:H6"/>
    <mergeCell ref="J6:M6"/>
  </mergeCells>
  <pageMargins left="0.7" right="0.69781249999999995" top="0.75" bottom="0.75" header="0.3" footer="0.3"/>
  <pageSetup scale="71" orientation="landscape" r:id="rId1"/>
  <headerFooter>
    <oddHeader xml:space="preserve">&amp;RExhibit 1
Schedule 2.1
Page &amp;P of &amp;N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A1:V61"/>
  <sheetViews>
    <sheetView view="pageLayout" zoomScale="55" zoomScaleNormal="100" zoomScalePageLayoutView="55" workbookViewId="0">
      <selection activeCell="I7" sqref="I7"/>
    </sheetView>
  </sheetViews>
  <sheetFormatPr defaultRowHeight="15" x14ac:dyDescent="0.25"/>
  <cols>
    <col min="1" max="1" width="10.28515625" customWidth="1"/>
    <col min="2" max="2" width="11.85546875" customWidth="1"/>
    <col min="3" max="3" width="27.140625" customWidth="1"/>
    <col min="4" max="4" width="19.42578125" customWidth="1"/>
    <col min="5" max="5" width="18.28515625" customWidth="1"/>
    <col min="6" max="6" width="14.7109375" bestFit="1" customWidth="1"/>
    <col min="7" max="7" width="3.7109375" customWidth="1"/>
    <col min="8" max="8" width="14" customWidth="1"/>
    <col min="9" max="9" width="16.140625" customWidth="1"/>
    <col min="10" max="10" width="13.42578125" customWidth="1"/>
    <col min="11" max="11" width="18.85546875" bestFit="1" customWidth="1"/>
    <col min="12" max="12" width="15.42578125" customWidth="1"/>
    <col min="13" max="13" width="15.28515625" customWidth="1"/>
    <col min="14" max="14" width="12.42578125" customWidth="1"/>
    <col min="15" max="16" width="14.85546875" customWidth="1"/>
    <col min="17" max="17" width="13.28515625" customWidth="1"/>
    <col min="18" max="18" width="23.42578125" bestFit="1" customWidth="1"/>
  </cols>
  <sheetData>
    <row r="1" spans="1:18" x14ac:dyDescent="0.25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69"/>
    </row>
    <row r="2" spans="1:18" x14ac:dyDescent="0.25">
      <c r="A2" s="227" t="s">
        <v>134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69"/>
    </row>
    <row r="3" spans="1:18" x14ac:dyDescent="0.25">
      <c r="A3" s="227" t="s">
        <v>28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69"/>
    </row>
    <row r="4" spans="1:18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21"/>
      <c r="M4" s="69"/>
      <c r="N4" s="69"/>
      <c r="O4" s="69"/>
      <c r="P4" s="69"/>
      <c r="Q4" s="69"/>
      <c r="R4" s="69"/>
    </row>
    <row r="5" spans="1:18" ht="15.75" x14ac:dyDescent="0.25">
      <c r="A5" s="222"/>
      <c r="B5" s="7"/>
      <c r="C5" s="7"/>
      <c r="D5" s="201"/>
      <c r="E5" s="7"/>
      <c r="F5" s="7"/>
      <c r="G5" s="7"/>
      <c r="H5" s="7"/>
      <c r="I5" s="7"/>
      <c r="J5" s="7"/>
      <c r="K5" s="7"/>
      <c r="L5" s="7"/>
      <c r="M5" s="7"/>
      <c r="N5" s="7"/>
      <c r="P5" s="21"/>
      <c r="Q5" s="69"/>
    </row>
    <row r="7" spans="1:18" ht="30" x14ac:dyDescent="0.25">
      <c r="A7" s="137" t="s">
        <v>247</v>
      </c>
      <c r="B7" s="155"/>
      <c r="C7" s="138" t="s">
        <v>169</v>
      </c>
      <c r="D7" s="138" t="s">
        <v>170</v>
      </c>
      <c r="E7" s="138" t="s">
        <v>182</v>
      </c>
      <c r="F7" s="138" t="s">
        <v>183</v>
      </c>
      <c r="G7" s="137"/>
      <c r="H7" s="166" t="s">
        <v>213</v>
      </c>
      <c r="I7" s="166" t="s">
        <v>214</v>
      </c>
      <c r="J7" s="138" t="s">
        <v>186</v>
      </c>
      <c r="K7" s="138" t="s">
        <v>171</v>
      </c>
      <c r="L7" s="189" t="s">
        <v>187</v>
      </c>
      <c r="M7" s="189" t="s">
        <v>190</v>
      </c>
      <c r="N7" s="189" t="s">
        <v>191</v>
      </c>
      <c r="O7" s="189" t="s">
        <v>192</v>
      </c>
      <c r="P7" s="189" t="s">
        <v>239</v>
      </c>
      <c r="Q7" s="189" t="s">
        <v>195</v>
      </c>
    </row>
    <row r="8" spans="1:18" ht="15" customHeight="1" x14ac:dyDescent="0.25">
      <c r="H8" s="4"/>
      <c r="I8" s="4"/>
      <c r="J8" s="4"/>
      <c r="L8" s="4"/>
      <c r="M8" s="153"/>
      <c r="N8" s="4"/>
      <c r="O8" s="4"/>
      <c r="P8" s="4"/>
      <c r="Q8" s="4"/>
    </row>
    <row r="9" spans="1:18" ht="60" x14ac:dyDescent="0.25">
      <c r="B9" s="139" t="s">
        <v>57</v>
      </c>
      <c r="C9" s="150" t="s">
        <v>175</v>
      </c>
      <c r="D9" s="150" t="s">
        <v>181</v>
      </c>
      <c r="E9" s="150" t="s">
        <v>176</v>
      </c>
      <c r="F9" s="150" t="s">
        <v>180</v>
      </c>
      <c r="G9" s="162"/>
      <c r="H9" s="150" t="s">
        <v>215</v>
      </c>
      <c r="I9" s="150" t="s">
        <v>216</v>
      </c>
      <c r="J9" s="150" t="s">
        <v>177</v>
      </c>
      <c r="K9" s="139" t="s">
        <v>72</v>
      </c>
      <c r="L9" s="150" t="s">
        <v>188</v>
      </c>
      <c r="M9" s="150" t="s">
        <v>189</v>
      </c>
      <c r="N9" s="150" t="s">
        <v>178</v>
      </c>
      <c r="O9" s="150" t="s">
        <v>179</v>
      </c>
      <c r="P9" s="150" t="s">
        <v>193</v>
      </c>
      <c r="Q9" s="150" t="s">
        <v>194</v>
      </c>
    </row>
    <row r="10" spans="1:18" x14ac:dyDescent="0.25">
      <c r="B10" s="140">
        <v>45261</v>
      </c>
      <c r="C10" s="1">
        <f>+'Sch 4.3'!E12-'Sch 4.3'!E18</f>
        <v>26061210</v>
      </c>
      <c r="D10" s="143">
        <v>0</v>
      </c>
      <c r="E10" s="167">
        <v>5857760</v>
      </c>
      <c r="F10" s="143">
        <f t="shared" ref="F10:F21" si="0">SUM(C10:E10)</f>
        <v>31918970</v>
      </c>
      <c r="G10" s="168"/>
      <c r="H10" s="169">
        <f>C10*B60</f>
        <v>1303060.5</v>
      </c>
      <c r="I10" s="169">
        <v>0</v>
      </c>
      <c r="J10" s="169">
        <f>SUM(H10:I10)</f>
        <v>1303060.5</v>
      </c>
      <c r="K10" s="168">
        <v>0</v>
      </c>
      <c r="L10" s="141">
        <f t="shared" ref="L10:L21" si="1">J10-K10</f>
        <v>1303060.5</v>
      </c>
      <c r="M10" s="142">
        <f>L10</f>
        <v>1303060.5</v>
      </c>
      <c r="N10" s="141" t="s">
        <v>217</v>
      </c>
      <c r="O10" s="141" t="s">
        <v>217</v>
      </c>
      <c r="P10" s="141" t="s">
        <v>217</v>
      </c>
      <c r="Q10" s="141">
        <f>+M10</f>
        <v>1303060.5</v>
      </c>
    </row>
    <row r="11" spans="1:18" x14ac:dyDescent="0.25">
      <c r="B11" s="140">
        <v>45627</v>
      </c>
      <c r="C11" s="143">
        <v>46454631</v>
      </c>
      <c r="D11" s="143">
        <v>18757284</v>
      </c>
      <c r="E11" s="143">
        <v>64070</v>
      </c>
      <c r="F11" s="143">
        <f t="shared" si="0"/>
        <v>65275985</v>
      </c>
      <c r="G11" s="152"/>
      <c r="H11" s="143">
        <f>(C10*C60)+(C11*B60)</f>
        <v>4798546.5</v>
      </c>
      <c r="I11" s="143">
        <f>D11*B61</f>
        <v>703398.15</v>
      </c>
      <c r="J11" s="169">
        <f>SUM(H11:I11)</f>
        <v>5501944.6500000004</v>
      </c>
      <c r="K11" s="143">
        <v>613039</v>
      </c>
      <c r="L11" s="141">
        <f t="shared" si="1"/>
        <v>4888905.6500000004</v>
      </c>
      <c r="M11" s="142">
        <f>M10+L11</f>
        <v>6191966.1500000004</v>
      </c>
      <c r="N11" s="141" t="s">
        <v>217</v>
      </c>
      <c r="O11" s="141" t="s">
        <v>217</v>
      </c>
      <c r="P11" s="141" t="s">
        <v>217</v>
      </c>
      <c r="Q11" s="141">
        <f>+M11</f>
        <v>6191966.1500000004</v>
      </c>
    </row>
    <row r="12" spans="1:18" x14ac:dyDescent="0.25">
      <c r="B12" s="140">
        <v>45992</v>
      </c>
      <c r="C12" s="143">
        <v>40193784</v>
      </c>
      <c r="D12" s="143">
        <v>3423012</v>
      </c>
      <c r="E12" s="143">
        <v>2959400</v>
      </c>
      <c r="F12" s="143">
        <f t="shared" si="0"/>
        <v>46576196</v>
      </c>
      <c r="G12" s="152"/>
      <c r="H12" s="143">
        <f>(C10*D60)+(C11*C60)+(C12*B60)</f>
        <v>8651112.6000000015</v>
      </c>
      <c r="I12" s="143">
        <f>(D11*C61)+(D12*B61)</f>
        <v>1482451.2819600001</v>
      </c>
      <c r="J12" s="169">
        <f>SUM(H12:I12)</f>
        <v>10133563.881960001</v>
      </c>
      <c r="K12" s="143">
        <v>1528258</v>
      </c>
      <c r="L12" s="141">
        <f t="shared" si="1"/>
        <v>8605305.8819600008</v>
      </c>
      <c r="M12" s="142">
        <f>M11+L12</f>
        <v>14797272.031960001</v>
      </c>
      <c r="N12" s="141" t="s">
        <v>217</v>
      </c>
      <c r="O12" s="141" t="s">
        <v>217</v>
      </c>
      <c r="P12" s="141" t="s">
        <v>217</v>
      </c>
      <c r="Q12" s="141">
        <f>+M12</f>
        <v>14797272.031960001</v>
      </c>
    </row>
    <row r="13" spans="1:18" x14ac:dyDescent="0.25">
      <c r="A13" t="s">
        <v>172</v>
      </c>
      <c r="B13" s="140">
        <v>46023</v>
      </c>
      <c r="C13" s="143">
        <v>67986</v>
      </c>
      <c r="D13" s="143">
        <v>0</v>
      </c>
      <c r="E13" s="143">
        <v>20000</v>
      </c>
      <c r="F13" s="143">
        <f t="shared" si="0"/>
        <v>87986</v>
      </c>
      <c r="G13" s="152"/>
      <c r="H13" s="143">
        <f>((C10*E60)+(C11*D60)+(C12*C60)+(C13*B60))/12</f>
        <v>816590.82000000018</v>
      </c>
      <c r="I13" s="143">
        <f>((D11*D61)+(D12*C61))/12</f>
        <v>124960.92408000001</v>
      </c>
      <c r="J13" s="169">
        <f t="shared" ref="J13:J21" si="2">SUM(H13:I13)</f>
        <v>941551.74408000021</v>
      </c>
      <c r="K13" s="143">
        <v>177655</v>
      </c>
      <c r="L13" s="141">
        <f t="shared" si="1"/>
        <v>763896.74408000021</v>
      </c>
      <c r="M13" s="142">
        <f t="shared" ref="M13:M24" si="3">M12+L13</f>
        <v>15561168.776040001</v>
      </c>
      <c r="N13" s="141">
        <v>31</v>
      </c>
      <c r="O13" s="141">
        <f>365-SUM(N$13:N13)+1</f>
        <v>335</v>
      </c>
      <c r="P13" s="141">
        <f>+L13*O13/N$25</f>
        <v>701110.71032000019</v>
      </c>
      <c r="Q13" s="141">
        <f>+Q12+P13</f>
        <v>15498382.742280001</v>
      </c>
    </row>
    <row r="14" spans="1:18" x14ac:dyDescent="0.25">
      <c r="A14" t="s">
        <v>172</v>
      </c>
      <c r="B14" s="140">
        <v>46054</v>
      </c>
      <c r="C14" s="143">
        <v>103535</v>
      </c>
      <c r="D14" s="143">
        <v>0</v>
      </c>
      <c r="E14" s="143">
        <v>20000</v>
      </c>
      <c r="F14" s="143">
        <f t="shared" si="0"/>
        <v>123535</v>
      </c>
      <c r="G14" s="152"/>
      <c r="H14" s="143">
        <f>H13+(C14*B60)/11</f>
        <v>817061.43363636383</v>
      </c>
      <c r="I14" s="143">
        <f>I13</f>
        <v>124960.92408000001</v>
      </c>
      <c r="J14" s="169">
        <f t="shared" si="2"/>
        <v>942022.35771636385</v>
      </c>
      <c r="K14" s="143">
        <v>177739</v>
      </c>
      <c r="L14" s="141">
        <f t="shared" si="1"/>
        <v>764283.35771636385</v>
      </c>
      <c r="M14" s="142">
        <f t="shared" si="3"/>
        <v>16325452.133756366</v>
      </c>
      <c r="N14" s="170">
        <v>28</v>
      </c>
      <c r="O14" s="141">
        <f>365-SUM(N$13:N14)+1</f>
        <v>307</v>
      </c>
      <c r="P14" s="141">
        <f t="shared" ref="P14:P24" si="4">+L14*O14/N$25</f>
        <v>642835.59128472256</v>
      </c>
      <c r="Q14" s="141">
        <f t="shared" ref="Q14:Q24" si="5">+Q13+P14</f>
        <v>16141218.333564723</v>
      </c>
    </row>
    <row r="15" spans="1:18" x14ac:dyDescent="0.25">
      <c r="A15" t="s">
        <v>172</v>
      </c>
      <c r="B15" s="140">
        <v>46082</v>
      </c>
      <c r="C15" s="143">
        <v>14337</v>
      </c>
      <c r="D15" s="143">
        <v>0</v>
      </c>
      <c r="E15" s="143">
        <v>0</v>
      </c>
      <c r="F15" s="143">
        <f t="shared" si="0"/>
        <v>14337</v>
      </c>
      <c r="G15" s="152"/>
      <c r="H15" s="143">
        <f>H14+(C15*B60)/10</f>
        <v>817133.11863636388</v>
      </c>
      <c r="I15" s="143">
        <f t="shared" ref="I15:I21" si="6">I14</f>
        <v>124960.92408000001</v>
      </c>
      <c r="J15" s="169">
        <f t="shared" si="2"/>
        <v>942094.04271636391</v>
      </c>
      <c r="K15" s="143">
        <v>177868</v>
      </c>
      <c r="L15" s="141">
        <f t="shared" si="1"/>
        <v>764226.04271636391</v>
      </c>
      <c r="M15" s="142">
        <f t="shared" si="3"/>
        <v>17089678.176472731</v>
      </c>
      <c r="N15" s="141">
        <v>31</v>
      </c>
      <c r="O15" s="141">
        <f>365-SUM(N$13:N15)+1</f>
        <v>276</v>
      </c>
      <c r="P15" s="141">
        <f t="shared" si="4"/>
        <v>577880.5144923738</v>
      </c>
      <c r="Q15" s="141">
        <f t="shared" si="5"/>
        <v>16719098.848057097</v>
      </c>
    </row>
    <row r="16" spans="1:18" x14ac:dyDescent="0.25">
      <c r="A16" t="s">
        <v>172</v>
      </c>
      <c r="B16" s="140">
        <v>46113</v>
      </c>
      <c r="C16" s="143">
        <v>0</v>
      </c>
      <c r="D16" s="143">
        <v>0</v>
      </c>
      <c r="E16" s="143">
        <v>0</v>
      </c>
      <c r="F16" s="143">
        <f t="shared" si="0"/>
        <v>0</v>
      </c>
      <c r="G16" s="152"/>
      <c r="H16" s="143">
        <f>H15+(C16*B61)/9</f>
        <v>817133.11863636388</v>
      </c>
      <c r="I16" s="143">
        <f t="shared" si="6"/>
        <v>124960.92408000001</v>
      </c>
      <c r="J16" s="169">
        <f t="shared" si="2"/>
        <v>942094.04271636391</v>
      </c>
      <c r="K16" s="143">
        <v>177885</v>
      </c>
      <c r="L16" s="141">
        <f t="shared" si="1"/>
        <v>764209.04271636391</v>
      </c>
      <c r="M16" s="142">
        <f t="shared" si="3"/>
        <v>17853887.219189096</v>
      </c>
      <c r="N16" s="141">
        <v>30</v>
      </c>
      <c r="O16" s="141">
        <f>365-SUM(N$13:N16)+1</f>
        <v>246</v>
      </c>
      <c r="P16" s="141">
        <f t="shared" si="4"/>
        <v>515055.95755678229</v>
      </c>
      <c r="Q16" s="141">
        <f t="shared" si="5"/>
        <v>17234154.805613879</v>
      </c>
    </row>
    <row r="17" spans="1:18" x14ac:dyDescent="0.25">
      <c r="A17" t="s">
        <v>172</v>
      </c>
      <c r="B17" s="140">
        <v>46143</v>
      </c>
      <c r="C17" s="143">
        <v>0</v>
      </c>
      <c r="D17" s="143">
        <v>0</v>
      </c>
      <c r="E17" s="143">
        <v>0</v>
      </c>
      <c r="F17" s="143">
        <f t="shared" si="0"/>
        <v>0</v>
      </c>
      <c r="G17" s="152"/>
      <c r="H17" s="143">
        <f>H16+(C17*B62)/8</f>
        <v>817133.11863636388</v>
      </c>
      <c r="I17" s="143">
        <f t="shared" si="6"/>
        <v>124960.92408000001</v>
      </c>
      <c r="J17" s="169">
        <f t="shared" si="2"/>
        <v>942094.04271636391</v>
      </c>
      <c r="K17" s="143">
        <v>177885</v>
      </c>
      <c r="L17" s="141">
        <f t="shared" si="1"/>
        <v>764209.04271636391</v>
      </c>
      <c r="M17" s="142">
        <f t="shared" si="3"/>
        <v>18618096.261905462</v>
      </c>
      <c r="N17" s="141">
        <v>31</v>
      </c>
      <c r="O17" s="141">
        <f>365-SUM(N$13:N17)+1</f>
        <v>215</v>
      </c>
      <c r="P17" s="141">
        <f t="shared" si="4"/>
        <v>450150.53201100894</v>
      </c>
      <c r="Q17" s="141">
        <f t="shared" si="5"/>
        <v>17684305.337624889</v>
      </c>
    </row>
    <row r="18" spans="1:18" x14ac:dyDescent="0.25">
      <c r="A18" t="s">
        <v>172</v>
      </c>
      <c r="B18" s="140">
        <v>46174</v>
      </c>
      <c r="C18" s="143">
        <v>0</v>
      </c>
      <c r="D18" s="143">
        <v>0</v>
      </c>
      <c r="E18" s="143">
        <v>0</v>
      </c>
      <c r="F18" s="143">
        <f t="shared" si="0"/>
        <v>0</v>
      </c>
      <c r="G18" s="152"/>
      <c r="H18" s="143">
        <f>H17+(C18*B63)/7</f>
        <v>817133.11863636388</v>
      </c>
      <c r="I18" s="143">
        <f t="shared" si="6"/>
        <v>124960.92408000001</v>
      </c>
      <c r="J18" s="169">
        <f t="shared" si="2"/>
        <v>942094.04271636391</v>
      </c>
      <c r="K18" s="143">
        <v>177885</v>
      </c>
      <c r="L18" s="141">
        <f t="shared" si="1"/>
        <v>764209.04271636391</v>
      </c>
      <c r="M18" s="142">
        <f t="shared" si="3"/>
        <v>19382305.304621827</v>
      </c>
      <c r="N18" s="141">
        <v>30</v>
      </c>
      <c r="O18" s="141">
        <f>365-SUM(N$13:N18)+1</f>
        <v>185</v>
      </c>
      <c r="P18" s="141">
        <f t="shared" si="4"/>
        <v>387338.82986993791</v>
      </c>
      <c r="Q18" s="141">
        <f t="shared" si="5"/>
        <v>18071644.167494826</v>
      </c>
    </row>
    <row r="19" spans="1:18" x14ac:dyDescent="0.25">
      <c r="A19" t="s">
        <v>172</v>
      </c>
      <c r="B19" s="140">
        <v>46204</v>
      </c>
      <c r="C19" s="143">
        <v>0</v>
      </c>
      <c r="D19" s="143">
        <v>0</v>
      </c>
      <c r="E19" s="143">
        <v>0</v>
      </c>
      <c r="F19" s="143">
        <f t="shared" si="0"/>
        <v>0</v>
      </c>
      <c r="G19" s="152"/>
      <c r="H19" s="143">
        <f>H18+(C19*B64)/6</f>
        <v>817133.11863636388</v>
      </c>
      <c r="I19" s="143">
        <f t="shared" si="6"/>
        <v>124960.92408000001</v>
      </c>
      <c r="J19" s="169">
        <f t="shared" si="2"/>
        <v>942094.04271636391</v>
      </c>
      <c r="K19" s="143">
        <v>177885</v>
      </c>
      <c r="L19" s="141">
        <f t="shared" si="1"/>
        <v>764209.04271636391</v>
      </c>
      <c r="M19" s="142">
        <f t="shared" si="3"/>
        <v>20146514.347338192</v>
      </c>
      <c r="N19" s="141">
        <v>31</v>
      </c>
      <c r="O19" s="141">
        <f>365-SUM(N$13:N19)+1</f>
        <v>154</v>
      </c>
      <c r="P19" s="141">
        <f t="shared" si="4"/>
        <v>322433.4043241645</v>
      </c>
      <c r="Q19" s="141">
        <f t="shared" si="5"/>
        <v>18394077.571818989</v>
      </c>
    </row>
    <row r="20" spans="1:18" x14ac:dyDescent="0.25">
      <c r="A20" t="s">
        <v>172</v>
      </c>
      <c r="B20" s="140">
        <v>46235</v>
      </c>
      <c r="C20" s="143">
        <v>0</v>
      </c>
      <c r="D20" s="143">
        <v>0</v>
      </c>
      <c r="E20" s="143">
        <v>0</v>
      </c>
      <c r="F20" s="143">
        <f t="shared" si="0"/>
        <v>0</v>
      </c>
      <c r="G20" s="152"/>
      <c r="H20" s="143">
        <f>H19+(C20*B65)/5</f>
        <v>817133.11863636388</v>
      </c>
      <c r="I20" s="143">
        <f t="shared" si="6"/>
        <v>124960.92408000001</v>
      </c>
      <c r="J20" s="169">
        <f t="shared" si="2"/>
        <v>942094.04271636391</v>
      </c>
      <c r="K20" s="143">
        <v>177885</v>
      </c>
      <c r="L20" s="141">
        <f t="shared" si="1"/>
        <v>764209.04271636391</v>
      </c>
      <c r="M20" s="142">
        <f t="shared" si="3"/>
        <v>20910723.390054557</v>
      </c>
      <c r="N20" s="141">
        <v>31</v>
      </c>
      <c r="O20" s="141">
        <f>365-SUM(N$13:N20)+1</f>
        <v>123</v>
      </c>
      <c r="P20" s="141">
        <f t="shared" si="4"/>
        <v>257527.97877839115</v>
      </c>
      <c r="Q20" s="141">
        <f t="shared" si="5"/>
        <v>18651605.550597381</v>
      </c>
    </row>
    <row r="21" spans="1:18" x14ac:dyDescent="0.25">
      <c r="A21" t="s">
        <v>172</v>
      </c>
      <c r="B21" s="140">
        <v>46266</v>
      </c>
      <c r="C21" s="143">
        <v>0</v>
      </c>
      <c r="D21" s="143">
        <v>0</v>
      </c>
      <c r="E21" s="143">
        <v>0</v>
      </c>
      <c r="F21" s="143">
        <f t="shared" si="0"/>
        <v>0</v>
      </c>
      <c r="G21" s="152"/>
      <c r="H21" s="143">
        <f>H20+(C21*B66)/4</f>
        <v>817133.11863636388</v>
      </c>
      <c r="I21" s="143">
        <f t="shared" si="6"/>
        <v>124960.92408000001</v>
      </c>
      <c r="J21" s="169">
        <f t="shared" si="2"/>
        <v>942094.04271636391</v>
      </c>
      <c r="K21" s="143">
        <v>177885</v>
      </c>
      <c r="L21" s="141">
        <f t="shared" si="1"/>
        <v>764209.04271636391</v>
      </c>
      <c r="M21" s="142">
        <f t="shared" si="3"/>
        <v>21674932.432770923</v>
      </c>
      <c r="N21" s="141">
        <v>30</v>
      </c>
      <c r="O21" s="141">
        <f>365-SUM(N$13:N21)+1</f>
        <v>93</v>
      </c>
      <c r="P21" s="141">
        <f>+L21*O21/N$25</f>
        <v>194716.27663732012</v>
      </c>
      <c r="Q21" s="141">
        <f t="shared" si="5"/>
        <v>18846321.8272347</v>
      </c>
    </row>
    <row r="22" spans="1:18" x14ac:dyDescent="0.25">
      <c r="A22" t="s">
        <v>172</v>
      </c>
      <c r="B22" s="140">
        <v>46296</v>
      </c>
      <c r="C22" s="143">
        <v>32368320</v>
      </c>
      <c r="D22" s="143">
        <v>0</v>
      </c>
      <c r="E22" s="143">
        <v>4964038</v>
      </c>
      <c r="F22" s="143">
        <f>SUM(C22:E22)</f>
        <v>37332358</v>
      </c>
      <c r="G22" s="152"/>
      <c r="H22" s="143">
        <f>H21+((C22*B60)/3)</f>
        <v>1356605.1186363639</v>
      </c>
      <c r="I22" s="143">
        <f>I21+((D22*B61)/3)</f>
        <v>124960.92408000001</v>
      </c>
      <c r="J22" s="143">
        <f>H22+I22</f>
        <v>1481566.0427163639</v>
      </c>
      <c r="K22" s="143">
        <v>177885</v>
      </c>
      <c r="L22" s="141">
        <f>J22-K22</f>
        <v>1303681.0427163639</v>
      </c>
      <c r="M22" s="142">
        <f t="shared" si="3"/>
        <v>22978613.475487288</v>
      </c>
      <c r="N22" s="141">
        <v>31</v>
      </c>
      <c r="O22" s="141">
        <f>365-SUM(N$13:N22)+1</f>
        <v>62</v>
      </c>
      <c r="P22" s="141">
        <f t="shared" si="4"/>
        <v>221447.19081757416</v>
      </c>
      <c r="Q22" s="141">
        <f t="shared" si="5"/>
        <v>19067769.018052276</v>
      </c>
    </row>
    <row r="23" spans="1:18" x14ac:dyDescent="0.25">
      <c r="A23" t="s">
        <v>172</v>
      </c>
      <c r="B23" s="140">
        <v>46327</v>
      </c>
      <c r="C23" s="143">
        <v>2607897</v>
      </c>
      <c r="D23" s="143">
        <v>0</v>
      </c>
      <c r="E23" s="143">
        <v>0</v>
      </c>
      <c r="F23" s="143">
        <f>SUM(C23:E23)</f>
        <v>2607897</v>
      </c>
      <c r="G23" s="152"/>
      <c r="H23" s="143">
        <f>H22+((C23*B60)/2)</f>
        <v>1421802.5436363639</v>
      </c>
      <c r="I23" s="143">
        <f>I22+((D23*B61)/2)</f>
        <v>124960.92408000001</v>
      </c>
      <c r="J23" s="143">
        <f>H23+I23</f>
        <v>1546763.467716364</v>
      </c>
      <c r="K23" s="143">
        <v>218076</v>
      </c>
      <c r="L23" s="141">
        <f>J23-K23</f>
        <v>1328687.467716364</v>
      </c>
      <c r="M23" s="142">
        <f t="shared" si="3"/>
        <v>24307300.94320365</v>
      </c>
      <c r="N23" s="141">
        <v>30</v>
      </c>
      <c r="O23" s="141">
        <f>365-SUM(N$13:N23)+1</f>
        <v>32</v>
      </c>
      <c r="P23" s="141">
        <f t="shared" si="4"/>
        <v>116487.66840253054</v>
      </c>
      <c r="Q23" s="141">
        <f t="shared" si="5"/>
        <v>19184256.686454806</v>
      </c>
    </row>
    <row r="24" spans="1:18" x14ac:dyDescent="0.25">
      <c r="A24" t="s">
        <v>172</v>
      </c>
      <c r="B24" s="140">
        <v>46357</v>
      </c>
      <c r="C24" s="144">
        <v>1926246</v>
      </c>
      <c r="D24" s="144">
        <v>0</v>
      </c>
      <c r="E24" s="144">
        <v>0</v>
      </c>
      <c r="F24" s="144">
        <f>SUM(C24:E24)</f>
        <v>1926246</v>
      </c>
      <c r="G24" s="152"/>
      <c r="H24" s="144">
        <f>H23+((C24*B60))</f>
        <v>1518114.843636364</v>
      </c>
      <c r="I24" s="144">
        <f>I23+((D24*B61))</f>
        <v>124960.92408000001</v>
      </c>
      <c r="J24" s="144">
        <f>H24+I24</f>
        <v>1643075.767716364</v>
      </c>
      <c r="K24" s="144">
        <v>221314</v>
      </c>
      <c r="L24" s="171">
        <f>J24-K24</f>
        <v>1421761.767716364</v>
      </c>
      <c r="M24" s="142">
        <f t="shared" si="3"/>
        <v>25729062.710920013</v>
      </c>
      <c r="N24" s="141">
        <v>31</v>
      </c>
      <c r="O24" s="141">
        <f>365-SUM(N$13:N24)+1</f>
        <v>1</v>
      </c>
      <c r="P24" s="141">
        <f t="shared" si="4"/>
        <v>3895.2377197708602</v>
      </c>
      <c r="Q24" s="156">
        <f t="shared" si="5"/>
        <v>19188151.924174577</v>
      </c>
    </row>
    <row r="25" spans="1:18" ht="15.75" thickBot="1" x14ac:dyDescent="0.3">
      <c r="B25" s="6" t="s">
        <v>21</v>
      </c>
      <c r="C25" s="172">
        <f>SUM(C10:C24)</f>
        <v>149797946</v>
      </c>
      <c r="D25" s="172">
        <f>SUM(D10:D24)</f>
        <v>22180296</v>
      </c>
      <c r="E25" s="172">
        <f>SUM(E10:E24)</f>
        <v>13885268</v>
      </c>
      <c r="F25" s="172">
        <f>SUM(F10:F24)</f>
        <v>185863510</v>
      </c>
      <c r="G25" s="173"/>
      <c r="H25" s="172">
        <f>SUM(H10:H24)</f>
        <v>26402826.18999999</v>
      </c>
      <c r="I25" s="172">
        <f>SUM(I10:I24)</f>
        <v>3685380.5209199977</v>
      </c>
      <c r="J25" s="172">
        <f>SUM(J10:J24)</f>
        <v>30088206.710920013</v>
      </c>
      <c r="K25" s="172">
        <f>SUM(K10:K24)</f>
        <v>4359144</v>
      </c>
      <c r="L25" s="172">
        <f>SUM(L10:L24)</f>
        <v>25729062.710920013</v>
      </c>
      <c r="M25" s="147"/>
      <c r="N25" s="148">
        <f>SUM(N13:N24)</f>
        <v>365</v>
      </c>
      <c r="O25" s="141"/>
      <c r="P25" s="146">
        <f>SUM(P13:P24)</f>
        <v>4390879.8922145767</v>
      </c>
      <c r="Q25" s="3"/>
    </row>
    <row r="26" spans="1:18" ht="15.75" thickTop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147"/>
      <c r="M26" s="147"/>
      <c r="N26" s="147"/>
      <c r="O26" s="141"/>
      <c r="P26" s="147"/>
      <c r="Q26" s="3"/>
    </row>
    <row r="27" spans="1:18" x14ac:dyDescent="0.25">
      <c r="C27" s="154" t="s">
        <v>153</v>
      </c>
      <c r="D27" s="154" t="s">
        <v>153</v>
      </c>
      <c r="E27" s="154" t="s">
        <v>153</v>
      </c>
      <c r="F27" s="154" t="s">
        <v>153</v>
      </c>
      <c r="K27" s="154" t="s">
        <v>153</v>
      </c>
      <c r="P27" t="s">
        <v>173</v>
      </c>
      <c r="Q27" s="12">
        <v>0.24925</v>
      </c>
    </row>
    <row r="28" spans="1:18" ht="15.75" thickBot="1" x14ac:dyDescent="0.3"/>
    <row r="29" spans="1:18" ht="15.75" thickBot="1" x14ac:dyDescent="0.3">
      <c r="P29" s="7" t="s">
        <v>174</v>
      </c>
      <c r="Q29" s="149">
        <f>Q24*Q27</f>
        <v>4782646.8671005135</v>
      </c>
      <c r="R29" t="s">
        <v>237</v>
      </c>
    </row>
    <row r="30" spans="1:18" x14ac:dyDescent="0.25">
      <c r="F30" s="188"/>
      <c r="H30" s="2"/>
      <c r="I30" s="2"/>
      <c r="J30" s="2"/>
      <c r="Q30" s="4"/>
    </row>
    <row r="31" spans="1:18" ht="60" x14ac:dyDescent="0.25">
      <c r="K31" s="139" t="s">
        <v>57</v>
      </c>
      <c r="L31" s="150" t="s">
        <v>226</v>
      </c>
      <c r="M31" s="150" t="s">
        <v>189</v>
      </c>
      <c r="N31" s="150" t="s">
        <v>178</v>
      </c>
      <c r="O31" s="150" t="s">
        <v>179</v>
      </c>
      <c r="P31" s="150" t="s">
        <v>193</v>
      </c>
      <c r="Q31" s="150" t="s">
        <v>194</v>
      </c>
    </row>
    <row r="32" spans="1:18" x14ac:dyDescent="0.25">
      <c r="D32" s="4"/>
      <c r="E32" s="4"/>
      <c r="F32" s="4"/>
      <c r="K32" s="140">
        <v>45261</v>
      </c>
      <c r="L32" s="141">
        <v>125221</v>
      </c>
      <c r="M32" s="142">
        <f>L32</f>
        <v>125221</v>
      </c>
      <c r="N32" s="141" t="s">
        <v>217</v>
      </c>
      <c r="O32" s="141" t="s">
        <v>217</v>
      </c>
      <c r="P32" s="141" t="s">
        <v>217</v>
      </c>
      <c r="Q32" s="141">
        <f>M32</f>
        <v>125221</v>
      </c>
    </row>
    <row r="33" spans="3:17" x14ac:dyDescent="0.25">
      <c r="C33" s="188"/>
      <c r="D33" s="2"/>
      <c r="E33" s="2"/>
      <c r="F33" s="2"/>
      <c r="K33" s="140">
        <v>45627</v>
      </c>
      <c r="L33" s="169">
        <v>1459475.27</v>
      </c>
      <c r="M33" s="142">
        <f>M32+L33</f>
        <v>1584696.27</v>
      </c>
      <c r="N33" s="141" t="s">
        <v>217</v>
      </c>
      <c r="O33" s="141" t="s">
        <v>217</v>
      </c>
      <c r="P33" s="141" t="s">
        <v>217</v>
      </c>
      <c r="Q33" s="184">
        <f>M33</f>
        <v>1584696.27</v>
      </c>
    </row>
    <row r="34" spans="3:17" x14ac:dyDescent="0.25">
      <c r="C34" s="224"/>
      <c r="D34" s="2"/>
      <c r="E34" s="2"/>
      <c r="F34" s="2"/>
      <c r="K34" s="140">
        <v>45992</v>
      </c>
      <c r="L34" s="169">
        <v>1117830.2999999996</v>
      </c>
      <c r="M34" s="142">
        <f>M33+L34</f>
        <v>2702526.5699999994</v>
      </c>
      <c r="N34" s="141" t="s">
        <v>217</v>
      </c>
      <c r="O34" s="141" t="s">
        <v>217</v>
      </c>
      <c r="P34" s="141" t="s">
        <v>217</v>
      </c>
      <c r="Q34" s="184">
        <f>M34</f>
        <v>2702526.5699999994</v>
      </c>
    </row>
    <row r="35" spans="3:17" x14ac:dyDescent="0.25">
      <c r="C35" s="188"/>
      <c r="D35" s="2"/>
      <c r="E35" s="2"/>
      <c r="F35" s="2"/>
      <c r="J35" t="s">
        <v>172</v>
      </c>
      <c r="K35" s="140">
        <v>46023</v>
      </c>
      <c r="L35" s="141">
        <v>0</v>
      </c>
      <c r="M35" s="142">
        <f>M34+L35</f>
        <v>2702526.5699999994</v>
      </c>
      <c r="N35" s="141">
        <v>31</v>
      </c>
      <c r="O35" s="141">
        <f>365-SUM(N$35:N35)+1</f>
        <v>335</v>
      </c>
      <c r="P35" s="141">
        <f>+L35*O35/N$25</f>
        <v>0</v>
      </c>
      <c r="Q35" s="184">
        <f>Q33+P35</f>
        <v>1584696.27</v>
      </c>
    </row>
    <row r="36" spans="3:17" x14ac:dyDescent="0.25">
      <c r="C36" s="188"/>
      <c r="D36" s="2"/>
      <c r="E36" s="2"/>
      <c r="F36" s="2"/>
      <c r="J36" t="s">
        <v>172</v>
      </c>
      <c r="K36" s="140">
        <v>46054</v>
      </c>
      <c r="L36" s="141">
        <v>0</v>
      </c>
      <c r="M36" s="142">
        <f t="shared" ref="M36:M46" si="7">M35+L36</f>
        <v>2702526.5699999994</v>
      </c>
      <c r="N36" s="170">
        <v>28</v>
      </c>
      <c r="O36" s="141">
        <f>365-SUM(N$35:N36)+1</f>
        <v>307</v>
      </c>
      <c r="P36" s="141">
        <f t="shared" ref="P36:P46" si="8">+L36*O36/N$25</f>
        <v>0</v>
      </c>
      <c r="Q36" s="184">
        <f t="shared" ref="Q36:Q46" si="9">Q35+P36</f>
        <v>1584696.27</v>
      </c>
    </row>
    <row r="37" spans="3:17" x14ac:dyDescent="0.25">
      <c r="D37" s="2"/>
      <c r="E37" s="2"/>
      <c r="F37" s="2"/>
      <c r="J37" t="s">
        <v>172</v>
      </c>
      <c r="K37" s="140">
        <v>46082</v>
      </c>
      <c r="L37" s="141">
        <v>0</v>
      </c>
      <c r="M37" s="142">
        <f t="shared" si="7"/>
        <v>2702526.5699999994</v>
      </c>
      <c r="N37" s="141">
        <v>31</v>
      </c>
      <c r="O37" s="141">
        <f>365-SUM(N$35:N37)+1</f>
        <v>276</v>
      </c>
      <c r="P37" s="141">
        <f t="shared" si="8"/>
        <v>0</v>
      </c>
      <c r="Q37" s="184">
        <f t="shared" si="9"/>
        <v>1584696.27</v>
      </c>
    </row>
    <row r="38" spans="3:17" x14ac:dyDescent="0.25">
      <c r="D38" s="2"/>
      <c r="E38" s="2"/>
      <c r="F38" s="2"/>
      <c r="J38" t="s">
        <v>172</v>
      </c>
      <c r="K38" s="140">
        <v>46113</v>
      </c>
      <c r="L38" s="141">
        <v>0</v>
      </c>
      <c r="M38" s="142">
        <f t="shared" si="7"/>
        <v>2702526.5699999994</v>
      </c>
      <c r="N38" s="141">
        <v>30</v>
      </c>
      <c r="O38" s="141">
        <f>365-SUM(N$35:N38)+1</f>
        <v>246</v>
      </c>
      <c r="P38" s="141">
        <f t="shared" si="8"/>
        <v>0</v>
      </c>
      <c r="Q38" s="184">
        <f t="shared" si="9"/>
        <v>1584696.27</v>
      </c>
    </row>
    <row r="39" spans="3:17" x14ac:dyDescent="0.25">
      <c r="J39" t="s">
        <v>172</v>
      </c>
      <c r="K39" s="140">
        <v>46143</v>
      </c>
      <c r="L39" s="141">
        <v>0</v>
      </c>
      <c r="M39" s="142">
        <f t="shared" si="7"/>
        <v>2702526.5699999994</v>
      </c>
      <c r="N39" s="141">
        <v>31</v>
      </c>
      <c r="O39" s="141">
        <f>365-SUM(N$35:N39)+1</f>
        <v>215</v>
      </c>
      <c r="P39" s="141">
        <f t="shared" si="8"/>
        <v>0</v>
      </c>
      <c r="Q39" s="184">
        <f t="shared" si="9"/>
        <v>1584696.27</v>
      </c>
    </row>
    <row r="40" spans="3:17" x14ac:dyDescent="0.25">
      <c r="J40" t="s">
        <v>172</v>
      </c>
      <c r="K40" s="140">
        <v>46174</v>
      </c>
      <c r="L40" s="141">
        <v>0</v>
      </c>
      <c r="M40" s="142">
        <f t="shared" si="7"/>
        <v>2702526.5699999994</v>
      </c>
      <c r="N40" s="141">
        <v>30</v>
      </c>
      <c r="O40" s="141">
        <f>365-SUM(N$35:N40)+1</f>
        <v>185</v>
      </c>
      <c r="P40" s="141">
        <f t="shared" si="8"/>
        <v>0</v>
      </c>
      <c r="Q40" s="184">
        <f t="shared" si="9"/>
        <v>1584696.27</v>
      </c>
    </row>
    <row r="41" spans="3:17" x14ac:dyDescent="0.25">
      <c r="J41" t="s">
        <v>172</v>
      </c>
      <c r="K41" s="140">
        <v>46204</v>
      </c>
      <c r="L41" s="141">
        <v>0</v>
      </c>
      <c r="M41" s="142">
        <f t="shared" si="7"/>
        <v>2702526.5699999994</v>
      </c>
      <c r="N41" s="141">
        <v>31</v>
      </c>
      <c r="O41" s="141">
        <f>365-SUM(N$35:N41)+1</f>
        <v>154</v>
      </c>
      <c r="P41" s="141">
        <f t="shared" si="8"/>
        <v>0</v>
      </c>
      <c r="Q41" s="184">
        <f t="shared" si="9"/>
        <v>1584696.27</v>
      </c>
    </row>
    <row r="42" spans="3:17" x14ac:dyDescent="0.25">
      <c r="J42" t="s">
        <v>172</v>
      </c>
      <c r="K42" s="140">
        <v>46235</v>
      </c>
      <c r="L42" s="141">
        <v>0</v>
      </c>
      <c r="M42" s="142">
        <f t="shared" si="7"/>
        <v>2702526.5699999994</v>
      </c>
      <c r="N42" s="141">
        <v>31</v>
      </c>
      <c r="O42" s="141">
        <f>365-SUM(N$35:N42)+1</f>
        <v>123</v>
      </c>
      <c r="P42" s="141">
        <f t="shared" si="8"/>
        <v>0</v>
      </c>
      <c r="Q42" s="184">
        <f t="shared" si="9"/>
        <v>1584696.27</v>
      </c>
    </row>
    <row r="43" spans="3:17" x14ac:dyDescent="0.25">
      <c r="C43" s="85"/>
      <c r="J43" t="s">
        <v>172</v>
      </c>
      <c r="K43" s="140">
        <v>46266</v>
      </c>
      <c r="L43" s="141">
        <v>0</v>
      </c>
      <c r="M43" s="142">
        <f t="shared" si="7"/>
        <v>2702526.5699999994</v>
      </c>
      <c r="N43" s="141">
        <v>30</v>
      </c>
      <c r="O43" s="141">
        <f>365-SUM(N$35:N43)+1</f>
        <v>93</v>
      </c>
      <c r="P43" s="141">
        <f t="shared" si="8"/>
        <v>0</v>
      </c>
      <c r="Q43" s="184">
        <f t="shared" si="9"/>
        <v>1584696.27</v>
      </c>
    </row>
    <row r="44" spans="3:17" x14ac:dyDescent="0.25">
      <c r="J44" t="s">
        <v>172</v>
      </c>
      <c r="K44" s="140">
        <v>46296</v>
      </c>
      <c r="L44" s="141">
        <v>557700</v>
      </c>
      <c r="M44" s="142">
        <f t="shared" si="7"/>
        <v>3260226.5699999994</v>
      </c>
      <c r="N44" s="141">
        <v>31</v>
      </c>
      <c r="O44" s="141">
        <f>365-SUM(N$35:N44)+1</f>
        <v>62</v>
      </c>
      <c r="P44" s="141">
        <f t="shared" si="8"/>
        <v>94732.602739726033</v>
      </c>
      <c r="Q44" s="184">
        <f t="shared" si="9"/>
        <v>1679428.872739726</v>
      </c>
    </row>
    <row r="45" spans="3:17" x14ac:dyDescent="0.25">
      <c r="J45" t="s">
        <v>172</v>
      </c>
      <c r="K45" s="140">
        <v>46327</v>
      </c>
      <c r="L45" s="141">
        <v>0</v>
      </c>
      <c r="M45" s="142">
        <f t="shared" si="7"/>
        <v>3260226.5699999994</v>
      </c>
      <c r="N45" s="141">
        <v>30</v>
      </c>
      <c r="O45" s="141">
        <f>365-SUM(N$35:N45)+1</f>
        <v>32</v>
      </c>
      <c r="P45" s="141">
        <f t="shared" si="8"/>
        <v>0</v>
      </c>
      <c r="Q45" s="184">
        <f t="shared" si="9"/>
        <v>1679428.872739726</v>
      </c>
    </row>
    <row r="46" spans="3:17" x14ac:dyDescent="0.25">
      <c r="J46" t="s">
        <v>172</v>
      </c>
      <c r="K46" s="140">
        <v>46357</v>
      </c>
      <c r="L46" s="141">
        <v>0</v>
      </c>
      <c r="M46" s="142">
        <f t="shared" si="7"/>
        <v>3260226.5699999994</v>
      </c>
      <c r="N46" s="141">
        <v>31</v>
      </c>
      <c r="O46" s="141">
        <f>365-SUM(N$35:N46)+1</f>
        <v>1</v>
      </c>
      <c r="P46" s="141">
        <f t="shared" si="8"/>
        <v>0</v>
      </c>
      <c r="Q46" s="156">
        <f t="shared" si="9"/>
        <v>1679428.872739726</v>
      </c>
    </row>
    <row r="47" spans="3:17" ht="15.75" thickBot="1" x14ac:dyDescent="0.3">
      <c r="K47" s="6" t="s">
        <v>21</v>
      </c>
      <c r="L47" s="146">
        <f>SUM(L32:L46)</f>
        <v>3260226.5699999994</v>
      </c>
      <c r="M47" s="147"/>
      <c r="N47" s="148">
        <v>365</v>
      </c>
      <c r="O47" s="141"/>
      <c r="P47" s="146">
        <v>350117.89863013697</v>
      </c>
      <c r="Q47" s="3"/>
    </row>
    <row r="48" spans="3:17" ht="15.75" thickTop="1" x14ac:dyDescent="0.25">
      <c r="J48" s="6"/>
      <c r="K48" s="6"/>
      <c r="L48" s="147"/>
      <c r="M48" s="147"/>
      <c r="N48" s="147"/>
      <c r="O48" s="141"/>
      <c r="P48" s="147"/>
      <c r="Q48" s="3"/>
    </row>
    <row r="49" spans="1:22" x14ac:dyDescent="0.25">
      <c r="K49" s="154"/>
      <c r="L49" s="154" t="s">
        <v>153</v>
      </c>
      <c r="P49" t="s">
        <v>173</v>
      </c>
      <c r="Q49" s="12">
        <v>0.24925</v>
      </c>
    </row>
    <row r="50" spans="1:22" ht="15.75" thickBot="1" x14ac:dyDescent="0.3"/>
    <row r="51" spans="1:22" ht="15.75" thickBot="1" x14ac:dyDescent="0.3">
      <c r="P51" s="7" t="s">
        <v>174</v>
      </c>
      <c r="Q51" s="149">
        <f>Q46*Q49</f>
        <v>418597.64653037669</v>
      </c>
      <c r="R51" t="s">
        <v>25</v>
      </c>
    </row>
    <row r="53" spans="1:22" ht="15.75" thickBot="1" x14ac:dyDescent="0.3"/>
    <row r="54" spans="1:22" ht="15.75" thickBot="1" x14ac:dyDescent="0.3">
      <c r="P54" s="185" t="s">
        <v>228</v>
      </c>
      <c r="Q54" s="226">
        <f>Q29+Q51</f>
        <v>5201244.5136308903</v>
      </c>
      <c r="R54" s="85"/>
    </row>
    <row r="56" spans="1:22" ht="14.45" customHeight="1" x14ac:dyDescent="0.25"/>
    <row r="58" spans="1:22" x14ac:dyDescent="0.25">
      <c r="A58" s="7" t="s">
        <v>218</v>
      </c>
    </row>
    <row r="59" spans="1:22" x14ac:dyDescent="0.25">
      <c r="A59" t="s">
        <v>103</v>
      </c>
      <c r="B59" s="4" t="s">
        <v>234</v>
      </c>
      <c r="C59" s="4" t="s">
        <v>235</v>
      </c>
      <c r="D59" s="4" t="s">
        <v>236</v>
      </c>
      <c r="E59" s="4" t="s">
        <v>252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t="s">
        <v>219</v>
      </c>
      <c r="B60">
        <v>0.05</v>
      </c>
      <c r="C60">
        <v>9.5000000000000001E-2</v>
      </c>
      <c r="D60">
        <v>8.5500000000000007E-2</v>
      </c>
      <c r="E60">
        <v>7.6950000000000005E-2</v>
      </c>
      <c r="F60" s="4"/>
    </row>
    <row r="61" spans="1:22" x14ac:dyDescent="0.25">
      <c r="A61" t="s">
        <v>220</v>
      </c>
      <c r="B61">
        <v>3.7499999999999999E-2</v>
      </c>
      <c r="C61">
        <v>7.2190000000000004E-2</v>
      </c>
      <c r="D61">
        <v>6.6769999999999996E-2</v>
      </c>
      <c r="E61">
        <v>6.1769999999999999E-2</v>
      </c>
    </row>
  </sheetData>
  <mergeCells count="3">
    <mergeCell ref="A1:Q1"/>
    <mergeCell ref="A2:Q2"/>
    <mergeCell ref="A3:Q3"/>
  </mergeCells>
  <printOptions horizontalCentered="1"/>
  <pageMargins left="0.7" right="0.7" top="0.75" bottom="0.75" header="0.3" footer="0.3"/>
  <pageSetup paperSize="5" scale="50" orientation="landscape" r:id="rId1"/>
  <headerFooter>
    <oddHeader xml:space="preserve">&amp;R&amp;"Times New Roman,Bold"&amp;10KyPSC Case No. 2025-00229
STAFF-DR-01-001 Attachment
Page &amp;P of &amp;N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2"/>
  <sheetViews>
    <sheetView view="pageLayout" zoomScaleNormal="100" workbookViewId="0">
      <selection activeCell="I7" sqref="I7"/>
    </sheetView>
  </sheetViews>
  <sheetFormatPr defaultRowHeight="15" x14ac:dyDescent="0.25"/>
  <cols>
    <col min="1" max="1" width="8.28515625" bestFit="1" customWidth="1"/>
    <col min="2" max="2" width="22.140625" customWidth="1"/>
    <col min="3" max="3" width="10.28515625" customWidth="1"/>
    <col min="4" max="4" width="13.5703125" customWidth="1"/>
    <col min="5" max="6" width="17.42578125" customWidth="1"/>
    <col min="7" max="8" width="16.7109375" customWidth="1"/>
    <col min="9" max="9" width="17.7109375" customWidth="1"/>
    <col min="10" max="10" width="4.28515625" customWidth="1"/>
    <col min="11" max="11" width="10.140625" bestFit="1" customWidth="1"/>
    <col min="12" max="12" width="15.28515625" bestFit="1" customWidth="1"/>
  </cols>
  <sheetData>
    <row r="1" spans="1:12" x14ac:dyDescent="0.25">
      <c r="A1" s="4"/>
      <c r="G1" s="4"/>
      <c r="H1" s="4"/>
      <c r="I1" s="4"/>
      <c r="J1" s="4"/>
    </row>
    <row r="2" spans="1:12" x14ac:dyDescent="0.25">
      <c r="A2" s="69" t="str">
        <f>'Sch 1.0'!A2</f>
        <v>Duke Energy Kentucky</v>
      </c>
      <c r="B2" s="69"/>
      <c r="C2" s="69"/>
      <c r="D2" s="69"/>
      <c r="E2" s="69"/>
      <c r="F2" s="69"/>
      <c r="G2" s="69"/>
      <c r="H2" s="69"/>
      <c r="I2" s="69"/>
      <c r="J2" s="4"/>
      <c r="K2" s="69"/>
      <c r="L2" s="69"/>
    </row>
    <row r="3" spans="1:12" x14ac:dyDescent="0.25">
      <c r="A3" s="69" t="str">
        <f>'Sch 1.0'!A3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4"/>
      <c r="K3" s="69"/>
      <c r="L3" s="86"/>
    </row>
    <row r="4" spans="1:12" x14ac:dyDescent="0.25">
      <c r="A4" s="69" t="s">
        <v>65</v>
      </c>
      <c r="B4" s="69"/>
      <c r="C4" s="69"/>
      <c r="D4" s="69"/>
      <c r="E4" s="69"/>
      <c r="F4" s="69"/>
      <c r="G4" s="69"/>
      <c r="H4" s="69"/>
      <c r="I4" s="69"/>
      <c r="J4" s="4"/>
      <c r="K4" s="69"/>
      <c r="L4" s="69"/>
    </row>
    <row r="5" spans="1:12" x14ac:dyDescent="0.25">
      <c r="A5" s="71"/>
      <c r="B5" s="71"/>
      <c r="C5" s="71"/>
      <c r="D5" s="71"/>
      <c r="E5" s="71"/>
      <c r="F5" s="71"/>
      <c r="G5" s="71"/>
      <c r="H5" s="71"/>
      <c r="I5" s="71"/>
      <c r="J5" s="4"/>
      <c r="K5" s="71"/>
      <c r="L5" s="71"/>
    </row>
    <row r="6" spans="1:12" x14ac:dyDescent="0.25">
      <c r="A6" s="4"/>
      <c r="G6" s="4"/>
      <c r="H6" s="160"/>
      <c r="I6" s="4"/>
      <c r="J6" s="4"/>
    </row>
    <row r="7" spans="1:12" x14ac:dyDescent="0.25">
      <c r="A7" s="21" t="s">
        <v>248</v>
      </c>
      <c r="G7" s="4"/>
      <c r="H7" s="4"/>
      <c r="I7" s="4"/>
      <c r="J7" s="4"/>
    </row>
    <row r="8" spans="1:12" x14ac:dyDescent="0.25">
      <c r="A8" s="4"/>
      <c r="G8" s="4"/>
      <c r="H8" s="4"/>
      <c r="I8" s="4"/>
      <c r="J8" s="4"/>
    </row>
    <row r="9" spans="1:12" x14ac:dyDescent="0.25">
      <c r="A9" s="3" t="s">
        <v>136</v>
      </c>
      <c r="B9" s="3"/>
      <c r="C9" s="3" t="s">
        <v>58</v>
      </c>
      <c r="D9" s="231" t="s">
        <v>146</v>
      </c>
      <c r="E9" s="231"/>
      <c r="F9" s="231" t="s">
        <v>54</v>
      </c>
      <c r="G9" s="231"/>
      <c r="H9" s="231" t="s">
        <v>25</v>
      </c>
      <c r="I9" s="231"/>
      <c r="J9" s="3"/>
    </row>
    <row r="10" spans="1:12" x14ac:dyDescent="0.25">
      <c r="A10" s="8" t="s">
        <v>137</v>
      </c>
      <c r="B10" s="8" t="s">
        <v>57</v>
      </c>
      <c r="C10" s="8" t="s">
        <v>59</v>
      </c>
      <c r="D10" s="8" t="s">
        <v>83</v>
      </c>
      <c r="E10" s="8" t="s">
        <v>87</v>
      </c>
      <c r="F10" s="8" t="s">
        <v>83</v>
      </c>
      <c r="G10" s="8" t="s">
        <v>87</v>
      </c>
      <c r="H10" s="8" t="s">
        <v>83</v>
      </c>
      <c r="I10" s="8" t="s">
        <v>87</v>
      </c>
      <c r="J10" s="8"/>
    </row>
    <row r="11" spans="1:12" x14ac:dyDescent="0.25">
      <c r="B11" s="16" t="s">
        <v>63</v>
      </c>
      <c r="C11" s="16" t="s">
        <v>64</v>
      </c>
      <c r="D11" s="16" t="s">
        <v>66</v>
      </c>
      <c r="E11" s="16" t="s">
        <v>84</v>
      </c>
      <c r="F11" s="16" t="s">
        <v>125</v>
      </c>
      <c r="G11" s="16" t="s">
        <v>85</v>
      </c>
      <c r="H11" s="16" t="s">
        <v>86</v>
      </c>
      <c r="I11" s="16" t="s">
        <v>126</v>
      </c>
      <c r="J11" s="16"/>
    </row>
    <row r="12" spans="1:12" x14ac:dyDescent="0.25">
      <c r="G12" s="34"/>
      <c r="H12" s="34"/>
    </row>
    <row r="13" spans="1:12" x14ac:dyDescent="0.25">
      <c r="G13" s="34"/>
      <c r="H13" s="34"/>
    </row>
    <row r="14" spans="1:12" x14ac:dyDescent="0.25">
      <c r="A14" s="4">
        <v>1</v>
      </c>
      <c r="B14" s="108" t="s">
        <v>266</v>
      </c>
      <c r="C14" s="4">
        <v>13</v>
      </c>
      <c r="D14" s="80"/>
      <c r="E14" s="109">
        <f>+'Sch 2.0'!E15</f>
        <v>142634455</v>
      </c>
      <c r="F14" s="62"/>
      <c r="G14" s="109">
        <f>+'Sch 2.0'!E21</f>
        <v>738348</v>
      </c>
      <c r="H14" s="62"/>
      <c r="I14" s="109">
        <f>+'Sch 2.0'!E27</f>
        <v>2702526.57</v>
      </c>
      <c r="K14" s="85"/>
      <c r="L14" s="51"/>
    </row>
    <row r="15" spans="1:12" x14ac:dyDescent="0.25">
      <c r="A15" s="4">
        <f>A14+1</f>
        <v>2</v>
      </c>
      <c r="B15" s="22">
        <v>46023</v>
      </c>
      <c r="C15" s="4">
        <f>C14-1</f>
        <v>12</v>
      </c>
      <c r="D15" s="134">
        <f>+'Sch 2.0'!F$15</f>
        <v>87985.500225750002</v>
      </c>
      <c r="E15" s="81">
        <f>E14+D15</f>
        <v>142722440.50022575</v>
      </c>
      <c r="F15" s="131">
        <f>+'Sch 2.0'!F21</f>
        <v>0</v>
      </c>
      <c r="G15" s="74">
        <f>G14+F15</f>
        <v>738348</v>
      </c>
      <c r="H15" s="131">
        <f>+'Sch 2.0'!F27</f>
        <v>0</v>
      </c>
      <c r="I15" s="74">
        <f>I14+H15</f>
        <v>2702526.57</v>
      </c>
      <c r="J15" s="18"/>
      <c r="K15" s="51"/>
    </row>
    <row r="16" spans="1:12" ht="17.25" x14ac:dyDescent="0.4">
      <c r="A16" s="4">
        <f>A15+1</f>
        <v>3</v>
      </c>
      <c r="B16" s="22">
        <v>46054</v>
      </c>
      <c r="C16" s="4">
        <f t="shared" ref="C16:C26" si="0">C15-1</f>
        <v>11</v>
      </c>
      <c r="D16" s="74">
        <f>+'Sch 2.0'!G$15</f>
        <v>123535.01613631001</v>
      </c>
      <c r="E16" s="81">
        <f t="shared" ref="E16:E26" si="1">E15+D16</f>
        <v>142845975.51636207</v>
      </c>
      <c r="F16" s="135">
        <f>+'Sch 2.0'!G$21</f>
        <v>0</v>
      </c>
      <c r="G16" s="74">
        <f t="shared" ref="G16:G26" si="2">G15+F16</f>
        <v>738348</v>
      </c>
      <c r="H16" s="135">
        <f>+'Sch 2.0'!G$27</f>
        <v>0</v>
      </c>
      <c r="I16" s="74">
        <f t="shared" ref="I16:I26" si="3">I15+H16</f>
        <v>2702526.57</v>
      </c>
      <c r="J16" s="19"/>
      <c r="K16" s="51"/>
    </row>
    <row r="17" spans="1:12" x14ac:dyDescent="0.25">
      <c r="A17" s="4">
        <f t="shared" ref="A17:A26" si="4">A16+1</f>
        <v>4</v>
      </c>
      <c r="B17" s="22">
        <v>46082</v>
      </c>
      <c r="C17" s="4">
        <f t="shared" si="0"/>
        <v>10</v>
      </c>
      <c r="D17" s="74">
        <f>+'Sch 2.0'!H$15</f>
        <v>14337.12</v>
      </c>
      <c r="E17" s="81">
        <f t="shared" si="1"/>
        <v>142860312.63636208</v>
      </c>
      <c r="F17" s="135">
        <f>+'Sch 2.0'!H$21</f>
        <v>0</v>
      </c>
      <c r="G17" s="74">
        <f t="shared" si="2"/>
        <v>738348</v>
      </c>
      <c r="H17" s="135">
        <f>+'Sch 2.0'!H$27</f>
        <v>0</v>
      </c>
      <c r="I17" s="74">
        <f t="shared" si="3"/>
        <v>2702526.57</v>
      </c>
      <c r="J17" s="18"/>
      <c r="K17" s="51"/>
    </row>
    <row r="18" spans="1:12" x14ac:dyDescent="0.25">
      <c r="A18" s="4">
        <f t="shared" si="4"/>
        <v>5</v>
      </c>
      <c r="B18" s="22">
        <v>46113</v>
      </c>
      <c r="C18" s="4">
        <f t="shared" si="0"/>
        <v>9</v>
      </c>
      <c r="D18" s="74">
        <f>+'Sch 2.0'!I$15</f>
        <v>0</v>
      </c>
      <c r="E18" s="81">
        <f t="shared" si="1"/>
        <v>142860312.63636208</v>
      </c>
      <c r="F18" s="135">
        <f>+'Sch 2.0'!I$21</f>
        <v>0</v>
      </c>
      <c r="G18" s="74">
        <f t="shared" si="2"/>
        <v>738348</v>
      </c>
      <c r="H18" s="135">
        <f>+'Sch 2.0'!I$27</f>
        <v>0</v>
      </c>
      <c r="I18" s="74">
        <f>I17+H18</f>
        <v>2702526.57</v>
      </c>
      <c r="J18" s="14"/>
      <c r="K18" s="51"/>
    </row>
    <row r="19" spans="1:12" x14ac:dyDescent="0.25">
      <c r="A19" s="4">
        <f t="shared" si="4"/>
        <v>6</v>
      </c>
      <c r="B19" s="22">
        <v>46143</v>
      </c>
      <c r="C19" s="4">
        <f t="shared" si="0"/>
        <v>8</v>
      </c>
      <c r="D19" s="74">
        <f>+'Sch 2.0'!J$15</f>
        <v>0</v>
      </c>
      <c r="E19" s="81">
        <f t="shared" si="1"/>
        <v>142860312.63636208</v>
      </c>
      <c r="F19" s="135">
        <f>+'Sch 2.0'!J$21</f>
        <v>0</v>
      </c>
      <c r="G19" s="74">
        <f t="shared" si="2"/>
        <v>738348</v>
      </c>
      <c r="H19" s="135">
        <f>+'Sch 2.0'!J$27</f>
        <v>0</v>
      </c>
      <c r="I19" s="74">
        <f t="shared" si="3"/>
        <v>2702526.57</v>
      </c>
      <c r="K19" s="51"/>
      <c r="L19" s="85"/>
    </row>
    <row r="20" spans="1:12" x14ac:dyDescent="0.25">
      <c r="A20" s="4">
        <f t="shared" si="4"/>
        <v>7</v>
      </c>
      <c r="B20" s="22">
        <v>46174</v>
      </c>
      <c r="C20" s="4">
        <f t="shared" si="0"/>
        <v>7</v>
      </c>
      <c r="D20" s="74">
        <f>+'Sch 2.0'!K$15</f>
        <v>0</v>
      </c>
      <c r="E20" s="81">
        <f t="shared" si="1"/>
        <v>142860312.63636208</v>
      </c>
      <c r="F20" s="135">
        <f>+'Sch 2.0'!K$21</f>
        <v>0</v>
      </c>
      <c r="G20" s="74">
        <f t="shared" si="2"/>
        <v>738348</v>
      </c>
      <c r="H20" s="135">
        <f>+'Sch 2.0'!K$27</f>
        <v>0</v>
      </c>
      <c r="I20" s="74">
        <f t="shared" si="3"/>
        <v>2702526.57</v>
      </c>
      <c r="J20" s="1"/>
      <c r="K20" s="51"/>
    </row>
    <row r="21" spans="1:12" ht="17.25" x14ac:dyDescent="0.4">
      <c r="A21" s="4">
        <f t="shared" si="4"/>
        <v>8</v>
      </c>
      <c r="B21" s="22">
        <v>46204</v>
      </c>
      <c r="C21" s="4">
        <f t="shared" si="0"/>
        <v>6</v>
      </c>
      <c r="D21" s="74">
        <f>+'Sch 2.0'!L$15</f>
        <v>0</v>
      </c>
      <c r="E21" s="81">
        <f t="shared" si="1"/>
        <v>142860312.63636208</v>
      </c>
      <c r="F21" s="135">
        <f>+'Sch 2.0'!L$21</f>
        <v>0</v>
      </c>
      <c r="G21" s="74">
        <f t="shared" si="2"/>
        <v>738348</v>
      </c>
      <c r="H21" s="135">
        <f>+'Sch 2.0'!L$27</f>
        <v>0</v>
      </c>
      <c r="I21" s="74">
        <f t="shared" si="3"/>
        <v>2702526.57</v>
      </c>
      <c r="J21" s="19"/>
      <c r="K21" s="51"/>
    </row>
    <row r="22" spans="1:12" x14ac:dyDescent="0.25">
      <c r="A22" s="4">
        <f t="shared" si="4"/>
        <v>9</v>
      </c>
      <c r="B22" s="22">
        <v>46235</v>
      </c>
      <c r="C22" s="4">
        <f t="shared" si="0"/>
        <v>5</v>
      </c>
      <c r="D22" s="74">
        <f>+'Sch 2.0'!M$15</f>
        <v>0</v>
      </c>
      <c r="E22" s="81">
        <f t="shared" si="1"/>
        <v>142860312.63636208</v>
      </c>
      <c r="F22" s="135">
        <f>+'Sch 2.0'!M$21</f>
        <v>0</v>
      </c>
      <c r="G22" s="74">
        <f t="shared" si="2"/>
        <v>738348</v>
      </c>
      <c r="H22" s="135">
        <f>+'Sch 2.0'!M$27</f>
        <v>0</v>
      </c>
      <c r="I22" s="74">
        <f t="shared" si="3"/>
        <v>2702526.57</v>
      </c>
      <c r="J22" s="18"/>
      <c r="K22" s="51"/>
    </row>
    <row r="23" spans="1:12" x14ac:dyDescent="0.25">
      <c r="A23" s="4">
        <f t="shared" si="4"/>
        <v>10</v>
      </c>
      <c r="B23" s="22">
        <v>46266</v>
      </c>
      <c r="C23" s="4">
        <f t="shared" si="0"/>
        <v>4</v>
      </c>
      <c r="D23" s="74">
        <f>+'Sch 2.0'!N$15</f>
        <v>0</v>
      </c>
      <c r="E23" s="81">
        <f t="shared" si="1"/>
        <v>142860312.63636208</v>
      </c>
      <c r="F23" s="135">
        <f>+'Sch 2.0'!N$21</f>
        <v>0</v>
      </c>
      <c r="G23" s="74">
        <f t="shared" si="2"/>
        <v>738348</v>
      </c>
      <c r="H23" s="135">
        <f>+'Sch 2.0'!N$27</f>
        <v>0</v>
      </c>
      <c r="I23" s="74">
        <f t="shared" si="3"/>
        <v>2702526.57</v>
      </c>
      <c r="K23" s="51"/>
    </row>
    <row r="24" spans="1:12" x14ac:dyDescent="0.25">
      <c r="A24" s="4">
        <f t="shared" si="4"/>
        <v>11</v>
      </c>
      <c r="B24" s="22">
        <v>46296</v>
      </c>
      <c r="C24" s="4">
        <f t="shared" si="0"/>
        <v>3</v>
      </c>
      <c r="D24" s="74">
        <f>+'Sch 2.0'!O$15</f>
        <v>37531942.641882703</v>
      </c>
      <c r="E24" s="81">
        <f t="shared" si="1"/>
        <v>180392255.27824479</v>
      </c>
      <c r="F24" s="135">
        <f>+'Sch 2.0'!O$21</f>
        <v>199584</v>
      </c>
      <c r="G24" s="74">
        <f t="shared" si="2"/>
        <v>937932</v>
      </c>
      <c r="H24" s="135">
        <f>+'Sch 2.0'!O$27</f>
        <v>557700</v>
      </c>
      <c r="I24" s="74">
        <f t="shared" si="3"/>
        <v>3260226.57</v>
      </c>
      <c r="J24" s="2"/>
      <c r="K24" s="51"/>
    </row>
    <row r="25" spans="1:12" x14ac:dyDescent="0.25">
      <c r="A25" s="4">
        <f t="shared" si="4"/>
        <v>12</v>
      </c>
      <c r="B25" s="22">
        <v>46327</v>
      </c>
      <c r="C25" s="4">
        <f t="shared" si="0"/>
        <v>2</v>
      </c>
      <c r="D25" s="74">
        <f>+'Sch 2.0'!P$15</f>
        <v>2607896.9283556198</v>
      </c>
      <c r="E25" s="81">
        <f t="shared" si="1"/>
        <v>183000152.20660043</v>
      </c>
      <c r="F25" s="135">
        <f>+'Sch 2.0'!P$21</f>
        <v>0</v>
      </c>
      <c r="G25" s="74">
        <f t="shared" si="2"/>
        <v>937932</v>
      </c>
      <c r="H25" s="135">
        <f>+'Sch 2.0'!P$27</f>
        <v>0</v>
      </c>
      <c r="I25" s="74">
        <f t="shared" si="3"/>
        <v>3260226.57</v>
      </c>
      <c r="K25" s="51"/>
    </row>
    <row r="26" spans="1:12" x14ac:dyDescent="0.25">
      <c r="A26" s="4">
        <f t="shared" si="4"/>
        <v>13</v>
      </c>
      <c r="B26" s="22">
        <v>46357</v>
      </c>
      <c r="C26" s="4">
        <f t="shared" si="0"/>
        <v>1</v>
      </c>
      <c r="D26" s="74">
        <f>+'Sch 2.0'!Q$15</f>
        <v>1926245.96157012</v>
      </c>
      <c r="E26" s="82">
        <f t="shared" si="1"/>
        <v>184926398.16817054</v>
      </c>
      <c r="F26" s="135">
        <f>+'Sch 2.0'!Q$21</f>
        <v>0</v>
      </c>
      <c r="G26" s="75">
        <f t="shared" si="2"/>
        <v>937932</v>
      </c>
      <c r="H26" s="135">
        <f>+'Sch 2.0'!Q$27</f>
        <v>0</v>
      </c>
      <c r="I26" s="75">
        <f t="shared" si="3"/>
        <v>3260226.57</v>
      </c>
      <c r="K26" s="51"/>
      <c r="L26" s="51"/>
    </row>
    <row r="27" spans="1:12" x14ac:dyDescent="0.25">
      <c r="A27" s="4"/>
      <c r="D27" s="76"/>
      <c r="E27" s="51">
        <f>SUM(E14:E26)</f>
        <v>1976543865.1241379</v>
      </c>
      <c r="F27" s="76"/>
      <c r="G27" s="51">
        <f>SUM(G14:G26)</f>
        <v>10197276</v>
      </c>
      <c r="H27" s="76"/>
      <c r="I27" s="51">
        <f>SUM(I14:I26)</f>
        <v>36805945.409999996</v>
      </c>
      <c r="J27" s="2"/>
    </row>
    <row r="28" spans="1:12" x14ac:dyDescent="0.25">
      <c r="A28" s="4">
        <f>A26+1</f>
        <v>14</v>
      </c>
      <c r="B28" t="s">
        <v>88</v>
      </c>
      <c r="D28" s="76"/>
      <c r="E28" s="83">
        <v>13</v>
      </c>
      <c r="F28" s="83"/>
      <c r="G28" s="83">
        <v>13</v>
      </c>
      <c r="H28" s="83"/>
      <c r="I28" s="84">
        <v>13</v>
      </c>
    </row>
    <row r="29" spans="1:12" ht="15.75" thickBot="1" x14ac:dyDescent="0.3">
      <c r="A29" s="4">
        <f>A28+1</f>
        <v>15</v>
      </c>
      <c r="B29" t="s">
        <v>89</v>
      </c>
      <c r="E29" s="55">
        <f>ROUND(E27/E28,0)</f>
        <v>152041836</v>
      </c>
      <c r="F29" s="51"/>
      <c r="G29" s="55">
        <f>ROUND(G27/G28,0)</f>
        <v>784406</v>
      </c>
      <c r="H29" s="51"/>
      <c r="I29" s="55">
        <f>ROUND(I27/I28,0)</f>
        <v>2831227</v>
      </c>
    </row>
    <row r="30" spans="1:12" ht="15.75" thickTop="1" x14ac:dyDescent="0.25">
      <c r="E30" s="30"/>
    </row>
    <row r="31" spans="1:12" x14ac:dyDescent="0.25">
      <c r="A31" s="4"/>
      <c r="E31" s="34"/>
      <c r="G31" s="34"/>
      <c r="H31" s="34"/>
      <c r="I31" s="34"/>
    </row>
    <row r="32" spans="1:12" x14ac:dyDescent="0.25">
      <c r="F32" s="37"/>
    </row>
  </sheetData>
  <mergeCells count="3">
    <mergeCell ref="D9:E9"/>
    <mergeCell ref="F9:G9"/>
    <mergeCell ref="H9:I9"/>
  </mergeCells>
  <printOptions horizontalCentered="1"/>
  <pageMargins left="0.7" right="0.7" top="0.75" bottom="0.75" header="0.3" footer="0.3"/>
  <pageSetup scale="71" orientation="landscape" r:id="rId1"/>
  <headerFooter>
    <oddHeader xml:space="preserve">&amp;R&amp;"Times New Roman,Bold"&amp;10KyPSC Case No. 2025-00229
STAFF-DR-01-001 Attachment
Page &amp;P of &amp;N
</oddHeader>
  </headerFooter>
  <ignoredErrors>
    <ignoredError sqref="F15:F26 H15:H2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22"/>
  <sheetViews>
    <sheetView view="pageLayout" zoomScaleNormal="92" workbookViewId="0">
      <selection activeCell="I7" sqref="I7"/>
    </sheetView>
  </sheetViews>
  <sheetFormatPr defaultRowHeight="15" x14ac:dyDescent="0.25"/>
  <cols>
    <col min="1" max="1" width="6.5703125" customWidth="1"/>
    <col min="2" max="2" width="38.85546875" customWidth="1"/>
    <col min="3" max="15" width="12.7109375" customWidth="1"/>
    <col min="16" max="19" width="15.5703125" customWidth="1"/>
    <col min="20" max="20" width="14" customWidth="1"/>
  </cols>
  <sheetData>
    <row r="1" spans="1:16" x14ac:dyDescent="0.25">
      <c r="A1" s="4"/>
      <c r="E1" s="4"/>
      <c r="F1" s="4"/>
      <c r="G1" s="4"/>
    </row>
    <row r="2" spans="1:16" x14ac:dyDescent="0.25">
      <c r="A2" s="69" t="str">
        <f>'Sch 1.0'!A2</f>
        <v>Duke Energy Kentucky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6" x14ac:dyDescent="0.25">
      <c r="A3" s="69" t="str">
        <f>'Sch 1.0'!A3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6" x14ac:dyDescent="0.25">
      <c r="A4" s="69" t="s">
        <v>149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6" x14ac:dyDescent="0.25">
      <c r="A5" s="69" t="s">
        <v>249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6" x14ac:dyDescent="0.25">
      <c r="A6" s="4"/>
      <c r="D6" s="160"/>
      <c r="E6" s="4"/>
      <c r="F6" s="4"/>
      <c r="G6" s="4"/>
    </row>
    <row r="7" spans="1:16" x14ac:dyDescent="0.25">
      <c r="A7" s="21"/>
      <c r="E7" s="4"/>
      <c r="F7" s="4"/>
      <c r="G7" s="4"/>
    </row>
    <row r="8" spans="1:16" x14ac:dyDescent="0.25">
      <c r="A8" s="4"/>
      <c r="E8" s="4"/>
      <c r="F8" s="4"/>
      <c r="G8" s="4"/>
    </row>
    <row r="9" spans="1:16" x14ac:dyDescent="0.25">
      <c r="A9" s="3" t="s">
        <v>136</v>
      </c>
      <c r="B9" s="3"/>
      <c r="C9" s="3"/>
      <c r="D9" s="3"/>
      <c r="E9" s="3"/>
      <c r="F9" s="3"/>
      <c r="G9" s="3"/>
    </row>
    <row r="10" spans="1:16" x14ac:dyDescent="0.25">
      <c r="A10" s="8" t="s">
        <v>137</v>
      </c>
      <c r="B10" s="8" t="s">
        <v>15</v>
      </c>
      <c r="C10" s="89">
        <v>46023</v>
      </c>
      <c r="D10" s="89">
        <v>46054</v>
      </c>
      <c r="E10" s="89">
        <v>46082</v>
      </c>
      <c r="F10" s="89">
        <v>46113</v>
      </c>
      <c r="G10" s="89">
        <v>46143</v>
      </c>
      <c r="H10" s="89">
        <v>46174</v>
      </c>
      <c r="I10" s="89">
        <v>46204</v>
      </c>
      <c r="J10" s="89">
        <v>46235</v>
      </c>
      <c r="K10" s="89">
        <v>46266</v>
      </c>
      <c r="L10" s="89">
        <v>46296</v>
      </c>
      <c r="M10" s="89">
        <v>46327</v>
      </c>
      <c r="N10" s="89">
        <v>46357</v>
      </c>
      <c r="O10" s="8" t="s">
        <v>21</v>
      </c>
    </row>
    <row r="11" spans="1:16" x14ac:dyDescent="0.25">
      <c r="B11" s="16" t="s">
        <v>63</v>
      </c>
      <c r="C11" s="16" t="s">
        <v>64</v>
      </c>
      <c r="D11" s="16" t="s">
        <v>66</v>
      </c>
      <c r="E11" s="16" t="s">
        <v>84</v>
      </c>
      <c r="F11" s="16" t="s">
        <v>109</v>
      </c>
      <c r="G11" s="16" t="s">
        <v>110</v>
      </c>
      <c r="H11" s="16" t="s">
        <v>111</v>
      </c>
      <c r="I11" s="16" t="s">
        <v>112</v>
      </c>
      <c r="J11" s="16" t="s">
        <v>113</v>
      </c>
      <c r="K11" s="16" t="s">
        <v>114</v>
      </c>
      <c r="L11" s="16" t="s">
        <v>115</v>
      </c>
      <c r="M11" s="16" t="s">
        <v>116</v>
      </c>
      <c r="N11" s="16" t="s">
        <v>117</v>
      </c>
      <c r="O11" s="16" t="s">
        <v>118</v>
      </c>
      <c r="P11" s="16"/>
    </row>
    <row r="13" spans="1:16" ht="15" customHeight="1" x14ac:dyDescent="0.25">
      <c r="A13" s="45">
        <v>1</v>
      </c>
      <c r="B13" s="31" t="s">
        <v>207</v>
      </c>
      <c r="C13" s="163">
        <v>12749669</v>
      </c>
      <c r="D13" s="163">
        <v>12678711</v>
      </c>
      <c r="E13" s="163">
        <v>9432785</v>
      </c>
      <c r="F13" s="163">
        <v>5300318</v>
      </c>
      <c r="G13" s="163">
        <v>2295829</v>
      </c>
      <c r="H13" s="163">
        <v>1375342</v>
      </c>
      <c r="I13" s="163">
        <v>993099</v>
      </c>
      <c r="J13" s="163">
        <v>911647</v>
      </c>
      <c r="K13" s="163">
        <v>983527</v>
      </c>
      <c r="L13" s="163">
        <v>1336066</v>
      </c>
      <c r="M13" s="163">
        <v>4110911</v>
      </c>
      <c r="N13" s="163">
        <v>9136315</v>
      </c>
      <c r="O13" s="2">
        <f>SUM(C13:N13)</f>
        <v>61304219</v>
      </c>
    </row>
    <row r="14" spans="1:16" ht="15" customHeight="1" x14ac:dyDescent="0.25">
      <c r="A14" s="45">
        <f>A13+1</f>
        <v>2</v>
      </c>
      <c r="B14" s="31" t="s">
        <v>208</v>
      </c>
      <c r="C14" s="163">
        <v>7114118</v>
      </c>
      <c r="D14" s="163">
        <v>6900565</v>
      </c>
      <c r="E14" s="163">
        <v>5604537</v>
      </c>
      <c r="F14" s="163">
        <v>2717593</v>
      </c>
      <c r="G14" s="163">
        <v>1586198</v>
      </c>
      <c r="H14" s="163">
        <v>757666</v>
      </c>
      <c r="I14" s="163">
        <v>540501</v>
      </c>
      <c r="J14" s="163">
        <v>500235</v>
      </c>
      <c r="K14" s="163">
        <v>640190</v>
      </c>
      <c r="L14" s="163">
        <v>638935</v>
      </c>
      <c r="M14" s="163">
        <v>2119311</v>
      </c>
      <c r="N14" s="163">
        <v>5013723</v>
      </c>
      <c r="O14" s="2">
        <f>SUM(C14:N14)</f>
        <v>34133572</v>
      </c>
    </row>
    <row r="15" spans="1:16" ht="15" customHeight="1" x14ac:dyDescent="0.25">
      <c r="A15" s="45">
        <f>A14+1</f>
        <v>3</v>
      </c>
      <c r="B15" s="22" t="s">
        <v>78</v>
      </c>
      <c r="C15" s="163">
        <v>4072354</v>
      </c>
      <c r="D15" s="163">
        <v>3475719</v>
      </c>
      <c r="E15" s="163">
        <v>3291115</v>
      </c>
      <c r="F15" s="163">
        <v>2255572</v>
      </c>
      <c r="G15" s="163">
        <v>1923727</v>
      </c>
      <c r="H15" s="163">
        <v>1734781</v>
      </c>
      <c r="I15" s="163">
        <v>1662615</v>
      </c>
      <c r="J15" s="163">
        <v>1735367</v>
      </c>
      <c r="K15" s="163">
        <v>1771425</v>
      </c>
      <c r="L15" s="163">
        <v>2058859</v>
      </c>
      <c r="M15" s="163">
        <v>2712575</v>
      </c>
      <c r="N15" s="163">
        <v>3327728</v>
      </c>
      <c r="O15" s="2">
        <f>SUM(C15:N15)</f>
        <v>30021837</v>
      </c>
    </row>
    <row r="16" spans="1:16" ht="15" customHeight="1" x14ac:dyDescent="0.25">
      <c r="A16" s="45">
        <f>A15+1</f>
        <v>4</v>
      </c>
      <c r="B16" s="22" t="s">
        <v>79</v>
      </c>
      <c r="C16" s="163">
        <v>1457628</v>
      </c>
      <c r="D16" s="163">
        <v>1384099</v>
      </c>
      <c r="E16" s="163">
        <v>1392488</v>
      </c>
      <c r="F16" s="163">
        <v>1312602</v>
      </c>
      <c r="G16" s="163">
        <v>1319986</v>
      </c>
      <c r="H16" s="163">
        <v>1311196</v>
      </c>
      <c r="I16" s="163">
        <v>1310809</v>
      </c>
      <c r="J16" s="163">
        <v>1310895</v>
      </c>
      <c r="K16" s="163">
        <v>1315329</v>
      </c>
      <c r="L16" s="163">
        <v>1487097</v>
      </c>
      <c r="M16" s="163">
        <v>1457314</v>
      </c>
      <c r="N16" s="163">
        <v>1489725</v>
      </c>
      <c r="O16" s="2">
        <f>SUM(C16:N16)</f>
        <v>16549168</v>
      </c>
    </row>
    <row r="18" spans="1:20" x14ac:dyDescent="0.25">
      <c r="A18" s="15"/>
      <c r="B18" s="15" t="s">
        <v>209</v>
      </c>
    </row>
    <row r="19" spans="1:20" x14ac:dyDescent="0.25">
      <c r="B19" s="15" t="s">
        <v>212</v>
      </c>
      <c r="C19" s="30"/>
      <c r="D19" s="30"/>
      <c r="E19" s="30"/>
      <c r="F19" s="30"/>
      <c r="G19" s="30"/>
      <c r="H19" s="191"/>
      <c r="I19" s="30"/>
      <c r="J19" s="30"/>
      <c r="K19" s="30"/>
      <c r="L19" s="30"/>
      <c r="M19" s="30"/>
      <c r="N19" s="30"/>
      <c r="T19" s="30"/>
    </row>
    <row r="20" spans="1:20" x14ac:dyDescent="0.25"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T20" s="30"/>
    </row>
    <row r="21" spans="1:20" x14ac:dyDescent="0.25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T21" s="30"/>
    </row>
    <row r="22" spans="1:20" x14ac:dyDescent="0.25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T22" s="30"/>
    </row>
  </sheetData>
  <printOptions horizontalCentered="1"/>
  <pageMargins left="0.7" right="0.7" top="0.75" bottom="0.75" header="0.3" footer="0.3"/>
  <pageSetup scale="58" orientation="landscape" r:id="rId1"/>
  <headerFooter>
    <oddHeader xml:space="preserve">&amp;R&amp;"Times New Roman,Bold"&amp;10KyPSC Case No. 2025-00229
STAFF-DR-01-001 Attachment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F9251C502B146B2B676A4E4DCE5BB" ma:contentTypeVersion="4" ma:contentTypeDescription="Create a new document." ma:contentTypeScope="" ma:versionID="4de23ef8f6c9bdacef4f4bddb876842f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457C96-1B55-4C72-8290-6949AE838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48DDD-DC92-4F63-B872-3AA677AFB883}">
  <ds:schemaRefs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2612a682-5ffb-4b9c-9555-017618935178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3057B4-69D3-4069-B30D-5F17219052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 Summary</vt:lpstr>
      <vt:lpstr>Sch 1.0</vt:lpstr>
      <vt:lpstr>Sch 1.1</vt:lpstr>
      <vt:lpstr>Sch 1.2</vt:lpstr>
      <vt:lpstr>Sch 2.0</vt:lpstr>
      <vt:lpstr>Sch 2.1 (2)</vt:lpstr>
      <vt:lpstr>Sch 2.1</vt:lpstr>
      <vt:lpstr>Sch 2.2</vt:lpstr>
      <vt:lpstr>Sch 3.0</vt:lpstr>
      <vt:lpstr>Sch 4.1</vt:lpstr>
      <vt:lpstr>Sch 4.2</vt:lpstr>
      <vt:lpstr>Sch 4.3</vt:lpstr>
      <vt:lpstr>Sch 4.4 (old)</vt:lpstr>
      <vt:lpstr>Sch 4.4</vt:lpstr>
      <vt:lpstr>Sch 4.5</vt:lpstr>
      <vt:lpstr>' Summary'!Print_Area</vt:lpstr>
      <vt:lpstr>'Sch 1.0'!Print_Area</vt:lpstr>
      <vt:lpstr>'Sch 2.1'!Print_Area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Shoemaker, Joe</dc:creator>
  <cp:lastModifiedBy>Sunderman, Minna</cp:lastModifiedBy>
  <cp:lastPrinted>2025-09-30T16:57:39Z</cp:lastPrinted>
  <dcterms:created xsi:type="dcterms:W3CDTF">2015-04-22T13:48:09Z</dcterms:created>
  <dcterms:modified xsi:type="dcterms:W3CDTF">2025-09-30T16:57:44Z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0x0101005C8F9251C502B146B2B676A4E4DCE5BB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