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620783bd5d64abe/Cumberland County WD/"/>
    </mc:Choice>
  </mc:AlternateContent>
  <xr:revisionPtr revIDLastSave="148" documentId="8_{42E7740D-32DC-460C-BFF9-3979D64AB181}" xr6:coauthVersionLast="47" xr6:coauthVersionMax="47" xr10:uidLastSave="{409C33B8-B42B-41AB-BCD6-F115C42612DD}"/>
  <bookViews>
    <workbookView xWindow="-98" yWindow="-98" windowWidth="21795" windowHeight="13875" tabRatio="641" activeTab="3" xr2:uid="{00000000-000D-0000-FFFF-FFFF00000000}"/>
  </bookViews>
  <sheets>
    <sheet name="SAO" sheetId="6" r:id="rId1"/>
    <sheet name="Revenue Requirement" sheetId="67" r:id="rId2"/>
    <sheet name="Wages" sheetId="55" r:id="rId3"/>
    <sheet name="Medical" sheetId="74" r:id="rId4"/>
    <sheet name="Water Loss Surcharge" sheetId="68" r:id="rId5"/>
    <sheet name="Debt Service" sheetId="50" r:id="rId6"/>
    <sheet name="Depreciation" sheetId="69" r:id="rId7"/>
    <sheet name="Tap Fees" sheetId="71" r:id="rId8"/>
    <sheet name="Rate Case Expenses" sheetId="70" r:id="rId9"/>
    <sheet name="Rates" sheetId="2" r:id="rId10"/>
    <sheet name="Bills" sheetId="42" r:id="rId11"/>
    <sheet name="Bills with Surcharge" sheetId="75" r:id="rId12"/>
    <sheet name="Existing Billing Analysis" sheetId="63" r:id="rId13"/>
    <sheet name="Proposed Billing Analysis" sheetId="65" r:id="rId14"/>
  </sheets>
  <externalReferences>
    <externalReference r:id="rId15"/>
  </externalReferences>
  <definedNames>
    <definedName name="AHV">#REF!</definedName>
    <definedName name="_xlnm.Print_Area" localSheetId="10">Bills!$A$1:$I$71</definedName>
    <definedName name="_xlnm.Print_Area" localSheetId="11">'Bills with Surcharge'!$A$1:$I$71</definedName>
    <definedName name="_xlnm.Print_Area" localSheetId="5">'Debt Service'!$A$1:$O$28</definedName>
    <definedName name="_xlnm.Print_Area" localSheetId="6">Depreciation!$A$1:$M$44</definedName>
    <definedName name="_xlnm.Print_Area" localSheetId="12">'Existing Billing Analysis'!$A$1:$M$168</definedName>
    <definedName name="_xlnm.Print_Area" localSheetId="13">'Proposed Billing Analysis'!$A$1:$M$168</definedName>
    <definedName name="_xlnm.Print_Area" localSheetId="9">Rates!$A$1:$I$50</definedName>
    <definedName name="_xlnm.Print_Area" localSheetId="1">'Revenue Requirement'!$A$1:$F$21</definedName>
    <definedName name="_xlnm.Print_Area" localSheetId="0">SAO!$A$1:$F$41</definedName>
    <definedName name="_xlnm.Print_Area" localSheetId="2">Wages!$L$19:$N$27</definedName>
    <definedName name="_xlnm.Print_Area" localSheetId="4">'Water Loss Surcharge'!$C$3:$H$45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74" l="1"/>
  <c r="K8" i="74"/>
  <c r="K7" i="74"/>
  <c r="K6" i="74"/>
  <c r="N26" i="55"/>
  <c r="M25" i="55"/>
  <c r="M26" i="55"/>
  <c r="N25" i="55"/>
  <c r="N23" i="55"/>
  <c r="M8" i="55"/>
  <c r="M10" i="55"/>
  <c r="M11" i="55"/>
  <c r="M12" i="55"/>
  <c r="M7" i="55"/>
  <c r="M9" i="55"/>
  <c r="M13" i="55"/>
  <c r="L14" i="55"/>
  <c r="M30" i="55"/>
  <c r="M15" i="55"/>
  <c r="M6" i="55"/>
  <c r="M5" i="55"/>
  <c r="L5" i="55"/>
  <c r="J35" i="69"/>
  <c r="K35" i="69" s="1"/>
  <c r="M21" i="50"/>
  <c r="L21" i="50"/>
  <c r="K21" i="50"/>
  <c r="J21" i="50"/>
  <c r="I21" i="50"/>
  <c r="H21" i="50"/>
  <c r="G21" i="50"/>
  <c r="F21" i="50"/>
  <c r="E21" i="50"/>
  <c r="D21" i="50"/>
  <c r="C21" i="50"/>
  <c r="M20" i="50"/>
  <c r="J36" i="69"/>
  <c r="K36" i="69" s="1"/>
  <c r="M23" i="55" l="1"/>
  <c r="M19" i="50"/>
  <c r="D113" i="75"/>
  <c r="D112" i="75"/>
  <c r="D99" i="75"/>
  <c r="D111" i="75"/>
  <c r="D110" i="75"/>
  <c r="D109" i="75"/>
  <c r="D108" i="75"/>
  <c r="D107" i="75"/>
  <c r="D106" i="75"/>
  <c r="D105" i="75"/>
  <c r="D104" i="75"/>
  <c r="D103" i="75"/>
  <c r="D102" i="75"/>
  <c r="D101" i="75"/>
  <c r="D100" i="75"/>
  <c r="D98" i="75"/>
  <c r="D91" i="75"/>
  <c r="D90" i="75"/>
  <c r="D89" i="75"/>
  <c r="D88" i="75"/>
  <c r="D87" i="75"/>
  <c r="D86" i="75"/>
  <c r="D85" i="75"/>
  <c r="D84" i="75"/>
  <c r="D83" i="75"/>
  <c r="D82" i="75"/>
  <c r="D81" i="75"/>
  <c r="D80" i="75"/>
  <c r="D79" i="75"/>
  <c r="D77" i="75"/>
  <c r="D78" i="75"/>
  <c r="D76" i="75"/>
  <c r="D69" i="75"/>
  <c r="D68" i="75"/>
  <c r="D67" i="75"/>
  <c r="D66" i="75"/>
  <c r="D65" i="75"/>
  <c r="D64" i="75"/>
  <c r="D63" i="75"/>
  <c r="D62" i="75"/>
  <c r="D61" i="75"/>
  <c r="D60" i="75"/>
  <c r="D59" i="75"/>
  <c r="D58" i="75"/>
  <c r="D57" i="75"/>
  <c r="D56" i="75"/>
  <c r="D55" i="75"/>
  <c r="D54" i="75"/>
  <c r="D47" i="75"/>
  <c r="D46" i="75"/>
  <c r="D45" i="75"/>
  <c r="D44" i="75"/>
  <c r="D43" i="75"/>
  <c r="D42" i="75"/>
  <c r="D41" i="75"/>
  <c r="D40" i="75"/>
  <c r="D39" i="75"/>
  <c r="D38" i="75"/>
  <c r="D37" i="75"/>
  <c r="D36" i="75"/>
  <c r="D35" i="75"/>
  <c r="D34" i="75"/>
  <c r="D33" i="75"/>
  <c r="D32" i="75"/>
  <c r="D22" i="75"/>
  <c r="D25" i="75"/>
  <c r="D24" i="75"/>
  <c r="D23" i="75"/>
  <c r="D21" i="75"/>
  <c r="D20" i="75"/>
  <c r="D19" i="75"/>
  <c r="D18" i="75"/>
  <c r="D17" i="75"/>
  <c r="D16" i="75"/>
  <c r="D15" i="75"/>
  <c r="D14" i="75"/>
  <c r="D13" i="75"/>
  <c r="D12" i="75"/>
  <c r="D11" i="75"/>
  <c r="D10" i="75"/>
  <c r="B94" i="75"/>
  <c r="B72" i="75"/>
  <c r="B50" i="75"/>
  <c r="B28" i="75"/>
  <c r="B6" i="75"/>
  <c r="D113" i="42"/>
  <c r="D112" i="42"/>
  <c r="D111" i="42"/>
  <c r="D110" i="42"/>
  <c r="D109" i="42"/>
  <c r="D108" i="42"/>
  <c r="D107" i="42"/>
  <c r="D106" i="42"/>
  <c r="D105" i="42"/>
  <c r="D104" i="42"/>
  <c r="D103" i="42"/>
  <c r="D102" i="42"/>
  <c r="D101" i="42"/>
  <c r="D100" i="42"/>
  <c r="D99" i="42"/>
  <c r="D98" i="42"/>
  <c r="D91" i="42"/>
  <c r="D90" i="42"/>
  <c r="D89" i="42"/>
  <c r="D88" i="42"/>
  <c r="D87" i="42"/>
  <c r="D86" i="42"/>
  <c r="D85" i="42"/>
  <c r="D84" i="42"/>
  <c r="D83" i="42"/>
  <c r="D82" i="42"/>
  <c r="D81" i="42"/>
  <c r="D80" i="42"/>
  <c r="D79" i="42"/>
  <c r="D78" i="42"/>
  <c r="D77" i="42"/>
  <c r="D76" i="42"/>
  <c r="D69" i="42"/>
  <c r="D68" i="42"/>
  <c r="D67" i="42"/>
  <c r="D66" i="42"/>
  <c r="D65" i="42"/>
  <c r="D64" i="42"/>
  <c r="D63" i="42"/>
  <c r="D62" i="42"/>
  <c r="D61" i="42"/>
  <c r="D60" i="42"/>
  <c r="D47" i="42"/>
  <c r="D46" i="42"/>
  <c r="D45" i="42"/>
  <c r="D44" i="42"/>
  <c r="D43" i="42"/>
  <c r="D42" i="42"/>
  <c r="D41" i="42"/>
  <c r="D40" i="42"/>
  <c r="D39" i="42"/>
  <c r="D38" i="42"/>
  <c r="H39" i="69"/>
  <c r="F39" i="69"/>
  <c r="H29" i="69"/>
  <c r="F29" i="69"/>
  <c r="H16" i="69"/>
  <c r="F16" i="69"/>
  <c r="H33" i="69"/>
  <c r="F33" i="69"/>
  <c r="H31" i="69"/>
  <c r="F31" i="69"/>
  <c r="H15" i="69"/>
  <c r="F15" i="69"/>
  <c r="H25" i="69"/>
  <c r="F25" i="69"/>
  <c r="H14" i="69"/>
  <c r="F14" i="69"/>
  <c r="H30" i="69"/>
  <c r="F30" i="69"/>
  <c r="H34" i="69"/>
  <c r="F34" i="69"/>
  <c r="H12" i="69"/>
  <c r="F12" i="69"/>
  <c r="I17" i="55"/>
  <c r="H30" i="55" s="1"/>
  <c r="H17" i="55"/>
  <c r="H27" i="55"/>
  <c r="F14" i="55"/>
  <c r="G14" i="55"/>
  <c r="H14" i="55"/>
  <c r="D15" i="6" l="1"/>
  <c r="G9" i="65"/>
  <c r="B5" i="70"/>
  <c r="I7" i="74"/>
  <c r="I6" i="74"/>
  <c r="E9" i="74"/>
  <c r="D9" i="74"/>
  <c r="E8" i="74"/>
  <c r="D8" i="74"/>
  <c r="E7" i="74"/>
  <c r="D7" i="74"/>
  <c r="E6" i="74"/>
  <c r="D6" i="74"/>
  <c r="D165" i="65" l="1"/>
  <c r="F164" i="65"/>
  <c r="F166" i="65" s="1"/>
  <c r="D164" i="65"/>
  <c r="G161" i="65"/>
  <c r="F161" i="65"/>
  <c r="E161" i="65"/>
  <c r="E164" i="65" s="1"/>
  <c r="E166" i="65" s="1"/>
  <c r="I160" i="65"/>
  <c r="H160" i="65"/>
  <c r="H161" i="65" s="1"/>
  <c r="F165" i="65" s="1"/>
  <c r="G160" i="65"/>
  <c r="G159" i="65"/>
  <c r="I159" i="65" s="1"/>
  <c r="H158" i="65"/>
  <c r="G158" i="65"/>
  <c r="H157" i="65"/>
  <c r="G157" i="65"/>
  <c r="E155" i="65"/>
  <c r="D154" i="65"/>
  <c r="E153" i="65"/>
  <c r="D153" i="65"/>
  <c r="F150" i="65"/>
  <c r="E150" i="65"/>
  <c r="G149" i="65"/>
  <c r="I148" i="65"/>
  <c r="G148" i="65"/>
  <c r="G150" i="65" s="1"/>
  <c r="F153" i="65" s="1"/>
  <c r="H147" i="65"/>
  <c r="G147" i="65"/>
  <c r="H146" i="65"/>
  <c r="G146" i="65"/>
  <c r="D143" i="65"/>
  <c r="D142" i="65"/>
  <c r="E141" i="65"/>
  <c r="D141" i="65"/>
  <c r="F138" i="65"/>
  <c r="E138" i="65"/>
  <c r="H137" i="65"/>
  <c r="G137" i="65"/>
  <c r="J136" i="65"/>
  <c r="G136" i="65"/>
  <c r="H136" i="65" s="1"/>
  <c r="G135" i="65"/>
  <c r="I134" i="65"/>
  <c r="H134" i="65"/>
  <c r="G134" i="65"/>
  <c r="I133" i="65"/>
  <c r="H133" i="65"/>
  <c r="G133" i="65"/>
  <c r="D130" i="65"/>
  <c r="C130" i="65"/>
  <c r="D129" i="65"/>
  <c r="C129" i="65"/>
  <c r="E128" i="65"/>
  <c r="D128" i="65"/>
  <c r="C128" i="65"/>
  <c r="F125" i="65"/>
  <c r="E125" i="65"/>
  <c r="H124" i="65"/>
  <c r="G124" i="65"/>
  <c r="G123" i="65"/>
  <c r="H123" i="65" s="1"/>
  <c r="H125" i="65" s="1"/>
  <c r="F129" i="65" s="1"/>
  <c r="G122" i="65"/>
  <c r="G125" i="65" s="1"/>
  <c r="F128" i="65" s="1"/>
  <c r="I121" i="65"/>
  <c r="H121" i="65"/>
  <c r="G121" i="65"/>
  <c r="I120" i="65"/>
  <c r="H120" i="65"/>
  <c r="G120" i="65"/>
  <c r="D116" i="65"/>
  <c r="C116" i="65"/>
  <c r="D115" i="65"/>
  <c r="C115" i="65"/>
  <c r="D114" i="65"/>
  <c r="C114" i="65"/>
  <c r="D113" i="65"/>
  <c r="C113" i="65"/>
  <c r="F110" i="65"/>
  <c r="E110" i="65"/>
  <c r="E113" i="65" s="1"/>
  <c r="E117" i="65" s="1"/>
  <c r="I109" i="65"/>
  <c r="H109" i="65"/>
  <c r="G109" i="65"/>
  <c r="H108" i="65"/>
  <c r="G108" i="65"/>
  <c r="G110" i="65" s="1"/>
  <c r="F113" i="65" s="1"/>
  <c r="G107" i="65"/>
  <c r="G106" i="65"/>
  <c r="K106" i="65" s="1"/>
  <c r="J105" i="65"/>
  <c r="I105" i="65"/>
  <c r="H105" i="65"/>
  <c r="G105" i="65"/>
  <c r="J104" i="65"/>
  <c r="I104" i="65"/>
  <c r="H104" i="65"/>
  <c r="G104" i="65"/>
  <c r="E101" i="65"/>
  <c r="D100" i="65"/>
  <c r="C100" i="65"/>
  <c r="D99" i="65"/>
  <c r="C99" i="65"/>
  <c r="D98" i="65"/>
  <c r="C98" i="65"/>
  <c r="E97" i="65"/>
  <c r="D97" i="65"/>
  <c r="C97" i="65"/>
  <c r="F94" i="65"/>
  <c r="E94" i="65"/>
  <c r="I93" i="65"/>
  <c r="H93" i="65"/>
  <c r="G93" i="65"/>
  <c r="H92" i="65"/>
  <c r="G92" i="65"/>
  <c r="I92" i="65" s="1"/>
  <c r="I94" i="65" s="1"/>
  <c r="F99" i="65" s="1"/>
  <c r="G91" i="65"/>
  <c r="G90" i="65"/>
  <c r="J89" i="65"/>
  <c r="I89" i="65"/>
  <c r="H89" i="65"/>
  <c r="G89" i="65"/>
  <c r="J88" i="65"/>
  <c r="I88" i="65"/>
  <c r="H88" i="65"/>
  <c r="G88" i="65"/>
  <c r="D84" i="65"/>
  <c r="C84" i="65"/>
  <c r="F83" i="65"/>
  <c r="E83" i="65"/>
  <c r="D83" i="65"/>
  <c r="C83" i="65"/>
  <c r="F80" i="65"/>
  <c r="O80" i="65" s="1"/>
  <c r="E80" i="65"/>
  <c r="G79" i="65"/>
  <c r="G80" i="65" s="1"/>
  <c r="I78" i="65"/>
  <c r="G78" i="65"/>
  <c r="H77" i="65"/>
  <c r="G77" i="65"/>
  <c r="H76" i="65"/>
  <c r="G76" i="65"/>
  <c r="E73" i="65"/>
  <c r="D72" i="65"/>
  <c r="C72" i="65"/>
  <c r="D71" i="65"/>
  <c r="C71" i="65"/>
  <c r="D70" i="65"/>
  <c r="C70" i="65"/>
  <c r="I67" i="65"/>
  <c r="F72" i="65" s="1"/>
  <c r="G67" i="65"/>
  <c r="F70" i="65" s="1"/>
  <c r="F67" i="65"/>
  <c r="O67" i="65" s="1"/>
  <c r="E67" i="65"/>
  <c r="E70" i="65" s="1"/>
  <c r="H66" i="65"/>
  <c r="G66" i="65"/>
  <c r="I66" i="65" s="1"/>
  <c r="G65" i="65"/>
  <c r="G64" i="65"/>
  <c r="J64" i="65" s="1"/>
  <c r="I63" i="65"/>
  <c r="H63" i="65"/>
  <c r="G63" i="65"/>
  <c r="I62" i="65"/>
  <c r="H62" i="65"/>
  <c r="G62" i="65"/>
  <c r="E59" i="65"/>
  <c r="D58" i="65"/>
  <c r="C58" i="65"/>
  <c r="D57" i="65"/>
  <c r="C57" i="65"/>
  <c r="E56" i="65"/>
  <c r="D56" i="65"/>
  <c r="C56" i="65"/>
  <c r="O53" i="65"/>
  <c r="G53" i="65"/>
  <c r="F56" i="65" s="1"/>
  <c r="F53" i="65"/>
  <c r="E53" i="65"/>
  <c r="H52" i="65"/>
  <c r="G52" i="65"/>
  <c r="H51" i="65"/>
  <c r="H53" i="65" s="1"/>
  <c r="F57" i="65" s="1"/>
  <c r="G51" i="65"/>
  <c r="J50" i="65"/>
  <c r="G50" i="65"/>
  <c r="I49" i="65"/>
  <c r="H49" i="65"/>
  <c r="G49" i="65"/>
  <c r="I48" i="65"/>
  <c r="H48" i="65"/>
  <c r="G48" i="65"/>
  <c r="D44" i="65"/>
  <c r="C44" i="65"/>
  <c r="D43" i="65"/>
  <c r="C43" i="65"/>
  <c r="D42" i="65"/>
  <c r="C42" i="65"/>
  <c r="D41" i="65"/>
  <c r="C41" i="65"/>
  <c r="G38" i="65"/>
  <c r="F41" i="65" s="1"/>
  <c r="F38" i="65"/>
  <c r="E38" i="65"/>
  <c r="E41" i="65" s="1"/>
  <c r="I37" i="65"/>
  <c r="H37" i="65"/>
  <c r="G37" i="65"/>
  <c r="J37" i="65" s="1"/>
  <c r="J38" i="65" s="1"/>
  <c r="F44" i="65" s="1"/>
  <c r="H36" i="65"/>
  <c r="G36" i="65"/>
  <c r="H35" i="65"/>
  <c r="H38" i="65" s="1"/>
  <c r="F42" i="65" s="1"/>
  <c r="G35" i="65"/>
  <c r="G34" i="65"/>
  <c r="K34" i="65" s="1"/>
  <c r="J33" i="65"/>
  <c r="I33" i="65"/>
  <c r="H33" i="65"/>
  <c r="G33" i="65"/>
  <c r="J32" i="65"/>
  <c r="I32" i="65"/>
  <c r="H32" i="65"/>
  <c r="G32" i="65"/>
  <c r="D28" i="65"/>
  <c r="C28" i="65"/>
  <c r="D27" i="65"/>
  <c r="C27" i="65"/>
  <c r="D26" i="65"/>
  <c r="C26" i="65"/>
  <c r="D25" i="65"/>
  <c r="C25" i="65"/>
  <c r="O22" i="65"/>
  <c r="I22" i="65"/>
  <c r="F27" i="65" s="1"/>
  <c r="F22" i="65"/>
  <c r="E22" i="65"/>
  <c r="E25" i="65" s="1"/>
  <c r="E29" i="65" s="1"/>
  <c r="I21" i="65"/>
  <c r="H21" i="65"/>
  <c r="G21" i="65"/>
  <c r="I20" i="65"/>
  <c r="K20" i="65" s="1"/>
  <c r="H20" i="65"/>
  <c r="G20" i="65"/>
  <c r="G19" i="65"/>
  <c r="G18" i="65"/>
  <c r="J17" i="65"/>
  <c r="I17" i="65"/>
  <c r="H17" i="65"/>
  <c r="G17" i="65"/>
  <c r="J16" i="65"/>
  <c r="I16" i="65"/>
  <c r="H16" i="65"/>
  <c r="G16" i="65"/>
  <c r="O80" i="63"/>
  <c r="O161" i="63"/>
  <c r="F8" i="63"/>
  <c r="E8" i="63"/>
  <c r="G165" i="63"/>
  <c r="G164" i="63"/>
  <c r="G154" i="63"/>
  <c r="G153" i="63"/>
  <c r="D165" i="63"/>
  <c r="D164" i="63"/>
  <c r="F161" i="63"/>
  <c r="E161" i="63"/>
  <c r="E164" i="63" s="1"/>
  <c r="G160" i="63"/>
  <c r="G159" i="63"/>
  <c r="I159" i="63" s="1"/>
  <c r="H158" i="63"/>
  <c r="G158" i="63"/>
  <c r="H157" i="63"/>
  <c r="G157" i="63"/>
  <c r="G143" i="63"/>
  <c r="G142" i="63"/>
  <c r="G141" i="63"/>
  <c r="G130" i="63"/>
  <c r="G129" i="63"/>
  <c r="G128" i="63"/>
  <c r="G116" i="63"/>
  <c r="G115" i="63"/>
  <c r="G114" i="63"/>
  <c r="G113" i="63"/>
  <c r="E94" i="63"/>
  <c r="G100" i="63"/>
  <c r="G99" i="63"/>
  <c r="G98" i="63"/>
  <c r="G97" i="63"/>
  <c r="G84" i="63"/>
  <c r="G83" i="63"/>
  <c r="G72" i="63"/>
  <c r="D72" i="63"/>
  <c r="C72" i="63"/>
  <c r="G71" i="63"/>
  <c r="D71" i="63"/>
  <c r="C71" i="63"/>
  <c r="G70" i="63"/>
  <c r="D70" i="63"/>
  <c r="C70" i="63"/>
  <c r="F67" i="63"/>
  <c r="E67" i="63"/>
  <c r="E70" i="63" s="1"/>
  <c r="E73" i="63" s="1"/>
  <c r="H66" i="63"/>
  <c r="G66" i="63"/>
  <c r="I66" i="63" s="1"/>
  <c r="I67" i="63" s="1"/>
  <c r="F72" i="63" s="1"/>
  <c r="G65" i="63"/>
  <c r="G64" i="63"/>
  <c r="I63" i="63"/>
  <c r="H63" i="63"/>
  <c r="G63" i="63"/>
  <c r="I62" i="63"/>
  <c r="H62" i="63"/>
  <c r="G62" i="63"/>
  <c r="G58" i="63"/>
  <c r="G57" i="63"/>
  <c r="G56" i="63"/>
  <c r="G44" i="63"/>
  <c r="G43" i="63"/>
  <c r="G42" i="63"/>
  <c r="G41" i="63"/>
  <c r="G28" i="63"/>
  <c r="G27" i="63"/>
  <c r="G26" i="63"/>
  <c r="G25" i="63"/>
  <c r="D44" i="63"/>
  <c r="C44" i="63"/>
  <c r="D43" i="63"/>
  <c r="C43" i="63"/>
  <c r="D42" i="63"/>
  <c r="C42" i="63"/>
  <c r="D41" i="63"/>
  <c r="C41" i="63"/>
  <c r="F38" i="63"/>
  <c r="E38" i="63"/>
  <c r="E41" i="63" s="1"/>
  <c r="I37" i="63"/>
  <c r="H37" i="63"/>
  <c r="G37" i="63"/>
  <c r="H36" i="63"/>
  <c r="G36" i="63"/>
  <c r="G35" i="63"/>
  <c r="H35" i="63" s="1"/>
  <c r="K35" i="63" s="1"/>
  <c r="G34" i="63"/>
  <c r="K34" i="63" s="1"/>
  <c r="J33" i="63"/>
  <c r="I33" i="63"/>
  <c r="H33" i="63"/>
  <c r="G33" i="63"/>
  <c r="J32" i="63"/>
  <c r="I32" i="63"/>
  <c r="H32" i="63"/>
  <c r="G32" i="63"/>
  <c r="B94" i="42"/>
  <c r="B72" i="42"/>
  <c r="M18" i="50"/>
  <c r="M17" i="50"/>
  <c r="M16" i="50"/>
  <c r="M15" i="50"/>
  <c r="M14" i="50"/>
  <c r="M13" i="50"/>
  <c r="L18" i="50"/>
  <c r="K18" i="50"/>
  <c r="L15" i="50"/>
  <c r="K15" i="50"/>
  <c r="L12" i="50"/>
  <c r="C10" i="74"/>
  <c r="B10" i="74"/>
  <c r="H9" i="74"/>
  <c r="G9" i="74"/>
  <c r="I9" i="74" s="1"/>
  <c r="H8" i="74"/>
  <c r="G8" i="74"/>
  <c r="I8" i="74" s="1"/>
  <c r="H7" i="74"/>
  <c r="G7" i="74"/>
  <c r="H6" i="74"/>
  <c r="G6" i="74"/>
  <c r="K10" i="74" l="1"/>
  <c r="C13" i="74" s="1"/>
  <c r="C15" i="74" s="1"/>
  <c r="D17" i="6" s="1"/>
  <c r="I10" i="74"/>
  <c r="H72" i="63"/>
  <c r="F85" i="65"/>
  <c r="F45" i="65"/>
  <c r="E45" i="65"/>
  <c r="F73" i="65"/>
  <c r="G22" i="65"/>
  <c r="F25" i="65" s="1"/>
  <c r="K18" i="65"/>
  <c r="K19" i="65"/>
  <c r="O38" i="65"/>
  <c r="K35" i="65"/>
  <c r="E131" i="65"/>
  <c r="J123" i="65"/>
  <c r="J65" i="65"/>
  <c r="J67" i="65" s="1"/>
  <c r="J124" i="65"/>
  <c r="J21" i="65"/>
  <c r="J22" i="65" s="1"/>
  <c r="F28" i="65" s="1"/>
  <c r="E85" i="65"/>
  <c r="E8" i="65" s="1"/>
  <c r="G94" i="65"/>
  <c r="F97" i="65" s="1"/>
  <c r="G138" i="65"/>
  <c r="F141" i="65" s="1"/>
  <c r="E144" i="65"/>
  <c r="K91" i="65"/>
  <c r="J51" i="65"/>
  <c r="J137" i="65"/>
  <c r="I149" i="65"/>
  <c r="I150" i="65" s="1"/>
  <c r="I108" i="65"/>
  <c r="I110" i="65" s="1"/>
  <c r="F115" i="65" s="1"/>
  <c r="O161" i="65"/>
  <c r="K92" i="65"/>
  <c r="I137" i="65"/>
  <c r="I138" i="65" s="1"/>
  <c r="F143" i="65" s="1"/>
  <c r="I36" i="65"/>
  <c r="I38" i="65" s="1"/>
  <c r="F43" i="65" s="1"/>
  <c r="H79" i="65"/>
  <c r="H80" i="65" s="1"/>
  <c r="F84" i="65" s="1"/>
  <c r="J93" i="65"/>
  <c r="J94" i="65" s="1"/>
  <c r="F100" i="65" s="1"/>
  <c r="K109" i="65"/>
  <c r="H65" i="65"/>
  <c r="H67" i="65" s="1"/>
  <c r="F71" i="65" s="1"/>
  <c r="I124" i="65"/>
  <c r="I125" i="65" s="1"/>
  <c r="F130" i="65" s="1"/>
  <c r="I161" i="65"/>
  <c r="K37" i="65"/>
  <c r="K90" i="65"/>
  <c r="H138" i="65"/>
  <c r="F142" i="65" s="1"/>
  <c r="H149" i="65"/>
  <c r="H150" i="65" s="1"/>
  <c r="F154" i="65" s="1"/>
  <c r="H91" i="65"/>
  <c r="H94" i="65" s="1"/>
  <c r="F98" i="65" s="1"/>
  <c r="H19" i="65"/>
  <c r="H22" i="65" s="1"/>
  <c r="F26" i="65" s="1"/>
  <c r="I52" i="65"/>
  <c r="I53" i="65" s="1"/>
  <c r="F58" i="65" s="1"/>
  <c r="J109" i="65"/>
  <c r="J110" i="65" s="1"/>
  <c r="F116" i="65" s="1"/>
  <c r="J122" i="65"/>
  <c r="J125" i="65" s="1"/>
  <c r="J135" i="65"/>
  <c r="J66" i="65"/>
  <c r="H107" i="65"/>
  <c r="H110" i="65" s="1"/>
  <c r="F114" i="65" s="1"/>
  <c r="G161" i="63"/>
  <c r="F164" i="63" s="1"/>
  <c r="E166" i="63"/>
  <c r="H164" i="63"/>
  <c r="H160" i="63"/>
  <c r="H161" i="63" s="1"/>
  <c r="F165" i="63" s="1"/>
  <c r="H165" i="63" s="1"/>
  <c r="G67" i="63"/>
  <c r="F70" i="63" s="1"/>
  <c r="I36" i="63"/>
  <c r="K36" i="63" s="1"/>
  <c r="O67" i="63"/>
  <c r="J64" i="63"/>
  <c r="H70" i="63"/>
  <c r="J66" i="63"/>
  <c r="H65" i="63"/>
  <c r="H67" i="63" s="1"/>
  <c r="F71" i="63" s="1"/>
  <c r="H71" i="63" s="1"/>
  <c r="J37" i="63"/>
  <c r="J38" i="63" s="1"/>
  <c r="F44" i="63" s="1"/>
  <c r="H44" i="63" s="1"/>
  <c r="O38" i="63"/>
  <c r="E45" i="63"/>
  <c r="H41" i="63"/>
  <c r="G38" i="63"/>
  <c r="F41" i="63" s="1"/>
  <c r="H38" i="63"/>
  <c r="F42" i="63" s="1"/>
  <c r="H42" i="63" s="1"/>
  <c r="G10" i="74"/>
  <c r="H10" i="74"/>
  <c r="D10" i="74"/>
  <c r="E10" i="74"/>
  <c r="K107" i="65" l="1"/>
  <c r="K93" i="65"/>
  <c r="K94" i="65" s="1"/>
  <c r="K36" i="65"/>
  <c r="K38" i="65" s="1"/>
  <c r="F144" i="65"/>
  <c r="K22" i="65"/>
  <c r="F29" i="65"/>
  <c r="F155" i="65"/>
  <c r="I79" i="65"/>
  <c r="I80" i="65" s="1"/>
  <c r="F131" i="65"/>
  <c r="F101" i="65"/>
  <c r="F117" i="65"/>
  <c r="K108" i="65"/>
  <c r="J138" i="65"/>
  <c r="K21" i="65"/>
  <c r="J52" i="65"/>
  <c r="J53" i="65" s="1"/>
  <c r="F59" i="65"/>
  <c r="I160" i="63"/>
  <c r="I161" i="63" s="1"/>
  <c r="I38" i="63"/>
  <c r="F43" i="63" s="1"/>
  <c r="H43" i="63" s="1"/>
  <c r="H45" i="63" s="1"/>
  <c r="H166" i="63"/>
  <c r="F166" i="63"/>
  <c r="K37" i="63"/>
  <c r="K38" i="63"/>
  <c r="H73" i="63"/>
  <c r="F73" i="63"/>
  <c r="J65" i="63"/>
  <c r="J67" i="63" s="1"/>
  <c r="F45" i="63"/>
  <c r="F8" i="65" l="1"/>
  <c r="K110" i="65"/>
  <c r="A6" i="55"/>
  <c r="A7" i="55" s="1"/>
  <c r="A8" i="55" s="1"/>
  <c r="A9" i="55" s="1"/>
  <c r="A10" i="55" s="1"/>
  <c r="A11" i="55" s="1"/>
  <c r="A12" i="55" s="1"/>
  <c r="A13" i="55" s="1"/>
  <c r="F48" i="69"/>
  <c r="J39" i="69"/>
  <c r="K39" i="69" s="1"/>
  <c r="J34" i="69"/>
  <c r="K34" i="69" s="1"/>
  <c r="J33" i="69"/>
  <c r="K33" i="69" s="1"/>
  <c r="J32" i="69"/>
  <c r="K32" i="69" s="1"/>
  <c r="J31" i="69"/>
  <c r="K31" i="69" s="1"/>
  <c r="J30" i="69"/>
  <c r="K30" i="69" s="1"/>
  <c r="J29" i="69"/>
  <c r="K29" i="69" s="1"/>
  <c r="J28" i="69"/>
  <c r="K28" i="69" s="1"/>
  <c r="J25" i="69"/>
  <c r="K25" i="69" s="1"/>
  <c r="J24" i="69"/>
  <c r="K24" i="69" s="1"/>
  <c r="J23" i="69"/>
  <c r="K23" i="69" s="1"/>
  <c r="J20" i="69"/>
  <c r="K20" i="69" s="1"/>
  <c r="J19" i="69"/>
  <c r="K19" i="69" s="1"/>
  <c r="J16" i="69"/>
  <c r="K16" i="69" s="1"/>
  <c r="J15" i="69"/>
  <c r="K15" i="69" s="1"/>
  <c r="J14" i="69"/>
  <c r="K14" i="69" s="1"/>
  <c r="H41" i="69"/>
  <c r="F41" i="69"/>
  <c r="J12" i="69"/>
  <c r="K12" i="69" l="1"/>
  <c r="J13" i="69"/>
  <c r="K13" i="69" s="1"/>
  <c r="K41" i="69" l="1"/>
  <c r="J41" i="69"/>
  <c r="F47" i="69" s="1"/>
  <c r="F49" i="69" s="1"/>
  <c r="D31" i="6" s="1"/>
  <c r="D37" i="42" l="1"/>
  <c r="D36" i="42"/>
  <c r="D35" i="42"/>
  <c r="D25" i="42"/>
  <c r="D24" i="42"/>
  <c r="D23" i="42"/>
  <c r="D22" i="42"/>
  <c r="D21" i="42"/>
  <c r="D20" i="42"/>
  <c r="D19" i="42"/>
  <c r="D18" i="42"/>
  <c r="D17" i="42"/>
  <c r="D16" i="42"/>
  <c r="D15" i="42"/>
  <c r="D14" i="42"/>
  <c r="D13" i="42"/>
  <c r="D12" i="42"/>
  <c r="B5" i="71" l="1"/>
  <c r="B8" i="71" s="1"/>
  <c r="D21" i="6" s="1"/>
  <c r="B7" i="71" l="1"/>
  <c r="B7" i="70"/>
  <c r="D25" i="6" s="1"/>
  <c r="F25" i="6" s="1"/>
  <c r="L22" i="50"/>
  <c r="K22" i="50"/>
  <c r="J22" i="50"/>
  <c r="I22" i="50"/>
  <c r="H22" i="50"/>
  <c r="G22" i="50"/>
  <c r="F22" i="50"/>
  <c r="E22" i="50"/>
  <c r="D22" i="50"/>
  <c r="C22" i="50"/>
  <c r="B9" i="71" l="1"/>
  <c r="F38" i="68"/>
  <c r="D20" i="6" s="1"/>
  <c r="C37" i="68"/>
  <c r="C36" i="68"/>
  <c r="G11" i="63" l="1"/>
  <c r="D34" i="42"/>
  <c r="D33" i="42"/>
  <c r="D32" i="42"/>
  <c r="D59" i="42"/>
  <c r="D58" i="42"/>
  <c r="D57" i="42"/>
  <c r="D56" i="42"/>
  <c r="D55" i="42"/>
  <c r="D54" i="42"/>
  <c r="B50" i="42"/>
  <c r="D154" i="63"/>
  <c r="D153" i="63"/>
  <c r="G149" i="63"/>
  <c r="H149" i="63" s="1"/>
  <c r="G148" i="63"/>
  <c r="I148" i="63" s="1"/>
  <c r="H137" i="63"/>
  <c r="G137" i="63"/>
  <c r="G136" i="63"/>
  <c r="G135" i="63"/>
  <c r="J135" i="63" s="1"/>
  <c r="H147" i="63"/>
  <c r="G147" i="63"/>
  <c r="H146" i="63"/>
  <c r="G146" i="63"/>
  <c r="D143" i="63"/>
  <c r="D142" i="63"/>
  <c r="D141" i="63"/>
  <c r="I134" i="63"/>
  <c r="H134" i="63"/>
  <c r="G134" i="63"/>
  <c r="I133" i="63"/>
  <c r="H133" i="63"/>
  <c r="G133" i="63"/>
  <c r="D130" i="63"/>
  <c r="C130" i="63"/>
  <c r="D129" i="63"/>
  <c r="C129" i="63"/>
  <c r="D128" i="63"/>
  <c r="C128" i="63"/>
  <c r="I121" i="63"/>
  <c r="H121" i="63"/>
  <c r="G121" i="63"/>
  <c r="I120" i="63"/>
  <c r="H120" i="63"/>
  <c r="G120" i="63"/>
  <c r="H124" i="63"/>
  <c r="G124" i="63"/>
  <c r="G123" i="63"/>
  <c r="H123" i="63" s="1"/>
  <c r="J123" i="63" s="1"/>
  <c r="G122" i="63"/>
  <c r="J122" i="63" s="1"/>
  <c r="D116" i="63"/>
  <c r="C116" i="63"/>
  <c r="D115" i="63"/>
  <c r="C115" i="63"/>
  <c r="D114" i="63"/>
  <c r="C114" i="63"/>
  <c r="D113" i="63"/>
  <c r="C113" i="63"/>
  <c r="I109" i="63"/>
  <c r="H109" i="63"/>
  <c r="G109" i="63"/>
  <c r="H108" i="63"/>
  <c r="G108" i="63"/>
  <c r="G107" i="63"/>
  <c r="H107" i="63" s="1"/>
  <c r="K107" i="63" s="1"/>
  <c r="G106" i="63"/>
  <c r="K106" i="63" s="1"/>
  <c r="J105" i="63"/>
  <c r="I105" i="63"/>
  <c r="H105" i="63"/>
  <c r="G105" i="63"/>
  <c r="J104" i="63"/>
  <c r="I104" i="63"/>
  <c r="H104" i="63"/>
  <c r="G104" i="63"/>
  <c r="D100" i="63"/>
  <c r="C100" i="63"/>
  <c r="D99" i="63"/>
  <c r="C99" i="63"/>
  <c r="D98" i="63"/>
  <c r="C98" i="63"/>
  <c r="D97" i="63"/>
  <c r="C97" i="63"/>
  <c r="J89" i="63"/>
  <c r="I89" i="63"/>
  <c r="H89" i="63"/>
  <c r="G89" i="63"/>
  <c r="J88" i="63"/>
  <c r="I88" i="63"/>
  <c r="H88" i="63"/>
  <c r="G88" i="63"/>
  <c r="I93" i="63"/>
  <c r="H93" i="63"/>
  <c r="G93" i="63"/>
  <c r="H92" i="63"/>
  <c r="G92" i="63"/>
  <c r="G91" i="63"/>
  <c r="H91" i="63" s="1"/>
  <c r="G90" i="63"/>
  <c r="K90" i="63" s="1"/>
  <c r="D84" i="63"/>
  <c r="C84" i="63"/>
  <c r="D83" i="63"/>
  <c r="C83" i="63"/>
  <c r="G79" i="63"/>
  <c r="H79" i="63" s="1"/>
  <c r="G78" i="63"/>
  <c r="I78" i="63" s="1"/>
  <c r="H77" i="63"/>
  <c r="G77" i="63"/>
  <c r="H76" i="63"/>
  <c r="G76" i="63"/>
  <c r="I48" i="63"/>
  <c r="H48" i="63"/>
  <c r="G48" i="63"/>
  <c r="J16" i="63"/>
  <c r="I16" i="63"/>
  <c r="H16" i="63"/>
  <c r="G16" i="63"/>
  <c r="C28" i="63"/>
  <c r="C27" i="63"/>
  <c r="C26" i="63"/>
  <c r="C25" i="63"/>
  <c r="C58" i="63"/>
  <c r="C57" i="63"/>
  <c r="C56" i="63"/>
  <c r="D58" i="63"/>
  <c r="D57" i="63"/>
  <c r="D56" i="63"/>
  <c r="I49" i="63"/>
  <c r="H49" i="63"/>
  <c r="D28" i="63"/>
  <c r="D27" i="63"/>
  <c r="D26" i="63"/>
  <c r="D25" i="63"/>
  <c r="H52" i="63"/>
  <c r="G52" i="63"/>
  <c r="G51" i="63"/>
  <c r="H51" i="63" s="1"/>
  <c r="J51" i="63" s="1"/>
  <c r="G50" i="63"/>
  <c r="J50" i="63" s="1"/>
  <c r="I21" i="63"/>
  <c r="H21" i="63"/>
  <c r="G21" i="63"/>
  <c r="H20" i="63"/>
  <c r="G20" i="63"/>
  <c r="J17" i="63"/>
  <c r="I17" i="63"/>
  <c r="H17" i="63"/>
  <c r="G19" i="63"/>
  <c r="H19" i="63" s="1"/>
  <c r="G18" i="63"/>
  <c r="I137" i="63" l="1"/>
  <c r="I52" i="63"/>
  <c r="I124" i="63"/>
  <c r="J124" i="63" s="1"/>
  <c r="H136" i="63"/>
  <c r="J136" i="63" s="1"/>
  <c r="I149" i="63"/>
  <c r="J137" i="63"/>
  <c r="J109" i="63"/>
  <c r="K109" i="63" s="1"/>
  <c r="I108" i="63"/>
  <c r="K108" i="63" s="1"/>
  <c r="J93" i="63"/>
  <c r="K93" i="63" s="1"/>
  <c r="K91" i="63"/>
  <c r="I92" i="63"/>
  <c r="K92" i="63" s="1"/>
  <c r="I79" i="63"/>
  <c r="J52" i="63"/>
  <c r="I20" i="63"/>
  <c r="J21" i="63"/>
  <c r="D37" i="68"/>
  <c r="D36" i="68"/>
  <c r="E27" i="68"/>
  <c r="E19" i="68"/>
  <c r="E10" i="68"/>
  <c r="E28" i="68" l="1"/>
  <c r="F31" i="68"/>
  <c r="F33" i="68" s="1"/>
  <c r="F37" i="68" s="1"/>
  <c r="D19" i="6" s="1"/>
  <c r="D39" i="68"/>
  <c r="F36" i="68" l="1"/>
  <c r="D18" i="6" s="1"/>
  <c r="F18" i="6" s="1"/>
  <c r="F39" i="68" l="1"/>
  <c r="F42" i="68" s="1"/>
  <c r="B15" i="67" l="1"/>
  <c r="B14" i="67"/>
  <c r="B13" i="67"/>
  <c r="B12" i="67"/>
  <c r="B6" i="67"/>
  <c r="B5" i="67"/>
  <c r="C46" i="6"/>
  <c r="C33" i="6"/>
  <c r="C38" i="6"/>
  <c r="D38" i="6"/>
  <c r="F37" i="6"/>
  <c r="F36" i="6"/>
  <c r="F31" i="6"/>
  <c r="F38" i="6" l="1"/>
  <c r="F15" i="67" s="1"/>
  <c r="F10" i="6" l="1"/>
  <c r="F14" i="67" s="1"/>
  <c r="K94" i="63" l="1"/>
  <c r="H150" i="63"/>
  <c r="F154" i="63" s="1"/>
  <c r="H154" i="63" s="1"/>
  <c r="G150" i="63"/>
  <c r="F153" i="63" s="1"/>
  <c r="F150" i="63"/>
  <c r="E150" i="63"/>
  <c r="E153" i="63" s="1"/>
  <c r="I138" i="63"/>
  <c r="F143" i="63" s="1"/>
  <c r="H143" i="63" s="1"/>
  <c r="H138" i="63"/>
  <c r="F142" i="63" s="1"/>
  <c r="H142" i="63" s="1"/>
  <c r="G138" i="63"/>
  <c r="F141" i="63" s="1"/>
  <c r="F138" i="63"/>
  <c r="E138" i="63"/>
  <c r="E141" i="63" s="1"/>
  <c r="I125" i="63"/>
  <c r="F130" i="63" s="1"/>
  <c r="H125" i="63"/>
  <c r="F129" i="63" s="1"/>
  <c r="H129" i="63" s="1"/>
  <c r="G125" i="63"/>
  <c r="F128" i="63" s="1"/>
  <c r="F125" i="63"/>
  <c r="E125" i="63"/>
  <c r="E128" i="63" s="1"/>
  <c r="E131" i="63" s="1"/>
  <c r="J110" i="63"/>
  <c r="F116" i="63" s="1"/>
  <c r="I110" i="63"/>
  <c r="F115" i="63" s="1"/>
  <c r="H110" i="63"/>
  <c r="F114" i="63" s="1"/>
  <c r="G110" i="63"/>
  <c r="F113" i="63" s="1"/>
  <c r="F110" i="63"/>
  <c r="E110" i="63"/>
  <c r="E113" i="63" s="1"/>
  <c r="F8" i="6"/>
  <c r="F12" i="67" s="1"/>
  <c r="F94" i="63"/>
  <c r="E97" i="63"/>
  <c r="H97" i="63" s="1"/>
  <c r="H94" i="63"/>
  <c r="F98" i="63" s="1"/>
  <c r="G94" i="63"/>
  <c r="F97" i="63" s="1"/>
  <c r="F80" i="63"/>
  <c r="E80" i="63"/>
  <c r="E83" i="63" s="1"/>
  <c r="H83" i="63" s="1"/>
  <c r="G80" i="63"/>
  <c r="F83" i="63" s="1"/>
  <c r="H115" i="63" l="1"/>
  <c r="H114" i="63"/>
  <c r="H98" i="63"/>
  <c r="H116" i="63"/>
  <c r="H130" i="63"/>
  <c r="F155" i="63"/>
  <c r="E155" i="63"/>
  <c r="H153" i="63"/>
  <c r="H155" i="63" s="1"/>
  <c r="I80" i="63"/>
  <c r="E85" i="63"/>
  <c r="E144" i="63"/>
  <c r="H113" i="63"/>
  <c r="I150" i="63"/>
  <c r="J138" i="63"/>
  <c r="J125" i="63"/>
  <c r="K110" i="63"/>
  <c r="F144" i="63"/>
  <c r="F131" i="63"/>
  <c r="H128" i="63"/>
  <c r="E117" i="63"/>
  <c r="F117" i="63"/>
  <c r="J94" i="63"/>
  <c r="F100" i="63" s="1"/>
  <c r="H100" i="63" s="1"/>
  <c r="E101" i="63"/>
  <c r="H80" i="63"/>
  <c r="F84" i="63" s="1"/>
  <c r="H84" i="63" s="1"/>
  <c r="H117" i="63" l="1"/>
  <c r="H131" i="63"/>
  <c r="I94" i="63"/>
  <c r="F99" i="63" s="1"/>
  <c r="H99" i="63" s="1"/>
  <c r="H101" i="63" l="1"/>
  <c r="F101" i="63"/>
  <c r="H85" i="63"/>
  <c r="F85" i="63"/>
  <c r="D22" i="6"/>
  <c r="H53" i="63" l="1"/>
  <c r="F57" i="63" s="1"/>
  <c r="H57" i="63" s="1"/>
  <c r="I22" i="63"/>
  <c r="F27" i="63" s="1"/>
  <c r="J22" i="63"/>
  <c r="F28" i="63" s="1"/>
  <c r="K20" i="63"/>
  <c r="K21" i="63"/>
  <c r="G49" i="63"/>
  <c r="F21" i="6"/>
  <c r="F22" i="6"/>
  <c r="F23" i="6"/>
  <c r="F24" i="6"/>
  <c r="H27" i="63" l="1"/>
  <c r="H28" i="63"/>
  <c r="F53" i="63"/>
  <c r="E53" i="63"/>
  <c r="E56" i="63" s="1"/>
  <c r="F22" i="63"/>
  <c r="E22" i="63"/>
  <c r="G17" i="63"/>
  <c r="C28" i="6"/>
  <c r="F27" i="6"/>
  <c r="F19" i="6"/>
  <c r="F17" i="6"/>
  <c r="F16" i="6"/>
  <c r="C11" i="6"/>
  <c r="O53" i="63" l="1"/>
  <c r="O22" i="63"/>
  <c r="C40" i="6"/>
  <c r="E25" i="63"/>
  <c r="H25" i="63" s="1"/>
  <c r="E59" i="63"/>
  <c r="H56" i="63"/>
  <c r="I53" i="63"/>
  <c r="F58" i="63" s="1"/>
  <c r="H58" i="63" s="1"/>
  <c r="K18" i="63"/>
  <c r="G53" i="63"/>
  <c r="F56" i="63" s="1"/>
  <c r="G22" i="63"/>
  <c r="F25" i="63" s="1"/>
  <c r="B28" i="42"/>
  <c r="D46" i="6" l="1"/>
  <c r="C48" i="6"/>
  <c r="E29" i="63"/>
  <c r="D11" i="42"/>
  <c r="D10" i="42"/>
  <c r="B6" i="42"/>
  <c r="H59" i="63" l="1"/>
  <c r="F43" i="68"/>
  <c r="F44" i="68" s="1"/>
  <c r="F59" i="63"/>
  <c r="M12" i="50"/>
  <c r="M22" i="50" l="1"/>
  <c r="M24" i="50" s="1"/>
  <c r="F7" i="67" s="1"/>
  <c r="J53" i="63"/>
  <c r="M26" i="50" l="1"/>
  <c r="F8" i="67" s="1"/>
  <c r="F9" i="6" l="1"/>
  <c r="F13" i="67" s="1"/>
  <c r="F16" i="67" s="1"/>
  <c r="H21" i="55" l="1"/>
  <c r="D17" i="55" l="1"/>
  <c r="C17" i="55"/>
  <c r="G12" i="55"/>
  <c r="F12" i="55"/>
  <c r="G11" i="55"/>
  <c r="F11" i="55"/>
  <c r="G10" i="55"/>
  <c r="F10" i="55"/>
  <c r="H11" i="55" l="1"/>
  <c r="H10" i="55"/>
  <c r="H12" i="55"/>
  <c r="F5" i="55" l="1"/>
  <c r="F13" i="55" l="1"/>
  <c r="F8" i="55"/>
  <c r="G7" i="55"/>
  <c r="F7" i="55"/>
  <c r="G15" i="55"/>
  <c r="G9" i="55"/>
  <c r="G6" i="55"/>
  <c r="F9" i="55"/>
  <c r="F6" i="55"/>
  <c r="G5" i="55"/>
  <c r="F15" i="55" l="1"/>
  <c r="H15" i="55" s="1"/>
  <c r="H6" i="55"/>
  <c r="G8" i="55"/>
  <c r="G13" i="55"/>
  <c r="H13" i="55" s="1"/>
  <c r="H9" i="55"/>
  <c r="H7" i="55"/>
  <c r="G17" i="55" l="1"/>
  <c r="F17" i="55"/>
  <c r="H8" i="55"/>
  <c r="H5" i="55"/>
  <c r="H20" i="55" l="1"/>
  <c r="H22" i="55" s="1"/>
  <c r="D14" i="6" s="1"/>
  <c r="H32" i="55"/>
  <c r="H34" i="55" s="1"/>
  <c r="H24" i="55"/>
  <c r="H26" i="55" s="1"/>
  <c r="H28" i="55" s="1"/>
  <c r="D32" i="6" s="1"/>
  <c r="D33" i="6" l="1"/>
  <c r="F32" i="6"/>
  <c r="F33" i="6" s="1"/>
  <c r="F6" i="67" s="1"/>
  <c r="F15" i="6"/>
  <c r="F28" i="6" s="1"/>
  <c r="F5" i="67" s="1"/>
  <c r="D28" i="6"/>
  <c r="H22" i="63"/>
  <c r="F26" i="63" s="1"/>
  <c r="H26" i="63" s="1"/>
  <c r="K19" i="63"/>
  <c r="K22" i="63" s="1"/>
  <c r="F9" i="67" l="1"/>
  <c r="F18" i="67" s="1"/>
  <c r="F20" i="67" s="1"/>
  <c r="F29" i="63"/>
  <c r="H29" i="63"/>
  <c r="H141" i="63"/>
  <c r="H144" i="63" s="1"/>
  <c r="G11" i="65" l="1"/>
  <c r="G8" i="63"/>
  <c r="G10" i="63" s="1"/>
  <c r="G12" i="63" s="1"/>
  <c r="G13" i="63" l="1"/>
  <c r="D7" i="6"/>
  <c r="F7" i="6"/>
  <c r="D11" i="6" l="1"/>
  <c r="D40" i="6" s="1"/>
  <c r="F11" i="6"/>
  <c r="F40" i="6" s="1"/>
  <c r="F19" i="67"/>
  <c r="F21" i="67" l="1"/>
  <c r="E48" i="2" l="1"/>
  <c r="F48" i="2" s="1"/>
  <c r="G48" i="2" s="1"/>
  <c r="E42" i="2" l="1"/>
  <c r="E41" i="2"/>
  <c r="E34" i="2"/>
  <c r="E35" i="2"/>
  <c r="E28" i="2"/>
  <c r="E21" i="2"/>
  <c r="E20" i="2"/>
  <c r="E13" i="2"/>
  <c r="E12" i="2"/>
  <c r="E11" i="2"/>
  <c r="E10" i="2"/>
  <c r="E27" i="2"/>
  <c r="E19" i="2"/>
  <c r="E88" i="75" l="1"/>
  <c r="F88" i="75" s="1"/>
  <c r="G88" i="75" s="1"/>
  <c r="E78" i="75"/>
  <c r="F78" i="75" s="1"/>
  <c r="G78" i="75" s="1"/>
  <c r="E87" i="75"/>
  <c r="F87" i="75" s="1"/>
  <c r="G87" i="75" s="1"/>
  <c r="E77" i="75"/>
  <c r="F77" i="75" s="1"/>
  <c r="G77" i="75" s="1"/>
  <c r="E91" i="42"/>
  <c r="F91" i="42" s="1"/>
  <c r="G91" i="42" s="1"/>
  <c r="E86" i="42"/>
  <c r="F86" i="42" s="1"/>
  <c r="G86" i="42" s="1"/>
  <c r="E81" i="42"/>
  <c r="F81" i="42" s="1"/>
  <c r="G81" i="42" s="1"/>
  <c r="E76" i="42"/>
  <c r="F76" i="42" s="1"/>
  <c r="G76" i="42" s="1"/>
  <c r="E86" i="75"/>
  <c r="F86" i="75" s="1"/>
  <c r="G86" i="75" s="1"/>
  <c r="E76" i="75"/>
  <c r="F76" i="75" s="1"/>
  <c r="G76" i="75" s="1"/>
  <c r="E85" i="75"/>
  <c r="F85" i="75" s="1"/>
  <c r="G85" i="75" s="1"/>
  <c r="E90" i="42"/>
  <c r="F90" i="42" s="1"/>
  <c r="G90" i="42" s="1"/>
  <c r="E85" i="42"/>
  <c r="F85" i="42" s="1"/>
  <c r="G85" i="42" s="1"/>
  <c r="E80" i="42"/>
  <c r="F80" i="42" s="1"/>
  <c r="G80" i="42" s="1"/>
  <c r="E84" i="75"/>
  <c r="F84" i="75" s="1"/>
  <c r="G84" i="75" s="1"/>
  <c r="E83" i="75"/>
  <c r="F83" i="75" s="1"/>
  <c r="G83" i="75" s="1"/>
  <c r="E91" i="75"/>
  <c r="F91" i="75" s="1"/>
  <c r="G91" i="75" s="1"/>
  <c r="E84" i="42"/>
  <c r="F84" i="42" s="1"/>
  <c r="G84" i="42" s="1"/>
  <c r="E78" i="42"/>
  <c r="F78" i="42" s="1"/>
  <c r="G78" i="42" s="1"/>
  <c r="E90" i="75"/>
  <c r="F90" i="75" s="1"/>
  <c r="G90" i="75" s="1"/>
  <c r="E89" i="75"/>
  <c r="F89" i="75" s="1"/>
  <c r="G89" i="75" s="1"/>
  <c r="E89" i="42"/>
  <c r="F89" i="42" s="1"/>
  <c r="G89" i="42" s="1"/>
  <c r="E83" i="42"/>
  <c r="F83" i="42" s="1"/>
  <c r="G83" i="42" s="1"/>
  <c r="E77" i="42"/>
  <c r="F77" i="42" s="1"/>
  <c r="G77" i="42" s="1"/>
  <c r="E82" i="75"/>
  <c r="F82" i="75" s="1"/>
  <c r="G82" i="75" s="1"/>
  <c r="E81" i="75"/>
  <c r="F81" i="75" s="1"/>
  <c r="G81" i="75" s="1"/>
  <c r="E88" i="42"/>
  <c r="F88" i="42" s="1"/>
  <c r="G88" i="42" s="1"/>
  <c r="E82" i="42"/>
  <c r="F82" i="42" s="1"/>
  <c r="G82" i="42" s="1"/>
  <c r="E80" i="75"/>
  <c r="F80" i="75" s="1"/>
  <c r="G80" i="75" s="1"/>
  <c r="E79" i="75"/>
  <c r="F79" i="75" s="1"/>
  <c r="G79" i="75" s="1"/>
  <c r="E87" i="42"/>
  <c r="F87" i="42" s="1"/>
  <c r="G87" i="42" s="1"/>
  <c r="E79" i="42"/>
  <c r="F79" i="42" s="1"/>
  <c r="G79" i="42" s="1"/>
  <c r="E113" i="75"/>
  <c r="F113" i="75" s="1"/>
  <c r="G113" i="75" s="1"/>
  <c r="E112" i="75"/>
  <c r="F112" i="75" s="1"/>
  <c r="G112" i="75" s="1"/>
  <c r="E111" i="75"/>
  <c r="F111" i="75" s="1"/>
  <c r="G111" i="75" s="1"/>
  <c r="E110" i="75"/>
  <c r="F110" i="75" s="1"/>
  <c r="G110" i="75" s="1"/>
  <c r="E109" i="75"/>
  <c r="F109" i="75" s="1"/>
  <c r="G109" i="75" s="1"/>
  <c r="E108" i="75"/>
  <c r="F108" i="75" s="1"/>
  <c r="G108" i="75" s="1"/>
  <c r="E107" i="75"/>
  <c r="F107" i="75" s="1"/>
  <c r="G107" i="75" s="1"/>
  <c r="E106" i="75"/>
  <c r="F106" i="75" s="1"/>
  <c r="G106" i="75" s="1"/>
  <c r="E105" i="75"/>
  <c r="F105" i="75" s="1"/>
  <c r="G105" i="75" s="1"/>
  <c r="E104" i="75"/>
  <c r="F104" i="75" s="1"/>
  <c r="G104" i="75" s="1"/>
  <c r="E103" i="75"/>
  <c r="F103" i="75" s="1"/>
  <c r="G103" i="75" s="1"/>
  <c r="E112" i="42"/>
  <c r="F112" i="42" s="1"/>
  <c r="G112" i="42" s="1"/>
  <c r="E107" i="42"/>
  <c r="F107" i="42" s="1"/>
  <c r="G107" i="42" s="1"/>
  <c r="E102" i="42"/>
  <c r="F102" i="42" s="1"/>
  <c r="G102" i="42" s="1"/>
  <c r="E102" i="75"/>
  <c r="F102" i="75" s="1"/>
  <c r="G102" i="75" s="1"/>
  <c r="E101" i="75"/>
  <c r="F101" i="75" s="1"/>
  <c r="G101" i="75" s="1"/>
  <c r="E111" i="42"/>
  <c r="F111" i="42" s="1"/>
  <c r="G111" i="42" s="1"/>
  <c r="E106" i="42"/>
  <c r="F106" i="42" s="1"/>
  <c r="G106" i="42" s="1"/>
  <c r="E101" i="42"/>
  <c r="F101" i="42" s="1"/>
  <c r="G101" i="42" s="1"/>
  <c r="E100" i="75"/>
  <c r="F100" i="75" s="1"/>
  <c r="G100" i="75" s="1"/>
  <c r="E99" i="75"/>
  <c r="F99" i="75" s="1"/>
  <c r="G99" i="75" s="1"/>
  <c r="E109" i="42"/>
  <c r="F109" i="42" s="1"/>
  <c r="G109" i="42" s="1"/>
  <c r="E103" i="42"/>
  <c r="F103" i="42" s="1"/>
  <c r="G103" i="42" s="1"/>
  <c r="E108" i="42"/>
  <c r="F108" i="42" s="1"/>
  <c r="G108" i="42" s="1"/>
  <c r="E113" i="42"/>
  <c r="F113" i="42" s="1"/>
  <c r="G113" i="42" s="1"/>
  <c r="E100" i="42"/>
  <c r="F100" i="42" s="1"/>
  <c r="G100" i="42" s="1"/>
  <c r="E105" i="42"/>
  <c r="F105" i="42" s="1"/>
  <c r="G105" i="42" s="1"/>
  <c r="E99" i="42"/>
  <c r="F99" i="42" s="1"/>
  <c r="G99" i="42" s="1"/>
  <c r="E110" i="42"/>
  <c r="F110" i="42" s="1"/>
  <c r="G110" i="42" s="1"/>
  <c r="E104" i="42"/>
  <c r="F104" i="42" s="1"/>
  <c r="G104" i="42" s="1"/>
  <c r="E98" i="42"/>
  <c r="F98" i="42" s="1"/>
  <c r="G98" i="42" s="1"/>
  <c r="E98" i="75"/>
  <c r="F98" i="75" s="1"/>
  <c r="G98" i="75" s="1"/>
  <c r="E41" i="75"/>
  <c r="F41" i="75" s="1"/>
  <c r="G41" i="75" s="1"/>
  <c r="E40" i="75"/>
  <c r="F40" i="75" s="1"/>
  <c r="G40" i="75" s="1"/>
  <c r="E39" i="75"/>
  <c r="F39" i="75" s="1"/>
  <c r="G39" i="75" s="1"/>
  <c r="E38" i="75"/>
  <c r="F38" i="75" s="1"/>
  <c r="G38" i="75" s="1"/>
  <c r="E37" i="75"/>
  <c r="F37" i="75" s="1"/>
  <c r="G37" i="75" s="1"/>
  <c r="E46" i="75"/>
  <c r="F46" i="75" s="1"/>
  <c r="G46" i="75" s="1"/>
  <c r="E36" i="75"/>
  <c r="F36" i="75" s="1"/>
  <c r="G36" i="75" s="1"/>
  <c r="E45" i="75"/>
  <c r="F45" i="75" s="1"/>
  <c r="G45" i="75" s="1"/>
  <c r="E44" i="75"/>
  <c r="F44" i="75" s="1"/>
  <c r="G44" i="75" s="1"/>
  <c r="E43" i="75"/>
  <c r="F43" i="75" s="1"/>
  <c r="G43" i="75" s="1"/>
  <c r="E42" i="75"/>
  <c r="F42" i="75" s="1"/>
  <c r="G42" i="75" s="1"/>
  <c r="E47" i="75"/>
  <c r="F47" i="75" s="1"/>
  <c r="G47" i="75" s="1"/>
  <c r="E35" i="75"/>
  <c r="F35" i="75" s="1"/>
  <c r="G35" i="75" s="1"/>
  <c r="E34" i="75"/>
  <c r="F34" i="75" s="1"/>
  <c r="G34" i="75" s="1"/>
  <c r="E33" i="75"/>
  <c r="F33" i="75" s="1"/>
  <c r="G33" i="75" s="1"/>
  <c r="E32" i="75"/>
  <c r="F32" i="75" s="1"/>
  <c r="G32" i="75" s="1"/>
  <c r="E62" i="75"/>
  <c r="F62" i="75" s="1"/>
  <c r="G62" i="75" s="1"/>
  <c r="E61" i="75"/>
  <c r="F61" i="75" s="1"/>
  <c r="G61" i="75" s="1"/>
  <c r="E65" i="42"/>
  <c r="F65" i="42" s="1"/>
  <c r="G65" i="42" s="1"/>
  <c r="E60" i="42"/>
  <c r="F60" i="42" s="1"/>
  <c r="G60" i="42" s="1"/>
  <c r="E60" i="75"/>
  <c r="F60" i="75" s="1"/>
  <c r="G60" i="75" s="1"/>
  <c r="E69" i="75"/>
  <c r="F69" i="75" s="1"/>
  <c r="G69" i="75" s="1"/>
  <c r="E59" i="75"/>
  <c r="F59" i="75" s="1"/>
  <c r="G59" i="75" s="1"/>
  <c r="E69" i="42"/>
  <c r="F69" i="42" s="1"/>
  <c r="G69" i="42" s="1"/>
  <c r="E64" i="42"/>
  <c r="F64" i="42" s="1"/>
  <c r="G64" i="42" s="1"/>
  <c r="E68" i="75"/>
  <c r="F68" i="75" s="1"/>
  <c r="G68" i="75" s="1"/>
  <c r="E58" i="75"/>
  <c r="F58" i="75" s="1"/>
  <c r="G58" i="75" s="1"/>
  <c r="E67" i="75"/>
  <c r="F67" i="75" s="1"/>
  <c r="G67" i="75" s="1"/>
  <c r="E57" i="75"/>
  <c r="F57" i="75" s="1"/>
  <c r="G57" i="75" s="1"/>
  <c r="E63" i="75"/>
  <c r="F63" i="75" s="1"/>
  <c r="G63" i="75" s="1"/>
  <c r="E66" i="42"/>
  <c r="F66" i="42" s="1"/>
  <c r="G66" i="42" s="1"/>
  <c r="E56" i="75"/>
  <c r="F56" i="75" s="1"/>
  <c r="G56" i="75" s="1"/>
  <c r="E55" i="75"/>
  <c r="F55" i="75" s="1"/>
  <c r="G55" i="75" s="1"/>
  <c r="E54" i="75"/>
  <c r="F54" i="75" s="1"/>
  <c r="G54" i="75" s="1"/>
  <c r="E63" i="42"/>
  <c r="F63" i="42" s="1"/>
  <c r="G63" i="42" s="1"/>
  <c r="E68" i="42"/>
  <c r="F68" i="42" s="1"/>
  <c r="G68" i="42" s="1"/>
  <c r="E62" i="42"/>
  <c r="F62" i="42" s="1"/>
  <c r="G62" i="42" s="1"/>
  <c r="E66" i="75"/>
  <c r="F66" i="75" s="1"/>
  <c r="G66" i="75" s="1"/>
  <c r="E65" i="75"/>
  <c r="F65" i="75" s="1"/>
  <c r="G65" i="75" s="1"/>
  <c r="E67" i="42"/>
  <c r="F67" i="42" s="1"/>
  <c r="G67" i="42" s="1"/>
  <c r="E61" i="42"/>
  <c r="F61" i="42" s="1"/>
  <c r="G61" i="42" s="1"/>
  <c r="E64" i="75"/>
  <c r="F64" i="75" s="1"/>
  <c r="G64" i="75" s="1"/>
  <c r="E25" i="75"/>
  <c r="F25" i="75" s="1"/>
  <c r="G25" i="75" s="1"/>
  <c r="E15" i="75"/>
  <c r="F15" i="75" s="1"/>
  <c r="G15" i="75" s="1"/>
  <c r="E24" i="75"/>
  <c r="F24" i="75" s="1"/>
  <c r="G24" i="75" s="1"/>
  <c r="E14" i="75"/>
  <c r="F14" i="75" s="1"/>
  <c r="G14" i="75" s="1"/>
  <c r="E23" i="75"/>
  <c r="F23" i="75" s="1"/>
  <c r="G23" i="75" s="1"/>
  <c r="E13" i="75"/>
  <c r="F13" i="75" s="1"/>
  <c r="G13" i="75" s="1"/>
  <c r="E22" i="75"/>
  <c r="F22" i="75" s="1"/>
  <c r="G22" i="75" s="1"/>
  <c r="E12" i="75"/>
  <c r="F12" i="75" s="1"/>
  <c r="G12" i="75" s="1"/>
  <c r="E21" i="75"/>
  <c r="F21" i="75" s="1"/>
  <c r="G21" i="75" s="1"/>
  <c r="E11" i="75"/>
  <c r="F11" i="75" s="1"/>
  <c r="G11" i="75" s="1"/>
  <c r="E20" i="75"/>
  <c r="F20" i="75" s="1"/>
  <c r="G20" i="75" s="1"/>
  <c r="E10" i="75"/>
  <c r="F10" i="75" s="1"/>
  <c r="G10" i="75" s="1"/>
  <c r="E17" i="75"/>
  <c r="F17" i="75" s="1"/>
  <c r="G17" i="75" s="1"/>
  <c r="E16" i="75"/>
  <c r="F16" i="75" s="1"/>
  <c r="G16" i="75" s="1"/>
  <c r="E19" i="75"/>
  <c r="F19" i="75" s="1"/>
  <c r="G19" i="75" s="1"/>
  <c r="E18" i="75"/>
  <c r="F18" i="75" s="1"/>
  <c r="G18" i="75" s="1"/>
  <c r="E47" i="42"/>
  <c r="F47" i="42" s="1"/>
  <c r="G47" i="42" s="1"/>
  <c r="E42" i="42"/>
  <c r="F42" i="42" s="1"/>
  <c r="G42" i="42" s="1"/>
  <c r="E46" i="42"/>
  <c r="F46" i="42" s="1"/>
  <c r="G46" i="42" s="1"/>
  <c r="E41" i="42"/>
  <c r="F41" i="42" s="1"/>
  <c r="G41" i="42" s="1"/>
  <c r="E45" i="42"/>
  <c r="F45" i="42" s="1"/>
  <c r="G45" i="42" s="1"/>
  <c r="E40" i="42"/>
  <c r="F40" i="42" s="1"/>
  <c r="G40" i="42" s="1"/>
  <c r="E44" i="42"/>
  <c r="F44" i="42" s="1"/>
  <c r="G44" i="42" s="1"/>
  <c r="E39" i="42"/>
  <c r="F39" i="42" s="1"/>
  <c r="G39" i="42" s="1"/>
  <c r="E43" i="42"/>
  <c r="F43" i="42" s="1"/>
  <c r="G43" i="42" s="1"/>
  <c r="E38" i="42"/>
  <c r="F38" i="42" s="1"/>
  <c r="G38" i="42" s="1"/>
  <c r="F12" i="2"/>
  <c r="G12" i="2" s="1"/>
  <c r="G115" i="65"/>
  <c r="H115" i="65" s="1"/>
  <c r="G27" i="65"/>
  <c r="H27" i="65" s="1"/>
  <c r="G99" i="65"/>
  <c r="H99" i="65" s="1"/>
  <c r="G43" i="65"/>
  <c r="H43" i="65" s="1"/>
  <c r="G58" i="65"/>
  <c r="H58" i="65" s="1"/>
  <c r="G143" i="65"/>
  <c r="H143" i="65" s="1"/>
  <c r="G130" i="65"/>
  <c r="H130" i="65" s="1"/>
  <c r="G72" i="65"/>
  <c r="H72" i="65" s="1"/>
  <c r="F35" i="2"/>
  <c r="G35" i="2" s="1"/>
  <c r="G154" i="65"/>
  <c r="H154" i="65" s="1"/>
  <c r="G165" i="65"/>
  <c r="H165" i="65" s="1"/>
  <c r="F41" i="2"/>
  <c r="G41" i="2" s="1"/>
  <c r="G83" i="65"/>
  <c r="H83" i="65" s="1"/>
  <c r="G42" i="65"/>
  <c r="H42" i="65" s="1"/>
  <c r="G114" i="65"/>
  <c r="H114" i="65" s="1"/>
  <c r="G26" i="65"/>
  <c r="H26" i="65" s="1"/>
  <c r="G98" i="65"/>
  <c r="H98" i="65" s="1"/>
  <c r="G100" i="65"/>
  <c r="H100" i="65" s="1"/>
  <c r="G44" i="65"/>
  <c r="H44" i="65" s="1"/>
  <c r="G28" i="65"/>
  <c r="H28" i="65" s="1"/>
  <c r="G116" i="65"/>
  <c r="H116" i="65" s="1"/>
  <c r="G129" i="65"/>
  <c r="H129" i="65" s="1"/>
  <c r="G142" i="65"/>
  <c r="H142" i="65" s="1"/>
  <c r="G57" i="65"/>
  <c r="H57" i="65" s="1"/>
  <c r="G71" i="65"/>
  <c r="H71" i="65" s="1"/>
  <c r="G70" i="65"/>
  <c r="H70" i="65" s="1"/>
  <c r="G56" i="65"/>
  <c r="H56" i="65" s="1"/>
  <c r="G141" i="65"/>
  <c r="H141" i="65" s="1"/>
  <c r="G128" i="65"/>
  <c r="H128" i="65" s="1"/>
  <c r="F34" i="2"/>
  <c r="G34" i="2" s="1"/>
  <c r="G164" i="65"/>
  <c r="H164" i="65" s="1"/>
  <c r="G153" i="65"/>
  <c r="H153" i="65" s="1"/>
  <c r="G113" i="65"/>
  <c r="H113" i="65" s="1"/>
  <c r="G25" i="65"/>
  <c r="H25" i="65" s="1"/>
  <c r="G97" i="65"/>
  <c r="H97" i="65" s="1"/>
  <c r="G41" i="65"/>
  <c r="H41" i="65" s="1"/>
  <c r="F42" i="2"/>
  <c r="G42" i="2" s="1"/>
  <c r="G84" i="65"/>
  <c r="H84" i="65" s="1"/>
  <c r="E23" i="42"/>
  <c r="F23" i="42" s="1"/>
  <c r="G23" i="42" s="1"/>
  <c r="E13" i="42"/>
  <c r="F13" i="42" s="1"/>
  <c r="G13" i="42" s="1"/>
  <c r="E20" i="42"/>
  <c r="F20" i="42" s="1"/>
  <c r="G20" i="42" s="1"/>
  <c r="E19" i="42"/>
  <c r="F19" i="42" s="1"/>
  <c r="G19" i="42" s="1"/>
  <c r="E22" i="42"/>
  <c r="F22" i="42" s="1"/>
  <c r="G22" i="42" s="1"/>
  <c r="E21" i="42"/>
  <c r="F21" i="42" s="1"/>
  <c r="G21" i="42" s="1"/>
  <c r="E18" i="42"/>
  <c r="F18" i="42" s="1"/>
  <c r="G18" i="42" s="1"/>
  <c r="E17" i="42"/>
  <c r="F17" i="42" s="1"/>
  <c r="G17" i="42" s="1"/>
  <c r="E12" i="42"/>
  <c r="F12" i="42" s="1"/>
  <c r="G12" i="42" s="1"/>
  <c r="E16" i="42"/>
  <c r="F16" i="42" s="1"/>
  <c r="G16" i="42" s="1"/>
  <c r="E25" i="42"/>
  <c r="F25" i="42" s="1"/>
  <c r="G25" i="42" s="1"/>
  <c r="E15" i="42"/>
  <c r="F15" i="42" s="1"/>
  <c r="G15" i="42" s="1"/>
  <c r="E24" i="42"/>
  <c r="F24" i="42" s="1"/>
  <c r="G24" i="42" s="1"/>
  <c r="E14" i="42"/>
  <c r="F14" i="42" s="1"/>
  <c r="G14" i="42" s="1"/>
  <c r="E36" i="42"/>
  <c r="F36" i="42" s="1"/>
  <c r="G36" i="42" s="1"/>
  <c r="E37" i="42"/>
  <c r="F37" i="42" s="1"/>
  <c r="G37" i="42" s="1"/>
  <c r="E35" i="42"/>
  <c r="F35" i="42" s="1"/>
  <c r="G35" i="42" s="1"/>
  <c r="F10" i="2"/>
  <c r="G10" i="2" s="1"/>
  <c r="E11" i="42"/>
  <c r="F11" i="42" s="1"/>
  <c r="G11" i="42" s="1"/>
  <c r="E10" i="42"/>
  <c r="F10" i="42" s="1"/>
  <c r="G10" i="42" s="1"/>
  <c r="F11" i="2"/>
  <c r="G11" i="2" s="1"/>
  <c r="F13" i="2"/>
  <c r="G13" i="2" s="1"/>
  <c r="E58" i="42"/>
  <c r="F58" i="42" s="1"/>
  <c r="G58" i="42" s="1"/>
  <c r="F21" i="2"/>
  <c r="G21" i="2" s="1"/>
  <c r="E54" i="42"/>
  <c r="F54" i="42" s="1"/>
  <c r="G54" i="42" s="1"/>
  <c r="F27" i="2"/>
  <c r="G27" i="2" s="1"/>
  <c r="E56" i="42"/>
  <c r="F56" i="42" s="1"/>
  <c r="G56" i="42" s="1"/>
  <c r="E57" i="42"/>
  <c r="F57" i="42" s="1"/>
  <c r="G57" i="42" s="1"/>
  <c r="E55" i="42"/>
  <c r="F55" i="42" s="1"/>
  <c r="G55" i="42" s="1"/>
  <c r="E59" i="42"/>
  <c r="F59" i="42" s="1"/>
  <c r="G59" i="42" s="1"/>
  <c r="E34" i="42"/>
  <c r="F34" i="42" s="1"/>
  <c r="G34" i="42" s="1"/>
  <c r="E33" i="42"/>
  <c r="F33" i="42" s="1"/>
  <c r="G33" i="42" s="1"/>
  <c r="E32" i="42"/>
  <c r="F32" i="42" s="1"/>
  <c r="G32" i="42" s="1"/>
  <c r="F19" i="2"/>
  <c r="G19" i="2" s="1"/>
  <c r="F20" i="2"/>
  <c r="G20" i="2" s="1"/>
  <c r="F28" i="2"/>
  <c r="G28" i="2" s="1"/>
  <c r="H166" i="65" l="1"/>
  <c r="H45" i="65"/>
  <c r="H117" i="65"/>
  <c r="H101" i="65"/>
  <c r="H59" i="65"/>
  <c r="H131" i="65"/>
  <c r="H73" i="65"/>
  <c r="H29" i="65"/>
  <c r="H85" i="65"/>
  <c r="H144" i="65"/>
  <c r="H155" i="65"/>
  <c r="G8" i="65" l="1"/>
  <c r="G10" i="65" s="1"/>
  <c r="G12" i="65" s="1"/>
  <c r="G13" i="65" s="1"/>
  <c r="L16" i="55"/>
  <c r="M16" i="55" s="1"/>
  <c r="M14" i="55"/>
</calcChain>
</file>

<file path=xl/sharedStrings.xml><?xml version="1.0" encoding="utf-8"?>
<sst xmlns="http://schemas.openxmlformats.org/spreadsheetml/2006/main" count="831" uniqueCount="306">
  <si>
    <t>Proposed</t>
  </si>
  <si>
    <t>Total</t>
  </si>
  <si>
    <t>Gallons</t>
  </si>
  <si>
    <t>Less:</t>
  </si>
  <si>
    <t>Existing</t>
  </si>
  <si>
    <t>Change</t>
  </si>
  <si>
    <t>Table A</t>
  </si>
  <si>
    <t>Test Year</t>
  </si>
  <si>
    <t>Adjustments</t>
  </si>
  <si>
    <t>Proforma</t>
  </si>
  <si>
    <t>BILLS</t>
  </si>
  <si>
    <t>RATE</t>
  </si>
  <si>
    <t>CURRENT AND PROPOSED RATES</t>
  </si>
  <si>
    <t>Current</t>
  </si>
  <si>
    <t>Revenue from Sales with Present Rates</t>
  </si>
  <si>
    <t>Total Revenue Requirement</t>
  </si>
  <si>
    <t>Required Revenue Increase</t>
  </si>
  <si>
    <t>Difference</t>
  </si>
  <si>
    <t>Bill</t>
  </si>
  <si>
    <t>Percentage</t>
  </si>
  <si>
    <t>TOTALS</t>
  </si>
  <si>
    <t>Pro Forma</t>
  </si>
  <si>
    <t xml:space="preserve">Pro Forma </t>
  </si>
  <si>
    <t>Employee</t>
  </si>
  <si>
    <t>Reg. Hrs</t>
  </si>
  <si>
    <t>O. T. Hours</t>
  </si>
  <si>
    <t>Wage Rate</t>
  </si>
  <si>
    <t>Reg. Wages</t>
  </si>
  <si>
    <t>O. T. Wages</t>
  </si>
  <si>
    <t>Wages</t>
  </si>
  <si>
    <t>Pro Forma Salaries &amp; Wages Expense</t>
  </si>
  <si>
    <t>Less: Test Year Salaries &amp; Wages Exp</t>
  </si>
  <si>
    <t>Pro Forma Salaries &amp; Wages Adj'mt</t>
  </si>
  <si>
    <t xml:space="preserve"> </t>
  </si>
  <si>
    <t>Pro Forma Salaries and Wages Expense</t>
  </si>
  <si>
    <t>Times: 7.65 Percent FICA Rate</t>
  </si>
  <si>
    <t>Pro Forma Payroll Taxes</t>
  </si>
  <si>
    <t>Less: Test Year Payroll Taxes</t>
  </si>
  <si>
    <t>Payroll Tax Adjustment</t>
  </si>
  <si>
    <t>Total Pro Forma Pension Contribution</t>
  </si>
  <si>
    <t>Less: Test Year Pension Contribution</t>
  </si>
  <si>
    <t>Pension &amp; Benefits Adjustment</t>
  </si>
  <si>
    <t>Average Annual Principal and Interest Payments</t>
  </si>
  <si>
    <t>DEBT SERVICE SCHDULE</t>
  </si>
  <si>
    <t>Interest</t>
  </si>
  <si>
    <t>Principal</t>
  </si>
  <si>
    <t>&amp; Fees</t>
  </si>
  <si>
    <t>Average Annual Principal &amp; Interest</t>
  </si>
  <si>
    <t>Average Annual Coverage</t>
  </si>
  <si>
    <t>Pension</t>
  </si>
  <si>
    <t>Eligible</t>
  </si>
  <si>
    <t>CURRENT AND PROPOSED BILLS</t>
  </si>
  <si>
    <t>CERS</t>
  </si>
  <si>
    <t>Monthly Charge</t>
  </si>
  <si>
    <t>Times: 26.79 Percent CERS Rate</t>
  </si>
  <si>
    <t>per Month</t>
  </si>
  <si>
    <t>Input Coverage Percent</t>
  </si>
  <si>
    <t xml:space="preserve">Overall Percent Increase </t>
  </si>
  <si>
    <t>Pro Forma Expenses</t>
  </si>
  <si>
    <t xml:space="preserve"> COMPONENT </t>
  </si>
  <si>
    <t>GALLONS</t>
  </si>
  <si>
    <t xml:space="preserve"> REVENUE </t>
  </si>
  <si>
    <t>Adjustment to SAO Billed Revenues</t>
  </si>
  <si>
    <t>CONSUMPTION BY RATE INCREMENT</t>
  </si>
  <si>
    <t>First</t>
  </si>
  <si>
    <t>Over</t>
  </si>
  <si>
    <t xml:space="preserve"> USAGE </t>
  </si>
  <si>
    <t xml:space="preserve"> Total </t>
  </si>
  <si>
    <t>REVENUE BY RATE INCREMENT</t>
  </si>
  <si>
    <t>First 2,000 Gallons (Minimum Bill)</t>
  </si>
  <si>
    <t>Revenue Required From Sales of Water</t>
  </si>
  <si>
    <t>Debt Service Coverage</t>
  </si>
  <si>
    <t>Operating Expenses</t>
  </si>
  <si>
    <t>Water Sales</t>
  </si>
  <si>
    <t>Miscellaneous</t>
  </si>
  <si>
    <t>Next</t>
  </si>
  <si>
    <t>Description of Adjustments</t>
  </si>
  <si>
    <t>Schedule of Adjusted Operations</t>
  </si>
  <si>
    <t>First 5,000 Gallons (Minimum Bill)</t>
  </si>
  <si>
    <t>Forfeited Discounts</t>
  </si>
  <si>
    <t>Materials and Supplies</t>
  </si>
  <si>
    <t>Salaries and Wages-Employees</t>
  </si>
  <si>
    <t>Salaries and Wages-Directors</t>
  </si>
  <si>
    <t>Employee Pensions and Benefits</t>
  </si>
  <si>
    <t>Purchased Water</t>
  </si>
  <si>
    <t>Transportation</t>
  </si>
  <si>
    <t>Miscellansous Expense</t>
  </si>
  <si>
    <t>Purchased Power</t>
  </si>
  <si>
    <t>Depreciation</t>
  </si>
  <si>
    <t>Operating Revenues</t>
  </si>
  <si>
    <t>Total Operating Revenues</t>
  </si>
  <si>
    <t>Total Operating Expenses</t>
  </si>
  <si>
    <t>Taxes</t>
  </si>
  <si>
    <t>Other Expenses</t>
  </si>
  <si>
    <t>Total Other Expenses</t>
  </si>
  <si>
    <t>Other Income</t>
  </si>
  <si>
    <t>Non-Utility Income</t>
  </si>
  <si>
    <t>Interest Income</t>
  </si>
  <si>
    <t>Total Other Income</t>
  </si>
  <si>
    <t>Net Income</t>
  </si>
  <si>
    <t>Check Total</t>
  </si>
  <si>
    <t>Net Income from Annual Report</t>
  </si>
  <si>
    <t>Plus: Interest Expense</t>
  </si>
  <si>
    <t>Less: Gain From Disposition of Property</t>
  </si>
  <si>
    <t>Exclusions from Revenue Requirement</t>
  </si>
  <si>
    <t>Total Exclusions from Revenue Requirement</t>
  </si>
  <si>
    <t>Monthly Water Loss Reduction Surcharge</t>
  </si>
  <si>
    <t>Per Customer</t>
  </si>
  <si>
    <t>Table B</t>
  </si>
  <si>
    <t>Produced</t>
  </si>
  <si>
    <t>Purchased</t>
  </si>
  <si>
    <t>Total Produced and Purchased</t>
  </si>
  <si>
    <t>Sold</t>
  </si>
  <si>
    <t>Uses:</t>
  </si>
  <si>
    <t xml:space="preserve">   WTP</t>
  </si>
  <si>
    <t xml:space="preserve">   Flushing</t>
  </si>
  <si>
    <t xml:space="preserve">   Fire</t>
  </si>
  <si>
    <t xml:space="preserve">   Other</t>
  </si>
  <si>
    <t>Total Other Water Used</t>
  </si>
  <si>
    <t>Losses:</t>
  </si>
  <si>
    <t xml:space="preserve">   Tank Overflows</t>
  </si>
  <si>
    <t xml:space="preserve">   Line Breaks</t>
  </si>
  <si>
    <t xml:space="preserve">   Line Leaks</t>
  </si>
  <si>
    <t xml:space="preserve">   Unknown</t>
  </si>
  <si>
    <t>Total Losses:</t>
  </si>
  <si>
    <t>Sold, Used, and Lost</t>
  </si>
  <si>
    <t xml:space="preserve">  water loss percentage</t>
  </si>
  <si>
    <t xml:space="preserve">  allowable in rates</t>
  </si>
  <si>
    <t xml:space="preserve">  adjustment percentage</t>
  </si>
  <si>
    <t>Costs Subject to Water Loss Adjustment</t>
  </si>
  <si>
    <t>Adjustment</t>
  </si>
  <si>
    <t>Computation of Water Loss Surcharge</t>
  </si>
  <si>
    <t>Total Adjustment</t>
  </si>
  <si>
    <t>/ Number of Bills</t>
  </si>
  <si>
    <t/>
  </si>
  <si>
    <t>Annual Report</t>
  </si>
  <si>
    <t xml:space="preserve">Difference </t>
  </si>
  <si>
    <t xml:space="preserve">Total   </t>
  </si>
  <si>
    <t xml:space="preserve">Less Adjustments </t>
  </si>
  <si>
    <t xml:space="preserve">Total Sales </t>
  </si>
  <si>
    <t>Revenue Requirement</t>
  </si>
  <si>
    <t>Monthly Surcharge Amount if Rate Increase &gt; 0</t>
  </si>
  <si>
    <t>Exclude amount above 15% water loss</t>
  </si>
  <si>
    <t>Chemicals</t>
  </si>
  <si>
    <t>Schedule of Revenue Requirements</t>
  </si>
  <si>
    <t>TABLE E</t>
  </si>
  <si>
    <t>Table G</t>
  </si>
  <si>
    <t>Table C</t>
  </si>
  <si>
    <t>Adjust to reflect updated water rates</t>
  </si>
  <si>
    <t>Billing Analysis With 2024 Usage and Existing Rates</t>
  </si>
  <si>
    <t>Rate Case Expenses</t>
  </si>
  <si>
    <t>KRWA</t>
  </si>
  <si>
    <t>Amortization Years</t>
  </si>
  <si>
    <t>Annual Expense</t>
  </si>
  <si>
    <t>FY 2026 - 2030</t>
  </si>
  <si>
    <t>Meters Set in 2024</t>
  </si>
  <si>
    <t>New Taps</t>
  </si>
  <si>
    <t>Tap Fee</t>
  </si>
  <si>
    <t>Total Tap Fees Collected</t>
  </si>
  <si>
    <t>30% Credit to Labor</t>
  </si>
  <si>
    <t>70% Credit to Materials</t>
  </si>
  <si>
    <t>Next 5,000 gallons per gallon</t>
  </si>
  <si>
    <t>Next 3,000 gallons per gallon</t>
  </si>
  <si>
    <t>Over 10,000 gallons per gallon</t>
  </si>
  <si>
    <t>Average</t>
  </si>
  <si>
    <t>DEPRECIATION EXPENSE ADJUSTMENTS</t>
  </si>
  <si>
    <t>Date in</t>
  </si>
  <si>
    <t>Expense</t>
  </si>
  <si>
    <t>Service</t>
  </si>
  <si>
    <t>Depr. Exp.</t>
  </si>
  <si>
    <t>General Plant</t>
  </si>
  <si>
    <t>Structures &amp; Improvements</t>
  </si>
  <si>
    <t>varies</t>
  </si>
  <si>
    <t>Communication &amp; Computer Eqmt.</t>
  </si>
  <si>
    <t>Office Furniture &amp; Equipment</t>
  </si>
  <si>
    <t>Power Operated Equipment</t>
  </si>
  <si>
    <t>Tools, Shop, &amp; Garage Equipment</t>
  </si>
  <si>
    <t>Source of Supply Plant</t>
  </si>
  <si>
    <t>Collecting &amp; Impounding Reservoirs</t>
  </si>
  <si>
    <t>Supply Mains</t>
  </si>
  <si>
    <t>Pumping Plant</t>
  </si>
  <si>
    <t>Telemetry</t>
  </si>
  <si>
    <t>Pumping Equipment</t>
  </si>
  <si>
    <t>Transmission &amp; Distribution Plant</t>
  </si>
  <si>
    <t>Hydrants</t>
  </si>
  <si>
    <t>Transmission &amp; Distribution Mains</t>
  </si>
  <si>
    <t>Pump Equipment</t>
  </si>
  <si>
    <t>Tank Fence</t>
  </si>
  <si>
    <t>Services</t>
  </si>
  <si>
    <t>Reservoirs &amp; Tanks</t>
  </si>
  <si>
    <t>Transportation Equipment</t>
  </si>
  <si>
    <t>Entire Group</t>
  </si>
  <si>
    <t xml:space="preserve">              *  Includes only costs associated with assets that contributed to depreciation expense in the test year.</t>
  </si>
  <si>
    <t>Allowed Depreciation</t>
  </si>
  <si>
    <t>Less: Reported Depreciation</t>
  </si>
  <si>
    <t>Adjustment to Allowed Depreciation</t>
  </si>
  <si>
    <t>Original</t>
  </si>
  <si>
    <t>Reported</t>
  </si>
  <si>
    <t>Asset</t>
  </si>
  <si>
    <t>Life</t>
  </si>
  <si>
    <t>Cost *</t>
  </si>
  <si>
    <t>Exclude labor on tap installations</t>
  </si>
  <si>
    <t>Exclude materials on tap installations</t>
  </si>
  <si>
    <t>Employee ID</t>
  </si>
  <si>
    <t>2025 Name</t>
  </si>
  <si>
    <t># of Empl</t>
  </si>
  <si>
    <t>Annual</t>
  </si>
  <si>
    <t xml:space="preserve"> Coverage Types</t>
  </si>
  <si>
    <t>Covered</t>
  </si>
  <si>
    <t>Monthly Rates</t>
  </si>
  <si>
    <t>Family (F)</t>
  </si>
  <si>
    <t>Employee/Children (EC)</t>
  </si>
  <si>
    <t>Employeel/Spouse (ES)</t>
  </si>
  <si>
    <t>Employee Only (E)</t>
  </si>
  <si>
    <t>2024 Health Insurance Benefits</t>
  </si>
  <si>
    <t>District</t>
  </si>
  <si>
    <t>Attorney</t>
  </si>
  <si>
    <t xml:space="preserve">   Theft</t>
  </si>
  <si>
    <t>Cumberland County Water District</t>
  </si>
  <si>
    <t>Cumberland Water District</t>
  </si>
  <si>
    <t>Other Water Revenues</t>
  </si>
  <si>
    <t>Contractual Services-Other</t>
  </si>
  <si>
    <t>Insurance</t>
  </si>
  <si>
    <t>Bad Debt</t>
  </si>
  <si>
    <t>2005 KRWFC</t>
  </si>
  <si>
    <t>2011 USDA</t>
  </si>
  <si>
    <t>2014 USDA</t>
  </si>
  <si>
    <t>2016 KIA</t>
  </si>
  <si>
    <t>2017 USDA</t>
  </si>
  <si>
    <t>2018 USDA</t>
  </si>
  <si>
    <t>2020 KRWFC</t>
  </si>
  <si>
    <t xml:space="preserve">First and Farmers </t>
  </si>
  <si>
    <t xml:space="preserve">5/8" x 3/4" Meter </t>
  </si>
  <si>
    <t>1" Meter</t>
  </si>
  <si>
    <t xml:space="preserve">1 1/2" Meter </t>
  </si>
  <si>
    <t xml:space="preserve">2" Meter </t>
  </si>
  <si>
    <t>Dale Hollow State Park</t>
  </si>
  <si>
    <t>First 300,000 Gallons (Minimum Bill)</t>
  </si>
  <si>
    <t>First 25,000 Gallons (Minimum Bill)</t>
  </si>
  <si>
    <t>Over 25,000 gallons per gallon</t>
  </si>
  <si>
    <t>01 Residential 5/8</t>
  </si>
  <si>
    <t xml:space="preserve">02 Commercial 5/8 </t>
  </si>
  <si>
    <t>03 Residential 1"</t>
  </si>
  <si>
    <t>04 Commercial 1"</t>
  </si>
  <si>
    <t>05 Park</t>
  </si>
  <si>
    <t>07 5/8 X 3/4 SCWD</t>
  </si>
  <si>
    <t>08 5/8 X 3/4 Comm</t>
  </si>
  <si>
    <t>09  1" Residential</t>
  </si>
  <si>
    <t>10  1" Commercial</t>
  </si>
  <si>
    <t>13  2"</t>
  </si>
  <si>
    <t>14  2" Commercial</t>
  </si>
  <si>
    <t>Attributable to PWA Case No. 2025-00072 dated April 14, 2025</t>
  </si>
  <si>
    <t>Michael Ballard</t>
  </si>
  <si>
    <t>Tobie Bean</t>
  </si>
  <si>
    <t>Brenda Bowlin</t>
  </si>
  <si>
    <t>Julie Clemens</t>
  </si>
  <si>
    <t>Rex England</t>
  </si>
  <si>
    <t>Anthony Melecosky</t>
  </si>
  <si>
    <t>Jessie Shoopman</t>
  </si>
  <si>
    <t>David Waid</t>
  </si>
  <si>
    <t>Billly Myers</t>
  </si>
  <si>
    <t xml:space="preserve"> Eligible  </t>
  </si>
  <si>
    <t xml:space="preserve">Eligible </t>
  </si>
  <si>
    <t xml:space="preserve"> Percent </t>
  </si>
  <si>
    <t>Amount</t>
  </si>
  <si>
    <t>Eligible Amount</t>
  </si>
  <si>
    <t>Less Test Year Amount</t>
  </si>
  <si>
    <t>Billing Analysis With 2024 Usage and Proposed Rates</t>
  </si>
  <si>
    <t>Disregard / Immaterial Error on Annual Report</t>
  </si>
  <si>
    <t>Adjust to allowable employer insurance contribution</t>
  </si>
  <si>
    <t>Leak Adjustments</t>
  </si>
  <si>
    <t>To Be Hired 1</t>
  </si>
  <si>
    <t>To Be Hired 2</t>
  </si>
  <si>
    <t>Meters / Meter Installations</t>
  </si>
  <si>
    <t>First 12,500 Gallons (Minimum Bill)</t>
  </si>
  <si>
    <t>Over 12,500 gallons per gallon</t>
  </si>
  <si>
    <t>Over 300,000 gallons per gallon</t>
  </si>
  <si>
    <t>A</t>
  </si>
  <si>
    <t>I</t>
  </si>
  <si>
    <t>B</t>
  </si>
  <si>
    <t>C</t>
  </si>
  <si>
    <t>D</t>
  </si>
  <si>
    <t>E</t>
  </si>
  <si>
    <t>F</t>
  </si>
  <si>
    <t>G</t>
  </si>
  <si>
    <t>H</t>
  </si>
  <si>
    <t>J</t>
  </si>
  <si>
    <t>TABLE F</t>
  </si>
  <si>
    <t>Table H</t>
  </si>
  <si>
    <t>CURRENT AND PROPOSED BILLS WITH SURCHARGE</t>
  </si>
  <si>
    <t>Marrowbone Main Replacement</t>
  </si>
  <si>
    <t>Joe Scott Pump Station</t>
  </si>
  <si>
    <t>Water Loss Adjustment and Surcharge Calculation</t>
  </si>
  <si>
    <t>Joe Scott Ridge Booster Pump Station</t>
  </si>
  <si>
    <t xml:space="preserve">                                </t>
  </si>
  <si>
    <t>APPENDIX A</t>
  </si>
  <si>
    <t>Description</t>
  </si>
  <si>
    <t>Percent</t>
  </si>
  <si>
    <t>Gross Test Year Wages</t>
  </si>
  <si>
    <t>Charged to Tap Fees/Capitalized()</t>
  </si>
  <si>
    <t>Reported Test Year Wages</t>
  </si>
  <si>
    <t>Wage Rate Inflation</t>
  </si>
  <si>
    <t>Merit/Promotion Increases</t>
  </si>
  <si>
    <t>Positions Added Since Beginning of Test Year</t>
  </si>
  <si>
    <t>Turnover During Test Year</t>
  </si>
  <si>
    <t>Pro Forma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</si>
</sst>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&quot;$&quot;* #,##0.00000_);_(&quot;$&quot;* \(#,##0.00000\);_(&quot;$&quot;* &quot;-&quot;??_);_(@_)"/>
    <numFmt numFmtId="168" formatCode="_(* #,##0.0_);_(* \(#,##0.0\);_(* &quot;-&quot;??_);_(@_)"/>
    <numFmt numFmtId="169" formatCode="mm/dd/yy;@"/>
    <numFmt numFmtId="170" formatCode="_([$$-409]* #,##0_);_([$$-409]* \(#,##0\);_([$$-409]* &quot;-&quot;??_);_(@_)"/>
    <numFmt numFmtId="171" formatCode="[$$-409]#,##0"/>
  </numFmts>
  <fonts count="33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16"/>
      <name val="Calibri"/>
      <family val="2"/>
      <scheme val="minor"/>
    </font>
    <font>
      <b/>
      <i/>
      <u/>
      <sz val="14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4"/>
      <name val="Calibri"/>
      <family val="2"/>
    </font>
    <font>
      <b/>
      <u/>
      <sz val="14"/>
      <name val="Calibri"/>
      <family val="2"/>
    </font>
    <font>
      <b/>
      <u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u val="singleAccounting"/>
      <sz val="11"/>
      <name val="Calibri"/>
      <family val="2"/>
    </font>
    <font>
      <b/>
      <i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u val="singleAccounting"/>
      <sz val="11"/>
      <name val="Calibri"/>
      <family val="2"/>
    </font>
    <font>
      <b/>
      <sz val="11"/>
      <color rgb="FF000000"/>
      <name val="Calibri"/>
      <family val="2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437">
    <xf numFmtId="0" fontId="0" fillId="0" borderId="0" xfId="0"/>
    <xf numFmtId="0" fontId="3" fillId="0" borderId="0" xfId="0" applyFont="1"/>
    <xf numFmtId="165" fontId="3" fillId="0" borderId="1" xfId="1" applyNumberFormat="1" applyFont="1" applyBorder="1"/>
    <xf numFmtId="165" fontId="3" fillId="0" borderId="0" xfId="1" applyNumberFormat="1" applyFont="1" applyBorder="1"/>
    <xf numFmtId="165" fontId="3" fillId="0" borderId="0" xfId="1" applyNumberFormat="1" applyFont="1"/>
    <xf numFmtId="165" fontId="3" fillId="0" borderId="7" xfId="1" applyNumberFormat="1" applyFont="1" applyBorder="1"/>
    <xf numFmtId="165" fontId="3" fillId="0" borderId="8" xfId="1" applyNumberFormat="1" applyFont="1" applyBorder="1"/>
    <xf numFmtId="43" fontId="3" fillId="0" borderId="0" xfId="1" applyFont="1"/>
    <xf numFmtId="165" fontId="9" fillId="0" borderId="0" xfId="1" applyNumberFormat="1" applyFont="1" applyBorder="1" applyAlignment="1">
      <alignment horizontal="center"/>
    </xf>
    <xf numFmtId="43" fontId="3" fillId="0" borderId="0" xfId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5" fontId="3" fillId="0" borderId="0" xfId="5" applyNumberFormat="1" applyFont="1" applyBorder="1"/>
    <xf numFmtId="43" fontId="3" fillId="0" borderId="0" xfId="1" applyFont="1" applyBorder="1" applyAlignment="1"/>
    <xf numFmtId="43" fontId="9" fillId="0" borderId="0" xfId="1" applyFont="1" applyBorder="1" applyAlignment="1">
      <alignment horizontal="center"/>
    </xf>
    <xf numFmtId="44" fontId="3" fillId="0" borderId="0" xfId="2" applyFont="1" applyBorder="1" applyAlignment="1"/>
    <xf numFmtId="165" fontId="3" fillId="0" borderId="1" xfId="0" applyNumberFormat="1" applyFont="1" applyBorder="1"/>
    <xf numFmtId="165" fontId="6" fillId="0" borderId="0" xfId="1" applyNumberFormat="1" applyFont="1"/>
    <xf numFmtId="165" fontId="9" fillId="0" borderId="8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166" fontId="3" fillId="0" borderId="8" xfId="3" applyNumberFormat="1" applyFont="1" applyBorder="1"/>
    <xf numFmtId="165" fontId="3" fillId="2" borderId="0" xfId="1" applyNumberFormat="1" applyFont="1" applyFill="1" applyBorder="1"/>
    <xf numFmtId="43" fontId="3" fillId="2" borderId="0" xfId="1" applyFont="1" applyFill="1" applyBorder="1"/>
    <xf numFmtId="166" fontId="3" fillId="2" borderId="8" xfId="3" applyNumberFormat="1" applyFont="1" applyFill="1" applyBorder="1"/>
    <xf numFmtId="165" fontId="11" fillId="0" borderId="0" xfId="1" applyNumberFormat="1" applyFont="1"/>
    <xf numFmtId="44" fontId="3" fillId="0" borderId="0" xfId="2" applyFont="1" applyBorder="1"/>
    <xf numFmtId="43" fontId="3" fillId="0" borderId="0" xfId="1" applyFont="1" applyBorder="1" applyAlignment="1">
      <alignment horizontal="center"/>
    </xf>
    <xf numFmtId="165" fontId="13" fillId="0" borderId="0" xfId="1" applyNumberFormat="1" applyFont="1"/>
    <xf numFmtId="165" fontId="3" fillId="0" borderId="0" xfId="1" applyNumberFormat="1" applyFont="1" applyAlignment="1">
      <alignment vertical="center"/>
    </xf>
    <xf numFmtId="165" fontId="8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5" fontId="7" fillId="0" borderId="0" xfId="1" applyNumberFormat="1" applyFont="1" applyAlignment="1">
      <alignment vertical="center"/>
    </xf>
    <xf numFmtId="165" fontId="3" fillId="0" borderId="0" xfId="1" applyNumberFormat="1" applyFont="1" applyAlignment="1"/>
    <xf numFmtId="10" fontId="3" fillId="0" borderId="0" xfId="3" applyNumberFormat="1" applyFont="1" applyBorder="1"/>
    <xf numFmtId="10" fontId="3" fillId="2" borderId="0" xfId="3" applyNumberFormat="1" applyFont="1" applyFill="1" applyBorder="1"/>
    <xf numFmtId="43" fontId="3" fillId="0" borderId="0" xfId="1" applyFont="1" applyAlignment="1">
      <alignment horizontal="right"/>
    </xf>
    <xf numFmtId="10" fontId="3" fillId="0" borderId="1" xfId="3" applyNumberFormat="1" applyFont="1" applyBorder="1"/>
    <xf numFmtId="2" fontId="3" fillId="0" borderId="0" xfId="0" applyNumberFormat="1" applyFont="1"/>
    <xf numFmtId="44" fontId="3" fillId="0" borderId="0" xfId="5" applyNumberFormat="1" applyFont="1" applyBorder="1"/>
    <xf numFmtId="10" fontId="3" fillId="0" borderId="0" xfId="3" applyNumberFormat="1" applyFont="1" applyBorder="1" applyAlignment="1"/>
    <xf numFmtId="43" fontId="3" fillId="0" borderId="7" xfId="1" applyFont="1" applyBorder="1" applyAlignment="1"/>
    <xf numFmtId="43" fontId="3" fillId="0" borderId="8" xfId="1" applyFont="1" applyBorder="1" applyAlignment="1"/>
    <xf numFmtId="44" fontId="3" fillId="0" borderId="0" xfId="2" applyFont="1"/>
    <xf numFmtId="44" fontId="15" fillId="0" borderId="7" xfId="2" applyFont="1" applyBorder="1" applyAlignment="1">
      <alignment horizontal="center"/>
    </xf>
    <xf numFmtId="44" fontId="15" fillId="0" borderId="0" xfId="2" applyFont="1" applyBorder="1" applyAlignment="1">
      <alignment horizontal="center"/>
    </xf>
    <xf numFmtId="44" fontId="15" fillId="0" borderId="8" xfId="2" applyFont="1" applyBorder="1" applyAlignment="1">
      <alignment horizontal="center"/>
    </xf>
    <xf numFmtId="0" fontId="16" fillId="0" borderId="0" xfId="0" applyFont="1"/>
    <xf numFmtId="165" fontId="3" fillId="0" borderId="0" xfId="1" applyNumberFormat="1" applyFont="1" applyFill="1"/>
    <xf numFmtId="165" fontId="3" fillId="0" borderId="0" xfId="1" applyNumberFormat="1" applyFont="1" applyFill="1" applyBorder="1"/>
    <xf numFmtId="44" fontId="3" fillId="0" borderId="0" xfId="2" applyFont="1" applyFill="1"/>
    <xf numFmtId="44" fontId="3" fillId="0" borderId="0" xfId="3" applyNumberFormat="1" applyFont="1" applyBorder="1" applyAlignment="1"/>
    <xf numFmtId="10" fontId="3" fillId="0" borderId="0" xfId="3" applyNumberFormat="1" applyFont="1" applyBorder="1" applyAlignment="1">
      <alignment horizontal="right"/>
    </xf>
    <xf numFmtId="164" fontId="3" fillId="0" borderId="0" xfId="5" applyNumberFormat="1" applyFont="1" applyBorder="1"/>
    <xf numFmtId="165" fontId="3" fillId="0" borderId="1" xfId="5" applyNumberFormat="1" applyFont="1" applyBorder="1"/>
    <xf numFmtId="0" fontId="17" fillId="0" borderId="0" xfId="0" applyFont="1"/>
    <xf numFmtId="43" fontId="3" fillId="0" borderId="1" xfId="1" applyFont="1" applyFill="1" applyBorder="1"/>
    <xf numFmtId="165" fontId="8" fillId="0" borderId="0" xfId="1" applyNumberFormat="1" applyFont="1" applyAlignment="1">
      <alignment vertical="center"/>
    </xf>
    <xf numFmtId="0" fontId="18" fillId="0" borderId="0" xfId="0" applyFont="1"/>
    <xf numFmtId="165" fontId="3" fillId="0" borderId="1" xfId="1" applyNumberFormat="1" applyFont="1" applyFill="1" applyBorder="1" applyAlignment="1">
      <alignment vertical="center"/>
    </xf>
    <xf numFmtId="165" fontId="16" fillId="0" borderId="0" xfId="5" applyNumberFormat="1" applyFont="1" applyFill="1" applyBorder="1"/>
    <xf numFmtId="165" fontId="16" fillId="0" borderId="0" xfId="5" applyNumberFormat="1" applyFont="1" applyFill="1" applyBorder="1" applyAlignment="1">
      <alignment horizontal="right"/>
    </xf>
    <xf numFmtId="165" fontId="16" fillId="0" borderId="3" xfId="5" applyNumberFormat="1" applyFont="1" applyFill="1" applyBorder="1"/>
    <xf numFmtId="165" fontId="16" fillId="0" borderId="2" xfId="5" applyNumberFormat="1" applyFont="1" applyFill="1" applyBorder="1" applyAlignment="1">
      <alignment horizontal="right"/>
    </xf>
    <xf numFmtId="165" fontId="16" fillId="0" borderId="4" xfId="5" applyNumberFormat="1" applyFont="1" applyFill="1" applyBorder="1"/>
    <xf numFmtId="165" fontId="17" fillId="0" borderId="0" xfId="5" applyNumberFormat="1" applyFont="1" applyFill="1" applyBorder="1" applyAlignment="1">
      <alignment horizontal="right"/>
    </xf>
    <xf numFmtId="165" fontId="16" fillId="0" borderId="8" xfId="5" applyNumberFormat="1" applyFont="1" applyFill="1" applyBorder="1"/>
    <xf numFmtId="165" fontId="21" fillId="0" borderId="0" xfId="5" applyNumberFormat="1" applyFont="1" applyFill="1" applyBorder="1" applyAlignment="1">
      <alignment horizontal="right"/>
    </xf>
    <xf numFmtId="165" fontId="16" fillId="0" borderId="7" xfId="5" applyNumberFormat="1" applyFont="1" applyFill="1" applyBorder="1" applyAlignment="1">
      <alignment horizontal="centerContinuous"/>
    </xf>
    <xf numFmtId="165" fontId="16" fillId="0" borderId="3" xfId="5" applyNumberFormat="1" applyFont="1" applyFill="1" applyBorder="1" applyAlignment="1">
      <alignment horizontal="right"/>
    </xf>
    <xf numFmtId="165" fontId="16" fillId="0" borderId="4" xfId="5" applyNumberFormat="1" applyFont="1" applyFill="1" applyBorder="1" applyAlignment="1">
      <alignment horizontal="right"/>
    </xf>
    <xf numFmtId="165" fontId="16" fillId="0" borderId="9" xfId="5" applyNumberFormat="1" applyFont="1" applyFill="1" applyBorder="1"/>
    <xf numFmtId="165" fontId="24" fillId="0" borderId="0" xfId="5" applyNumberFormat="1" applyFont="1" applyFill="1" applyBorder="1" applyAlignment="1">
      <alignment horizontal="right" vertical="center"/>
    </xf>
    <xf numFmtId="165" fontId="17" fillId="0" borderId="8" xfId="5" applyNumberFormat="1" applyFont="1" applyFill="1" applyBorder="1" applyAlignment="1">
      <alignment horizontal="right" vertical="center"/>
    </xf>
    <xf numFmtId="165" fontId="17" fillId="0" borderId="0" xfId="5" applyNumberFormat="1" applyFont="1" applyFill="1" applyBorder="1" applyAlignment="1">
      <alignment horizontal="right" vertical="center"/>
    </xf>
    <xf numFmtId="165" fontId="16" fillId="0" borderId="9" xfId="5" applyNumberFormat="1" applyFont="1" applyFill="1" applyBorder="1" applyAlignment="1">
      <alignment horizontal="left"/>
    </xf>
    <xf numFmtId="37" fontId="16" fillId="0" borderId="0" xfId="5" quotePrefix="1" applyNumberFormat="1" applyFont="1" applyFill="1" applyBorder="1" applyAlignment="1">
      <alignment horizontal="right"/>
    </xf>
    <xf numFmtId="165" fontId="16" fillId="0" borderId="6" xfId="5" applyNumberFormat="1" applyFont="1" applyFill="1" applyBorder="1"/>
    <xf numFmtId="165" fontId="17" fillId="0" borderId="7" xfId="5" applyNumberFormat="1" applyFont="1" applyFill="1" applyBorder="1" applyAlignment="1">
      <alignment horizontal="right"/>
    </xf>
    <xf numFmtId="165" fontId="17" fillId="0" borderId="2" xfId="5" applyNumberFormat="1" applyFont="1" applyFill="1" applyBorder="1" applyAlignment="1">
      <alignment horizontal="right"/>
    </xf>
    <xf numFmtId="165" fontId="17" fillId="0" borderId="7" xfId="5" applyNumberFormat="1" applyFont="1" applyFill="1" applyBorder="1"/>
    <xf numFmtId="164" fontId="17" fillId="0" borderId="0" xfId="6" applyNumberFormat="1" applyFont="1" applyFill="1" applyBorder="1" applyAlignment="1">
      <alignment horizontal="right"/>
    </xf>
    <xf numFmtId="165" fontId="16" fillId="0" borderId="7" xfId="5" applyNumberFormat="1" applyFont="1" applyFill="1" applyBorder="1"/>
    <xf numFmtId="164" fontId="16" fillId="0" borderId="0" xfId="6" applyNumberFormat="1" applyFont="1" applyFill="1" applyBorder="1" applyAlignment="1">
      <alignment horizontal="right"/>
    </xf>
    <xf numFmtId="165" fontId="16" fillId="0" borderId="5" xfId="5" applyNumberFormat="1" applyFont="1" applyFill="1" applyBorder="1" applyAlignment="1">
      <alignment horizontal="center"/>
    </xf>
    <xf numFmtId="165" fontId="16" fillId="0" borderId="1" xfId="5" applyNumberFormat="1" applyFont="1" applyFill="1" applyBorder="1" applyAlignment="1">
      <alignment horizontal="right"/>
    </xf>
    <xf numFmtId="0" fontId="18" fillId="0" borderId="0" xfId="0" applyFont="1" applyAlignment="1">
      <alignment horizontal="right"/>
    </xf>
    <xf numFmtId="37" fontId="18" fillId="0" borderId="0" xfId="0" applyNumberFormat="1" applyFont="1" applyAlignment="1">
      <alignment horizontal="right"/>
    </xf>
    <xf numFmtId="9" fontId="18" fillId="0" borderId="0" xfId="3" applyFont="1" applyFill="1" applyBorder="1" applyAlignment="1">
      <alignment horizontal="left"/>
    </xf>
    <xf numFmtId="44" fontId="9" fillId="0" borderId="0" xfId="2" applyFont="1" applyBorder="1" applyAlignment="1">
      <alignment horizontal="right"/>
    </xf>
    <xf numFmtId="43" fontId="3" fillId="0" borderId="3" xfId="1" applyFont="1" applyBorder="1" applyAlignment="1"/>
    <xf numFmtId="43" fontId="3" fillId="0" borderId="4" xfId="1" applyFont="1" applyBorder="1" applyAlignment="1"/>
    <xf numFmtId="43" fontId="3" fillId="0" borderId="2" xfId="1" applyFont="1" applyBorder="1" applyAlignment="1">
      <alignment horizontal="center"/>
    </xf>
    <xf numFmtId="44" fontId="3" fillId="0" borderId="2" xfId="2" applyFont="1" applyBorder="1" applyAlignment="1"/>
    <xf numFmtId="165" fontId="10" fillId="0" borderId="0" xfId="1" applyNumberFormat="1" applyFont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right"/>
    </xf>
    <xf numFmtId="165" fontId="16" fillId="0" borderId="0" xfId="1" applyNumberFormat="1" applyFont="1" applyAlignment="1">
      <alignment horizontal="right"/>
    </xf>
    <xf numFmtId="165" fontId="16" fillId="0" borderId="0" xfId="1" applyNumberFormat="1" applyFont="1" applyBorder="1" applyAlignment="1">
      <alignment horizontal="right"/>
    </xf>
    <xf numFmtId="165" fontId="3" fillId="0" borderId="0" xfId="1" applyNumberFormat="1" applyFont="1" applyFill="1" applyAlignment="1">
      <alignment vertical="center"/>
    </xf>
    <xf numFmtId="0" fontId="0" fillId="0" borderId="8" xfId="0" applyBorder="1"/>
    <xf numFmtId="165" fontId="3" fillId="0" borderId="10" xfId="1" applyNumberFormat="1" applyFont="1" applyBorder="1"/>
    <xf numFmtId="0" fontId="0" fillId="0" borderId="10" xfId="0" applyBorder="1"/>
    <xf numFmtId="43" fontId="3" fillId="0" borderId="10" xfId="1" applyFont="1" applyBorder="1"/>
    <xf numFmtId="43" fontId="3" fillId="0" borderId="0" xfId="1" applyFont="1" applyFill="1" applyBorder="1"/>
    <xf numFmtId="43" fontId="3" fillId="0" borderId="7" xfId="1" applyFont="1" applyFill="1" applyBorder="1" applyAlignment="1"/>
    <xf numFmtId="43" fontId="3" fillId="0" borderId="0" xfId="1" applyFont="1" applyFill="1" applyBorder="1" applyAlignment="1">
      <alignment horizontal="center"/>
    </xf>
    <xf numFmtId="44" fontId="3" fillId="0" borderId="0" xfId="2" applyFont="1" applyFill="1" applyBorder="1" applyAlignment="1">
      <alignment horizontal="center"/>
    </xf>
    <xf numFmtId="44" fontId="3" fillId="0" borderId="0" xfId="2" applyFont="1" applyFill="1" applyBorder="1" applyAlignment="1">
      <alignment vertical="center"/>
    </xf>
    <xf numFmtId="10" fontId="3" fillId="0" borderId="0" xfId="3" applyNumberFormat="1" applyFont="1" applyFill="1" applyBorder="1" applyAlignment="1">
      <alignment horizontal="center"/>
    </xf>
    <xf numFmtId="44" fontId="15" fillId="0" borderId="8" xfId="2" applyFont="1" applyFill="1" applyBorder="1" applyAlignment="1">
      <alignment horizontal="center"/>
    </xf>
    <xf numFmtId="44" fontId="3" fillId="0" borderId="5" xfId="2" applyFont="1" applyFill="1" applyBorder="1" applyAlignment="1">
      <alignment horizontal="right"/>
    </xf>
    <xf numFmtId="44" fontId="3" fillId="0" borderId="1" xfId="2" applyFont="1" applyFill="1" applyBorder="1" applyAlignment="1">
      <alignment horizontal="center"/>
    </xf>
    <xf numFmtId="44" fontId="3" fillId="0" borderId="1" xfId="2" applyFont="1" applyFill="1" applyBorder="1" applyAlignment="1">
      <alignment vertical="center"/>
    </xf>
    <xf numFmtId="10" fontId="3" fillId="0" borderId="1" xfId="3" applyNumberFormat="1" applyFont="1" applyFill="1" applyBorder="1" applyAlignment="1">
      <alignment horizontal="center"/>
    </xf>
    <xf numFmtId="44" fontId="15" fillId="0" borderId="6" xfId="2" applyFont="1" applyFill="1" applyBorder="1" applyAlignment="1">
      <alignment horizontal="center"/>
    </xf>
    <xf numFmtId="44" fontId="3" fillId="0" borderId="7" xfId="2" applyFont="1" applyFill="1" applyBorder="1" applyAlignment="1">
      <alignment horizontal="right"/>
    </xf>
    <xf numFmtId="44" fontId="15" fillId="0" borderId="7" xfId="2" applyFont="1" applyFill="1" applyBorder="1" applyAlignment="1">
      <alignment horizontal="center"/>
    </xf>
    <xf numFmtId="44" fontId="15" fillId="0" borderId="0" xfId="2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/>
    </xf>
    <xf numFmtId="44" fontId="9" fillId="0" borderId="0" xfId="2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43" fontId="16" fillId="0" borderId="0" xfId="1" applyFont="1" applyAlignment="1">
      <alignment horizontal="right"/>
    </xf>
    <xf numFmtId="0" fontId="16" fillId="0" borderId="0" xfId="1" applyNumberFormat="1" applyFont="1" applyAlignment="1">
      <alignment horizontal="right"/>
    </xf>
    <xf numFmtId="165" fontId="7" fillId="0" borderId="0" xfId="1" applyNumberFormat="1" applyFont="1"/>
    <xf numFmtId="43" fontId="16" fillId="0" borderId="0" xfId="1" applyFont="1" applyBorder="1" applyAlignment="1">
      <alignment horizontal="right"/>
    </xf>
    <xf numFmtId="44" fontId="16" fillId="0" borderId="0" xfId="1" applyNumberFormat="1" applyFont="1" applyBorder="1" applyAlignment="1">
      <alignment horizontal="right"/>
    </xf>
    <xf numFmtId="0" fontId="16" fillId="0" borderId="0" xfId="1" applyNumberFormat="1" applyFont="1" applyBorder="1" applyAlignment="1">
      <alignment horizontal="right"/>
    </xf>
    <xf numFmtId="44" fontId="16" fillId="0" borderId="0" xfId="3" applyNumberFormat="1" applyFont="1" applyBorder="1"/>
    <xf numFmtId="165" fontId="3" fillId="0" borderId="0" xfId="1" applyNumberFormat="1" applyFont="1" applyAlignment="1">
      <alignment horizontal="right" vertical="center" wrapText="1"/>
    </xf>
    <xf numFmtId="165" fontId="8" fillId="0" borderId="0" xfId="1" applyNumberFormat="1" applyFont="1" applyAlignment="1">
      <alignment horizontal="right" vertical="center" wrapText="1"/>
    </xf>
    <xf numFmtId="165" fontId="3" fillId="0" borderId="0" xfId="1" applyNumberFormat="1" applyFont="1" applyAlignment="1">
      <alignment horizontal="right" wrapText="1"/>
    </xf>
    <xf numFmtId="165" fontId="3" fillId="0" borderId="1" xfId="1" applyNumberFormat="1" applyFont="1" applyBorder="1" applyAlignment="1">
      <alignment horizontal="right" wrapText="1"/>
    </xf>
    <xf numFmtId="165" fontId="3" fillId="0" borderId="1" xfId="1" applyNumberFormat="1" applyFont="1" applyFill="1" applyBorder="1" applyAlignment="1">
      <alignment horizontal="right" wrapText="1"/>
    </xf>
    <xf numFmtId="44" fontId="16" fillId="0" borderId="0" xfId="0" applyNumberFormat="1" applyFont="1" applyAlignment="1">
      <alignment horizontal="right"/>
    </xf>
    <xf numFmtId="165" fontId="16" fillId="0" borderId="0" xfId="1" applyNumberFormat="1" applyFont="1" applyBorder="1"/>
    <xf numFmtId="165" fontId="3" fillId="2" borderId="7" xfId="1" applyNumberFormat="1" applyFont="1" applyFill="1" applyBorder="1"/>
    <xf numFmtId="0" fontId="21" fillId="0" borderId="0" xfId="1" applyNumberFormat="1" applyFont="1" applyBorder="1" applyAlignment="1">
      <alignment horizontal="center"/>
    </xf>
    <xf numFmtId="165" fontId="3" fillId="0" borderId="0" xfId="1" applyNumberFormat="1" applyFont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/>
    </xf>
    <xf numFmtId="165" fontId="3" fillId="0" borderId="1" xfId="1" applyNumberFormat="1" applyFont="1" applyBorder="1" applyAlignment="1">
      <alignment horizontal="right" vertical="center"/>
    </xf>
    <xf numFmtId="165" fontId="3" fillId="0" borderId="0" xfId="1" applyNumberFormat="1" applyFont="1" applyFill="1" applyAlignment="1"/>
    <xf numFmtId="164" fontId="16" fillId="0" borderId="1" xfId="2" applyNumberFormat="1" applyFont="1" applyBorder="1" applyAlignment="1">
      <alignment horizontal="right"/>
    </xf>
    <xf numFmtId="164" fontId="16" fillId="0" borderId="1" xfId="2" applyNumberFormat="1" applyFont="1" applyFill="1" applyBorder="1" applyAlignment="1">
      <alignment horizontal="right"/>
    </xf>
    <xf numFmtId="44" fontId="10" fillId="0" borderId="0" xfId="2" applyFont="1" applyAlignment="1">
      <alignment horizontal="center" vertical="center"/>
    </xf>
    <xf numFmtId="44" fontId="10" fillId="0" borderId="7" xfId="2" applyFont="1" applyBorder="1" applyAlignment="1">
      <alignment horizontal="center" vertical="center"/>
    </xf>
    <xf numFmtId="44" fontId="9" fillId="0" borderId="7" xfId="2" applyFont="1" applyBorder="1" applyAlignment="1">
      <alignment horizontal="center"/>
    </xf>
    <xf numFmtId="44" fontId="3" fillId="0" borderId="7" xfId="2" applyFont="1" applyBorder="1"/>
    <xf numFmtId="44" fontId="3" fillId="2" borderId="7" xfId="2" applyFont="1" applyFill="1" applyBorder="1"/>
    <xf numFmtId="44" fontId="3" fillId="0" borderId="7" xfId="2" applyFont="1" applyFill="1" applyBorder="1"/>
    <xf numFmtId="44" fontId="3" fillId="0" borderId="10" xfId="2" applyFont="1" applyBorder="1"/>
    <xf numFmtId="44" fontId="9" fillId="0" borderId="0" xfId="2" applyFont="1" applyBorder="1" applyAlignment="1">
      <alignment horizontal="center"/>
    </xf>
    <xf numFmtId="164" fontId="16" fillId="0" borderId="0" xfId="2" applyNumberFormat="1" applyFont="1" applyBorder="1" applyAlignment="1">
      <alignment horizontal="right"/>
    </xf>
    <xf numFmtId="165" fontId="3" fillId="0" borderId="0" xfId="1" applyNumberFormat="1" applyFont="1" applyBorder="1" applyAlignment="1">
      <alignment horizontal="right" wrapText="1"/>
    </xf>
    <xf numFmtId="165" fontId="7" fillId="0" borderId="1" xfId="1" applyNumberFormat="1" applyFont="1" applyBorder="1" applyAlignment="1">
      <alignment vertical="center"/>
    </xf>
    <xf numFmtId="165" fontId="3" fillId="0" borderId="2" xfId="1" applyNumberFormat="1" applyFont="1" applyBorder="1"/>
    <xf numFmtId="0" fontId="0" fillId="0" borderId="2" xfId="0" applyBorder="1"/>
    <xf numFmtId="44" fontId="3" fillId="0" borderId="2" xfId="2" applyFont="1" applyBorder="1"/>
    <xf numFmtId="43" fontId="3" fillId="0" borderId="2" xfId="1" applyFont="1" applyBorder="1"/>
    <xf numFmtId="165" fontId="26" fillId="0" borderId="0" xfId="1" applyNumberFormat="1" applyFont="1" applyAlignment="1">
      <alignment vertical="center"/>
    </xf>
    <xf numFmtId="165" fontId="13" fillId="0" borderId="0" xfId="1" applyNumberFormat="1" applyFont="1" applyAlignment="1">
      <alignment vertical="center"/>
    </xf>
    <xf numFmtId="49" fontId="27" fillId="0" borderId="0" xfId="0" applyNumberFormat="1" applyFont="1" applyAlignment="1">
      <alignment horizontal="left"/>
    </xf>
    <xf numFmtId="165" fontId="27" fillId="0" borderId="0" xfId="1" applyNumberFormat="1" applyFont="1" applyAlignment="1">
      <alignment horizontal="right"/>
    </xf>
    <xf numFmtId="165" fontId="3" fillId="0" borderId="1" xfId="1" applyNumberFormat="1" applyFont="1" applyBorder="1" applyAlignment="1">
      <alignment horizontal="right"/>
    </xf>
    <xf numFmtId="165" fontId="3" fillId="0" borderId="0" xfId="1" applyNumberFormat="1" applyFont="1" applyBorder="1" applyAlignment="1">
      <alignment horizontal="right"/>
    </xf>
    <xf numFmtId="0" fontId="3" fillId="0" borderId="0" xfId="1" applyNumberFormat="1" applyFont="1" applyAlignment="1">
      <alignment vertical="center"/>
    </xf>
    <xf numFmtId="0" fontId="3" fillId="0" borderId="0" xfId="1" applyNumberFormat="1" applyFont="1" applyAlignment="1">
      <alignment horizontal="left" vertical="center"/>
    </xf>
    <xf numFmtId="10" fontId="3" fillId="0" borderId="0" xfId="3" applyNumberFormat="1" applyFont="1" applyFill="1" applyAlignment="1">
      <alignment horizontal="right" vertical="center" wrapText="1"/>
    </xf>
    <xf numFmtId="165" fontId="28" fillId="0" borderId="0" xfId="5" applyNumberFormat="1" applyFont="1"/>
    <xf numFmtId="0" fontId="28" fillId="0" borderId="0" xfId="0" applyFont="1"/>
    <xf numFmtId="164" fontId="3" fillId="0" borderId="1" xfId="5" applyNumberFormat="1" applyFont="1" applyBorder="1"/>
    <xf numFmtId="44" fontId="3" fillId="0" borderId="1" xfId="0" applyNumberFormat="1" applyFont="1" applyBorder="1"/>
    <xf numFmtId="165" fontId="28" fillId="0" borderId="0" xfId="5" applyNumberFormat="1" applyFont="1" applyBorder="1"/>
    <xf numFmtId="10" fontId="3" fillId="0" borderId="1" xfId="0" applyNumberFormat="1" applyFont="1" applyBorder="1"/>
    <xf numFmtId="165" fontId="3" fillId="0" borderId="11" xfId="1" applyNumberFormat="1" applyFont="1" applyBorder="1"/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44" fontId="16" fillId="0" borderId="0" xfId="0" applyNumberFormat="1" applyFont="1"/>
    <xf numFmtId="49" fontId="16" fillId="0" borderId="0" xfId="0" applyNumberFormat="1" applyFont="1" applyAlignment="1">
      <alignment horizontal="center"/>
    </xf>
    <xf numFmtId="10" fontId="16" fillId="0" borderId="0" xfId="0" applyNumberFormat="1" applyFont="1" applyAlignment="1">
      <alignment horizontal="right"/>
    </xf>
    <xf numFmtId="43" fontId="16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3" fontId="16" fillId="0" borderId="12" xfId="0" applyNumberFormat="1" applyFont="1" applyBorder="1" applyAlignment="1">
      <alignment horizontal="right"/>
    </xf>
    <xf numFmtId="165" fontId="16" fillId="0" borderId="12" xfId="1" applyNumberFormat="1" applyFont="1" applyBorder="1" applyAlignment="1">
      <alignment horizontal="right"/>
    </xf>
    <xf numFmtId="165" fontId="16" fillId="0" borderId="12" xfId="1" applyNumberFormat="1" applyFont="1" applyBorder="1"/>
    <xf numFmtId="164" fontId="16" fillId="0" borderId="12" xfId="2" applyNumberFormat="1" applyFont="1" applyBorder="1" applyAlignment="1">
      <alignment horizontal="right"/>
    </xf>
    <xf numFmtId="0" fontId="16" fillId="0" borderId="12" xfId="0" applyFont="1" applyBorder="1" applyAlignment="1">
      <alignment horizontal="right"/>
    </xf>
    <xf numFmtId="3" fontId="16" fillId="0" borderId="12" xfId="1" applyNumberFormat="1" applyFont="1" applyBorder="1" applyAlignment="1">
      <alignment horizontal="right"/>
    </xf>
    <xf numFmtId="44" fontId="16" fillId="0" borderId="12" xfId="0" applyNumberFormat="1" applyFont="1" applyBorder="1" applyAlignment="1">
      <alignment horizontal="right"/>
    </xf>
    <xf numFmtId="0" fontId="16" fillId="0" borderId="12" xfId="1" applyNumberFormat="1" applyFont="1" applyBorder="1" applyAlignment="1">
      <alignment horizontal="right"/>
    </xf>
    <xf numFmtId="43" fontId="16" fillId="0" borderId="12" xfId="1" applyFont="1" applyBorder="1" applyAlignment="1">
      <alignment horizontal="right"/>
    </xf>
    <xf numFmtId="0" fontId="16" fillId="0" borderId="12" xfId="0" applyFont="1" applyBorder="1"/>
    <xf numFmtId="164" fontId="16" fillId="0" borderId="0" xfId="2" applyNumberFormat="1" applyFont="1" applyFill="1" applyBorder="1" applyAlignment="1">
      <alignment horizontal="right"/>
    </xf>
    <xf numFmtId="10" fontId="16" fillId="0" borderId="0" xfId="3" applyNumberFormat="1" applyFont="1" applyBorder="1" applyAlignment="1">
      <alignment horizontal="right"/>
    </xf>
    <xf numFmtId="0" fontId="16" fillId="0" borderId="13" xfId="0" applyFont="1" applyBorder="1" applyAlignment="1">
      <alignment horizontal="center"/>
    </xf>
    <xf numFmtId="0" fontId="16" fillId="0" borderId="14" xfId="0" applyFont="1" applyBorder="1"/>
    <xf numFmtId="43" fontId="16" fillId="0" borderId="14" xfId="1" applyFont="1" applyBorder="1" applyAlignment="1">
      <alignment horizontal="right"/>
    </xf>
    <xf numFmtId="165" fontId="16" fillId="0" borderId="14" xfId="1" applyNumberFormat="1" applyFont="1" applyBorder="1" applyAlignment="1">
      <alignment horizontal="right"/>
    </xf>
    <xf numFmtId="0" fontId="16" fillId="0" borderId="14" xfId="1" applyNumberFormat="1" applyFont="1" applyBorder="1" applyAlignment="1">
      <alignment horizontal="right"/>
    </xf>
    <xf numFmtId="0" fontId="16" fillId="0" borderId="15" xfId="0" applyFont="1" applyBorder="1"/>
    <xf numFmtId="0" fontId="16" fillId="0" borderId="17" xfId="0" applyFont="1" applyBorder="1"/>
    <xf numFmtId="0" fontId="16" fillId="0" borderId="16" xfId="0" applyFont="1" applyBorder="1" applyAlignment="1">
      <alignment horizontal="center"/>
    </xf>
    <xf numFmtId="10" fontId="16" fillId="0" borderId="17" xfId="3" applyNumberFormat="1" applyFont="1" applyBorder="1"/>
    <xf numFmtId="44" fontId="17" fillId="0" borderId="0" xfId="0" applyNumberFormat="1" applyFont="1"/>
    <xf numFmtId="165" fontId="16" fillId="0" borderId="0" xfId="0" applyNumberFormat="1" applyFont="1"/>
    <xf numFmtId="0" fontId="21" fillId="0" borderId="0" xfId="0" applyFont="1" applyAlignment="1">
      <alignment horizontal="center"/>
    </xf>
    <xf numFmtId="0" fontId="16" fillId="0" borderId="19" xfId="0" applyFont="1" applyBorder="1"/>
    <xf numFmtId="165" fontId="3" fillId="0" borderId="5" xfId="1" applyNumberFormat="1" applyFont="1" applyBorder="1"/>
    <xf numFmtId="0" fontId="0" fillId="0" borderId="6" xfId="0" applyBorder="1"/>
    <xf numFmtId="44" fontId="3" fillId="0" borderId="5" xfId="2" applyFont="1" applyBorder="1"/>
    <xf numFmtId="44" fontId="3" fillId="0" borderId="1" xfId="2" applyFont="1" applyBorder="1"/>
    <xf numFmtId="43" fontId="3" fillId="0" borderId="1" xfId="1" applyFont="1" applyBorder="1"/>
    <xf numFmtId="165" fontId="3" fillId="0" borderId="6" xfId="1" applyNumberFormat="1" applyFont="1" applyBorder="1"/>
    <xf numFmtId="0" fontId="28" fillId="0" borderId="0" xfId="0" quotePrefix="1" applyFont="1"/>
    <xf numFmtId="0" fontId="7" fillId="0" borderId="0" xfId="0" applyFont="1"/>
    <xf numFmtId="49" fontId="3" fillId="0" borderId="0" xfId="0" applyNumberFormat="1" applyFont="1"/>
    <xf numFmtId="0" fontId="28" fillId="0" borderId="13" xfId="0" applyFont="1" applyBorder="1"/>
    <xf numFmtId="0" fontId="28" fillId="0" borderId="14" xfId="0" applyFont="1" applyBorder="1"/>
    <xf numFmtId="165" fontId="28" fillId="0" borderId="14" xfId="5" applyNumberFormat="1" applyFont="1" applyBorder="1"/>
    <xf numFmtId="0" fontId="28" fillId="0" borderId="15" xfId="0" applyFont="1" applyBorder="1"/>
    <xf numFmtId="0" fontId="28" fillId="0" borderId="16" xfId="0" applyFont="1" applyBorder="1"/>
    <xf numFmtId="0" fontId="28" fillId="0" borderId="17" xfId="0" applyFont="1" applyBorder="1"/>
    <xf numFmtId="0" fontId="3" fillId="0" borderId="17" xfId="0" applyFont="1" applyBorder="1"/>
    <xf numFmtId="10" fontId="3" fillId="0" borderId="0" xfId="0" applyNumberFormat="1" applyFont="1"/>
    <xf numFmtId="44" fontId="3" fillId="0" borderId="0" xfId="0" applyNumberFormat="1" applyFont="1"/>
    <xf numFmtId="0" fontId="3" fillId="0" borderId="17" xfId="0" applyFont="1" applyBorder="1" applyAlignment="1">
      <alignment horizontal="center"/>
    </xf>
    <xf numFmtId="0" fontId="28" fillId="0" borderId="18" xfId="0" applyFont="1" applyBorder="1"/>
    <xf numFmtId="0" fontId="28" fillId="0" borderId="12" xfId="0" applyFont="1" applyBorder="1"/>
    <xf numFmtId="165" fontId="28" fillId="0" borderId="12" xfId="5" applyNumberFormat="1" applyFont="1" applyBorder="1"/>
    <xf numFmtId="0" fontId="28" fillId="0" borderId="19" xfId="0" applyFont="1" applyBorder="1"/>
    <xf numFmtId="165" fontId="16" fillId="0" borderId="20" xfId="5" applyNumberFormat="1" applyFont="1" applyFill="1" applyBorder="1" applyAlignment="1">
      <alignment horizontal="left"/>
    </xf>
    <xf numFmtId="165" fontId="16" fillId="0" borderId="0" xfId="1" applyNumberFormat="1" applyFont="1" applyFill="1" applyBorder="1" applyAlignment="1">
      <alignment horizontal="right"/>
    </xf>
    <xf numFmtId="165" fontId="17" fillId="0" borderId="5" xfId="5" applyNumberFormat="1" applyFont="1" applyFill="1" applyBorder="1" applyAlignment="1">
      <alignment horizontal="right" vertical="center"/>
    </xf>
    <xf numFmtId="165" fontId="17" fillId="0" borderId="6" xfId="5" applyNumberFormat="1" applyFont="1" applyFill="1" applyBorder="1" applyAlignment="1">
      <alignment horizontal="right" vertical="center"/>
    </xf>
    <xf numFmtId="165" fontId="17" fillId="0" borderId="1" xfId="5" applyNumberFormat="1" applyFont="1" applyFill="1" applyBorder="1" applyAlignment="1">
      <alignment horizontal="right" vertical="center"/>
    </xf>
    <xf numFmtId="165" fontId="16" fillId="0" borderId="5" xfId="1" applyNumberFormat="1" applyFont="1" applyFill="1" applyBorder="1" applyAlignment="1">
      <alignment horizontal="right"/>
    </xf>
    <xf numFmtId="165" fontId="16" fillId="0" borderId="1" xfId="1" applyNumberFormat="1" applyFont="1" applyFill="1" applyBorder="1" applyAlignment="1">
      <alignment horizontal="right"/>
    </xf>
    <xf numFmtId="165" fontId="16" fillId="0" borderId="6" xfId="1" applyNumberFormat="1" applyFont="1" applyFill="1" applyBorder="1" applyAlignment="1">
      <alignment horizontal="right"/>
    </xf>
    <xf numFmtId="165" fontId="16" fillId="0" borderId="4" xfId="1" applyNumberFormat="1" applyFont="1" applyFill="1" applyBorder="1" applyAlignment="1">
      <alignment horizontal="right"/>
    </xf>
    <xf numFmtId="165" fontId="16" fillId="0" borderId="21" xfId="1" applyNumberFormat="1" applyFont="1" applyBorder="1"/>
    <xf numFmtId="165" fontId="16" fillId="0" borderId="10" xfId="1" applyNumberFormat="1" applyFont="1" applyFill="1" applyBorder="1"/>
    <xf numFmtId="37" fontId="16" fillId="0" borderId="21" xfId="5" quotePrefix="1" applyNumberFormat="1" applyFont="1" applyFill="1" applyBorder="1" applyAlignment="1">
      <alignment horizontal="right"/>
    </xf>
    <xf numFmtId="165" fontId="16" fillId="0" borderId="22" xfId="5" applyNumberFormat="1" applyFont="1" applyFill="1" applyBorder="1"/>
    <xf numFmtId="0" fontId="7" fillId="0" borderId="0" xfId="1" applyNumberFormat="1" applyFont="1" applyAlignment="1">
      <alignment horizontal="center" vertical="center"/>
    </xf>
    <xf numFmtId="43" fontId="16" fillId="0" borderId="0" xfId="1" applyFont="1"/>
    <xf numFmtId="165" fontId="16" fillId="0" borderId="1" xfId="1" applyNumberFormat="1" applyFont="1" applyBorder="1"/>
    <xf numFmtId="164" fontId="16" fillId="0" borderId="0" xfId="0" applyNumberFormat="1" applyFont="1"/>
    <xf numFmtId="164" fontId="30" fillId="0" borderId="0" xfId="2" applyNumberFormat="1" applyFont="1"/>
    <xf numFmtId="164" fontId="30" fillId="0" borderId="0" xfId="0" applyNumberFormat="1" applyFont="1"/>
    <xf numFmtId="167" fontId="3" fillId="0" borderId="0" xfId="2" applyNumberFormat="1" applyFont="1" applyFill="1" applyBorder="1" applyAlignment="1">
      <alignment horizontal="center"/>
    </xf>
    <xf numFmtId="167" fontId="3" fillId="0" borderId="0" xfId="2" applyNumberFormat="1" applyFont="1" applyFill="1" applyBorder="1" applyAlignment="1">
      <alignment vertical="center"/>
    </xf>
    <xf numFmtId="167" fontId="16" fillId="0" borderId="0" xfId="1" applyNumberFormat="1" applyFont="1" applyBorder="1" applyAlignment="1">
      <alignment horizontal="right"/>
    </xf>
    <xf numFmtId="165" fontId="3" fillId="0" borderId="7" xfId="1" applyNumberFormat="1" applyFont="1" applyFill="1" applyBorder="1"/>
    <xf numFmtId="10" fontId="3" fillId="0" borderId="0" xfId="3" applyNumberFormat="1" applyFont="1" applyFill="1" applyBorder="1"/>
    <xf numFmtId="166" fontId="3" fillId="0" borderId="8" xfId="3" applyNumberFormat="1" applyFont="1" applyFill="1" applyBorder="1"/>
    <xf numFmtId="3" fontId="16" fillId="0" borderId="0" xfId="0" applyNumberFormat="1" applyFont="1"/>
    <xf numFmtId="164" fontId="16" fillId="0" borderId="0" xfId="0" applyNumberFormat="1" applyFont="1" applyAlignment="1">
      <alignment horizontal="right"/>
    </xf>
    <xf numFmtId="168" fontId="16" fillId="0" borderId="0" xfId="5" applyNumberFormat="1" applyFont="1" applyFill="1" applyBorder="1" applyAlignment="1"/>
    <xf numFmtId="0" fontId="1" fillId="0" borderId="0" xfId="0" applyFont="1"/>
    <xf numFmtId="0" fontId="16" fillId="0" borderId="3" xfId="0" applyFont="1" applyBorder="1"/>
    <xf numFmtId="3" fontId="16" fillId="0" borderId="2" xfId="0" applyNumberFormat="1" applyFont="1" applyBorder="1"/>
    <xf numFmtId="164" fontId="16" fillId="0" borderId="2" xfId="0" applyNumberFormat="1" applyFont="1" applyBorder="1" applyAlignment="1">
      <alignment horizontal="right"/>
    </xf>
    <xf numFmtId="168" fontId="16" fillId="0" borderId="2" xfId="5" applyNumberFormat="1" applyFont="1" applyFill="1" applyBorder="1"/>
    <xf numFmtId="3" fontId="16" fillId="0" borderId="2" xfId="0" applyNumberFormat="1" applyFont="1" applyBorder="1" applyAlignment="1">
      <alignment horizontal="right"/>
    </xf>
    <xf numFmtId="3" fontId="16" fillId="0" borderId="4" xfId="0" applyNumberFormat="1" applyFont="1" applyBorder="1"/>
    <xf numFmtId="3" fontId="16" fillId="0" borderId="7" xfId="0" applyNumberFormat="1" applyFont="1" applyBorder="1"/>
    <xf numFmtId="0" fontId="16" fillId="0" borderId="7" xfId="0" applyFont="1" applyBorder="1"/>
    <xf numFmtId="3" fontId="16" fillId="0" borderId="8" xfId="0" applyNumberFormat="1" applyFont="1" applyBorder="1"/>
    <xf numFmtId="3" fontId="22" fillId="0" borderId="0" xfId="0" applyNumberFormat="1" applyFont="1" applyAlignment="1">
      <alignment horizontal="center" vertical="center"/>
    </xf>
    <xf numFmtId="0" fontId="16" fillId="0" borderId="5" xfId="0" applyFont="1" applyBorder="1"/>
    <xf numFmtId="3" fontId="22" fillId="0" borderId="1" xfId="0" applyNumberFormat="1" applyFont="1" applyBorder="1" applyAlignment="1">
      <alignment horizontal="center" vertical="center"/>
    </xf>
    <xf numFmtId="3" fontId="16" fillId="0" borderId="6" xfId="0" applyNumberFormat="1" applyFont="1" applyBorder="1"/>
    <xf numFmtId="3" fontId="21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168" fontId="21" fillId="0" borderId="0" xfId="5" applyNumberFormat="1" applyFont="1" applyFill="1" applyBorder="1" applyAlignment="1">
      <alignment horizontal="center"/>
    </xf>
    <xf numFmtId="44" fontId="24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/>
    </xf>
    <xf numFmtId="3" fontId="21" fillId="0" borderId="0" xfId="0" applyNumberFormat="1" applyFont="1"/>
    <xf numFmtId="169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right"/>
    </xf>
    <xf numFmtId="164" fontId="16" fillId="0" borderId="0" xfId="5" applyNumberFormat="1" applyFont="1" applyFill="1" applyBorder="1" applyAlignment="1">
      <alignment horizontal="right"/>
    </xf>
    <xf numFmtId="165" fontId="16" fillId="0" borderId="0" xfId="5" applyNumberFormat="1" applyFont="1" applyFill="1" applyBorder="1" applyAlignment="1">
      <alignment horizontal="center"/>
    </xf>
    <xf numFmtId="164" fontId="21" fillId="0" borderId="0" xfId="0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168" fontId="16" fillId="0" borderId="0" xfId="5" applyNumberFormat="1" applyFont="1" applyFill="1" applyBorder="1" applyAlignment="1">
      <alignment horizontal="center"/>
    </xf>
    <xf numFmtId="168" fontId="16" fillId="0" borderId="0" xfId="5" quotePrefix="1" applyNumberFormat="1" applyFont="1" applyFill="1" applyBorder="1" applyAlignment="1">
      <alignment horizontal="center"/>
    </xf>
    <xf numFmtId="168" fontId="16" fillId="0" borderId="0" xfId="5" applyNumberFormat="1" applyFont="1" applyFill="1" applyBorder="1" applyAlignment="1">
      <alignment horizontal="right"/>
    </xf>
    <xf numFmtId="3" fontId="17" fillId="0" borderId="0" xfId="0" applyNumberFormat="1" applyFont="1"/>
    <xf numFmtId="170" fontId="17" fillId="0" borderId="0" xfId="0" applyNumberFormat="1" applyFont="1" applyAlignment="1">
      <alignment horizontal="right"/>
    </xf>
    <xf numFmtId="171" fontId="16" fillId="0" borderId="0" xfId="0" applyNumberFormat="1" applyFont="1"/>
    <xf numFmtId="170" fontId="17" fillId="0" borderId="0" xfId="0" applyNumberFormat="1" applyFont="1"/>
    <xf numFmtId="3" fontId="16" fillId="0" borderId="1" xfId="0" applyNumberFormat="1" applyFont="1" applyBorder="1"/>
    <xf numFmtId="164" fontId="16" fillId="0" borderId="1" xfId="0" applyNumberFormat="1" applyFont="1" applyBorder="1" applyAlignment="1">
      <alignment horizontal="right"/>
    </xf>
    <xf numFmtId="168" fontId="16" fillId="0" borderId="1" xfId="5" applyNumberFormat="1" applyFont="1" applyFill="1" applyBorder="1" applyAlignment="1">
      <alignment horizontal="right"/>
    </xf>
    <xf numFmtId="4" fontId="16" fillId="0" borderId="7" xfId="0" applyNumberFormat="1" applyFont="1" applyBorder="1"/>
    <xf numFmtId="0" fontId="1" fillId="0" borderId="0" xfId="0" applyFont="1" applyAlignment="1">
      <alignment horizontal="right"/>
    </xf>
    <xf numFmtId="164" fontId="30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3" fillId="0" borderId="1" xfId="1" applyNumberFormat="1" applyFont="1" applyFill="1" applyBorder="1"/>
    <xf numFmtId="0" fontId="3" fillId="0" borderId="1" xfId="0" applyFont="1" applyBorder="1"/>
    <xf numFmtId="43" fontId="3" fillId="0" borderId="1" xfId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8" fontId="3" fillId="0" borderId="0" xfId="1" applyNumberFormat="1" applyFont="1"/>
    <xf numFmtId="168" fontId="3" fillId="0" borderId="0" xfId="1" applyNumberFormat="1" applyFont="1" applyAlignment="1">
      <alignment horizontal="right"/>
    </xf>
    <xf numFmtId="168" fontId="3" fillId="0" borderId="1" xfId="1" applyNumberFormat="1" applyFont="1" applyBorder="1" applyAlignment="1">
      <alignment horizontal="right"/>
    </xf>
    <xf numFmtId="0" fontId="31" fillId="0" borderId="0" xfId="0" applyFont="1" applyAlignment="1">
      <alignment horizontal="center"/>
    </xf>
    <xf numFmtId="43" fontId="16" fillId="0" borderId="1" xfId="1" applyFont="1" applyFill="1" applyBorder="1"/>
    <xf numFmtId="165" fontId="27" fillId="0" borderId="0" xfId="1" applyNumberFormat="1" applyFont="1" applyFill="1" applyAlignment="1">
      <alignment horizontal="right"/>
    </xf>
    <xf numFmtId="165" fontId="27" fillId="0" borderId="1" xfId="1" applyNumberFormat="1" applyFont="1" applyFill="1" applyBorder="1" applyAlignment="1">
      <alignment horizontal="right"/>
    </xf>
    <xf numFmtId="165" fontId="3" fillId="0" borderId="1" xfId="1" applyNumberFormat="1" applyFont="1" applyFill="1" applyBorder="1" applyAlignment="1">
      <alignment horizontal="right"/>
    </xf>
    <xf numFmtId="165" fontId="16" fillId="0" borderId="8" xfId="1" applyNumberFormat="1" applyFont="1" applyFill="1" applyBorder="1" applyAlignment="1">
      <alignment horizontal="right"/>
    </xf>
    <xf numFmtId="165" fontId="16" fillId="3" borderId="10" xfId="1" applyNumberFormat="1" applyFont="1" applyFill="1" applyBorder="1"/>
    <xf numFmtId="44" fontId="16" fillId="0" borderId="0" xfId="0" applyNumberFormat="1" applyFont="1" applyAlignment="1">
      <alignment horizontal="left"/>
    </xf>
    <xf numFmtId="43" fontId="3" fillId="0" borderId="0" xfId="1" applyFont="1" applyFill="1"/>
    <xf numFmtId="0" fontId="23" fillId="0" borderId="0" xfId="0" applyFont="1"/>
    <xf numFmtId="43" fontId="23" fillId="0" borderId="0" xfId="5" applyFont="1" applyFill="1" applyBorder="1"/>
    <xf numFmtId="0" fontId="17" fillId="0" borderId="9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23" xfId="0" applyFont="1" applyBorder="1" applyAlignment="1" applyProtection="1">
      <alignment horizontal="center"/>
      <protection locked="0"/>
    </xf>
    <xf numFmtId="9" fontId="17" fillId="0" borderId="1" xfId="0" applyNumberFormat="1" applyFont="1" applyBorder="1" applyAlignment="1" applyProtection="1">
      <alignment horizontal="center"/>
      <protection locked="0"/>
    </xf>
    <xf numFmtId="43" fontId="16" fillId="0" borderId="10" xfId="5" applyFont="1" applyFill="1" applyBorder="1" applyAlignment="1">
      <alignment horizontal="center"/>
    </xf>
    <xf numFmtId="0" fontId="16" fillId="0" borderId="24" xfId="0" applyFont="1" applyBorder="1" applyAlignment="1" applyProtection="1">
      <alignment horizontal="center"/>
      <protection locked="0"/>
    </xf>
    <xf numFmtId="165" fontId="16" fillId="0" borderId="9" xfId="5" applyNumberFormat="1" applyFont="1" applyFill="1" applyBorder="1" applyAlignment="1" applyProtection="1">
      <alignment horizontal="center"/>
      <protection locked="0"/>
    </xf>
    <xf numFmtId="43" fontId="16" fillId="0" borderId="24" xfId="5" applyFont="1" applyFill="1" applyBorder="1" applyAlignment="1" applyProtection="1">
      <protection locked="0"/>
    </xf>
    <xf numFmtId="43" fontId="16" fillId="0" borderId="0" xfId="5" applyFont="1" applyFill="1" applyBorder="1"/>
    <xf numFmtId="0" fontId="16" fillId="0" borderId="9" xfId="0" applyFont="1" applyBorder="1" applyAlignment="1" applyProtection="1">
      <alignment horizontal="center"/>
      <protection locked="0"/>
    </xf>
    <xf numFmtId="43" fontId="16" fillId="0" borderId="9" xfId="5" applyFont="1" applyFill="1" applyBorder="1" applyAlignment="1" applyProtection="1">
      <protection locked="0"/>
    </xf>
    <xf numFmtId="0" fontId="16" fillId="0" borderId="23" xfId="0" applyFont="1" applyBorder="1" applyAlignment="1" applyProtection="1">
      <alignment horizontal="center"/>
      <protection locked="0"/>
    </xf>
    <xf numFmtId="165" fontId="16" fillId="0" borderId="23" xfId="5" applyNumberFormat="1" applyFont="1" applyFill="1" applyBorder="1" applyAlignment="1" applyProtection="1">
      <alignment horizontal="center"/>
      <protection locked="0"/>
    </xf>
    <xf numFmtId="43" fontId="16" fillId="0" borderId="23" xfId="5" applyFont="1" applyFill="1" applyBorder="1" applyAlignment="1" applyProtection="1">
      <protection locked="0"/>
    </xf>
    <xf numFmtId="43" fontId="16" fillId="0" borderId="1" xfId="5" applyFont="1" applyFill="1" applyBorder="1"/>
    <xf numFmtId="43" fontId="16" fillId="0" borderId="0" xfId="0" applyNumberFormat="1" applyFont="1"/>
    <xf numFmtId="0" fontId="23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  <xf numFmtId="43" fontId="16" fillId="0" borderId="10" xfId="5" applyFont="1" applyFill="1" applyBorder="1" applyAlignment="1">
      <alignment horizontal="right"/>
    </xf>
    <xf numFmtId="43" fontId="16" fillId="0" borderId="1" xfId="0" applyNumberFormat="1" applyFont="1" applyBorder="1"/>
    <xf numFmtId="0" fontId="16" fillId="0" borderId="1" xfId="0" applyFont="1" applyBorder="1" applyAlignment="1">
      <alignment horizontal="right"/>
    </xf>
    <xf numFmtId="10" fontId="16" fillId="0" borderId="0" xfId="0" applyNumberFormat="1" applyFont="1"/>
    <xf numFmtId="43" fontId="16" fillId="0" borderId="5" xfId="5" applyFont="1" applyFill="1" applyBorder="1"/>
    <xf numFmtId="0" fontId="16" fillId="0" borderId="1" xfId="0" applyFont="1" applyBorder="1"/>
    <xf numFmtId="9" fontId="17" fillId="0" borderId="5" xfId="0" applyNumberFormat="1" applyFont="1" applyBorder="1" applyAlignment="1" applyProtection="1">
      <alignment horizontal="center"/>
      <protection locked="0"/>
    </xf>
    <xf numFmtId="43" fontId="16" fillId="0" borderId="1" xfId="1" applyFont="1" applyBorder="1"/>
    <xf numFmtId="168" fontId="3" fillId="0" borderId="1" xfId="1" applyNumberFormat="1" applyFont="1" applyFill="1" applyBorder="1"/>
    <xf numFmtId="168" fontId="3" fillId="0" borderId="1" xfId="1" applyNumberFormat="1" applyFont="1" applyBorder="1"/>
    <xf numFmtId="43" fontId="3" fillId="0" borderId="0" xfId="0" applyNumberFormat="1" applyFont="1" applyAlignment="1">
      <alignment horizontal="right"/>
    </xf>
    <xf numFmtId="43" fontId="3" fillId="0" borderId="1" xfId="0" applyNumberFormat="1" applyFont="1" applyBorder="1" applyAlignment="1">
      <alignment horizontal="right"/>
    </xf>
    <xf numFmtId="0" fontId="16" fillId="0" borderId="7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165" fontId="3" fillId="0" borderId="0" xfId="1" applyNumberFormat="1" applyFont="1" applyFill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165" fontId="3" fillId="0" borderId="11" xfId="1" applyNumberFormat="1" applyFont="1" applyBorder="1" applyAlignment="1">
      <alignment horizontal="center"/>
    </xf>
    <xf numFmtId="0" fontId="16" fillId="0" borderId="26" xfId="0" applyFont="1" applyBorder="1"/>
    <xf numFmtId="0" fontId="16" fillId="0" borderId="27" xfId="0" applyFont="1" applyBorder="1" applyAlignment="1">
      <alignment horizontal="center"/>
    </xf>
    <xf numFmtId="6" fontId="16" fillId="0" borderId="0" xfId="0" applyNumberFormat="1" applyFont="1"/>
    <xf numFmtId="6" fontId="16" fillId="0" borderId="28" xfId="0" applyNumberFormat="1" applyFont="1" applyBorder="1" applyAlignment="1">
      <alignment vertical="center" wrapText="1"/>
    </xf>
    <xf numFmtId="10" fontId="16" fillId="0" borderId="28" xfId="0" applyNumberFormat="1" applyFont="1" applyBorder="1" applyAlignment="1">
      <alignment vertical="center" wrapText="1"/>
    </xf>
    <xf numFmtId="0" fontId="16" fillId="0" borderId="0" xfId="1" applyNumberFormat="1" applyFont="1"/>
    <xf numFmtId="0" fontId="16" fillId="0" borderId="0" xfId="0" applyFont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6" fontId="16" fillId="0" borderId="29" xfId="0" applyNumberFormat="1" applyFont="1" applyBorder="1" applyAlignment="1">
      <alignment vertical="center" wrapText="1"/>
    </xf>
    <xf numFmtId="6" fontId="16" fillId="0" borderId="29" xfId="0" applyNumberFormat="1" applyFont="1" applyBorder="1" applyAlignment="1">
      <alignment vertical="center"/>
    </xf>
    <xf numFmtId="43" fontId="16" fillId="0" borderId="29" xfId="0" applyNumberFormat="1" applyFont="1" applyBorder="1" applyAlignment="1">
      <alignment vertical="center"/>
    </xf>
    <xf numFmtId="10" fontId="16" fillId="0" borderId="29" xfId="0" applyNumberFormat="1" applyFont="1" applyBorder="1" applyAlignment="1">
      <alignment vertical="center" wrapText="1"/>
    </xf>
    <xf numFmtId="0" fontId="16" fillId="0" borderId="29" xfId="0" applyFont="1" applyBorder="1" applyAlignment="1">
      <alignment horizontal="center" vertical="center"/>
    </xf>
    <xf numFmtId="10" fontId="16" fillId="0" borderId="29" xfId="3" applyNumberFormat="1" applyFont="1" applyBorder="1" applyAlignment="1">
      <alignment vertical="center" wrapText="1"/>
    </xf>
    <xf numFmtId="5" fontId="16" fillId="0" borderId="29" xfId="0" applyNumberFormat="1" applyFont="1" applyBorder="1" applyAlignment="1">
      <alignment vertical="center" wrapText="1"/>
    </xf>
    <xf numFmtId="0" fontId="3" fillId="4" borderId="0" xfId="0" applyFont="1" applyFill="1"/>
    <xf numFmtId="0" fontId="3" fillId="4" borderId="1" xfId="0" applyFont="1" applyFill="1" applyBorder="1"/>
    <xf numFmtId="165" fontId="4" fillId="0" borderId="0" xfId="1" applyNumberFormat="1" applyFont="1" applyAlignment="1">
      <alignment horizontal="center" vertical="center"/>
    </xf>
    <xf numFmtId="43" fontId="16" fillId="0" borderId="1" xfId="5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17" xfId="0" applyFont="1" applyBorder="1" applyAlignment="1">
      <alignment horizontal="center"/>
    </xf>
    <xf numFmtId="165" fontId="19" fillId="0" borderId="7" xfId="5" applyNumberFormat="1" applyFont="1" applyFill="1" applyBorder="1" applyAlignment="1">
      <alignment horizontal="center"/>
    </xf>
    <xf numFmtId="165" fontId="19" fillId="0" borderId="0" xfId="5" applyNumberFormat="1" applyFont="1" applyFill="1" applyBorder="1" applyAlignment="1">
      <alignment horizontal="center"/>
    </xf>
    <xf numFmtId="165" fontId="20" fillId="0" borderId="7" xfId="5" applyNumberFormat="1" applyFont="1" applyFill="1" applyBorder="1" applyAlignment="1">
      <alignment horizontal="center"/>
    </xf>
    <xf numFmtId="165" fontId="20" fillId="0" borderId="0" xfId="5" applyNumberFormat="1" applyFont="1" applyFill="1" applyBorder="1" applyAlignment="1">
      <alignment horizontal="center"/>
    </xf>
    <xf numFmtId="165" fontId="22" fillId="0" borderId="7" xfId="5" applyNumberFormat="1" applyFont="1" applyFill="1" applyBorder="1" applyAlignment="1">
      <alignment horizontal="center" vertical="center"/>
    </xf>
    <xf numFmtId="165" fontId="22" fillId="0" borderId="0" xfId="5" applyNumberFormat="1" applyFont="1" applyFill="1" applyBorder="1" applyAlignment="1">
      <alignment horizontal="center" vertical="center"/>
    </xf>
    <xf numFmtId="165" fontId="23" fillId="0" borderId="7" xfId="5" applyNumberFormat="1" applyFont="1" applyFill="1" applyBorder="1" applyAlignment="1">
      <alignment horizontal="center"/>
    </xf>
    <xf numFmtId="165" fontId="23" fillId="0" borderId="0" xfId="5" applyNumberFormat="1" applyFont="1" applyFill="1" applyBorder="1" applyAlignment="1">
      <alignment horizontal="center"/>
    </xf>
    <xf numFmtId="0" fontId="17" fillId="0" borderId="5" xfId="5" applyNumberFormat="1" applyFont="1" applyFill="1" applyBorder="1" applyAlignment="1">
      <alignment horizontal="center" vertical="center"/>
    </xf>
    <xf numFmtId="0" fontId="17" fillId="0" borderId="6" xfId="5" applyNumberFormat="1" applyFont="1" applyFill="1" applyBorder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168" fontId="21" fillId="0" borderId="0" xfId="5" applyNumberFormat="1" applyFont="1" applyFill="1" applyBorder="1" applyAlignment="1">
      <alignment horizontal="center"/>
    </xf>
    <xf numFmtId="3" fontId="19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center"/>
    </xf>
    <xf numFmtId="43" fontId="9" fillId="0" borderId="0" xfId="1" applyFont="1" applyFill="1" applyBorder="1" applyAlignment="1">
      <alignment horizontal="center"/>
    </xf>
    <xf numFmtId="44" fontId="15" fillId="0" borderId="7" xfId="2" applyFont="1" applyFill="1" applyBorder="1" applyAlignment="1">
      <alignment horizontal="center"/>
    </xf>
    <xf numFmtId="44" fontId="15" fillId="0" borderId="0" xfId="2" applyFont="1" applyFill="1" applyBorder="1" applyAlignment="1">
      <alignment horizontal="center"/>
    </xf>
    <xf numFmtId="44" fontId="15" fillId="0" borderId="8" xfId="2" applyFont="1" applyFill="1" applyBorder="1" applyAlignment="1">
      <alignment horizontal="center"/>
    </xf>
    <xf numFmtId="43" fontId="32" fillId="0" borderId="3" xfId="1" applyFont="1" applyBorder="1" applyAlignment="1">
      <alignment horizontal="center"/>
    </xf>
    <xf numFmtId="43" fontId="32" fillId="0" borderId="2" xfId="1" applyFont="1" applyBorder="1" applyAlignment="1">
      <alignment horizontal="center"/>
    </xf>
    <xf numFmtId="43" fontId="32" fillId="0" borderId="4" xfId="1" applyFont="1" applyBorder="1" applyAlignment="1">
      <alignment horizontal="center"/>
    </xf>
    <xf numFmtId="43" fontId="9" fillId="0" borderId="0" xfId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44" fontId="15" fillId="0" borderId="7" xfId="2" applyFont="1" applyBorder="1" applyAlignment="1">
      <alignment horizontal="center"/>
    </xf>
    <xf numFmtId="44" fontId="15" fillId="0" borderId="0" xfId="2" applyFont="1" applyBorder="1" applyAlignment="1">
      <alignment horizontal="center"/>
    </xf>
    <xf numFmtId="44" fontId="15" fillId="0" borderId="8" xfId="2" applyFont="1" applyBorder="1" applyAlignment="1">
      <alignment horizontal="center"/>
    </xf>
    <xf numFmtId="44" fontId="25" fillId="0" borderId="3" xfId="2" applyFont="1" applyBorder="1" applyAlignment="1">
      <alignment horizontal="center"/>
    </xf>
    <xf numFmtId="44" fontId="25" fillId="0" borderId="2" xfId="2" applyFont="1" applyBorder="1" applyAlignment="1">
      <alignment horizontal="center"/>
    </xf>
    <xf numFmtId="44" fontId="25" fillId="0" borderId="4" xfId="2" applyFont="1" applyBorder="1" applyAlignment="1">
      <alignment horizontal="center"/>
    </xf>
    <xf numFmtId="165" fontId="4" fillId="0" borderId="3" xfId="1" applyNumberFormat="1" applyFont="1" applyBorder="1" applyAlignment="1">
      <alignment horizontal="center"/>
    </xf>
    <xf numFmtId="165" fontId="4" fillId="0" borderId="2" xfId="1" applyNumberFormat="1" applyFont="1" applyBorder="1" applyAlignment="1">
      <alignment horizontal="center"/>
    </xf>
    <xf numFmtId="165" fontId="4" fillId="0" borderId="4" xfId="1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165" fontId="25" fillId="0" borderId="3" xfId="1" applyNumberFormat="1" applyFont="1" applyBorder="1" applyAlignment="1">
      <alignment horizontal="center"/>
    </xf>
    <xf numFmtId="165" fontId="25" fillId="0" borderId="2" xfId="1" applyNumberFormat="1" applyFont="1" applyBorder="1" applyAlignment="1">
      <alignment horizontal="center"/>
    </xf>
    <xf numFmtId="165" fontId="25" fillId="0" borderId="4" xfId="1" applyNumberFormat="1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16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7" xfId="0" applyFont="1" applyBorder="1" applyAlignment="1">
      <alignment horizontal="center"/>
    </xf>
  </cellXfs>
  <cellStyles count="11">
    <cellStyle name="Comma" xfId="1" builtinId="3"/>
    <cellStyle name="Comma 2" xfId="5" xr:uid="{00000000-0005-0000-0000-000001000000}"/>
    <cellStyle name="Comma 3" xfId="9" xr:uid="{00000000-0005-0000-0000-000002000000}"/>
    <cellStyle name="Currency" xfId="2" builtinId="4"/>
    <cellStyle name="Currency 2" xfId="6" xr:uid="{00000000-0005-0000-0000-000004000000}"/>
    <cellStyle name="Currency 3" xfId="10" xr:uid="{00000000-0005-0000-0000-000005000000}"/>
    <cellStyle name="Normal" xfId="0" builtinId="0"/>
    <cellStyle name="Normal 2" xfId="4" xr:uid="{00000000-0005-0000-0000-000007000000}"/>
    <cellStyle name="Normal 3" xfId="8" xr:uid="{00000000-0005-0000-0000-000008000000}"/>
    <cellStyle name="Percent" xfId="3" builtinId="5"/>
    <cellStyle name="Percent 2" xfId="7" xr:uid="{00000000-0005-0000-0000-00000A000000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620783bd5d64abe/Cumberland%20County%20WD/Depreciation%202024.xlsx" TargetMode="External"/><Relationship Id="rId1" Type="http://schemas.openxmlformats.org/officeDocument/2006/relationships/externalLinkPath" Target="Depreciatio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Adjusted"/>
    </sheetNames>
    <sheetDataSet>
      <sheetData sheetId="0"/>
      <sheetData sheetId="1">
        <row r="23">
          <cell r="E23">
            <v>104563</v>
          </cell>
          <cell r="J23">
            <v>5090.97</v>
          </cell>
        </row>
        <row r="33">
          <cell r="E33">
            <v>63500</v>
          </cell>
          <cell r="J33">
            <v>1602.4</v>
          </cell>
        </row>
        <row r="67">
          <cell r="E67">
            <v>159514</v>
          </cell>
          <cell r="J67">
            <v>9719.85</v>
          </cell>
        </row>
        <row r="99">
          <cell r="E99">
            <v>0</v>
          </cell>
          <cell r="J99">
            <v>0</v>
          </cell>
        </row>
        <row r="114">
          <cell r="E114">
            <v>57568</v>
          </cell>
          <cell r="J114">
            <v>4800.3</v>
          </cell>
        </row>
        <row r="128">
          <cell r="E128">
            <v>0</v>
          </cell>
          <cell r="J128">
            <v>0</v>
          </cell>
        </row>
        <row r="136">
          <cell r="E136">
            <v>17760</v>
          </cell>
          <cell r="J136">
            <v>1776</v>
          </cell>
        </row>
        <row r="145">
          <cell r="E145">
            <v>60884</v>
          </cell>
          <cell r="J145">
            <v>1522.1100000000001</v>
          </cell>
        </row>
        <row r="161">
          <cell r="E161">
            <v>0</v>
          </cell>
          <cell r="J161">
            <v>0</v>
          </cell>
        </row>
        <row r="187">
          <cell r="E187">
            <v>10232858.939999999</v>
          </cell>
          <cell r="J187">
            <v>270319.87</v>
          </cell>
        </row>
        <row r="209">
          <cell r="E209">
            <v>158011.15</v>
          </cell>
          <cell r="J209">
            <v>17666.170000000002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showGridLines="0" topLeftCell="A6" workbookViewId="0">
      <selection sqref="A1:F40"/>
    </sheetView>
  </sheetViews>
  <sheetFormatPr defaultColWidth="8.83203125" defaultRowHeight="14.25" x14ac:dyDescent="0.45"/>
  <cols>
    <col min="1" max="1" width="4.609375" style="4" customWidth="1"/>
    <col min="2" max="2" width="27.71875" style="4" customWidth="1"/>
    <col min="3" max="3" width="12.609375" style="4" customWidth="1"/>
    <col min="4" max="4" width="10.609375" style="4" customWidth="1"/>
    <col min="5" max="5" width="3.609375" style="352" customWidth="1"/>
    <col min="6" max="6" width="10.609375" style="133" customWidth="1"/>
    <col min="7" max="7" width="1.609375" style="4" customWidth="1"/>
    <col min="8" max="8" width="36.609375" style="4" customWidth="1"/>
    <col min="9" max="10" width="11.38671875" style="4" customWidth="1"/>
    <col min="11" max="11" width="10.83203125" style="4" customWidth="1"/>
    <col min="12" max="16384" width="8.83203125" style="4"/>
  </cols>
  <sheetData>
    <row r="1" spans="1:11" ht="18" x14ac:dyDescent="0.45">
      <c r="A1" s="377" t="s">
        <v>77</v>
      </c>
      <c r="B1" s="377"/>
      <c r="C1" s="377"/>
      <c r="D1" s="377"/>
      <c r="E1" s="377"/>
      <c r="F1" s="377"/>
      <c r="G1" s="31"/>
      <c r="H1" s="31"/>
      <c r="I1" s="31"/>
      <c r="J1" s="31"/>
    </row>
    <row r="2" spans="1:11" ht="18" x14ac:dyDescent="0.45">
      <c r="A2" s="377" t="s">
        <v>219</v>
      </c>
      <c r="B2" s="377"/>
      <c r="C2" s="377"/>
      <c r="D2" s="377"/>
      <c r="E2" s="377"/>
      <c r="F2" s="377"/>
      <c r="G2" s="31"/>
      <c r="H2" s="31"/>
      <c r="I2" s="31"/>
      <c r="J2" s="31"/>
      <c r="K2" s="31"/>
    </row>
    <row r="3" spans="1:11" ht="15.75" x14ac:dyDescent="0.45">
      <c r="A3" s="96"/>
      <c r="B3" s="96"/>
      <c r="C3" s="96"/>
      <c r="D3" s="96"/>
      <c r="E3" s="96"/>
      <c r="F3" s="96"/>
      <c r="G3" s="31"/>
      <c r="H3" s="31"/>
      <c r="I3" s="31"/>
      <c r="J3" s="31"/>
      <c r="K3" s="31"/>
    </row>
    <row r="4" spans="1:11" x14ac:dyDescent="0.45">
      <c r="A4" s="27"/>
      <c r="B4" s="33"/>
      <c r="C4" s="246">
        <v>2024</v>
      </c>
      <c r="D4" s="97"/>
      <c r="E4" s="97"/>
      <c r="F4" s="131"/>
      <c r="G4" s="31"/>
      <c r="H4" s="31"/>
      <c r="I4" s="31"/>
      <c r="J4" s="31"/>
    </row>
    <row r="5" spans="1:11" x14ac:dyDescent="0.45">
      <c r="A5" s="31"/>
      <c r="B5" s="31"/>
      <c r="C5" s="32" t="s">
        <v>7</v>
      </c>
      <c r="D5" s="32" t="s">
        <v>8</v>
      </c>
      <c r="E5" s="32"/>
      <c r="F5" s="132" t="s">
        <v>9</v>
      </c>
      <c r="G5" s="31"/>
      <c r="H5" s="156" t="s">
        <v>76</v>
      </c>
      <c r="I5" s="31"/>
      <c r="J5" s="31"/>
    </row>
    <row r="6" spans="1:11" x14ac:dyDescent="0.45">
      <c r="A6" s="59" t="s">
        <v>89</v>
      </c>
      <c r="B6" s="31"/>
      <c r="C6" s="31"/>
      <c r="F6" s="131"/>
      <c r="G6" s="31"/>
      <c r="I6" s="31"/>
      <c r="J6" s="31"/>
    </row>
    <row r="7" spans="1:11" x14ac:dyDescent="0.45">
      <c r="A7" s="31"/>
      <c r="B7" s="163" t="s">
        <v>73</v>
      </c>
      <c r="C7" s="4">
        <v>1920541</v>
      </c>
      <c r="D7" s="101">
        <f>'Existing Billing Analysis'!G12</f>
        <v>36969.611999999965</v>
      </c>
      <c r="E7" s="353" t="s">
        <v>277</v>
      </c>
      <c r="F7" s="140">
        <f>C7+D7</f>
        <v>1957510.612</v>
      </c>
      <c r="G7" s="161"/>
      <c r="H7" s="31" t="s">
        <v>148</v>
      </c>
      <c r="I7" s="31"/>
      <c r="J7" s="31"/>
    </row>
    <row r="8" spans="1:11" x14ac:dyDescent="0.45">
      <c r="A8" s="31"/>
      <c r="B8" s="168" t="s">
        <v>79</v>
      </c>
      <c r="C8" s="164">
        <v>0</v>
      </c>
      <c r="D8" s="101">
        <v>0</v>
      </c>
      <c r="E8" s="353"/>
      <c r="F8" s="140">
        <f t="shared" ref="F8:F9" si="0">C8+D8</f>
        <v>0</v>
      </c>
      <c r="G8" s="162"/>
      <c r="H8" s="30"/>
      <c r="I8" s="31"/>
      <c r="J8" s="31"/>
    </row>
    <row r="9" spans="1:11" x14ac:dyDescent="0.45">
      <c r="A9" s="31"/>
      <c r="B9" s="163" t="s">
        <v>74</v>
      </c>
      <c r="C9" s="4">
        <v>0</v>
      </c>
      <c r="D9" s="101">
        <v>0</v>
      </c>
      <c r="E9" s="353"/>
      <c r="F9" s="141">
        <f t="shared" si="0"/>
        <v>0</v>
      </c>
      <c r="G9" s="31"/>
      <c r="H9" s="31"/>
      <c r="I9" s="31"/>
      <c r="J9" s="31"/>
    </row>
    <row r="10" spans="1:11" x14ac:dyDescent="0.45">
      <c r="A10" s="31"/>
      <c r="B10" s="163" t="s">
        <v>220</v>
      </c>
      <c r="C10" s="2">
        <v>32952</v>
      </c>
      <c r="D10" s="61">
        <v>0</v>
      </c>
      <c r="E10" s="354"/>
      <c r="F10" s="142">
        <f>C10+D10</f>
        <v>32952</v>
      </c>
      <c r="G10" s="31"/>
      <c r="H10" s="31"/>
      <c r="I10" s="31"/>
      <c r="J10" s="31"/>
    </row>
    <row r="11" spans="1:11" x14ac:dyDescent="0.45">
      <c r="A11" s="34" t="s">
        <v>90</v>
      </c>
      <c r="B11" s="31"/>
      <c r="C11" s="140">
        <f>SUM(C7:C10)</f>
        <v>1953493</v>
      </c>
      <c r="D11" s="31">
        <f>SUM(D7:D10)</f>
        <v>36969.611999999965</v>
      </c>
      <c r="E11" s="33"/>
      <c r="F11" s="140">
        <f>SUM(F7:F10)</f>
        <v>1990462.612</v>
      </c>
      <c r="G11" s="31"/>
      <c r="I11" s="33"/>
      <c r="J11" s="31"/>
    </row>
    <row r="12" spans="1:11" x14ac:dyDescent="0.45">
      <c r="A12" s="31"/>
      <c r="B12" s="31"/>
      <c r="C12" s="31"/>
      <c r="D12" s="101"/>
      <c r="E12" s="353"/>
      <c r="F12" s="131"/>
      <c r="G12" s="31"/>
      <c r="H12" s="31"/>
      <c r="I12" s="31"/>
      <c r="J12" s="31"/>
    </row>
    <row r="13" spans="1:11" x14ac:dyDescent="0.45">
      <c r="A13" s="59" t="s">
        <v>72</v>
      </c>
      <c r="B13" s="31"/>
      <c r="C13" s="31"/>
      <c r="D13" s="101"/>
      <c r="E13" s="353"/>
      <c r="F13" s="131"/>
      <c r="G13" s="31"/>
      <c r="H13" s="31"/>
      <c r="I13" s="167"/>
      <c r="J13" s="31"/>
    </row>
    <row r="14" spans="1:11" x14ac:dyDescent="0.45">
      <c r="A14" s="31"/>
      <c r="B14" s="163" t="s">
        <v>81</v>
      </c>
      <c r="C14" s="50">
        <v>334708</v>
      </c>
      <c r="D14" s="101">
        <f>Wages!H22</f>
        <v>75472.940999999992</v>
      </c>
      <c r="E14" s="353" t="s">
        <v>279</v>
      </c>
      <c r="F14" s="140"/>
      <c r="G14" s="161"/>
      <c r="H14" s="31"/>
      <c r="I14" s="31"/>
      <c r="J14" s="31"/>
    </row>
    <row r="15" spans="1:11" x14ac:dyDescent="0.45">
      <c r="A15" s="31"/>
      <c r="B15" s="163"/>
      <c r="C15" s="50"/>
      <c r="D15" s="101">
        <f>-'Tap Fees'!B7</f>
        <v>-17550</v>
      </c>
      <c r="E15" s="353" t="s">
        <v>284</v>
      </c>
      <c r="F15" s="140">
        <f>C14+D14+D15</f>
        <v>392630.94099999999</v>
      </c>
      <c r="G15" s="161"/>
      <c r="H15" s="31" t="s">
        <v>201</v>
      </c>
      <c r="I15" s="31"/>
      <c r="J15" s="31"/>
    </row>
    <row r="16" spans="1:11" x14ac:dyDescent="0.45">
      <c r="A16" s="31"/>
      <c r="B16" s="163" t="s">
        <v>82</v>
      </c>
      <c r="C16" s="50">
        <v>10250</v>
      </c>
      <c r="D16" s="101">
        <v>0</v>
      </c>
      <c r="E16" s="353"/>
      <c r="F16" s="140">
        <f t="shared" ref="F16:F27" si="1">C16+D16</f>
        <v>10250</v>
      </c>
      <c r="G16" s="161"/>
      <c r="H16" s="31"/>
      <c r="I16" s="31"/>
      <c r="J16" s="31"/>
    </row>
    <row r="17" spans="1:10" x14ac:dyDescent="0.45">
      <c r="A17" s="31"/>
      <c r="B17" s="163" t="s">
        <v>83</v>
      </c>
      <c r="C17" s="50">
        <v>54940</v>
      </c>
      <c r="D17" s="101">
        <f>Medical!C15</f>
        <v>54806.18</v>
      </c>
      <c r="E17" s="353" t="s">
        <v>280</v>
      </c>
      <c r="F17" s="140">
        <f t="shared" si="1"/>
        <v>109746.18</v>
      </c>
      <c r="G17" s="161"/>
      <c r="H17" s="31" t="s">
        <v>269</v>
      </c>
      <c r="I17" s="31"/>
      <c r="J17" s="31"/>
    </row>
    <row r="18" spans="1:10" x14ac:dyDescent="0.45">
      <c r="A18" s="31"/>
      <c r="B18" s="163" t="s">
        <v>84</v>
      </c>
      <c r="C18" s="311">
        <v>584741</v>
      </c>
      <c r="D18" s="101">
        <f>'Water Loss Surcharge'!F36</f>
        <v>-111570.15181717934</v>
      </c>
      <c r="E18" s="353" t="s">
        <v>281</v>
      </c>
      <c r="F18" s="140">
        <f t="shared" si="1"/>
        <v>473170.84818282066</v>
      </c>
      <c r="G18" s="161"/>
      <c r="H18" s="31" t="s">
        <v>142</v>
      </c>
      <c r="I18" s="31"/>
      <c r="J18" s="31"/>
    </row>
    <row r="19" spans="1:10" x14ac:dyDescent="0.45">
      <c r="A19" s="31"/>
      <c r="B19" s="163" t="s">
        <v>87</v>
      </c>
      <c r="C19" s="311">
        <v>70762</v>
      </c>
      <c r="D19" s="101">
        <f>'Water Loss Surcharge'!F37</f>
        <v>-13501.579473454478</v>
      </c>
      <c r="E19" s="353" t="s">
        <v>281</v>
      </c>
      <c r="F19" s="140">
        <f t="shared" si="1"/>
        <v>57260.420526545524</v>
      </c>
      <c r="G19" s="161"/>
      <c r="H19" s="31" t="s">
        <v>142</v>
      </c>
      <c r="I19" s="31"/>
      <c r="J19" s="31"/>
    </row>
    <row r="20" spans="1:10" x14ac:dyDescent="0.45">
      <c r="A20" s="31"/>
      <c r="B20" s="163" t="s">
        <v>143</v>
      </c>
      <c r="C20" s="311">
        <v>0</v>
      </c>
      <c r="D20" s="101">
        <f>'Water Loss Surcharge'!F38</f>
        <v>0</v>
      </c>
      <c r="E20" s="353"/>
      <c r="F20" s="140"/>
      <c r="G20" s="161"/>
      <c r="H20" s="31"/>
      <c r="I20" s="31"/>
      <c r="J20" s="31"/>
    </row>
    <row r="21" spans="1:10" x14ac:dyDescent="0.45">
      <c r="A21" s="31"/>
      <c r="B21" s="163" t="s">
        <v>80</v>
      </c>
      <c r="C21" s="311">
        <v>225205</v>
      </c>
      <c r="D21" s="101">
        <f>-'Tap Fees'!B8</f>
        <v>-40950</v>
      </c>
      <c r="E21" s="353" t="s">
        <v>284</v>
      </c>
      <c r="F21" s="140">
        <f t="shared" si="1"/>
        <v>184255</v>
      </c>
      <c r="G21" s="161"/>
      <c r="H21" s="31" t="s">
        <v>202</v>
      </c>
      <c r="I21" s="31"/>
      <c r="J21" s="31"/>
    </row>
    <row r="22" spans="1:10" x14ac:dyDescent="0.45">
      <c r="A22" s="31"/>
      <c r="B22" s="163" t="s">
        <v>221</v>
      </c>
      <c r="C22" s="50">
        <v>210401</v>
      </c>
      <c r="D22" s="101">
        <f>D16*0.035</f>
        <v>0</v>
      </c>
      <c r="E22" s="353"/>
      <c r="F22" s="140">
        <f t="shared" si="1"/>
        <v>210401</v>
      </c>
      <c r="G22" s="161"/>
      <c r="H22" s="31"/>
      <c r="I22" s="31"/>
      <c r="J22" s="31"/>
    </row>
    <row r="23" spans="1:10" x14ac:dyDescent="0.45">
      <c r="A23" s="31"/>
      <c r="B23" s="163" t="s">
        <v>85</v>
      </c>
      <c r="C23" s="311">
        <v>63420</v>
      </c>
      <c r="D23" s="101">
        <v>0</v>
      </c>
      <c r="E23" s="353"/>
      <c r="F23" s="140">
        <f t="shared" si="1"/>
        <v>63420</v>
      </c>
      <c r="G23" s="161"/>
      <c r="H23" s="31" t="s">
        <v>33</v>
      </c>
      <c r="I23" s="31"/>
      <c r="J23" s="31"/>
    </row>
    <row r="24" spans="1:10" x14ac:dyDescent="0.45">
      <c r="A24" s="31"/>
      <c r="B24" s="163" t="s">
        <v>222</v>
      </c>
      <c r="C24" s="311">
        <v>43621</v>
      </c>
      <c r="D24" s="101">
        <v>0</v>
      </c>
      <c r="E24" s="353"/>
      <c r="F24" s="140">
        <f t="shared" si="1"/>
        <v>43621</v>
      </c>
      <c r="G24" s="161"/>
      <c r="H24" s="31"/>
      <c r="I24" s="31"/>
      <c r="J24" s="31"/>
    </row>
    <row r="25" spans="1:10" x14ac:dyDescent="0.45">
      <c r="A25" s="31"/>
      <c r="B25" s="163" t="s">
        <v>150</v>
      </c>
      <c r="C25" s="311">
        <v>0</v>
      </c>
      <c r="D25" s="101">
        <f>'Rate Case Expenses'!B7</f>
        <v>3111.6666666666665</v>
      </c>
      <c r="E25" s="353" t="s">
        <v>285</v>
      </c>
      <c r="F25" s="140">
        <f t="shared" si="1"/>
        <v>3111.6666666666665</v>
      </c>
      <c r="G25" s="161"/>
      <c r="H25" s="31"/>
      <c r="I25" s="31"/>
      <c r="J25" s="31"/>
    </row>
    <row r="26" spans="1:10" x14ac:dyDescent="0.45">
      <c r="A26" s="31"/>
      <c r="B26" s="163" t="s">
        <v>223</v>
      </c>
      <c r="C26" s="311">
        <v>24501</v>
      </c>
      <c r="D26" s="101">
        <v>0</v>
      </c>
      <c r="E26" s="353"/>
      <c r="F26" s="140"/>
      <c r="G26" s="161"/>
      <c r="H26" s="31"/>
      <c r="I26" s="31"/>
      <c r="J26" s="31"/>
    </row>
    <row r="27" spans="1:10" x14ac:dyDescent="0.45">
      <c r="A27" s="31"/>
      <c r="B27" s="163" t="s">
        <v>86</v>
      </c>
      <c r="C27" s="312">
        <v>244330</v>
      </c>
      <c r="D27" s="61">
        <v>0</v>
      </c>
      <c r="E27" s="354"/>
      <c r="F27" s="142">
        <f t="shared" si="1"/>
        <v>244330</v>
      </c>
      <c r="G27" s="161"/>
      <c r="H27" s="31"/>
      <c r="I27" s="31"/>
      <c r="J27" s="31"/>
    </row>
    <row r="28" spans="1:10" x14ac:dyDescent="0.45">
      <c r="A28" s="126" t="s">
        <v>91</v>
      </c>
      <c r="C28" s="98">
        <f>SUM(C14:C27)</f>
        <v>1866879</v>
      </c>
      <c r="D28" s="4">
        <f>SUM(D14:D27)</f>
        <v>-50180.94362396717</v>
      </c>
      <c r="F28" s="4">
        <f>SUM(F14:F27)</f>
        <v>1792197.0563760328</v>
      </c>
    </row>
    <row r="29" spans="1:10" x14ac:dyDescent="0.45">
      <c r="A29" s="126"/>
      <c r="C29" s="98"/>
      <c r="F29" s="4"/>
    </row>
    <row r="30" spans="1:10" x14ac:dyDescent="0.45">
      <c r="A30" s="126" t="s">
        <v>93</v>
      </c>
      <c r="C30" s="98"/>
      <c r="F30" s="4"/>
    </row>
    <row r="31" spans="1:10" x14ac:dyDescent="0.45">
      <c r="B31" s="4" t="s">
        <v>88</v>
      </c>
      <c r="C31" s="4">
        <v>312498</v>
      </c>
      <c r="D31" s="50">
        <f>Depreciation!F49</f>
        <v>-60056.761086984101</v>
      </c>
      <c r="E31" s="355" t="s">
        <v>283</v>
      </c>
      <c r="F31" s="140">
        <f>C31+D31</f>
        <v>252441.2389130159</v>
      </c>
    </row>
    <row r="32" spans="1:10" x14ac:dyDescent="0.45">
      <c r="A32" s="126"/>
      <c r="B32" s="4" t="s">
        <v>92</v>
      </c>
      <c r="C32" s="313">
        <v>24515</v>
      </c>
      <c r="D32" s="2">
        <f>Wages!H28</f>
        <v>6863.8419864999996</v>
      </c>
      <c r="E32" s="356" t="s">
        <v>282</v>
      </c>
      <c r="F32" s="2">
        <f>C32+D32</f>
        <v>31378.8419865</v>
      </c>
    </row>
    <row r="33" spans="1:10" x14ac:dyDescent="0.45">
      <c r="A33" s="126" t="s">
        <v>94</v>
      </c>
      <c r="C33" s="166">
        <f>SUM(C31:C32)</f>
        <v>337013</v>
      </c>
      <c r="D33" s="3">
        <f t="shared" ref="D33:F33" si="2">SUM(D31:D32)</f>
        <v>-53192.919100484098</v>
      </c>
      <c r="E33" s="357"/>
      <c r="F33" s="3">
        <f t="shared" si="2"/>
        <v>283820.08089951589</v>
      </c>
    </row>
    <row r="34" spans="1:10" x14ac:dyDescent="0.45">
      <c r="A34" s="126"/>
      <c r="C34" s="166"/>
      <c r="D34" s="3"/>
      <c r="E34" s="357"/>
      <c r="F34" s="3"/>
    </row>
    <row r="35" spans="1:10" x14ac:dyDescent="0.45">
      <c r="A35" s="126" t="s">
        <v>95</v>
      </c>
      <c r="C35" s="166"/>
      <c r="D35" s="3"/>
      <c r="E35" s="357"/>
      <c r="F35" s="3"/>
    </row>
    <row r="36" spans="1:10" x14ac:dyDescent="0.45">
      <c r="A36" s="126"/>
      <c r="B36" s="4" t="s">
        <v>97</v>
      </c>
      <c r="C36" s="166">
        <v>98</v>
      </c>
      <c r="D36" s="4">
        <v>0</v>
      </c>
      <c r="F36" s="98">
        <f>C36+D36</f>
        <v>98</v>
      </c>
    </row>
    <row r="37" spans="1:10" x14ac:dyDescent="0.45">
      <c r="A37" s="126"/>
      <c r="B37" s="4" t="s">
        <v>96</v>
      </c>
      <c r="C37" s="165">
        <v>0</v>
      </c>
      <c r="D37" s="302">
        <v>0</v>
      </c>
      <c r="E37" s="358"/>
      <c r="F37" s="2">
        <f>C37+D37</f>
        <v>0</v>
      </c>
    </row>
    <row r="38" spans="1:10" x14ac:dyDescent="0.45">
      <c r="A38" s="126" t="s">
        <v>98</v>
      </c>
      <c r="C38" s="166">
        <f>SUM(C36:C37)</f>
        <v>98</v>
      </c>
      <c r="D38" s="3">
        <f t="shared" ref="D38" si="3">SUM(D36:D37)</f>
        <v>0</v>
      </c>
      <c r="E38" s="357"/>
      <c r="F38" s="3">
        <f t="shared" ref="F38" si="4">SUM(F36:F37)</f>
        <v>98</v>
      </c>
    </row>
    <row r="39" spans="1:10" x14ac:dyDescent="0.45">
      <c r="A39" s="126"/>
      <c r="C39" s="166"/>
      <c r="D39" s="3"/>
      <c r="E39" s="357"/>
      <c r="F39" s="3"/>
    </row>
    <row r="40" spans="1:10" ht="14.65" thickBot="1" x14ac:dyDescent="0.5">
      <c r="A40" s="126" t="s">
        <v>99</v>
      </c>
      <c r="C40" s="176">
        <f>C11-C28-C33+C38</f>
        <v>-250301</v>
      </c>
      <c r="D40" s="176">
        <f>D11-D28-D33+D38</f>
        <v>140343.47472445125</v>
      </c>
      <c r="E40" s="359"/>
      <c r="F40" s="176">
        <f>F11-F28-F33+F38</f>
        <v>-85456.525275548687</v>
      </c>
    </row>
    <row r="41" spans="1:10" ht="14.65" thickTop="1" x14ac:dyDescent="0.45">
      <c r="A41" s="126"/>
      <c r="F41" s="4"/>
    </row>
    <row r="42" spans="1:10" x14ac:dyDescent="0.45">
      <c r="A42" s="126" t="s">
        <v>100</v>
      </c>
      <c r="F42" s="4"/>
    </row>
    <row r="43" spans="1:10" x14ac:dyDescent="0.45">
      <c r="A43" s="126"/>
      <c r="B43" s="4" t="s">
        <v>101</v>
      </c>
      <c r="C43" s="4">
        <v>-339876</v>
      </c>
      <c r="F43" s="4"/>
    </row>
    <row r="44" spans="1:10" x14ac:dyDescent="0.45">
      <c r="A44" s="126"/>
      <c r="B44" s="4" t="s">
        <v>102</v>
      </c>
      <c r="C44" s="4">
        <v>89477</v>
      </c>
      <c r="F44" s="4"/>
    </row>
    <row r="45" spans="1:10" x14ac:dyDescent="0.45">
      <c r="A45" s="126"/>
      <c r="B45" s="4" t="s">
        <v>103</v>
      </c>
      <c r="C45" s="2">
        <v>0</v>
      </c>
      <c r="F45" s="4"/>
    </row>
    <row r="46" spans="1:10" x14ac:dyDescent="0.45">
      <c r="A46" s="126" t="s">
        <v>100</v>
      </c>
      <c r="C46" s="4">
        <f>SUM(C43:C45)</f>
        <v>-250399</v>
      </c>
      <c r="D46" s="98" t="str">
        <f>IF(C46=C40,"OK","Out of Balance")</f>
        <v>Out of Balance</v>
      </c>
      <c r="F46" s="4"/>
    </row>
    <row r="47" spans="1:10" x14ac:dyDescent="0.45">
      <c r="A47" s="31"/>
      <c r="B47" s="31"/>
      <c r="C47" s="31"/>
      <c r="D47" s="31"/>
      <c r="E47" s="33"/>
      <c r="F47" s="131"/>
      <c r="G47" s="31"/>
      <c r="H47" s="31"/>
      <c r="I47" s="31"/>
      <c r="J47" s="31"/>
    </row>
    <row r="48" spans="1:10" x14ac:dyDescent="0.45">
      <c r="A48" s="31" t="s">
        <v>17</v>
      </c>
      <c r="B48" s="31"/>
      <c r="C48" s="143">
        <f>C46-C40</f>
        <v>-98</v>
      </c>
      <c r="D48" s="31" t="s">
        <v>268</v>
      </c>
      <c r="E48" s="33"/>
      <c r="F48" s="131"/>
    </row>
    <row r="49" spans="1:6" x14ac:dyDescent="0.45">
      <c r="A49" s="34"/>
      <c r="B49" s="31"/>
      <c r="C49" s="35"/>
      <c r="D49" s="31"/>
      <c r="E49" s="33"/>
      <c r="F49" s="131"/>
    </row>
  </sheetData>
  <mergeCells count="2">
    <mergeCell ref="A1:F1"/>
    <mergeCell ref="A2:F2"/>
  </mergeCells>
  <printOptions horizontalCentered="1" verticalCentered="1"/>
  <pageMargins left="0.45" right="0.25" top="0.5" bottom="0.5" header="0.3" footer="0.3"/>
  <pageSetup orientation="portrait" horizontalDpi="4294967293" r:id="rId1"/>
  <rowBreaks count="1" manualBreakCount="1">
    <brk id="4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G49"/>
  <sheetViews>
    <sheetView showGridLines="0" topLeftCell="A16" workbookViewId="0">
      <selection sqref="A1:I50"/>
    </sheetView>
  </sheetViews>
  <sheetFormatPr defaultColWidth="8.83203125" defaultRowHeight="16.05" customHeight="1" x14ac:dyDescent="0.45"/>
  <cols>
    <col min="1" max="1" width="2.83203125" style="13" customWidth="1"/>
    <col min="2" max="2" width="2.609375" style="13" customWidth="1"/>
    <col min="3" max="3" width="30.5546875" style="29" customWidth="1"/>
    <col min="4" max="4" width="9.38671875" style="15" bestFit="1" customWidth="1"/>
    <col min="5" max="5" width="9.609375" style="15" customWidth="1"/>
    <col min="6" max="7" width="9.609375" style="29" customWidth="1"/>
    <col min="8" max="8" width="2.609375" style="13" customWidth="1"/>
    <col min="9" max="9" width="2" style="13" customWidth="1"/>
    <col min="10" max="10" width="9.609375" style="42" customWidth="1"/>
    <col min="11" max="189" width="9.609375" style="13" customWidth="1"/>
    <col min="190" max="16384" width="8.83203125" style="9"/>
  </cols>
  <sheetData>
    <row r="2" spans="2:10" ht="16.05" customHeight="1" x14ac:dyDescent="0.65">
      <c r="B2" s="403" t="s">
        <v>295</v>
      </c>
      <c r="C2" s="404"/>
      <c r="D2" s="404"/>
      <c r="E2" s="404"/>
      <c r="F2" s="404"/>
      <c r="G2" s="404"/>
      <c r="H2" s="405"/>
    </row>
    <row r="3" spans="2:10" ht="16.05" customHeight="1" x14ac:dyDescent="0.65">
      <c r="B3" s="407" t="s">
        <v>12</v>
      </c>
      <c r="C3" s="408"/>
      <c r="D3" s="408"/>
      <c r="E3" s="408"/>
      <c r="F3" s="408"/>
      <c r="G3" s="408"/>
      <c r="H3" s="409"/>
    </row>
    <row r="4" spans="2:10" ht="16.05" customHeight="1" x14ac:dyDescent="0.45">
      <c r="B4" s="410" t="s">
        <v>218</v>
      </c>
      <c r="C4" s="411"/>
      <c r="D4" s="411"/>
      <c r="E4" s="411"/>
      <c r="F4" s="411"/>
      <c r="G4" s="411"/>
      <c r="H4" s="412"/>
    </row>
    <row r="5" spans="2:10" ht="16.05" customHeight="1" x14ac:dyDescent="0.45">
      <c r="B5" s="43"/>
      <c r="H5" s="44"/>
    </row>
    <row r="6" spans="2:10" ht="16.05" customHeight="1" x14ac:dyDescent="0.45">
      <c r="B6" s="92"/>
      <c r="C6" s="94"/>
      <c r="D6" s="95"/>
      <c r="E6" s="95"/>
      <c r="F6" s="94"/>
      <c r="G6" s="94"/>
      <c r="H6" s="93"/>
    </row>
    <row r="7" spans="2:10" ht="16.05" customHeight="1" x14ac:dyDescent="0.55000000000000004">
      <c r="B7" s="413" t="s">
        <v>232</v>
      </c>
      <c r="C7" s="414"/>
      <c r="D7" s="414"/>
      <c r="E7" s="414"/>
      <c r="F7" s="414"/>
      <c r="G7" s="414"/>
      <c r="H7" s="415"/>
    </row>
    <row r="8" spans="2:10" ht="16.05" customHeight="1" x14ac:dyDescent="0.55000000000000004">
      <c r="B8" s="46"/>
      <c r="C8" s="47"/>
      <c r="D8" s="47"/>
      <c r="E8" s="47"/>
      <c r="F8" s="47"/>
      <c r="G8" s="47"/>
      <c r="H8" s="48"/>
    </row>
    <row r="9" spans="2:10" ht="16.05" customHeight="1" x14ac:dyDescent="0.75">
      <c r="B9" s="43"/>
      <c r="C9" s="14" t="s">
        <v>53</v>
      </c>
      <c r="D9" s="91" t="s">
        <v>13</v>
      </c>
      <c r="E9" s="91" t="s">
        <v>0</v>
      </c>
      <c r="F9" s="406" t="s">
        <v>17</v>
      </c>
      <c r="G9" s="406"/>
      <c r="H9" s="48"/>
      <c r="J9" s="54"/>
    </row>
    <row r="10" spans="2:10" ht="16.05" customHeight="1" x14ac:dyDescent="0.55000000000000004">
      <c r="B10" s="107"/>
      <c r="C10" s="108" t="s">
        <v>69</v>
      </c>
      <c r="D10" s="109">
        <v>34.630000000000003</v>
      </c>
      <c r="E10" s="110">
        <f>ROUND(D10*(1+'Revenue Requirement'!$F$21),2)</f>
        <v>43.24</v>
      </c>
      <c r="F10" s="109">
        <f t="shared" ref="F10:F13" si="0">E10-D10</f>
        <v>8.61</v>
      </c>
      <c r="G10" s="111">
        <f t="shared" ref="G10:G13" si="1">F10/D10</f>
        <v>0.24862835691596877</v>
      </c>
      <c r="H10" s="112"/>
      <c r="J10" s="53"/>
    </row>
    <row r="11" spans="2:10" ht="16.05" customHeight="1" x14ac:dyDescent="0.55000000000000004">
      <c r="B11" s="107"/>
      <c r="C11" s="108" t="s">
        <v>162</v>
      </c>
      <c r="D11" s="252">
        <v>9.5999999999999992E-3</v>
      </c>
      <c r="E11" s="253">
        <f>ROUND(D11*(1+'Revenue Requirement'!$F$21),5)</f>
        <v>1.1990000000000001E-2</v>
      </c>
      <c r="F11" s="252">
        <f t="shared" si="0"/>
        <v>2.3900000000000015E-3</v>
      </c>
      <c r="G11" s="111">
        <f t="shared" si="1"/>
        <v>0.2489583333333335</v>
      </c>
      <c r="H11" s="112"/>
      <c r="J11" s="53"/>
    </row>
    <row r="12" spans="2:10" ht="16.05" customHeight="1" x14ac:dyDescent="0.55000000000000004">
      <c r="B12" s="107"/>
      <c r="C12" s="108" t="s">
        <v>161</v>
      </c>
      <c r="D12" s="252">
        <v>8.4899999999999993E-3</v>
      </c>
      <c r="E12" s="253">
        <f>ROUND(D12*(1+'Revenue Requirement'!$F$21),5)</f>
        <v>1.06E-2</v>
      </c>
      <c r="F12" s="252">
        <f t="shared" si="0"/>
        <v>2.1100000000000008E-3</v>
      </c>
      <c r="G12" s="111">
        <f t="shared" si="1"/>
        <v>0.24852767962308608</v>
      </c>
      <c r="H12" s="112"/>
      <c r="J12" s="53"/>
    </row>
    <row r="13" spans="2:10" ht="16.05" customHeight="1" x14ac:dyDescent="0.55000000000000004">
      <c r="B13" s="107"/>
      <c r="C13" s="108" t="s">
        <v>163</v>
      </c>
      <c r="D13" s="252">
        <v>7.3499999999999998E-3</v>
      </c>
      <c r="E13" s="253">
        <f>ROUND(D13*(1+'Revenue Requirement'!$F$21),5)</f>
        <v>9.1800000000000007E-3</v>
      </c>
      <c r="F13" s="252">
        <f t="shared" si="0"/>
        <v>1.8300000000000009E-3</v>
      </c>
      <c r="G13" s="111">
        <f t="shared" si="1"/>
        <v>0.24897959183673482</v>
      </c>
      <c r="H13" s="112"/>
      <c r="J13" s="53"/>
    </row>
    <row r="14" spans="2:10" ht="16.05" customHeight="1" x14ac:dyDescent="0.55000000000000004">
      <c r="B14" s="113"/>
      <c r="C14" s="114"/>
      <c r="D14" s="114"/>
      <c r="E14" s="115"/>
      <c r="F14" s="114"/>
      <c r="G14" s="116"/>
      <c r="H14" s="117"/>
    </row>
    <row r="15" spans="2:10" ht="16.05" customHeight="1" x14ac:dyDescent="0.55000000000000004">
      <c r="B15" s="118"/>
      <c r="C15" s="109"/>
      <c r="D15" s="109"/>
      <c r="E15" s="110"/>
      <c r="F15" s="109"/>
      <c r="G15" s="111"/>
      <c r="H15" s="112"/>
    </row>
    <row r="16" spans="2:10" ht="16.05" customHeight="1" x14ac:dyDescent="0.55000000000000004">
      <c r="B16" s="400" t="s">
        <v>233</v>
      </c>
      <c r="C16" s="401"/>
      <c r="D16" s="401"/>
      <c r="E16" s="401"/>
      <c r="F16" s="401"/>
      <c r="G16" s="401"/>
      <c r="H16" s="402"/>
    </row>
    <row r="17" spans="2:8" ht="16.05" customHeight="1" x14ac:dyDescent="0.55000000000000004">
      <c r="B17" s="119"/>
      <c r="C17" s="120"/>
      <c r="D17" s="120"/>
      <c r="E17" s="120"/>
      <c r="F17" s="120"/>
      <c r="G17" s="120"/>
      <c r="H17" s="112"/>
    </row>
    <row r="18" spans="2:8" ht="16.05" customHeight="1" x14ac:dyDescent="0.75">
      <c r="B18" s="107"/>
      <c r="C18" s="121" t="s">
        <v>53</v>
      </c>
      <c r="D18" s="122" t="s">
        <v>13</v>
      </c>
      <c r="E18" s="122" t="s">
        <v>0</v>
      </c>
      <c r="F18" s="399" t="s">
        <v>17</v>
      </c>
      <c r="G18" s="399"/>
      <c r="H18" s="112"/>
    </row>
    <row r="19" spans="2:8" ht="16.05" customHeight="1" x14ac:dyDescent="0.55000000000000004">
      <c r="B19" s="118"/>
      <c r="C19" s="108" t="s">
        <v>78</v>
      </c>
      <c r="D19" s="109">
        <v>63.78</v>
      </c>
      <c r="E19" s="110">
        <f>ROUND(D19*(1+'Revenue Requirement'!$F$21),2)</f>
        <v>79.64</v>
      </c>
      <c r="F19" s="109">
        <f>E19-D19</f>
        <v>15.86</v>
      </c>
      <c r="G19" s="111">
        <f>F19/D19</f>
        <v>0.24866729382251487</v>
      </c>
      <c r="H19" s="112"/>
    </row>
    <row r="20" spans="2:8" ht="16.05" customHeight="1" x14ac:dyDescent="0.55000000000000004">
      <c r="B20" s="118"/>
      <c r="C20" s="108" t="s">
        <v>161</v>
      </c>
      <c r="D20" s="252">
        <v>8.4899999999999993E-3</v>
      </c>
      <c r="E20" s="253">
        <f>ROUND(D20*(1+'Revenue Requirement'!$F$21),5)</f>
        <v>1.06E-2</v>
      </c>
      <c r="F20" s="252">
        <f t="shared" ref="F20:F21" si="2">E20-D20</f>
        <v>2.1100000000000008E-3</v>
      </c>
      <c r="G20" s="111">
        <f t="shared" ref="G20:G21" si="3">F20/D20</f>
        <v>0.24852767962308608</v>
      </c>
      <c r="H20" s="112"/>
    </row>
    <row r="21" spans="2:8" ht="16.05" customHeight="1" x14ac:dyDescent="0.55000000000000004">
      <c r="B21" s="118"/>
      <c r="C21" s="108" t="s">
        <v>163</v>
      </c>
      <c r="D21" s="252">
        <v>7.3499999999999998E-3</v>
      </c>
      <c r="E21" s="253">
        <f>ROUND(D21*(1+'Revenue Requirement'!$F$21),5)</f>
        <v>9.1800000000000007E-3</v>
      </c>
      <c r="F21" s="252">
        <f t="shared" si="2"/>
        <v>1.8300000000000009E-3</v>
      </c>
      <c r="G21" s="111">
        <f t="shared" si="3"/>
        <v>0.24897959183673482</v>
      </c>
      <c r="H21" s="112"/>
    </row>
    <row r="22" spans="2:8" ht="16.05" customHeight="1" x14ac:dyDescent="0.55000000000000004">
      <c r="B22" s="113"/>
      <c r="C22" s="114"/>
      <c r="D22" s="114"/>
      <c r="E22" s="115"/>
      <c r="F22" s="114"/>
      <c r="G22" s="116"/>
      <c r="H22" s="117"/>
    </row>
    <row r="23" spans="2:8" ht="16.05" customHeight="1" x14ac:dyDescent="0.45">
      <c r="B23" s="92"/>
      <c r="H23" s="93"/>
    </row>
    <row r="24" spans="2:8" ht="16.05" customHeight="1" x14ac:dyDescent="0.55000000000000004">
      <c r="B24" s="400" t="s">
        <v>234</v>
      </c>
      <c r="C24" s="401"/>
      <c r="D24" s="401"/>
      <c r="E24" s="401"/>
      <c r="F24" s="401"/>
      <c r="G24" s="401"/>
      <c r="H24" s="402"/>
    </row>
    <row r="25" spans="2:8" ht="16.05" customHeight="1" x14ac:dyDescent="0.55000000000000004">
      <c r="B25" s="119"/>
      <c r="C25" s="120"/>
      <c r="D25" s="120"/>
      <c r="E25" s="120"/>
      <c r="F25" s="120"/>
      <c r="G25" s="120"/>
      <c r="H25" s="112"/>
    </row>
    <row r="26" spans="2:8" ht="16.05" customHeight="1" x14ac:dyDescent="0.75">
      <c r="B26" s="107"/>
      <c r="C26" s="121" t="s">
        <v>53</v>
      </c>
      <c r="D26" s="122" t="s">
        <v>13</v>
      </c>
      <c r="E26" s="122" t="s">
        <v>0</v>
      </c>
      <c r="F26" s="399" t="s">
        <v>17</v>
      </c>
      <c r="G26" s="399"/>
      <c r="H26" s="112"/>
    </row>
    <row r="27" spans="2:8" ht="16.05" customHeight="1" x14ac:dyDescent="0.55000000000000004">
      <c r="B27" s="118"/>
      <c r="C27" s="108" t="s">
        <v>274</v>
      </c>
      <c r="D27" s="109">
        <v>124.22</v>
      </c>
      <c r="E27" s="110">
        <f>ROUND(D27*(1+'Revenue Requirement'!$F$21),2)</f>
        <v>155.11000000000001</v>
      </c>
      <c r="F27" s="109">
        <f>E27-D27</f>
        <v>30.890000000000015</v>
      </c>
      <c r="G27" s="111">
        <f>F27/D27</f>
        <v>0.24867171147963302</v>
      </c>
      <c r="H27" s="112"/>
    </row>
    <row r="28" spans="2:8" ht="16.05" customHeight="1" x14ac:dyDescent="0.55000000000000004">
      <c r="B28" s="118"/>
      <c r="C28" s="108" t="s">
        <v>275</v>
      </c>
      <c r="D28" s="252">
        <v>7.3499999999999998E-3</v>
      </c>
      <c r="E28" s="253">
        <f>ROUND(D28*(1+'Revenue Requirement'!$F$21),5)</f>
        <v>9.1800000000000007E-3</v>
      </c>
      <c r="F28" s="252">
        <f t="shared" ref="F28" si="4">E28-D28</f>
        <v>1.8300000000000009E-3</v>
      </c>
      <c r="G28" s="111">
        <f t="shared" ref="G28" si="5">F28/D28</f>
        <v>0.24897959183673482</v>
      </c>
      <c r="H28" s="112"/>
    </row>
    <row r="29" spans="2:8" ht="16.05" customHeight="1" x14ac:dyDescent="0.55000000000000004">
      <c r="B29" s="113"/>
      <c r="C29" s="114"/>
      <c r="D29" s="114"/>
      <c r="E29" s="115"/>
      <c r="F29" s="114"/>
      <c r="G29" s="116"/>
      <c r="H29" s="117"/>
    </row>
    <row r="30" spans="2:8" ht="16.05" customHeight="1" x14ac:dyDescent="0.45">
      <c r="B30" s="92"/>
      <c r="H30" s="93"/>
    </row>
    <row r="31" spans="2:8" ht="16.05" customHeight="1" x14ac:dyDescent="0.55000000000000004">
      <c r="B31" s="400" t="s">
        <v>235</v>
      </c>
      <c r="C31" s="401"/>
      <c r="D31" s="401"/>
      <c r="E31" s="401"/>
      <c r="F31" s="401"/>
      <c r="G31" s="401"/>
      <c r="H31" s="402"/>
    </row>
    <row r="32" spans="2:8" ht="16.05" customHeight="1" x14ac:dyDescent="0.55000000000000004">
      <c r="B32" s="119"/>
      <c r="C32" s="120"/>
      <c r="D32" s="120"/>
      <c r="E32" s="120"/>
      <c r="F32" s="120"/>
      <c r="G32" s="120"/>
      <c r="H32" s="112"/>
    </row>
    <row r="33" spans="2:8" ht="16.05" customHeight="1" x14ac:dyDescent="0.75">
      <c r="B33" s="107"/>
      <c r="C33" s="121" t="s">
        <v>53</v>
      </c>
      <c r="D33" s="122" t="s">
        <v>13</v>
      </c>
      <c r="E33" s="122" t="s">
        <v>0</v>
      </c>
      <c r="F33" s="399" t="s">
        <v>17</v>
      </c>
      <c r="G33" s="399"/>
      <c r="H33" s="112"/>
    </row>
    <row r="34" spans="2:8" ht="16.05" customHeight="1" x14ac:dyDescent="0.55000000000000004">
      <c r="B34" s="118"/>
      <c r="C34" s="108" t="s">
        <v>238</v>
      </c>
      <c r="D34" s="109">
        <v>216.15</v>
      </c>
      <c r="E34" s="110">
        <f>ROUND(D34*(1+'Revenue Requirement'!$F$21),2)</f>
        <v>269.89999999999998</v>
      </c>
      <c r="F34" s="109">
        <f>E34-D34</f>
        <v>53.749999999999972</v>
      </c>
      <c r="G34" s="111">
        <f>F34/D34</f>
        <v>0.24866990515845463</v>
      </c>
      <c r="H34" s="112"/>
    </row>
    <row r="35" spans="2:8" ht="16.05" customHeight="1" x14ac:dyDescent="0.55000000000000004">
      <c r="B35" s="118"/>
      <c r="C35" s="108" t="s">
        <v>239</v>
      </c>
      <c r="D35" s="252">
        <v>7.3499999999999998E-3</v>
      </c>
      <c r="E35" s="253">
        <f>ROUND(D35*(1+'Revenue Requirement'!$F$21),5)</f>
        <v>9.1800000000000007E-3</v>
      </c>
      <c r="F35" s="252">
        <f t="shared" ref="F35" si="6">E35-D35</f>
        <v>1.8300000000000009E-3</v>
      </c>
      <c r="G35" s="111">
        <f t="shared" ref="G35" si="7">F35/D35</f>
        <v>0.24897959183673482</v>
      </c>
      <c r="H35" s="112"/>
    </row>
    <row r="36" spans="2:8" ht="16.05" customHeight="1" x14ac:dyDescent="0.55000000000000004">
      <c r="B36" s="113"/>
      <c r="C36" s="114"/>
      <c r="D36" s="114"/>
      <c r="E36" s="115"/>
      <c r="F36" s="114"/>
      <c r="G36" s="116"/>
      <c r="H36" s="117"/>
    </row>
    <row r="37" spans="2:8" ht="16.05" customHeight="1" x14ac:dyDescent="0.45">
      <c r="B37" s="92"/>
      <c r="H37" s="93"/>
    </row>
    <row r="38" spans="2:8" ht="16.05" customHeight="1" x14ac:dyDescent="0.55000000000000004">
      <c r="B38" s="400" t="s">
        <v>236</v>
      </c>
      <c r="C38" s="401"/>
      <c r="D38" s="401"/>
      <c r="E38" s="401"/>
      <c r="F38" s="401"/>
      <c r="G38" s="401"/>
      <c r="H38" s="402"/>
    </row>
    <row r="39" spans="2:8" ht="16.05" customHeight="1" x14ac:dyDescent="0.55000000000000004">
      <c r="B39" s="119"/>
      <c r="C39" s="120"/>
      <c r="D39" s="120"/>
      <c r="E39" s="120"/>
      <c r="F39" s="120"/>
      <c r="G39" s="120"/>
      <c r="H39" s="112"/>
    </row>
    <row r="40" spans="2:8" ht="16.05" customHeight="1" x14ac:dyDescent="0.75">
      <c r="B40" s="107"/>
      <c r="C40" s="121" t="s">
        <v>53</v>
      </c>
      <c r="D40" s="122" t="s">
        <v>13</v>
      </c>
      <c r="E40" s="122" t="s">
        <v>0</v>
      </c>
      <c r="F40" s="399" t="s">
        <v>17</v>
      </c>
      <c r="G40" s="399"/>
      <c r="H40" s="112"/>
    </row>
    <row r="41" spans="2:8" ht="16.05" customHeight="1" x14ac:dyDescent="0.55000000000000004">
      <c r="B41" s="118"/>
      <c r="C41" s="108" t="s">
        <v>237</v>
      </c>
      <c r="D41" s="109">
        <v>2238.56</v>
      </c>
      <c r="E41" s="110">
        <f>ROUND(D41*(1+'Revenue Requirement'!$F$21),2)</f>
        <v>2795.19</v>
      </c>
      <c r="F41" s="109">
        <f>E41-D41</f>
        <v>556.63000000000011</v>
      </c>
      <c r="G41" s="111">
        <f>F41/D41</f>
        <v>0.24865538560503186</v>
      </c>
      <c r="H41" s="112"/>
    </row>
    <row r="42" spans="2:8" ht="16.05" customHeight="1" x14ac:dyDescent="0.55000000000000004">
      <c r="B42" s="118"/>
      <c r="C42" s="108" t="s">
        <v>276</v>
      </c>
      <c r="D42" s="252">
        <v>7.3499999999999998E-3</v>
      </c>
      <c r="E42" s="253">
        <f>ROUND(D42*(1+'Revenue Requirement'!$F$21),5)</f>
        <v>9.1800000000000007E-3</v>
      </c>
      <c r="F42" s="252">
        <f t="shared" ref="F42" si="8">E42-D42</f>
        <v>1.8300000000000009E-3</v>
      </c>
      <c r="G42" s="111">
        <f t="shared" ref="G42" si="9">F42/D42</f>
        <v>0.24897959183673482</v>
      </c>
      <c r="H42" s="112"/>
    </row>
    <row r="43" spans="2:8" ht="16.05" customHeight="1" x14ac:dyDescent="0.55000000000000004">
      <c r="B43" s="113"/>
      <c r="C43" s="114"/>
      <c r="D43" s="114"/>
      <c r="E43" s="115"/>
      <c r="F43" s="114"/>
      <c r="G43" s="116"/>
      <c r="H43" s="117"/>
    </row>
    <row r="44" spans="2:8" ht="16.05" customHeight="1" x14ac:dyDescent="0.55000000000000004">
      <c r="B44" s="118"/>
      <c r="C44" s="109"/>
      <c r="D44" s="109"/>
      <c r="E44" s="110"/>
      <c r="F44" s="109"/>
      <c r="G44" s="111"/>
      <c r="H44" s="112"/>
    </row>
    <row r="45" spans="2:8" ht="16.05" customHeight="1" x14ac:dyDescent="0.55000000000000004">
      <c r="B45" s="400" t="s">
        <v>106</v>
      </c>
      <c r="C45" s="401"/>
      <c r="D45" s="401"/>
      <c r="E45" s="401"/>
      <c r="F45" s="401"/>
      <c r="G45" s="401"/>
      <c r="H45" s="402"/>
    </row>
    <row r="46" spans="2:8" ht="16.05" customHeight="1" x14ac:dyDescent="0.55000000000000004">
      <c r="B46" s="119"/>
      <c r="C46" s="120"/>
      <c r="D46" s="120"/>
      <c r="E46" s="120"/>
      <c r="F46" s="120"/>
      <c r="G46" s="120"/>
      <c r="H46" s="112"/>
    </row>
    <row r="47" spans="2:8" ht="16.05" customHeight="1" x14ac:dyDescent="0.75">
      <c r="B47" s="107"/>
      <c r="C47" s="121" t="s">
        <v>53</v>
      </c>
      <c r="D47" s="122" t="s">
        <v>13</v>
      </c>
      <c r="E47" s="122" t="s">
        <v>0</v>
      </c>
      <c r="F47" s="399" t="s">
        <v>17</v>
      </c>
      <c r="G47" s="399"/>
      <c r="H47" s="112"/>
    </row>
    <row r="48" spans="2:8" ht="16.05" customHeight="1" x14ac:dyDescent="0.55000000000000004">
      <c r="B48" s="118"/>
      <c r="C48" s="108" t="s">
        <v>107</v>
      </c>
      <c r="D48" s="109">
        <v>2.85</v>
      </c>
      <c r="E48" s="110">
        <f>IF('Revenue Requirement'!F20&gt;0,'Water Loss Surcharge'!F44,'Water Loss Surcharge'!#REF!)</f>
        <v>3.71</v>
      </c>
      <c r="F48" s="109">
        <f>E48-D48</f>
        <v>0.85999999999999988</v>
      </c>
      <c r="G48" s="111">
        <f t="shared" ref="G48" si="10">F48/D48</f>
        <v>0.30175438596491222</v>
      </c>
      <c r="H48" s="112"/>
    </row>
    <row r="49" spans="2:8" ht="16.05" customHeight="1" x14ac:dyDescent="0.55000000000000004">
      <c r="B49" s="113"/>
      <c r="C49" s="114"/>
      <c r="D49" s="114"/>
      <c r="E49" s="115"/>
      <c r="F49" s="114"/>
      <c r="G49" s="116"/>
      <c r="H49" s="117"/>
    </row>
  </sheetData>
  <mergeCells count="15">
    <mergeCell ref="B2:H2"/>
    <mergeCell ref="F9:G9"/>
    <mergeCell ref="B16:H16"/>
    <mergeCell ref="F18:G18"/>
    <mergeCell ref="B3:H3"/>
    <mergeCell ref="B4:H4"/>
    <mergeCell ref="B7:H7"/>
    <mergeCell ref="F40:G40"/>
    <mergeCell ref="B45:H45"/>
    <mergeCell ref="F47:G47"/>
    <mergeCell ref="B24:H24"/>
    <mergeCell ref="F26:G26"/>
    <mergeCell ref="B31:H31"/>
    <mergeCell ref="F33:G33"/>
    <mergeCell ref="B38:H38"/>
  </mergeCells>
  <printOptions horizontalCentered="1" verticalCentered="1"/>
  <pageMargins left="0.7" right="0.7" top="0.75" bottom="0.75" header="0.3" footer="0.3"/>
  <pageSetup scale="86" orientation="portrait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N114"/>
  <sheetViews>
    <sheetView showGridLines="0" topLeftCell="C92" zoomScale="99" zoomScaleNormal="99" workbookViewId="0">
      <selection activeCell="M38" sqref="M38"/>
    </sheetView>
  </sheetViews>
  <sheetFormatPr defaultColWidth="8.83203125" defaultRowHeight="14.25" x14ac:dyDescent="0.45"/>
  <cols>
    <col min="1" max="1" width="3.0546875" style="4" customWidth="1"/>
    <col min="2" max="2" width="1.83203125" style="4" customWidth="1"/>
    <col min="3" max="3" width="9.83203125" style="4" customWidth="1"/>
    <col min="4" max="5" width="9.83203125" style="45" customWidth="1"/>
    <col min="6" max="7" width="9.83203125" style="4" customWidth="1"/>
    <col min="8" max="8" width="1.83203125" style="4" customWidth="1"/>
    <col min="9" max="9" width="2.83203125" style="4" customWidth="1"/>
    <col min="10" max="16384" width="8.83203125" style="4"/>
  </cols>
  <sheetData>
    <row r="1" spans="2:10" ht="20" customHeight="1" x14ac:dyDescent="0.45"/>
    <row r="2" spans="2:10" ht="20" customHeight="1" x14ac:dyDescent="0.55000000000000004">
      <c r="B2" s="419" t="s">
        <v>145</v>
      </c>
      <c r="C2" s="420"/>
      <c r="D2" s="420"/>
      <c r="E2" s="420"/>
      <c r="F2" s="420"/>
      <c r="G2" s="420"/>
      <c r="H2" s="421"/>
    </row>
    <row r="3" spans="2:10" ht="18" x14ac:dyDescent="0.55000000000000004">
      <c r="B3" s="422" t="s">
        <v>51</v>
      </c>
      <c r="C3" s="423"/>
      <c r="D3" s="423"/>
      <c r="E3" s="423"/>
      <c r="F3" s="423"/>
      <c r="G3" s="423"/>
      <c r="H3" s="424"/>
    </row>
    <row r="4" spans="2:10" ht="15.75" x14ac:dyDescent="0.45">
      <c r="B4" s="425" t="s">
        <v>218</v>
      </c>
      <c r="C4" s="426"/>
      <c r="D4" s="426"/>
      <c r="E4" s="426"/>
      <c r="F4" s="426"/>
      <c r="G4" s="426"/>
      <c r="H4" s="427"/>
    </row>
    <row r="5" spans="2:10" ht="6" customHeight="1" x14ac:dyDescent="0.45">
      <c r="B5" s="20"/>
      <c r="C5" s="21"/>
      <c r="D5" s="146"/>
      <c r="E5" s="146"/>
      <c r="F5" s="21"/>
      <c r="G5" s="21"/>
      <c r="H5" s="22"/>
    </row>
    <row r="6" spans="2:10" ht="15.75" x14ac:dyDescent="0.5">
      <c r="B6" s="428" t="str">
        <f>Rates!B7</f>
        <v xml:space="preserve">5/8" x 3/4" Meter </v>
      </c>
      <c r="C6" s="429"/>
      <c r="D6" s="429"/>
      <c r="E6" s="429"/>
      <c r="F6" s="429"/>
      <c r="G6" s="429"/>
      <c r="H6" s="430"/>
      <c r="I6" s="5"/>
    </row>
    <row r="7" spans="2:10" ht="6" customHeight="1" x14ac:dyDescent="0.45">
      <c r="B7" s="5"/>
      <c r="C7" s="6"/>
      <c r="D7" s="147"/>
      <c r="E7" s="146"/>
      <c r="F7" s="21"/>
      <c r="G7" s="21"/>
      <c r="H7" s="22"/>
      <c r="I7" s="19"/>
      <c r="J7" s="19"/>
    </row>
    <row r="8" spans="2:10" ht="16.5" x14ac:dyDescent="0.75">
      <c r="B8" s="5"/>
      <c r="C8" s="18" t="s">
        <v>2</v>
      </c>
      <c r="D8" s="148" t="s">
        <v>4</v>
      </c>
      <c r="E8" s="153" t="s">
        <v>0</v>
      </c>
      <c r="F8" s="8"/>
      <c r="G8" s="8"/>
      <c r="H8" s="18"/>
    </row>
    <row r="9" spans="2:10" ht="16.5" x14ac:dyDescent="0.75">
      <c r="B9" s="5"/>
      <c r="C9" s="18" t="s">
        <v>55</v>
      </c>
      <c r="D9" s="148" t="s">
        <v>18</v>
      </c>
      <c r="E9" s="153" t="s">
        <v>18</v>
      </c>
      <c r="F9" s="8" t="s">
        <v>5</v>
      </c>
      <c r="G9" s="8" t="s">
        <v>19</v>
      </c>
      <c r="H9" s="18"/>
    </row>
    <row r="10" spans="2:10" x14ac:dyDescent="0.45">
      <c r="B10" s="5"/>
      <c r="C10" s="9">
        <v>0</v>
      </c>
      <c r="D10" s="149">
        <f>Rates!D10</f>
        <v>34.630000000000003</v>
      </c>
      <c r="E10" s="149">
        <f>Rates!E10</f>
        <v>43.24</v>
      </c>
      <c r="F10" s="28">
        <f>E10-D10</f>
        <v>8.61</v>
      </c>
      <c r="G10" s="36">
        <f>F10/D10</f>
        <v>0.24862835691596877</v>
      </c>
      <c r="H10" s="23"/>
    </row>
    <row r="11" spans="2:10" x14ac:dyDescent="0.45">
      <c r="B11" s="5"/>
      <c r="C11" s="3">
        <v>2000</v>
      </c>
      <c r="D11" s="149">
        <f>Rates!D10</f>
        <v>34.630000000000003</v>
      </c>
      <c r="E11" s="149">
        <f>Rates!E10</f>
        <v>43.24</v>
      </c>
      <c r="F11" s="9">
        <f t="shared" ref="F11:F18" si="0">E11-D11</f>
        <v>8.61</v>
      </c>
      <c r="G11" s="36">
        <f t="shared" ref="G11:G25" si="1">F11/D11</f>
        <v>0.24862835691596877</v>
      </c>
      <c r="H11" s="23"/>
    </row>
    <row r="12" spans="2:10" x14ac:dyDescent="0.45">
      <c r="B12" s="138"/>
      <c r="C12" s="24">
        <v>3551</v>
      </c>
      <c r="D12" s="150">
        <f>Rates!$D$10+((Bills!$C12-2000)*Rates!$D$11)</f>
        <v>49.519599999999997</v>
      </c>
      <c r="E12" s="150">
        <f>Rates!$E$10+((Bills!$C12-2000)*Rates!$E$11)</f>
        <v>61.836489999999998</v>
      </c>
      <c r="F12" s="25">
        <f t="shared" si="0"/>
        <v>12.316890000000001</v>
      </c>
      <c r="G12" s="37">
        <f t="shared" si="1"/>
        <v>0.2487275745361433</v>
      </c>
      <c r="H12" s="26"/>
    </row>
    <row r="13" spans="2:10" x14ac:dyDescent="0.45">
      <c r="B13" s="5"/>
      <c r="C13" s="3">
        <v>6000</v>
      </c>
      <c r="D13" s="151">
        <f>Rates!$D$10+(3000*Rates!$D$11)+((Bills!C13-5000)*Rates!$D$12)</f>
        <v>71.92</v>
      </c>
      <c r="E13" s="151">
        <f>Rates!$E$10+(3000*Rates!$E$11)+((Bills!C13-5000)*Rates!$E$12)</f>
        <v>89.81</v>
      </c>
      <c r="F13" s="106">
        <f t="shared" ref="F13" si="2">E13-D13</f>
        <v>17.89</v>
      </c>
      <c r="G13" s="36">
        <f t="shared" si="1"/>
        <v>0.24874860956618466</v>
      </c>
      <c r="H13" s="23"/>
    </row>
    <row r="14" spans="2:10" x14ac:dyDescent="0.45">
      <c r="B14" s="5"/>
      <c r="C14" s="3">
        <v>8000</v>
      </c>
      <c r="D14" s="151">
        <f>Rates!$D$10+(3000*Rates!$D$11)+((Bills!C14-5000)*Rates!$D$12)</f>
        <v>88.9</v>
      </c>
      <c r="E14" s="151">
        <f>Rates!$E$10+(3000*Rates!$E$11)+((Bills!C14-5000)*Rates!$E$12)</f>
        <v>111.01</v>
      </c>
      <c r="F14" s="9">
        <f t="shared" si="0"/>
        <v>22.11</v>
      </c>
      <c r="G14" s="36">
        <f t="shared" si="1"/>
        <v>0.24870641169853766</v>
      </c>
      <c r="H14" s="23"/>
    </row>
    <row r="15" spans="2:10" x14ac:dyDescent="0.45">
      <c r="B15" s="5"/>
      <c r="C15" s="3">
        <v>10000</v>
      </c>
      <c r="D15" s="151">
        <f>Rates!$D$10+(3000*Rates!$D$11)+((Bills!C15-5000)*Rates!$D$12)</f>
        <v>105.88</v>
      </c>
      <c r="E15" s="151">
        <f>Rates!$E$10+(3000*Rates!$E$11)+((Bills!C15-5000)*Rates!$E$12)</f>
        <v>132.21</v>
      </c>
      <c r="F15" s="9">
        <f t="shared" si="0"/>
        <v>26.330000000000013</v>
      </c>
      <c r="G15" s="36">
        <f t="shared" si="1"/>
        <v>0.2486777483944089</v>
      </c>
      <c r="H15" s="23"/>
    </row>
    <row r="16" spans="2:10" x14ac:dyDescent="0.45">
      <c r="B16" s="5"/>
      <c r="C16" s="3">
        <v>15000</v>
      </c>
      <c r="D16" s="151">
        <f>Rates!$D$10+(3000*Rates!$D$11)+(5000*Rates!$D$12)+((Bills!C16-10000)*Rates!$D$13)</f>
        <v>142.63</v>
      </c>
      <c r="E16" s="151">
        <f>Rates!$E$10+(3000*Rates!$E$11)+(5000*Rates!$E$12)+((Bills!C16-10000)*Rates!$E$13)</f>
        <v>178.11</v>
      </c>
      <c r="F16" s="9">
        <f>E16-D16</f>
        <v>35.480000000000018</v>
      </c>
      <c r="G16" s="36">
        <f>F16/D16</f>
        <v>0.24875552127883349</v>
      </c>
      <c r="H16" s="23"/>
    </row>
    <row r="17" spans="2:14" x14ac:dyDescent="0.45">
      <c r="B17" s="5"/>
      <c r="C17" s="3">
        <v>20000</v>
      </c>
      <c r="D17" s="151">
        <f>Rates!$D$10+(3000*Rates!$D$11)+(5000*Rates!$D$12)+((Bills!C17-10000)*Rates!$D$13)</f>
        <v>179.38</v>
      </c>
      <c r="E17" s="151">
        <f>Rates!$E$10+(3000*Rates!$E$11)+(5000*Rates!$E$12)+((Bills!C17-10000)*Rates!$E$13)</f>
        <v>224.01000000000002</v>
      </c>
      <c r="F17" s="9">
        <f>E17-D17</f>
        <v>44.630000000000024</v>
      </c>
      <c r="G17" s="36">
        <f>F17/D17</f>
        <v>0.24880142713791964</v>
      </c>
      <c r="H17" s="23"/>
    </row>
    <row r="18" spans="2:14" x14ac:dyDescent="0.45">
      <c r="B18" s="5"/>
      <c r="C18" s="3">
        <v>25000</v>
      </c>
      <c r="D18" s="151">
        <f>Rates!$D$10+(3000*Rates!$D$11)+(5000*Rates!$D$12)+((Bills!C18-10000)*Rates!$D$13)</f>
        <v>216.13</v>
      </c>
      <c r="E18" s="151">
        <f>Rates!$E$10+(3000*Rates!$E$11)+(5000*Rates!$E$12)+((Bills!C18-10000)*Rates!$E$13)</f>
        <v>269.91000000000003</v>
      </c>
      <c r="F18" s="9">
        <f t="shared" si="0"/>
        <v>53.78000000000003</v>
      </c>
      <c r="G18" s="36">
        <f t="shared" si="1"/>
        <v>0.24883172164900769</v>
      </c>
      <c r="H18" s="23"/>
    </row>
    <row r="19" spans="2:14" x14ac:dyDescent="0.45">
      <c r="B19" s="5"/>
      <c r="C19" s="3">
        <v>30000</v>
      </c>
      <c r="D19" s="151">
        <f>Rates!$D$10+(3000*Rates!$D$11)+(5000*Rates!$D$12)+((Bills!C19-10000)*Rates!$D$13)</f>
        <v>252.88</v>
      </c>
      <c r="E19" s="151">
        <f>Rates!$E$10+(3000*Rates!$E$11)+(5000*Rates!$E$12)+((Bills!C19-10000)*Rates!$E$13)</f>
        <v>315.81000000000006</v>
      </c>
      <c r="F19" s="9">
        <f t="shared" ref="F19:F25" si="3">E19-D19</f>
        <v>62.930000000000064</v>
      </c>
      <c r="G19" s="36">
        <f t="shared" si="1"/>
        <v>0.24885321100917457</v>
      </c>
      <c r="H19" s="23"/>
      <c r="N19" s="3"/>
    </row>
    <row r="20" spans="2:14" x14ac:dyDescent="0.45">
      <c r="B20" s="5"/>
      <c r="C20" s="3">
        <v>40000</v>
      </c>
      <c r="D20" s="151">
        <f>Rates!$D$10+(3000*Rates!$D$11)+(5000*Rates!$D$12)+((Bills!C20-10000)*Rates!$D$13)</f>
        <v>326.38</v>
      </c>
      <c r="E20" s="151">
        <f>Rates!$E$10+(3000*Rates!$E$11)+(5000*Rates!$E$12)+((Bills!C20-10000)*Rates!$E$13)</f>
        <v>407.61</v>
      </c>
      <c r="F20" s="9">
        <f t="shared" si="3"/>
        <v>81.230000000000018</v>
      </c>
      <c r="G20" s="36">
        <f t="shared" si="1"/>
        <v>0.24888167167105835</v>
      </c>
      <c r="H20" s="23"/>
    </row>
    <row r="21" spans="2:14" x14ac:dyDescent="0.45">
      <c r="B21" s="5"/>
      <c r="C21" s="3">
        <v>50000</v>
      </c>
      <c r="D21" s="151">
        <f>Rates!$D$10+(3000*Rates!$D$11)+(5000*Rates!$D$12)+((Bills!C21-10000)*Rates!$D$13)</f>
        <v>399.88</v>
      </c>
      <c r="E21" s="151">
        <f>Rates!$E$10+(3000*Rates!$E$11)+(5000*Rates!$E$12)+((Bills!C21-10000)*Rates!$E$13)</f>
        <v>499.41000000000008</v>
      </c>
      <c r="F21" s="9">
        <f t="shared" si="3"/>
        <v>99.530000000000086</v>
      </c>
      <c r="G21" s="36">
        <f t="shared" si="1"/>
        <v>0.24889966990097051</v>
      </c>
      <c r="H21" s="23"/>
    </row>
    <row r="22" spans="2:14" x14ac:dyDescent="0.45">
      <c r="B22" s="5"/>
      <c r="C22" s="3">
        <v>75000</v>
      </c>
      <c r="D22" s="151">
        <f>Rates!$D$10+(3000*Rates!$D$11)+(5000*Rates!$D$12)+((Bills!C22-10000)*Rates!$D$13)</f>
        <v>583.63</v>
      </c>
      <c r="E22" s="151">
        <f>Rates!$E$10+(3000*Rates!$E$11)+(5000*Rates!$E$12)+((Bills!C22-10000)*Rates!$E$13)</f>
        <v>728.91000000000008</v>
      </c>
      <c r="F22" s="9">
        <f t="shared" si="3"/>
        <v>145.28000000000009</v>
      </c>
      <c r="G22" s="36">
        <f t="shared" si="1"/>
        <v>0.2489248325137503</v>
      </c>
      <c r="H22" s="23"/>
    </row>
    <row r="23" spans="2:14" x14ac:dyDescent="0.45">
      <c r="B23" s="5"/>
      <c r="C23" s="3">
        <v>100000</v>
      </c>
      <c r="D23" s="151">
        <f>Rates!$D$10+(3000*Rates!$D$11)+(5000*Rates!$D$12)+((Bills!C23-10000)*Rates!$D$13)</f>
        <v>767.38</v>
      </c>
      <c r="E23" s="151">
        <f>Rates!$E$10+(3000*Rates!$E$11)+(5000*Rates!$E$12)+((Bills!C23-10000)*Rates!$E$13)</f>
        <v>958.41000000000008</v>
      </c>
      <c r="F23" s="9">
        <f t="shared" si="3"/>
        <v>191.03000000000009</v>
      </c>
      <c r="G23" s="36">
        <f t="shared" si="1"/>
        <v>0.24893794469493613</v>
      </c>
      <c r="H23" s="23"/>
    </row>
    <row r="24" spans="2:14" x14ac:dyDescent="0.45">
      <c r="B24" s="5"/>
      <c r="C24" s="3">
        <v>200000</v>
      </c>
      <c r="D24" s="151">
        <f>Rates!$D$10+(3000*Rates!$D$11)+(5000*Rates!$D$12)+((Bills!C24-10000)*Rates!$D$13)</f>
        <v>1502.38</v>
      </c>
      <c r="E24" s="151">
        <f>Rates!$E$10+(3000*Rates!$E$11)+(5000*Rates!$E$12)+((Bills!C24-10000)*Rates!$E$13)</f>
        <v>1876.41</v>
      </c>
      <c r="F24" s="9">
        <f t="shared" si="3"/>
        <v>374.03</v>
      </c>
      <c r="G24" s="36">
        <f t="shared" si="1"/>
        <v>0.24895831946644653</v>
      </c>
      <c r="H24" s="23"/>
    </row>
    <row r="25" spans="2:14" x14ac:dyDescent="0.45">
      <c r="B25" s="5"/>
      <c r="C25" s="3">
        <v>500000</v>
      </c>
      <c r="D25" s="151">
        <f>Rates!$D$10+(3000*Rates!$D$11)+(5000*Rates!$D$12)+((Bills!C25-10000)*Rates!$D$13)</f>
        <v>3707.38</v>
      </c>
      <c r="E25" s="151">
        <f>Rates!$E$10+(3000*Rates!$E$11)+(5000*Rates!$E$12)+((Bills!C25-10000)*Rates!$E$13)</f>
        <v>4630.4100000000008</v>
      </c>
      <c r="F25" s="9">
        <f t="shared" si="3"/>
        <v>923.03000000000065</v>
      </c>
      <c r="G25" s="36">
        <f t="shared" si="1"/>
        <v>0.24897097141377486</v>
      </c>
      <c r="H25" s="23"/>
    </row>
    <row r="26" spans="2:14" ht="6" customHeight="1" x14ac:dyDescent="0.45">
      <c r="B26" s="5"/>
      <c r="C26" s="102"/>
      <c r="D26" s="149"/>
      <c r="E26" s="28"/>
      <c r="F26" s="9"/>
      <c r="G26" s="3"/>
      <c r="H26" s="6"/>
    </row>
    <row r="27" spans="2:14" ht="16.5" customHeight="1" x14ac:dyDescent="0.45">
      <c r="B27" s="103"/>
      <c r="C27" s="104"/>
      <c r="D27" s="152"/>
      <c r="E27" s="152"/>
      <c r="F27" s="105"/>
      <c r="G27" s="103"/>
      <c r="H27" s="103"/>
    </row>
    <row r="28" spans="2:14" ht="15.75" x14ac:dyDescent="0.5">
      <c r="B28" s="416" t="str">
        <f>Rates!B16</f>
        <v>1" Meter</v>
      </c>
      <c r="C28" s="417"/>
      <c r="D28" s="417"/>
      <c r="E28" s="417"/>
      <c r="F28" s="417"/>
      <c r="G28" s="417"/>
      <c r="H28" s="418"/>
    </row>
    <row r="29" spans="2:14" ht="6" customHeight="1" x14ac:dyDescent="0.45">
      <c r="B29" s="5"/>
      <c r="C29" s="6"/>
      <c r="D29" s="147"/>
      <c r="E29" s="146"/>
      <c r="F29" s="21"/>
      <c r="G29" s="21"/>
      <c r="H29" s="22"/>
    </row>
    <row r="30" spans="2:14" ht="16.5" x14ac:dyDescent="0.75">
      <c r="B30" s="5"/>
      <c r="C30" s="18" t="s">
        <v>2</v>
      </c>
      <c r="D30" s="148" t="s">
        <v>4</v>
      </c>
      <c r="E30" s="153" t="s">
        <v>0</v>
      </c>
      <c r="F30" s="8"/>
      <c r="G30" s="8"/>
      <c r="H30" s="18"/>
    </row>
    <row r="31" spans="2:14" ht="16.5" x14ac:dyDescent="0.75">
      <c r="B31" s="5"/>
      <c r="C31" s="18" t="s">
        <v>55</v>
      </c>
      <c r="D31" s="148" t="s">
        <v>18</v>
      </c>
      <c r="E31" s="153" t="s">
        <v>18</v>
      </c>
      <c r="F31" s="8" t="s">
        <v>5</v>
      </c>
      <c r="G31" s="8" t="s">
        <v>19</v>
      </c>
      <c r="H31" s="18"/>
    </row>
    <row r="32" spans="2:14" x14ac:dyDescent="0.45">
      <c r="B32" s="5"/>
      <c r="C32" s="9">
        <v>0</v>
      </c>
      <c r="D32" s="149">
        <f>Rates!$D$19</f>
        <v>63.78</v>
      </c>
      <c r="E32" s="149">
        <f>Rates!$E$19</f>
        <v>79.64</v>
      </c>
      <c r="F32" s="28">
        <f>E32-D32</f>
        <v>15.86</v>
      </c>
      <c r="G32" s="36">
        <f>F32/D32</f>
        <v>0.24866729382251487</v>
      </c>
      <c r="H32" s="23"/>
    </row>
    <row r="33" spans="2:12" x14ac:dyDescent="0.45">
      <c r="B33" s="5"/>
      <c r="C33" s="3">
        <v>2000</v>
      </c>
      <c r="D33" s="149">
        <f>Rates!$D$19</f>
        <v>63.78</v>
      </c>
      <c r="E33" s="149">
        <f>Rates!$E$19</f>
        <v>79.64</v>
      </c>
      <c r="F33" s="9">
        <f t="shared" ref="F33:F47" si="4">E33-D33</f>
        <v>15.86</v>
      </c>
      <c r="G33" s="36">
        <f t="shared" ref="G33:G47" si="5">F33/D33</f>
        <v>0.24866729382251487</v>
      </c>
      <c r="H33" s="23"/>
    </row>
    <row r="34" spans="2:12" x14ac:dyDescent="0.45">
      <c r="B34" s="255"/>
      <c r="C34" s="51">
        <v>4000</v>
      </c>
      <c r="D34" s="151">
        <f>Rates!$D$19</f>
        <v>63.78</v>
      </c>
      <c r="E34" s="151">
        <f>Rates!$E$19</f>
        <v>79.64</v>
      </c>
      <c r="F34" s="106">
        <f t="shared" si="4"/>
        <v>15.86</v>
      </c>
      <c r="G34" s="256">
        <f t="shared" si="5"/>
        <v>0.24866729382251487</v>
      </c>
      <c r="H34" s="257"/>
    </row>
    <row r="35" spans="2:12" x14ac:dyDescent="0.45">
      <c r="B35" s="5"/>
      <c r="C35" s="3">
        <v>6000</v>
      </c>
      <c r="D35" s="151">
        <f>Rates!$D$19+((Bills!$C35-5000)*Rates!$D$20)</f>
        <v>72.27</v>
      </c>
      <c r="E35" s="151">
        <f>Rates!$E$19+((Bills!$C35-5000)*Rates!$E$20)</f>
        <v>90.24</v>
      </c>
      <c r="F35" s="106">
        <f t="shared" si="4"/>
        <v>17.97</v>
      </c>
      <c r="G35" s="36">
        <f t="shared" si="5"/>
        <v>0.24865089248650893</v>
      </c>
      <c r="H35" s="23"/>
    </row>
    <row r="36" spans="2:12" x14ac:dyDescent="0.45">
      <c r="B36" s="255"/>
      <c r="C36" s="51">
        <v>8000</v>
      </c>
      <c r="D36" s="151">
        <f>Rates!$D$19+((Bills!$C36-5000)*Rates!$D$20)</f>
        <v>89.25</v>
      </c>
      <c r="E36" s="151">
        <f>Rates!$E$19+((Bills!$C36-5000)*Rates!$E$20)</f>
        <v>111.44</v>
      </c>
      <c r="F36" s="106">
        <f t="shared" si="4"/>
        <v>22.189999999999998</v>
      </c>
      <c r="G36" s="256">
        <f t="shared" si="5"/>
        <v>0.24862745098039213</v>
      </c>
      <c r="H36" s="257"/>
    </row>
    <row r="37" spans="2:12" x14ac:dyDescent="0.45">
      <c r="B37" s="5"/>
      <c r="C37" s="3">
        <v>10000</v>
      </c>
      <c r="D37" s="151">
        <f>Rates!$D$19+((Bills!$C37-5000)*Rates!$D$20)</f>
        <v>106.22999999999999</v>
      </c>
      <c r="E37" s="151">
        <f>Rates!$E$19+(Bills!$C37-5000)*Rates!$E$20</f>
        <v>132.63999999999999</v>
      </c>
      <c r="F37" s="9">
        <f t="shared" si="4"/>
        <v>26.409999999999997</v>
      </c>
      <c r="G37" s="36">
        <f t="shared" si="5"/>
        <v>0.24861150334180551</v>
      </c>
      <c r="H37" s="23"/>
    </row>
    <row r="38" spans="2:12" x14ac:dyDescent="0.45">
      <c r="B38" s="5"/>
      <c r="C38" s="3">
        <v>15000</v>
      </c>
      <c r="D38" s="151">
        <f>Rates!$D$19+(5000*Rates!$D$20)+((Bills!$C38-10000)*Rates!$D$21)</f>
        <v>142.97999999999999</v>
      </c>
      <c r="E38" s="151">
        <f>Rates!$E$19+(5000*Rates!$E$20)+((Bills!$C38-10000)*Rates!$E$21)</f>
        <v>178.54</v>
      </c>
      <c r="F38" s="9">
        <f t="shared" si="4"/>
        <v>35.56</v>
      </c>
      <c r="G38" s="36">
        <f t="shared" si="5"/>
        <v>0.24870611274304102</v>
      </c>
      <c r="H38" s="23"/>
    </row>
    <row r="39" spans="2:12" x14ac:dyDescent="0.45">
      <c r="B39" s="5"/>
      <c r="C39" s="3">
        <v>20000</v>
      </c>
      <c r="D39" s="151">
        <f>Rates!$D$19+(5000*Rates!$D$20)+((Bills!$C39-10000)*Rates!$D$21)</f>
        <v>179.73</v>
      </c>
      <c r="E39" s="151">
        <f>Rates!$E$19+(5000*Rates!$E$20)+((Bills!$C39-10000)*Rates!$E$21)</f>
        <v>224.44</v>
      </c>
      <c r="F39" s="9">
        <f t="shared" si="4"/>
        <v>44.710000000000008</v>
      </c>
      <c r="G39" s="36">
        <f t="shared" si="5"/>
        <v>0.24876203193679414</v>
      </c>
      <c r="H39" s="23"/>
    </row>
    <row r="40" spans="2:12" x14ac:dyDescent="0.45">
      <c r="B40" s="5"/>
      <c r="C40" s="3">
        <v>25000</v>
      </c>
      <c r="D40" s="151">
        <f>Rates!$D$19+(5000*Rates!$D$20)+((Bills!$C40-10000)*Rates!$D$21)</f>
        <v>216.48</v>
      </c>
      <c r="E40" s="151">
        <f>Rates!$E$19+(5000*Rates!$E$20)+((Bills!$C40-10000)*Rates!$E$21)</f>
        <v>270.34000000000003</v>
      </c>
      <c r="F40" s="9">
        <f t="shared" si="4"/>
        <v>53.860000000000042</v>
      </c>
      <c r="G40" s="36">
        <f t="shared" si="5"/>
        <v>0.2487989652623801</v>
      </c>
      <c r="H40" s="23"/>
    </row>
    <row r="41" spans="2:12" x14ac:dyDescent="0.45">
      <c r="B41" s="5"/>
      <c r="C41" s="3">
        <v>30000</v>
      </c>
      <c r="D41" s="151">
        <f>Rates!$D$19+(5000*Rates!$D$20)+((Bills!$C41-10000)*Rates!$D$21)</f>
        <v>253.23</v>
      </c>
      <c r="E41" s="151">
        <f>Rates!$E$19+(5000*Rates!$E$20)+((Bills!$C41-10000)*Rates!$E$21)</f>
        <v>316.24</v>
      </c>
      <c r="F41" s="9">
        <f t="shared" si="4"/>
        <v>63.010000000000019</v>
      </c>
      <c r="G41" s="36">
        <f t="shared" si="5"/>
        <v>0.24882517869130838</v>
      </c>
      <c r="H41" s="23"/>
    </row>
    <row r="42" spans="2:12" x14ac:dyDescent="0.45">
      <c r="B42" s="5"/>
      <c r="C42" s="3">
        <v>40000</v>
      </c>
      <c r="D42" s="151">
        <f>Rates!$D$19+(5000*Rates!$D$20)+((Bills!$C42-10000)*Rates!$D$21)</f>
        <v>326.73</v>
      </c>
      <c r="E42" s="151">
        <f>Rates!$E$19+(5000*Rates!$E$20)+((Bills!$C42-10000)*Rates!$E$21)</f>
        <v>408.04</v>
      </c>
      <c r="F42" s="9">
        <f t="shared" si="4"/>
        <v>81.31</v>
      </c>
      <c r="G42" s="36">
        <f t="shared" si="5"/>
        <v>0.24885991491445536</v>
      </c>
      <c r="H42" s="23"/>
      <c r="L42" s="50"/>
    </row>
    <row r="43" spans="2:12" x14ac:dyDescent="0.45">
      <c r="B43" s="5"/>
      <c r="C43" s="3">
        <v>50000</v>
      </c>
      <c r="D43" s="151">
        <f>Rates!$D$19+(5000*Rates!$D$20)+((Bills!$C43-10000)*Rates!$D$21)</f>
        <v>400.23</v>
      </c>
      <c r="E43" s="151">
        <f>Rates!$E$19+(5000*Rates!$E$20)+((Bills!$C43-10000)*Rates!$E$21)</f>
        <v>499.84000000000003</v>
      </c>
      <c r="F43" s="9">
        <f t="shared" si="4"/>
        <v>99.610000000000014</v>
      </c>
      <c r="G43" s="36">
        <f t="shared" si="5"/>
        <v>0.24888189291157586</v>
      </c>
      <c r="H43" s="23"/>
    </row>
    <row r="44" spans="2:12" x14ac:dyDescent="0.45">
      <c r="B44" s="138"/>
      <c r="C44" s="24">
        <v>82460</v>
      </c>
      <c r="D44" s="150">
        <f>Rates!$D$19+(5000*Rates!$D$20)+((Bills!$C44-10000)*Rates!$D$21)</f>
        <v>638.81100000000004</v>
      </c>
      <c r="E44" s="150">
        <f>Rates!$E$19+(5000*Rates!$E$20)+((Bills!$C44-10000)*Rates!$E$21)</f>
        <v>797.82280000000003</v>
      </c>
      <c r="F44" s="25">
        <f t="shared" si="4"/>
        <v>159.01179999999999</v>
      </c>
      <c r="G44" s="37">
        <f t="shared" si="5"/>
        <v>0.24891838118003601</v>
      </c>
      <c r="H44" s="26"/>
    </row>
    <row r="45" spans="2:12" x14ac:dyDescent="0.45">
      <c r="B45" s="5"/>
      <c r="C45" s="3">
        <v>100000</v>
      </c>
      <c r="D45" s="151">
        <f>Rates!$D$19+(5000*Rates!$D$20)+((Bills!$C45-10000)*Rates!$D$21)</f>
        <v>767.73</v>
      </c>
      <c r="E45" s="151">
        <f>Rates!$E$19+(5000*Rates!$E$20)+((Bills!$C45-10000)*Rates!$E$21)</f>
        <v>958.84</v>
      </c>
      <c r="F45" s="9">
        <f t="shared" si="4"/>
        <v>191.11</v>
      </c>
      <c r="G45" s="36">
        <f t="shared" si="5"/>
        <v>0.24892865981529966</v>
      </c>
      <c r="H45" s="23"/>
    </row>
    <row r="46" spans="2:12" x14ac:dyDescent="0.45">
      <c r="B46" s="5"/>
      <c r="C46" s="3">
        <v>200000</v>
      </c>
      <c r="D46" s="151">
        <f>Rates!$D$19+(5000*Rates!$D$20)+((Bills!$C46-10000)*Rates!$D$21)</f>
        <v>1502.73</v>
      </c>
      <c r="E46" s="151">
        <f>Rates!$E$19+(5000*Rates!$E$20)+((Bills!$C46-10000)*Rates!$E$21)</f>
        <v>1876.8400000000001</v>
      </c>
      <c r="F46" s="9">
        <f t="shared" si="4"/>
        <v>374.11000000000013</v>
      </c>
      <c r="G46" s="36">
        <f t="shared" si="5"/>
        <v>0.24895357116714256</v>
      </c>
      <c r="H46" s="23"/>
    </row>
    <row r="47" spans="2:12" x14ac:dyDescent="0.45">
      <c r="B47" s="5"/>
      <c r="C47" s="3">
        <v>500000</v>
      </c>
      <c r="D47" s="151">
        <f>Rates!$D$19+(5000*Rates!$D$20)+((Bills!$C47-10000)*Rates!$D$21)</f>
        <v>3707.73</v>
      </c>
      <c r="E47" s="151">
        <f>Rates!$E$19+(5000*Rates!$E$20)+((Bills!$C47-10000)*Rates!$E$21)</f>
        <v>4630.8400000000011</v>
      </c>
      <c r="F47" s="9">
        <f t="shared" si="4"/>
        <v>923.11000000000104</v>
      </c>
      <c r="G47" s="36">
        <f t="shared" si="5"/>
        <v>0.24896904575036505</v>
      </c>
      <c r="H47" s="23"/>
    </row>
    <row r="48" spans="2:12" ht="6" customHeight="1" x14ac:dyDescent="0.45">
      <c r="B48" s="5"/>
      <c r="C48" s="102"/>
      <c r="D48" s="149"/>
      <c r="E48" s="28"/>
      <c r="F48" s="9"/>
      <c r="G48" s="3"/>
      <c r="H48" s="6"/>
    </row>
    <row r="49" spans="2:8" ht="14.55" customHeight="1" x14ac:dyDescent="0.45">
      <c r="B49" s="157"/>
      <c r="C49" s="158"/>
      <c r="D49" s="159"/>
      <c r="E49" s="159"/>
      <c r="F49" s="160"/>
      <c r="G49" s="157"/>
      <c r="H49" s="157"/>
    </row>
    <row r="50" spans="2:8" ht="15.75" x14ac:dyDescent="0.5">
      <c r="B50" s="416" t="str">
        <f>Rates!B24</f>
        <v xml:space="preserve">1 1/2" Meter </v>
      </c>
      <c r="C50" s="417"/>
      <c r="D50" s="417"/>
      <c r="E50" s="417"/>
      <c r="F50" s="417"/>
      <c r="G50" s="417"/>
      <c r="H50" s="418"/>
    </row>
    <row r="51" spans="2:8" ht="6" customHeight="1" x14ac:dyDescent="0.45">
      <c r="B51" s="5"/>
      <c r="C51" s="6"/>
      <c r="D51" s="147"/>
      <c r="E51" s="146"/>
      <c r="F51" s="21"/>
      <c r="G51" s="21"/>
      <c r="H51" s="22"/>
    </row>
    <row r="52" spans="2:8" ht="16.5" x14ac:dyDescent="0.75">
      <c r="B52" s="5"/>
      <c r="C52" s="18" t="s">
        <v>2</v>
      </c>
      <c r="D52" s="148" t="s">
        <v>4</v>
      </c>
      <c r="E52" s="153" t="s">
        <v>0</v>
      </c>
      <c r="F52" s="8"/>
      <c r="G52" s="8"/>
      <c r="H52" s="18"/>
    </row>
    <row r="53" spans="2:8" ht="16.5" x14ac:dyDescent="0.75">
      <c r="B53" s="5"/>
      <c r="C53" s="18" t="s">
        <v>55</v>
      </c>
      <c r="D53" s="148" t="s">
        <v>18</v>
      </c>
      <c r="E53" s="153" t="s">
        <v>18</v>
      </c>
      <c r="F53" s="8" t="s">
        <v>5</v>
      </c>
      <c r="G53" s="8" t="s">
        <v>19</v>
      </c>
      <c r="H53" s="18"/>
    </row>
    <row r="54" spans="2:8" x14ac:dyDescent="0.45">
      <c r="B54" s="5"/>
      <c r="C54" s="9">
        <v>0</v>
      </c>
      <c r="D54" s="149">
        <f>Rates!$D$27</f>
        <v>124.22</v>
      </c>
      <c r="E54" s="149">
        <f>Rates!$E$27</f>
        <v>155.11000000000001</v>
      </c>
      <c r="F54" s="28">
        <f>E54-D54</f>
        <v>30.890000000000015</v>
      </c>
      <c r="G54" s="36">
        <f>F54/D54</f>
        <v>0.24867171147963302</v>
      </c>
      <c r="H54" s="23"/>
    </row>
    <row r="55" spans="2:8" x14ac:dyDescent="0.45">
      <c r="B55" s="5"/>
      <c r="C55" s="3">
        <v>2000</v>
      </c>
      <c r="D55" s="149">
        <f>Rates!$D$27</f>
        <v>124.22</v>
      </c>
      <c r="E55" s="149">
        <f>Rates!$E$27</f>
        <v>155.11000000000001</v>
      </c>
      <c r="F55" s="9">
        <f t="shared" ref="F55:F69" si="6">E55-D55</f>
        <v>30.890000000000015</v>
      </c>
      <c r="G55" s="36">
        <f t="shared" ref="G55:G69" si="7">F55/D55</f>
        <v>0.24867171147963302</v>
      </c>
      <c r="H55" s="23"/>
    </row>
    <row r="56" spans="2:8" x14ac:dyDescent="0.45">
      <c r="B56" s="255"/>
      <c r="C56" s="51">
        <v>4000</v>
      </c>
      <c r="D56" s="151">
        <f>Rates!$D$27</f>
        <v>124.22</v>
      </c>
      <c r="E56" s="151">
        <f>Rates!$E$27</f>
        <v>155.11000000000001</v>
      </c>
      <c r="F56" s="106">
        <f t="shared" si="6"/>
        <v>30.890000000000015</v>
      </c>
      <c r="G56" s="256">
        <f t="shared" si="7"/>
        <v>0.24867171147963302</v>
      </c>
      <c r="H56" s="257"/>
    </row>
    <row r="57" spans="2:8" x14ac:dyDescent="0.45">
      <c r="B57" s="5"/>
      <c r="C57" s="3">
        <v>6000</v>
      </c>
      <c r="D57" s="149">
        <f>Rates!$D$27</f>
        <v>124.22</v>
      </c>
      <c r="E57" s="149">
        <f>Rates!$E$27</f>
        <v>155.11000000000001</v>
      </c>
      <c r="F57" s="106">
        <f t="shared" si="6"/>
        <v>30.890000000000015</v>
      </c>
      <c r="G57" s="36">
        <f t="shared" si="7"/>
        <v>0.24867171147963302</v>
      </c>
      <c r="H57" s="23"/>
    </row>
    <row r="58" spans="2:8" x14ac:dyDescent="0.45">
      <c r="B58" s="5"/>
      <c r="C58" s="3">
        <v>8000</v>
      </c>
      <c r="D58" s="149">
        <f>Rates!$D$27</f>
        <v>124.22</v>
      </c>
      <c r="E58" s="149">
        <f>Rates!$E$27</f>
        <v>155.11000000000001</v>
      </c>
      <c r="F58" s="9">
        <f t="shared" si="6"/>
        <v>30.890000000000015</v>
      </c>
      <c r="G58" s="36">
        <f t="shared" si="7"/>
        <v>0.24867171147963302</v>
      </c>
      <c r="H58" s="23"/>
    </row>
    <row r="59" spans="2:8" x14ac:dyDescent="0.45">
      <c r="B59" s="5"/>
      <c r="C59" s="3">
        <v>10000</v>
      </c>
      <c r="D59" s="149">
        <f>Rates!$D$27</f>
        <v>124.22</v>
      </c>
      <c r="E59" s="149">
        <f>Rates!$E$27</f>
        <v>155.11000000000001</v>
      </c>
      <c r="F59" s="9">
        <f t="shared" si="6"/>
        <v>30.890000000000015</v>
      </c>
      <c r="G59" s="36">
        <f t="shared" si="7"/>
        <v>0.24867171147963302</v>
      </c>
      <c r="H59" s="23"/>
    </row>
    <row r="60" spans="2:8" x14ac:dyDescent="0.45">
      <c r="B60" s="5"/>
      <c r="C60" s="3">
        <v>15000</v>
      </c>
      <c r="D60" s="151">
        <f>Rates!$D$27+((Bills!$C60-12500)*Rates!$D$28)</f>
        <v>142.595</v>
      </c>
      <c r="E60" s="151">
        <f>Rates!$E$27+((Bills!$C60-12500)*Rates!$E$28)</f>
        <v>178.06</v>
      </c>
      <c r="F60" s="9">
        <f t="shared" si="6"/>
        <v>35.465000000000003</v>
      </c>
      <c r="G60" s="36">
        <f t="shared" si="7"/>
        <v>0.2487113853921947</v>
      </c>
      <c r="H60" s="23"/>
    </row>
    <row r="61" spans="2:8" x14ac:dyDescent="0.45">
      <c r="B61" s="5"/>
      <c r="C61" s="3">
        <v>20000</v>
      </c>
      <c r="D61" s="151">
        <f>Rates!$D$27+((Bills!$C61-12500)*Rates!$D$28)</f>
        <v>179.345</v>
      </c>
      <c r="E61" s="151">
        <f>Rates!$E$27+((Bills!$C61-12500)*Rates!$E$28)</f>
        <v>223.96000000000004</v>
      </c>
      <c r="F61" s="9">
        <f t="shared" si="6"/>
        <v>44.615000000000038</v>
      </c>
      <c r="G61" s="36">
        <f t="shared" si="7"/>
        <v>0.24876634419693908</v>
      </c>
      <c r="H61" s="23"/>
    </row>
    <row r="62" spans="2:8" x14ac:dyDescent="0.45">
      <c r="B62" s="5"/>
      <c r="C62" s="3">
        <v>25000</v>
      </c>
      <c r="D62" s="151">
        <f>Rates!$D$27+((Bills!$C62-12500)*Rates!$D$28)</f>
        <v>216.095</v>
      </c>
      <c r="E62" s="151">
        <f>Rates!$E$27+((Bills!$C62-12500)*Rates!$E$28)</f>
        <v>269.86</v>
      </c>
      <c r="F62" s="9">
        <f t="shared" si="6"/>
        <v>53.765000000000015</v>
      </c>
      <c r="G62" s="36">
        <f t="shared" si="7"/>
        <v>0.24880260996321069</v>
      </c>
      <c r="H62" s="23"/>
    </row>
    <row r="63" spans="2:8" x14ac:dyDescent="0.45">
      <c r="B63" s="5"/>
      <c r="C63" s="3">
        <v>30000</v>
      </c>
      <c r="D63" s="151">
        <f>Rates!$D$27+((Bills!$C63-12500)*Rates!$D$28)</f>
        <v>252.845</v>
      </c>
      <c r="E63" s="151">
        <f>Rates!$E$27+((Bills!$C63-12500)*Rates!$E$28)</f>
        <v>315.76</v>
      </c>
      <c r="F63" s="9">
        <f t="shared" si="6"/>
        <v>62.914999999999992</v>
      </c>
      <c r="G63" s="36">
        <f t="shared" si="7"/>
        <v>0.24882833356404119</v>
      </c>
      <c r="H63" s="23"/>
    </row>
    <row r="64" spans="2:8" x14ac:dyDescent="0.45">
      <c r="B64" s="5"/>
      <c r="C64" s="3">
        <v>40000</v>
      </c>
      <c r="D64" s="151">
        <f>Rates!$D$27+((Bills!$C64-12500)*Rates!$D$28)</f>
        <v>326.34500000000003</v>
      </c>
      <c r="E64" s="151">
        <f>Rates!$E$27+((Bills!$C64-12500)*Rates!$E$28)</f>
        <v>407.56000000000006</v>
      </c>
      <c r="F64" s="9">
        <f t="shared" si="6"/>
        <v>81.215000000000032</v>
      </c>
      <c r="G64" s="36">
        <f t="shared" si="7"/>
        <v>0.2488624002206255</v>
      </c>
      <c r="H64" s="23"/>
    </row>
    <row r="65" spans="2:8" x14ac:dyDescent="0.45">
      <c r="B65" s="5"/>
      <c r="C65" s="3">
        <v>50000</v>
      </c>
      <c r="D65" s="151">
        <f>Rates!$D$27+((Bills!$C65-12500)*Rates!$D$28)</f>
        <v>399.84500000000003</v>
      </c>
      <c r="E65" s="151">
        <f>Rates!$E$27+((Bills!$C65-12500)*Rates!$E$28)</f>
        <v>499.36</v>
      </c>
      <c r="F65" s="9">
        <f t="shared" si="6"/>
        <v>99.514999999999986</v>
      </c>
      <c r="G65" s="36">
        <f t="shared" si="7"/>
        <v>0.24888394252772944</v>
      </c>
      <c r="H65" s="23"/>
    </row>
    <row r="66" spans="2:8" x14ac:dyDescent="0.45">
      <c r="B66" s="5"/>
      <c r="C66" s="3">
        <v>75000</v>
      </c>
      <c r="D66" s="151">
        <f>Rates!$D$27+((Bills!$C66-12500)*Rates!$D$28)</f>
        <v>583.59500000000003</v>
      </c>
      <c r="E66" s="151">
        <f>Rates!$E$27+((Bills!$C66-12500)*Rates!$E$28)</f>
        <v>728.86</v>
      </c>
      <c r="F66" s="9">
        <f t="shared" si="6"/>
        <v>145.26499999999999</v>
      </c>
      <c r="G66" s="36">
        <f t="shared" si="7"/>
        <v>0.24891405855087856</v>
      </c>
      <c r="H66" s="23"/>
    </row>
    <row r="67" spans="2:8" x14ac:dyDescent="0.45">
      <c r="B67" s="5"/>
      <c r="C67" s="3">
        <v>100000</v>
      </c>
      <c r="D67" s="151">
        <f>Rates!$D$27+((Bills!$C67-12500)*Rates!$D$28)</f>
        <v>767.34500000000003</v>
      </c>
      <c r="E67" s="151">
        <f>Rates!$E$27+((Bills!$C67-12500)*Rates!$E$28)</f>
        <v>958.36000000000013</v>
      </c>
      <c r="F67" s="9">
        <f t="shared" si="6"/>
        <v>191.0150000000001</v>
      </c>
      <c r="G67" s="36">
        <f t="shared" si="7"/>
        <v>0.24892975128527597</v>
      </c>
      <c r="H67" s="23"/>
    </row>
    <row r="68" spans="2:8" x14ac:dyDescent="0.45">
      <c r="B68" s="255"/>
      <c r="C68" s="51">
        <v>200000</v>
      </c>
      <c r="D68" s="151">
        <f>Rates!$D$27+((Bills!$C68-12500)*Rates!$D$28)</f>
        <v>1502.345</v>
      </c>
      <c r="E68" s="151">
        <f>Rates!$E$27+((Bills!$C68-12500)*Rates!$E$28)</f>
        <v>1876.3600000000001</v>
      </c>
      <c r="F68" s="106">
        <f t="shared" si="6"/>
        <v>374.0150000000001</v>
      </c>
      <c r="G68" s="256">
        <f t="shared" si="7"/>
        <v>0.24895413503556113</v>
      </c>
      <c r="H68" s="257"/>
    </row>
    <row r="69" spans="2:8" x14ac:dyDescent="0.45">
      <c r="B69" s="5"/>
      <c r="C69" s="3">
        <v>500000</v>
      </c>
      <c r="D69" s="151">
        <f>Rates!$D$27+((Bills!$C69-12500)*Rates!$D$28)</f>
        <v>3707.3449999999998</v>
      </c>
      <c r="E69" s="151">
        <f>Rates!$E$27+((Bills!$C69-12500)*Rates!$E$28)</f>
        <v>4630.3599999999997</v>
      </c>
      <c r="F69" s="9">
        <f t="shared" si="6"/>
        <v>923.01499999999987</v>
      </c>
      <c r="G69" s="36">
        <f t="shared" si="7"/>
        <v>0.24896927585644171</v>
      </c>
      <c r="H69" s="23"/>
    </row>
    <row r="70" spans="2:8" ht="6" customHeight="1" x14ac:dyDescent="0.45">
      <c r="B70" s="210"/>
      <c r="C70" s="211"/>
      <c r="D70" s="212"/>
      <c r="E70" s="213"/>
      <c r="F70" s="214"/>
      <c r="G70" s="2"/>
      <c r="H70" s="215"/>
    </row>
    <row r="72" spans="2:8" ht="15.75" x14ac:dyDescent="0.5">
      <c r="B72" s="416" t="str">
        <f>Rates!B31</f>
        <v xml:space="preserve">2" Meter </v>
      </c>
      <c r="C72" s="417"/>
      <c r="D72" s="417"/>
      <c r="E72" s="417"/>
      <c r="F72" s="417"/>
      <c r="G72" s="417"/>
      <c r="H72" s="418"/>
    </row>
    <row r="73" spans="2:8" ht="15.75" x14ac:dyDescent="0.45">
      <c r="B73" s="5"/>
      <c r="C73" s="6"/>
      <c r="D73" s="147"/>
      <c r="E73" s="146"/>
      <c r="F73" s="21"/>
      <c r="G73" s="21"/>
      <c r="H73" s="22"/>
    </row>
    <row r="74" spans="2:8" ht="16.5" x14ac:dyDescent="0.75">
      <c r="B74" s="5"/>
      <c r="C74" s="18" t="s">
        <v>2</v>
      </c>
      <c r="D74" s="148" t="s">
        <v>4</v>
      </c>
      <c r="E74" s="153" t="s">
        <v>0</v>
      </c>
      <c r="F74" s="8"/>
      <c r="G74" s="8"/>
      <c r="H74" s="18"/>
    </row>
    <row r="75" spans="2:8" ht="16.5" x14ac:dyDescent="0.75">
      <c r="B75" s="5"/>
      <c r="C75" s="18" t="s">
        <v>55</v>
      </c>
      <c r="D75" s="148" t="s">
        <v>18</v>
      </c>
      <c r="E75" s="153" t="s">
        <v>18</v>
      </c>
      <c r="F75" s="8" t="s">
        <v>5</v>
      </c>
      <c r="G75" s="8" t="s">
        <v>19</v>
      </c>
      <c r="H75" s="18"/>
    </row>
    <row r="76" spans="2:8" x14ac:dyDescent="0.45">
      <c r="B76" s="5"/>
      <c r="C76" s="9">
        <v>0</v>
      </c>
      <c r="D76" s="149">
        <f>Rates!$D$34</f>
        <v>216.15</v>
      </c>
      <c r="E76" s="149">
        <f>Rates!$E$34</f>
        <v>269.89999999999998</v>
      </c>
      <c r="F76" s="28">
        <f>E76-D76</f>
        <v>53.749999999999972</v>
      </c>
      <c r="G76" s="36">
        <f>F76/D76</f>
        <v>0.24866990515845463</v>
      </c>
      <c r="H76" s="23"/>
    </row>
    <row r="77" spans="2:8" x14ac:dyDescent="0.45">
      <c r="B77" s="5"/>
      <c r="C77" s="3">
        <v>2000</v>
      </c>
      <c r="D77" s="149">
        <f>Rates!$D$34</f>
        <v>216.15</v>
      </c>
      <c r="E77" s="149">
        <f>Rates!$E$34</f>
        <v>269.89999999999998</v>
      </c>
      <c r="F77" s="9">
        <f t="shared" ref="F77:F91" si="8">E77-D77</f>
        <v>53.749999999999972</v>
      </c>
      <c r="G77" s="36">
        <f t="shared" ref="G77:G91" si="9">F77/D77</f>
        <v>0.24866990515845463</v>
      </c>
      <c r="H77" s="23"/>
    </row>
    <row r="78" spans="2:8" x14ac:dyDescent="0.45">
      <c r="B78" s="255"/>
      <c r="C78" s="51">
        <v>4000</v>
      </c>
      <c r="D78" s="149">
        <f>Rates!$D$34</f>
        <v>216.15</v>
      </c>
      <c r="E78" s="149">
        <f>Rates!$E$34</f>
        <v>269.89999999999998</v>
      </c>
      <c r="F78" s="106">
        <f t="shared" si="8"/>
        <v>53.749999999999972</v>
      </c>
      <c r="G78" s="256">
        <f t="shared" si="9"/>
        <v>0.24866990515845463</v>
      </c>
      <c r="H78" s="257"/>
    </row>
    <row r="79" spans="2:8" x14ac:dyDescent="0.45">
      <c r="B79" s="5"/>
      <c r="C79" s="3">
        <v>6000</v>
      </c>
      <c r="D79" s="149">
        <f>Rates!$D$34</f>
        <v>216.15</v>
      </c>
      <c r="E79" s="149">
        <f>Rates!$E$34</f>
        <v>269.89999999999998</v>
      </c>
      <c r="F79" s="106">
        <f t="shared" si="8"/>
        <v>53.749999999999972</v>
      </c>
      <c r="G79" s="36">
        <f t="shared" si="9"/>
        <v>0.24866990515845463</v>
      </c>
      <c r="H79" s="23"/>
    </row>
    <row r="80" spans="2:8" x14ac:dyDescent="0.45">
      <c r="B80" s="5"/>
      <c r="C80" s="3">
        <v>8000</v>
      </c>
      <c r="D80" s="149">
        <f>Rates!$D$34</f>
        <v>216.15</v>
      </c>
      <c r="E80" s="149">
        <f>Rates!$E$34</f>
        <v>269.89999999999998</v>
      </c>
      <c r="F80" s="9">
        <f t="shared" si="8"/>
        <v>53.749999999999972</v>
      </c>
      <c r="G80" s="36">
        <f t="shared" si="9"/>
        <v>0.24866990515845463</v>
      </c>
      <c r="H80" s="23"/>
    </row>
    <row r="81" spans="2:8" x14ac:dyDescent="0.45">
      <c r="B81" s="5"/>
      <c r="C81" s="3">
        <v>10000</v>
      </c>
      <c r="D81" s="149">
        <f>Rates!$D$34</f>
        <v>216.15</v>
      </c>
      <c r="E81" s="149">
        <f>Rates!$E$34</f>
        <v>269.89999999999998</v>
      </c>
      <c r="F81" s="9">
        <f t="shared" si="8"/>
        <v>53.749999999999972</v>
      </c>
      <c r="G81" s="36">
        <f t="shared" si="9"/>
        <v>0.24866990515845463</v>
      </c>
      <c r="H81" s="23"/>
    </row>
    <row r="82" spans="2:8" x14ac:dyDescent="0.45">
      <c r="B82" s="5"/>
      <c r="C82" s="3">
        <v>15000</v>
      </c>
      <c r="D82" s="149">
        <f>Rates!$D$34</f>
        <v>216.15</v>
      </c>
      <c r="E82" s="149">
        <f>Rates!$E$34</f>
        <v>269.89999999999998</v>
      </c>
      <c r="F82" s="9">
        <f t="shared" si="8"/>
        <v>53.749999999999972</v>
      </c>
      <c r="G82" s="36">
        <f t="shared" si="9"/>
        <v>0.24866990515845463</v>
      </c>
      <c r="H82" s="23"/>
    </row>
    <row r="83" spans="2:8" x14ac:dyDescent="0.45">
      <c r="B83" s="5"/>
      <c r="C83" s="3">
        <v>20000</v>
      </c>
      <c r="D83" s="149">
        <f>Rates!$D$34</f>
        <v>216.15</v>
      </c>
      <c r="E83" s="149">
        <f>Rates!$E$34</f>
        <v>269.89999999999998</v>
      </c>
      <c r="F83" s="9">
        <f t="shared" si="8"/>
        <v>53.749999999999972</v>
      </c>
      <c r="G83" s="36">
        <f t="shared" si="9"/>
        <v>0.24866990515845463</v>
      </c>
      <c r="H83" s="23"/>
    </row>
    <row r="84" spans="2:8" x14ac:dyDescent="0.45">
      <c r="B84" s="5"/>
      <c r="C84" s="3">
        <v>25000</v>
      </c>
      <c r="D84" s="149">
        <f>Rates!$D$34</f>
        <v>216.15</v>
      </c>
      <c r="E84" s="149">
        <f>Rates!$E$34</f>
        <v>269.89999999999998</v>
      </c>
      <c r="F84" s="9">
        <f t="shared" si="8"/>
        <v>53.749999999999972</v>
      </c>
      <c r="G84" s="36">
        <f t="shared" si="9"/>
        <v>0.24866990515845463</v>
      </c>
      <c r="H84" s="23"/>
    </row>
    <row r="85" spans="2:8" x14ac:dyDescent="0.45">
      <c r="B85" s="5"/>
      <c r="C85" s="3">
        <v>30000</v>
      </c>
      <c r="D85" s="151">
        <f>Rates!$D$34+((Bills!$C85-25000)*Rates!$D$35)</f>
        <v>252.9</v>
      </c>
      <c r="E85" s="151">
        <f>Rates!$E$34+((Bills!$C85-25000)*Rates!$E$35)</f>
        <v>315.79999999999995</v>
      </c>
      <c r="F85" s="9">
        <f t="shared" si="8"/>
        <v>62.899999999999949</v>
      </c>
      <c r="G85" s="36">
        <f t="shared" si="9"/>
        <v>0.2487149070778962</v>
      </c>
      <c r="H85" s="23"/>
    </row>
    <row r="86" spans="2:8" x14ac:dyDescent="0.45">
      <c r="B86" s="5"/>
      <c r="C86" s="3">
        <v>40000</v>
      </c>
      <c r="D86" s="151">
        <f>Rates!$D$34+((Bills!$C86-25000)*Rates!$D$35)</f>
        <v>326.39999999999998</v>
      </c>
      <c r="E86" s="151">
        <f>Rates!$E$34+((Bills!$C86-25000)*Rates!$E$35)</f>
        <v>407.6</v>
      </c>
      <c r="F86" s="9">
        <f t="shared" si="8"/>
        <v>81.200000000000045</v>
      </c>
      <c r="G86" s="36">
        <f t="shared" si="9"/>
        <v>0.24877450980392171</v>
      </c>
      <c r="H86" s="23"/>
    </row>
    <row r="87" spans="2:8" x14ac:dyDescent="0.45">
      <c r="B87" s="5"/>
      <c r="C87" s="3">
        <v>50000</v>
      </c>
      <c r="D87" s="151">
        <f>Rates!$D$34+((Bills!$C87-25000)*Rates!$D$35)</f>
        <v>399.9</v>
      </c>
      <c r="E87" s="151">
        <f>Rates!$E$34+((Bills!$C87-25000)*Rates!$E$35)</f>
        <v>499.4</v>
      </c>
      <c r="F87" s="9">
        <f t="shared" si="8"/>
        <v>99.5</v>
      </c>
      <c r="G87" s="36">
        <f t="shared" si="9"/>
        <v>0.24881220305076271</v>
      </c>
      <c r="H87" s="23"/>
    </row>
    <row r="88" spans="2:8" x14ac:dyDescent="0.45">
      <c r="B88" s="138"/>
      <c r="C88" s="24">
        <v>89690</v>
      </c>
      <c r="D88" s="150">
        <f>Rates!$D$34+((Bills!$C88-25000)*Rates!$D$35)</f>
        <v>691.62149999999997</v>
      </c>
      <c r="E88" s="150">
        <f>Rates!$E$34+((Bills!$C88-25000)*Rates!$E$35)</f>
        <v>863.75419999999997</v>
      </c>
      <c r="F88" s="25">
        <f t="shared" si="8"/>
        <v>172.1327</v>
      </c>
      <c r="G88" s="37">
        <f t="shared" si="9"/>
        <v>0.24888280656399492</v>
      </c>
      <c r="H88" s="26"/>
    </row>
    <row r="89" spans="2:8" x14ac:dyDescent="0.45">
      <c r="B89" s="5"/>
      <c r="C89" s="3">
        <v>100000</v>
      </c>
      <c r="D89" s="151">
        <f>Rates!$D$34+((Bills!$C89-25000)*Rates!$D$35)</f>
        <v>767.4</v>
      </c>
      <c r="E89" s="151">
        <f>Rates!$E$34+((Bills!$C89-25000)*Rates!$E$35)</f>
        <v>958.4</v>
      </c>
      <c r="F89" s="9">
        <f t="shared" si="8"/>
        <v>191</v>
      </c>
      <c r="G89" s="36">
        <f t="shared" si="9"/>
        <v>0.24889236382590565</v>
      </c>
      <c r="H89" s="23"/>
    </row>
    <row r="90" spans="2:8" x14ac:dyDescent="0.45">
      <c r="B90" s="255"/>
      <c r="C90" s="51">
        <v>200000</v>
      </c>
      <c r="D90" s="151">
        <f>Rates!$D$34+((Bills!$C90-25000)*Rates!$D$35)</f>
        <v>1502.4</v>
      </c>
      <c r="E90" s="151">
        <f>Rates!$E$34+((Bills!$C90-25000)*Rates!$E$35)</f>
        <v>1876.4</v>
      </c>
      <c r="F90" s="106">
        <f t="shared" si="8"/>
        <v>374</v>
      </c>
      <c r="G90" s="256">
        <f t="shared" si="9"/>
        <v>0.2489350372736954</v>
      </c>
      <c r="H90" s="257"/>
    </row>
    <row r="91" spans="2:8" x14ac:dyDescent="0.45">
      <c r="B91" s="5"/>
      <c r="C91" s="3">
        <v>500000</v>
      </c>
      <c r="D91" s="151">
        <f>Rates!$D$34+((Bills!$C91-25000)*Rates!$D$35)</f>
        <v>3707.4</v>
      </c>
      <c r="E91" s="151">
        <f>Rates!$E$34+((Bills!$C91-25000)*Rates!$E$35)</f>
        <v>4630.3999999999996</v>
      </c>
      <c r="F91" s="9">
        <f t="shared" si="8"/>
        <v>922.99999999999955</v>
      </c>
      <c r="G91" s="36">
        <f t="shared" si="9"/>
        <v>0.24896153638668597</v>
      </c>
      <c r="H91" s="23"/>
    </row>
    <row r="92" spans="2:8" ht="15.4" x14ac:dyDescent="0.45">
      <c r="B92" s="210"/>
      <c r="C92" s="211"/>
      <c r="D92" s="212"/>
      <c r="E92" s="213"/>
      <c r="F92" s="214"/>
      <c r="G92" s="2"/>
      <c r="H92" s="215"/>
    </row>
    <row r="94" spans="2:8" ht="15.75" x14ac:dyDescent="0.5">
      <c r="B94" s="416" t="str">
        <f>Rates!B38</f>
        <v>Dale Hollow State Park</v>
      </c>
      <c r="C94" s="417"/>
      <c r="D94" s="417"/>
      <c r="E94" s="417"/>
      <c r="F94" s="417"/>
      <c r="G94" s="417"/>
      <c r="H94" s="418"/>
    </row>
    <row r="95" spans="2:8" ht="15.75" x14ac:dyDescent="0.45">
      <c r="B95" s="5"/>
      <c r="C95" s="6"/>
      <c r="D95" s="147"/>
      <c r="E95" s="146"/>
      <c r="F95" s="21"/>
      <c r="G95" s="21"/>
      <c r="H95" s="22"/>
    </row>
    <row r="96" spans="2:8" ht="16.5" x14ac:dyDescent="0.75">
      <c r="B96" s="5"/>
      <c r="C96" s="18" t="s">
        <v>2</v>
      </c>
      <c r="D96" s="148" t="s">
        <v>4</v>
      </c>
      <c r="E96" s="153" t="s">
        <v>0</v>
      </c>
      <c r="F96" s="8"/>
      <c r="G96" s="8"/>
      <c r="H96" s="18"/>
    </row>
    <row r="97" spans="2:8" ht="16.5" x14ac:dyDescent="0.75">
      <c r="B97" s="5"/>
      <c r="C97" s="18" t="s">
        <v>55</v>
      </c>
      <c r="D97" s="148" t="s">
        <v>18</v>
      </c>
      <c r="E97" s="153" t="s">
        <v>18</v>
      </c>
      <c r="F97" s="8" t="s">
        <v>5</v>
      </c>
      <c r="G97" s="8" t="s">
        <v>19</v>
      </c>
      <c r="H97" s="18"/>
    </row>
    <row r="98" spans="2:8" x14ac:dyDescent="0.45">
      <c r="B98" s="5"/>
      <c r="C98" s="9">
        <v>0</v>
      </c>
      <c r="D98" s="149">
        <f>Rates!$D$41</f>
        <v>2238.56</v>
      </c>
      <c r="E98" s="149">
        <f>Rates!$E$41</f>
        <v>2795.19</v>
      </c>
      <c r="F98" s="28">
        <f>E98-D98</f>
        <v>556.63000000000011</v>
      </c>
      <c r="G98" s="36">
        <f>F98/D98</f>
        <v>0.24865538560503186</v>
      </c>
      <c r="H98" s="23"/>
    </row>
    <row r="99" spans="2:8" x14ac:dyDescent="0.45">
      <c r="B99" s="5"/>
      <c r="C99" s="3">
        <v>2000</v>
      </c>
      <c r="D99" s="149">
        <f>Rates!$D$41</f>
        <v>2238.56</v>
      </c>
      <c r="E99" s="149">
        <f>Rates!$E$41</f>
        <v>2795.19</v>
      </c>
      <c r="F99" s="9">
        <f t="shared" ref="F99:F113" si="10">E99-D99</f>
        <v>556.63000000000011</v>
      </c>
      <c r="G99" s="36">
        <f t="shared" ref="G99:G113" si="11">F99/D99</f>
        <v>0.24865538560503186</v>
      </c>
      <c r="H99" s="23"/>
    </row>
    <row r="100" spans="2:8" x14ac:dyDescent="0.45">
      <c r="B100" s="255"/>
      <c r="C100" s="51">
        <v>4000</v>
      </c>
      <c r="D100" s="149">
        <f>Rates!$D$41</f>
        <v>2238.56</v>
      </c>
      <c r="E100" s="149">
        <f>Rates!$E$41</f>
        <v>2795.19</v>
      </c>
      <c r="F100" s="106">
        <f t="shared" si="10"/>
        <v>556.63000000000011</v>
      </c>
      <c r="G100" s="256">
        <f t="shared" si="11"/>
        <v>0.24865538560503186</v>
      </c>
      <c r="H100" s="257"/>
    </row>
    <row r="101" spans="2:8" x14ac:dyDescent="0.45">
      <c r="B101" s="5"/>
      <c r="C101" s="3">
        <v>6000</v>
      </c>
      <c r="D101" s="149">
        <f>Rates!$D$41</f>
        <v>2238.56</v>
      </c>
      <c r="E101" s="149">
        <f>Rates!$E$41</f>
        <v>2795.19</v>
      </c>
      <c r="F101" s="106">
        <f t="shared" si="10"/>
        <v>556.63000000000011</v>
      </c>
      <c r="G101" s="36">
        <f t="shared" si="11"/>
        <v>0.24865538560503186</v>
      </c>
      <c r="H101" s="23"/>
    </row>
    <row r="102" spans="2:8" x14ac:dyDescent="0.45">
      <c r="B102" s="5"/>
      <c r="C102" s="3">
        <v>8000</v>
      </c>
      <c r="D102" s="149">
        <f>Rates!$D$41</f>
        <v>2238.56</v>
      </c>
      <c r="E102" s="149">
        <f>Rates!$E$41</f>
        <v>2795.19</v>
      </c>
      <c r="F102" s="9">
        <f t="shared" si="10"/>
        <v>556.63000000000011</v>
      </c>
      <c r="G102" s="36">
        <f t="shared" si="11"/>
        <v>0.24865538560503186</v>
      </c>
      <c r="H102" s="23"/>
    </row>
    <row r="103" spans="2:8" x14ac:dyDescent="0.45">
      <c r="B103" s="5"/>
      <c r="C103" s="3">
        <v>10000</v>
      </c>
      <c r="D103" s="149">
        <f>Rates!$D$41</f>
        <v>2238.56</v>
      </c>
      <c r="E103" s="149">
        <f>Rates!$E$41</f>
        <v>2795.19</v>
      </c>
      <c r="F103" s="9">
        <f t="shared" si="10"/>
        <v>556.63000000000011</v>
      </c>
      <c r="G103" s="36">
        <f t="shared" si="11"/>
        <v>0.24865538560503186</v>
      </c>
      <c r="H103" s="23"/>
    </row>
    <row r="104" spans="2:8" x14ac:dyDescent="0.45">
      <c r="B104" s="5"/>
      <c r="C104" s="3">
        <v>15000</v>
      </c>
      <c r="D104" s="149">
        <f>Rates!$D$41</f>
        <v>2238.56</v>
      </c>
      <c r="E104" s="149">
        <f>Rates!$E$41</f>
        <v>2795.19</v>
      </c>
      <c r="F104" s="9">
        <f t="shared" si="10"/>
        <v>556.63000000000011</v>
      </c>
      <c r="G104" s="36">
        <f t="shared" si="11"/>
        <v>0.24865538560503186</v>
      </c>
      <c r="H104" s="23"/>
    </row>
    <row r="105" spans="2:8" x14ac:dyDescent="0.45">
      <c r="B105" s="5"/>
      <c r="C105" s="3">
        <v>20000</v>
      </c>
      <c r="D105" s="149">
        <f>Rates!$D$41</f>
        <v>2238.56</v>
      </c>
      <c r="E105" s="149">
        <f>Rates!$E$41</f>
        <v>2795.19</v>
      </c>
      <c r="F105" s="9">
        <f t="shared" si="10"/>
        <v>556.63000000000011</v>
      </c>
      <c r="G105" s="36">
        <f t="shared" si="11"/>
        <v>0.24865538560503186</v>
      </c>
      <c r="H105" s="23"/>
    </row>
    <row r="106" spans="2:8" x14ac:dyDescent="0.45">
      <c r="B106" s="5"/>
      <c r="C106" s="3">
        <v>25000</v>
      </c>
      <c r="D106" s="149">
        <f>Rates!$D$41</f>
        <v>2238.56</v>
      </c>
      <c r="E106" s="149">
        <f>Rates!$E$41</f>
        <v>2795.19</v>
      </c>
      <c r="F106" s="9">
        <f t="shared" si="10"/>
        <v>556.63000000000011</v>
      </c>
      <c r="G106" s="36">
        <f t="shared" si="11"/>
        <v>0.24865538560503186</v>
      </c>
      <c r="H106" s="23"/>
    </row>
    <row r="107" spans="2:8" x14ac:dyDescent="0.45">
      <c r="B107" s="5"/>
      <c r="C107" s="3">
        <v>30000</v>
      </c>
      <c r="D107" s="149">
        <f>Rates!$D$41</f>
        <v>2238.56</v>
      </c>
      <c r="E107" s="149">
        <f>Rates!$E$41</f>
        <v>2795.19</v>
      </c>
      <c r="F107" s="9">
        <f t="shared" si="10"/>
        <v>556.63000000000011</v>
      </c>
      <c r="G107" s="36">
        <f t="shared" si="11"/>
        <v>0.24865538560503186</v>
      </c>
      <c r="H107" s="23"/>
    </row>
    <row r="108" spans="2:8" x14ac:dyDescent="0.45">
      <c r="B108" s="5"/>
      <c r="C108" s="3">
        <v>40000</v>
      </c>
      <c r="D108" s="149">
        <f>Rates!$D$41</f>
        <v>2238.56</v>
      </c>
      <c r="E108" s="149">
        <f>Rates!$E$41</f>
        <v>2795.19</v>
      </c>
      <c r="F108" s="9">
        <f t="shared" si="10"/>
        <v>556.63000000000011</v>
      </c>
      <c r="G108" s="36">
        <f t="shared" si="11"/>
        <v>0.24865538560503186</v>
      </c>
      <c r="H108" s="23"/>
    </row>
    <row r="109" spans="2:8" x14ac:dyDescent="0.45">
      <c r="B109" s="5"/>
      <c r="C109" s="3">
        <v>50000</v>
      </c>
      <c r="D109" s="149">
        <f>Rates!$D$41</f>
        <v>2238.56</v>
      </c>
      <c r="E109" s="149">
        <f>Rates!$E$41</f>
        <v>2795.19</v>
      </c>
      <c r="F109" s="9">
        <f t="shared" si="10"/>
        <v>556.63000000000011</v>
      </c>
      <c r="G109" s="36">
        <f t="shared" si="11"/>
        <v>0.24865538560503186</v>
      </c>
      <c r="H109" s="23"/>
    </row>
    <row r="110" spans="2:8" x14ac:dyDescent="0.45">
      <c r="B110" s="5"/>
      <c r="C110" s="3">
        <v>75000</v>
      </c>
      <c r="D110" s="149">
        <f>Rates!$D$41</f>
        <v>2238.56</v>
      </c>
      <c r="E110" s="149">
        <f>Rates!$E$41</f>
        <v>2795.19</v>
      </c>
      <c r="F110" s="9">
        <f t="shared" si="10"/>
        <v>556.63000000000011</v>
      </c>
      <c r="G110" s="36">
        <f t="shared" si="11"/>
        <v>0.24865538560503186</v>
      </c>
      <c r="H110" s="23"/>
    </row>
    <row r="111" spans="2:8" x14ac:dyDescent="0.45">
      <c r="B111" s="5"/>
      <c r="C111" s="3">
        <v>100000</v>
      </c>
      <c r="D111" s="149">
        <f>Rates!$D$41</f>
        <v>2238.56</v>
      </c>
      <c r="E111" s="149">
        <f>Rates!$E$41</f>
        <v>2795.19</v>
      </c>
      <c r="F111" s="9">
        <f t="shared" si="10"/>
        <v>556.63000000000011</v>
      </c>
      <c r="G111" s="36">
        <f t="shared" si="11"/>
        <v>0.24865538560503186</v>
      </c>
      <c r="H111" s="23"/>
    </row>
    <row r="112" spans="2:8" x14ac:dyDescent="0.45">
      <c r="B112" s="255"/>
      <c r="C112" s="51">
        <v>500000</v>
      </c>
      <c r="D112" s="151">
        <f>Rates!$D$41+(Bills!$C112-300000)*Rates!$D$42</f>
        <v>3708.56</v>
      </c>
      <c r="E112" s="151">
        <f>Rates!$E$41+(Bills!$C112-300000)*Rates!$E$42</f>
        <v>4631.1900000000005</v>
      </c>
      <c r="F112" s="106">
        <f t="shared" si="10"/>
        <v>922.63000000000056</v>
      </c>
      <c r="G112" s="256">
        <f t="shared" si="11"/>
        <v>0.24878389455745642</v>
      </c>
      <c r="H112" s="257"/>
    </row>
    <row r="113" spans="2:8" x14ac:dyDescent="0.45">
      <c r="B113" s="138"/>
      <c r="C113" s="24">
        <v>974766</v>
      </c>
      <c r="D113" s="150">
        <f>Rates!$D$41+(Bills!$C113-300000)*Rates!$D$42</f>
        <v>7198.0900999999994</v>
      </c>
      <c r="E113" s="150">
        <f>Rates!$E$41+(Bills!$C113-300000)*Rates!$E$42</f>
        <v>8989.5418800000007</v>
      </c>
      <c r="F113" s="25">
        <f t="shared" si="10"/>
        <v>1791.4517800000012</v>
      </c>
      <c r="G113" s="37">
        <f t="shared" si="11"/>
        <v>0.24887876577149282</v>
      </c>
      <c r="H113" s="26"/>
    </row>
    <row r="114" spans="2:8" ht="15.4" x14ac:dyDescent="0.45">
      <c r="B114" s="210"/>
      <c r="C114" s="211"/>
      <c r="D114" s="212"/>
      <c r="E114" s="213"/>
      <c r="F114" s="214"/>
      <c r="G114" s="2"/>
      <c r="H114" s="215"/>
    </row>
  </sheetData>
  <mergeCells count="8">
    <mergeCell ref="B72:H72"/>
    <mergeCell ref="B94:H94"/>
    <mergeCell ref="B50:H50"/>
    <mergeCell ref="B28:H28"/>
    <mergeCell ref="B2:H2"/>
    <mergeCell ref="B3:H3"/>
    <mergeCell ref="B4:H4"/>
    <mergeCell ref="B6:H6"/>
  </mergeCells>
  <printOptions horizontalCentered="1"/>
  <pageMargins left="0.25" right="0.25" top="0.25" bottom="0.25" header="0" footer="0"/>
  <pageSetup scale="78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E5441-F063-4050-9D02-C804732071DB}">
  <sheetPr>
    <pageSetUpPr fitToPage="1"/>
  </sheetPr>
  <dimension ref="B1:N114"/>
  <sheetViews>
    <sheetView showGridLines="0" topLeftCell="A87" zoomScale="99" zoomScaleNormal="99" workbookViewId="0">
      <selection activeCell="K89" sqref="K89"/>
    </sheetView>
  </sheetViews>
  <sheetFormatPr defaultColWidth="8.83203125" defaultRowHeight="14.25" x14ac:dyDescent="0.45"/>
  <cols>
    <col min="1" max="1" width="3.0546875" style="4" customWidth="1"/>
    <col min="2" max="2" width="1.83203125" style="4" customWidth="1"/>
    <col min="3" max="3" width="9.83203125" style="4" customWidth="1"/>
    <col min="4" max="5" width="9.83203125" style="45" customWidth="1"/>
    <col min="6" max="7" width="9.83203125" style="4" customWidth="1"/>
    <col min="8" max="8" width="1.83203125" style="4" customWidth="1"/>
    <col min="9" max="9" width="2.83203125" style="4" customWidth="1"/>
    <col min="10" max="16384" width="8.83203125" style="4"/>
  </cols>
  <sheetData>
    <row r="1" spans="2:10" ht="20" customHeight="1" x14ac:dyDescent="0.45"/>
    <row r="2" spans="2:10" ht="20" customHeight="1" x14ac:dyDescent="0.55000000000000004">
      <c r="B2" s="419" t="s">
        <v>287</v>
      </c>
      <c r="C2" s="420"/>
      <c r="D2" s="420"/>
      <c r="E2" s="420"/>
      <c r="F2" s="420"/>
      <c r="G2" s="420"/>
      <c r="H2" s="421"/>
    </row>
    <row r="3" spans="2:10" ht="18" x14ac:dyDescent="0.55000000000000004">
      <c r="B3" s="422" t="s">
        <v>289</v>
      </c>
      <c r="C3" s="423"/>
      <c r="D3" s="423"/>
      <c r="E3" s="423"/>
      <c r="F3" s="423"/>
      <c r="G3" s="423"/>
      <c r="H3" s="424"/>
    </row>
    <row r="4" spans="2:10" ht="15.75" x14ac:dyDescent="0.45">
      <c r="B4" s="425" t="s">
        <v>218</v>
      </c>
      <c r="C4" s="426"/>
      <c r="D4" s="426"/>
      <c r="E4" s="426"/>
      <c r="F4" s="426"/>
      <c r="G4" s="426"/>
      <c r="H4" s="427"/>
    </row>
    <row r="5" spans="2:10" ht="6" customHeight="1" x14ac:dyDescent="0.45">
      <c r="B5" s="20"/>
      <c r="C5" s="21"/>
      <c r="D5" s="146"/>
      <c r="E5" s="146"/>
      <c r="F5" s="21"/>
      <c r="G5" s="21"/>
      <c r="H5" s="22"/>
    </row>
    <row r="6" spans="2:10" ht="15.75" x14ac:dyDescent="0.5">
      <c r="B6" s="428" t="str">
        <f>Rates!B7</f>
        <v xml:space="preserve">5/8" x 3/4" Meter </v>
      </c>
      <c r="C6" s="429"/>
      <c r="D6" s="429"/>
      <c r="E6" s="429"/>
      <c r="F6" s="429"/>
      <c r="G6" s="429"/>
      <c r="H6" s="430"/>
      <c r="I6" s="5"/>
    </row>
    <row r="7" spans="2:10" ht="6" customHeight="1" x14ac:dyDescent="0.45">
      <c r="B7" s="5"/>
      <c r="C7" s="6"/>
      <c r="D7" s="147"/>
      <c r="E7" s="146"/>
      <c r="F7" s="21"/>
      <c r="G7" s="21"/>
      <c r="H7" s="22"/>
      <c r="I7" s="19"/>
      <c r="J7" s="19"/>
    </row>
    <row r="8" spans="2:10" ht="16.5" x14ac:dyDescent="0.75">
      <c r="B8" s="5"/>
      <c r="C8" s="18" t="s">
        <v>2</v>
      </c>
      <c r="D8" s="148" t="s">
        <v>4</v>
      </c>
      <c r="E8" s="153" t="s">
        <v>0</v>
      </c>
      <c r="F8" s="8"/>
      <c r="G8" s="8"/>
      <c r="H8" s="18"/>
    </row>
    <row r="9" spans="2:10" ht="16.5" x14ac:dyDescent="0.75">
      <c r="B9" s="5"/>
      <c r="C9" s="18" t="s">
        <v>55</v>
      </c>
      <c r="D9" s="148" t="s">
        <v>18</v>
      </c>
      <c r="E9" s="153" t="s">
        <v>18</v>
      </c>
      <c r="F9" s="8" t="s">
        <v>5</v>
      </c>
      <c r="G9" s="8" t="s">
        <v>19</v>
      </c>
      <c r="H9" s="18"/>
    </row>
    <row r="10" spans="2:10" x14ac:dyDescent="0.45">
      <c r="B10" s="5"/>
      <c r="C10" s="9">
        <v>0</v>
      </c>
      <c r="D10" s="149">
        <f>Rates!D10+Rates!D48</f>
        <v>37.480000000000004</v>
      </c>
      <c r="E10" s="149">
        <f>Rates!E10+Rates!$E$48</f>
        <v>46.95</v>
      </c>
      <c r="F10" s="28">
        <f>E10-D10</f>
        <v>9.4699999999999989</v>
      </c>
      <c r="G10" s="36">
        <f>F10/D10</f>
        <v>0.25266808964781212</v>
      </c>
      <c r="H10" s="23"/>
    </row>
    <row r="11" spans="2:10" x14ac:dyDescent="0.45">
      <c r="B11" s="5"/>
      <c r="C11" s="3">
        <v>2000</v>
      </c>
      <c r="D11" s="149">
        <f>Rates!D10+Rates!D48</f>
        <v>37.480000000000004</v>
      </c>
      <c r="E11" s="149">
        <f>Rates!E10+Rates!$E$48</f>
        <v>46.95</v>
      </c>
      <c r="F11" s="9">
        <f t="shared" ref="F11:F25" si="0">E11-D11</f>
        <v>9.4699999999999989</v>
      </c>
      <c r="G11" s="36">
        <f t="shared" ref="G11:G25" si="1">F11/D11</f>
        <v>0.25266808964781212</v>
      </c>
      <c r="H11" s="23"/>
    </row>
    <row r="12" spans="2:10" x14ac:dyDescent="0.45">
      <c r="B12" s="138"/>
      <c r="C12" s="24">
        <v>3551</v>
      </c>
      <c r="D12" s="150">
        <f>Rates!$D$10+(('Bills with Surcharge'!$C12-2000)*Rates!$D$11)+Rates!D48</f>
        <v>52.369599999999998</v>
      </c>
      <c r="E12" s="150">
        <f>Rates!$E$10+(('Bills with Surcharge'!$C12-2000)*Rates!$E$11)+Rates!$E$48</f>
        <v>65.546489999999991</v>
      </c>
      <c r="F12" s="25">
        <f t="shared" si="0"/>
        <v>13.176889999999993</v>
      </c>
      <c r="G12" s="37">
        <f t="shared" si="1"/>
        <v>0.25161334056399121</v>
      </c>
      <c r="H12" s="26"/>
    </row>
    <row r="13" spans="2:10" x14ac:dyDescent="0.45">
      <c r="B13" s="5"/>
      <c r="C13" s="3">
        <v>6000</v>
      </c>
      <c r="D13" s="151">
        <f>Rates!$D$10+(3000*Rates!$D$11)+(('Bills with Surcharge'!C13-5000)*Rates!$D$12)+Rates!D48</f>
        <v>74.77</v>
      </c>
      <c r="E13" s="151">
        <f>Rates!$E$10+(3000*Rates!$E$11)+(('Bills with Surcharge'!C13-5000)*Rates!$E$12)+Rates!$E$48</f>
        <v>93.52</v>
      </c>
      <c r="F13" s="106">
        <f t="shared" si="0"/>
        <v>18.75</v>
      </c>
      <c r="G13" s="36">
        <f t="shared" si="1"/>
        <v>0.25076902501003079</v>
      </c>
      <c r="H13" s="23"/>
    </row>
    <row r="14" spans="2:10" x14ac:dyDescent="0.45">
      <c r="B14" s="5"/>
      <c r="C14" s="3">
        <v>8000</v>
      </c>
      <c r="D14" s="151">
        <f>Rates!$D$10+(3000*Rates!$D$11)+(('Bills with Surcharge'!C14-5000)*Rates!$D$12)+Rates!D48</f>
        <v>91.75</v>
      </c>
      <c r="E14" s="151">
        <f>Rates!$E$10+(3000*Rates!$E$11)+(('Bills with Surcharge'!C14-5000)*Rates!$E$12)+Rates!$E$48</f>
        <v>114.72</v>
      </c>
      <c r="F14" s="9">
        <f t="shared" si="0"/>
        <v>22.97</v>
      </c>
      <c r="G14" s="36">
        <f t="shared" si="1"/>
        <v>0.25035422343324248</v>
      </c>
      <c r="H14" s="23"/>
    </row>
    <row r="15" spans="2:10" x14ac:dyDescent="0.45">
      <c r="B15" s="5"/>
      <c r="C15" s="3">
        <v>10000</v>
      </c>
      <c r="D15" s="151">
        <f>Rates!$D$10+(3000*Rates!$D$11)+(('Bills with Surcharge'!C15-5000)*Rates!$D$12)+Rates!D48</f>
        <v>108.72999999999999</v>
      </c>
      <c r="E15" s="151">
        <f>Rates!$E$10+(3000*Rates!$E$11)+(('Bills with Surcharge'!C15-5000)*Rates!$E$12)+Rates!$E$48</f>
        <v>135.92000000000002</v>
      </c>
      <c r="F15" s="9">
        <f t="shared" si="0"/>
        <v>27.190000000000026</v>
      </c>
      <c r="G15" s="36">
        <f t="shared" si="1"/>
        <v>0.25006897820288815</v>
      </c>
      <c r="H15" s="23"/>
    </row>
    <row r="16" spans="2:10" x14ac:dyDescent="0.45">
      <c r="B16" s="5"/>
      <c r="C16" s="3">
        <v>15000</v>
      </c>
      <c r="D16" s="151">
        <f>Rates!$D$10+(3000*Rates!$D$11)+(5000*Rates!$D$12)+(('Bills with Surcharge'!C16-10000)*Rates!$D$13)</f>
        <v>142.63</v>
      </c>
      <c r="E16" s="151">
        <f>Rates!$E$10+(3000*Rates!$E$11)+(5000*Rates!$E$12)+(('Bills with Surcharge'!C16-10000)*Rates!$E$13)+Rates!$E$48</f>
        <v>181.82000000000002</v>
      </c>
      <c r="F16" s="9">
        <f>E16-D16</f>
        <v>39.190000000000026</v>
      </c>
      <c r="G16" s="36">
        <f>F16/D16</f>
        <v>0.27476687933814786</v>
      </c>
      <c r="H16" s="23"/>
    </row>
    <row r="17" spans="2:14" x14ac:dyDescent="0.45">
      <c r="B17" s="5"/>
      <c r="C17" s="3">
        <v>20000</v>
      </c>
      <c r="D17" s="151">
        <f>Rates!$D$10+(3000*Rates!$D$11)+(5000*Rates!$D$12)+(('Bills with Surcharge'!C17-10000)*Rates!$D$13)+Rates!D48</f>
        <v>182.23</v>
      </c>
      <c r="E17" s="151">
        <f>Rates!$E$10+(3000*Rates!$E$11)+(5000*Rates!$E$12)+(('Bills with Surcharge'!C17-10000)*Rates!$E$13)+Rates!$E$48</f>
        <v>227.72000000000003</v>
      </c>
      <c r="F17" s="9">
        <f>E17-D17</f>
        <v>45.490000000000038</v>
      </c>
      <c r="G17" s="36">
        <f>F17/D17</f>
        <v>0.24962958898095836</v>
      </c>
      <c r="H17" s="23"/>
    </row>
    <row r="18" spans="2:14" x14ac:dyDescent="0.45">
      <c r="B18" s="5"/>
      <c r="C18" s="3">
        <v>25000</v>
      </c>
      <c r="D18" s="151">
        <f>Rates!$D$10+(3000*Rates!$D$11)+(5000*Rates!$D$12)+(('Bills with Surcharge'!C18-10000)*Rates!$D$13)+Rates!D48</f>
        <v>218.98</v>
      </c>
      <c r="E18" s="151">
        <f>Rates!$E$10+(3000*Rates!$E$11)+(5000*Rates!$E$12)+(('Bills with Surcharge'!C18-10000)*Rates!$E$13)+Rates!$E$48</f>
        <v>273.62</v>
      </c>
      <c r="F18" s="9">
        <f t="shared" si="0"/>
        <v>54.640000000000015</v>
      </c>
      <c r="G18" s="36">
        <f t="shared" si="1"/>
        <v>0.24952050415563073</v>
      </c>
      <c r="H18" s="23"/>
    </row>
    <row r="19" spans="2:14" x14ac:dyDescent="0.45">
      <c r="B19" s="5"/>
      <c r="C19" s="3">
        <v>30000</v>
      </c>
      <c r="D19" s="151">
        <f>Rates!$D$10+(3000*Rates!$D$11)+(5000*Rates!$D$12)+(('Bills with Surcharge'!C19-10000)*Rates!$D$13)+Rates!D48</f>
        <v>255.73</v>
      </c>
      <c r="E19" s="151">
        <f>Rates!$E$10+(3000*Rates!$E$11)+(5000*Rates!$E$12)+(('Bills with Surcharge'!C19-10000)*Rates!$E$13)+Rates!$E$48</f>
        <v>319.52000000000004</v>
      </c>
      <c r="F19" s="9">
        <f t="shared" si="0"/>
        <v>63.790000000000049</v>
      </c>
      <c r="G19" s="36">
        <f t="shared" si="1"/>
        <v>0.24944277167324932</v>
      </c>
      <c r="H19" s="23"/>
      <c r="N19" s="3"/>
    </row>
    <row r="20" spans="2:14" x14ac:dyDescent="0.45">
      <c r="B20" s="5"/>
      <c r="C20" s="3">
        <v>40000</v>
      </c>
      <c r="D20" s="151">
        <f>Rates!$D$10+(3000*Rates!$D$11)+(5000*Rates!$D$12)+(('Bills with Surcharge'!C20-10000)*Rates!$D$13)+Rates!D48</f>
        <v>329.23</v>
      </c>
      <c r="E20" s="151">
        <f>Rates!$E$10+(3000*Rates!$E$11)+(5000*Rates!$E$12)+(('Bills with Surcharge'!C20-10000)*Rates!$E$13)+Rates!$E$48</f>
        <v>411.32</v>
      </c>
      <c r="F20" s="9">
        <f t="shared" si="0"/>
        <v>82.089999999999975</v>
      </c>
      <c r="G20" s="36">
        <f t="shared" si="1"/>
        <v>0.24933936761534481</v>
      </c>
      <c r="H20" s="23"/>
    </row>
    <row r="21" spans="2:14" x14ac:dyDescent="0.45">
      <c r="B21" s="5"/>
      <c r="C21" s="3">
        <v>50000</v>
      </c>
      <c r="D21" s="151">
        <f>Rates!$D$10+(3000*Rates!$D$11)+(5000*Rates!$D$12)+(('Bills with Surcharge'!C21-10000)*Rates!$D$13)+Rates!D48</f>
        <v>402.73</v>
      </c>
      <c r="E21" s="151">
        <f>Rates!$E$10+(3000*Rates!$E$11)+(5000*Rates!$E$12)+(('Bills with Surcharge'!C21-10000)*Rates!$E$13)+Rates!$E$48</f>
        <v>503.12000000000006</v>
      </c>
      <c r="F21" s="9">
        <f t="shared" si="0"/>
        <v>100.39000000000004</v>
      </c>
      <c r="G21" s="36">
        <f t="shared" si="1"/>
        <v>0.2492737069500659</v>
      </c>
      <c r="H21" s="23"/>
    </row>
    <row r="22" spans="2:14" x14ac:dyDescent="0.45">
      <c r="B22" s="5"/>
      <c r="C22" s="3">
        <v>75000</v>
      </c>
      <c r="D22" s="151">
        <f>Rates!$D$10+(3000*Rates!$D$11)+(5000*Rates!$D$12)+(('Bills with Surcharge'!C22-10000)*Rates!$D$13)+Rates!D48</f>
        <v>586.48</v>
      </c>
      <c r="E22" s="151">
        <f>Rates!$E$10+(3000*Rates!$E$11)+(5000*Rates!$E$12)+(('Bills with Surcharge'!C22-10000)*Rates!$E$13)+Rates!$E$48</f>
        <v>732.62000000000012</v>
      </c>
      <c r="F22" s="9">
        <f t="shared" si="0"/>
        <v>146.1400000000001</v>
      </c>
      <c r="G22" s="36">
        <f t="shared" si="1"/>
        <v>0.24918155776838102</v>
      </c>
      <c r="H22" s="23"/>
    </row>
    <row r="23" spans="2:14" x14ac:dyDescent="0.45">
      <c r="B23" s="5"/>
      <c r="C23" s="3">
        <v>100000</v>
      </c>
      <c r="D23" s="151">
        <f>Rates!$D$10+(3000*Rates!$D$11)+(5000*Rates!$D$12)+(('Bills with Surcharge'!C23-10000)*Rates!$D$13)+Rates!D48</f>
        <v>770.23</v>
      </c>
      <c r="E23" s="151">
        <f>Rates!$E$10+(3000*Rates!$E$11)+(5000*Rates!$E$12)+(('Bills with Surcharge'!C23-10000)*Rates!$E$13)+Rates!$E$48</f>
        <v>962.12000000000012</v>
      </c>
      <c r="F23" s="9">
        <f t="shared" si="0"/>
        <v>191.8900000000001</v>
      </c>
      <c r="G23" s="36">
        <f t="shared" si="1"/>
        <v>0.24913337574490749</v>
      </c>
      <c r="H23" s="23"/>
    </row>
    <row r="24" spans="2:14" x14ac:dyDescent="0.45">
      <c r="B24" s="5"/>
      <c r="C24" s="3">
        <v>200000</v>
      </c>
      <c r="D24" s="151">
        <f>Rates!$D$10+(3000*Rates!$D$11)+(5000*Rates!$D$12)+(('Bills with Surcharge'!C24-10000)*Rates!$D$13)+Rates!D48</f>
        <v>1505.23</v>
      </c>
      <c r="E24" s="151">
        <f>Rates!$E$10+(3000*Rates!$E$11)+(5000*Rates!$E$12)+(('Bills with Surcharge'!C24-10000)*Rates!$E$13)+Rates!$E$48</f>
        <v>1880.1200000000001</v>
      </c>
      <c r="F24" s="9">
        <f t="shared" si="0"/>
        <v>374.8900000000001</v>
      </c>
      <c r="G24" s="36">
        <f t="shared" si="1"/>
        <v>0.24905828345169848</v>
      </c>
      <c r="H24" s="23"/>
    </row>
    <row r="25" spans="2:14" x14ac:dyDescent="0.45">
      <c r="B25" s="5"/>
      <c r="C25" s="3">
        <v>500000</v>
      </c>
      <c r="D25" s="151">
        <f>Rates!$D$10+(3000*Rates!$D$11)+(5000*Rates!$D$12)+(('Bills with Surcharge'!C25-10000)*Rates!$D$13)+Rates!D48</f>
        <v>3710.23</v>
      </c>
      <c r="E25" s="151">
        <f>Rates!$E$10+(3000*Rates!$E$11)+(5000*Rates!$E$12)+(('Bills with Surcharge'!C25-10000)*Rates!$E$13)+Rates!$E$48</f>
        <v>4634.1200000000008</v>
      </c>
      <c r="F25" s="9">
        <f t="shared" si="0"/>
        <v>923.89000000000078</v>
      </c>
      <c r="G25" s="36">
        <f t="shared" si="1"/>
        <v>0.24901151680623596</v>
      </c>
      <c r="H25" s="23"/>
    </row>
    <row r="26" spans="2:14" ht="6" customHeight="1" x14ac:dyDescent="0.45">
      <c r="B26" s="5"/>
      <c r="C26" s="102"/>
      <c r="D26" s="149"/>
      <c r="E26" s="28"/>
      <c r="F26" s="9"/>
      <c r="G26" s="3"/>
      <c r="H26" s="6"/>
    </row>
    <row r="27" spans="2:14" ht="16.5" customHeight="1" x14ac:dyDescent="0.45">
      <c r="B27" s="103"/>
      <c r="C27" s="104"/>
      <c r="D27" s="152"/>
      <c r="E27" s="152"/>
      <c r="F27" s="105"/>
      <c r="G27" s="103"/>
      <c r="H27" s="103"/>
    </row>
    <row r="28" spans="2:14" ht="15.75" x14ac:dyDescent="0.5">
      <c r="B28" s="416" t="str">
        <f>Rates!B16</f>
        <v>1" Meter</v>
      </c>
      <c r="C28" s="417"/>
      <c r="D28" s="417"/>
      <c r="E28" s="417"/>
      <c r="F28" s="417"/>
      <c r="G28" s="417"/>
      <c r="H28" s="418"/>
    </row>
    <row r="29" spans="2:14" ht="6" customHeight="1" x14ac:dyDescent="0.45">
      <c r="B29" s="5"/>
      <c r="C29" s="6"/>
      <c r="D29" s="147"/>
      <c r="E29" s="146"/>
      <c r="F29" s="21"/>
      <c r="G29" s="21"/>
      <c r="H29" s="22"/>
    </row>
    <row r="30" spans="2:14" ht="16.5" x14ac:dyDescent="0.75">
      <c r="B30" s="5"/>
      <c r="C30" s="18" t="s">
        <v>2</v>
      </c>
      <c r="D30" s="148" t="s">
        <v>4</v>
      </c>
      <c r="E30" s="153" t="s">
        <v>0</v>
      </c>
      <c r="F30" s="8"/>
      <c r="G30" s="8"/>
      <c r="H30" s="18"/>
    </row>
    <row r="31" spans="2:14" ht="16.5" x14ac:dyDescent="0.75">
      <c r="B31" s="5"/>
      <c r="C31" s="18" t="s">
        <v>55</v>
      </c>
      <c r="D31" s="148" t="s">
        <v>18</v>
      </c>
      <c r="E31" s="153" t="s">
        <v>18</v>
      </c>
      <c r="F31" s="8" t="s">
        <v>5</v>
      </c>
      <c r="G31" s="8" t="s">
        <v>19</v>
      </c>
      <c r="H31" s="18"/>
    </row>
    <row r="32" spans="2:14" x14ac:dyDescent="0.45">
      <c r="B32" s="5"/>
      <c r="C32" s="9">
        <v>0</v>
      </c>
      <c r="D32" s="149">
        <f>Rates!$D$19+Rates!D48</f>
        <v>66.63</v>
      </c>
      <c r="E32" s="149">
        <f>Rates!$E$19+Rates!$E$48</f>
        <v>83.35</v>
      </c>
      <c r="F32" s="28">
        <f>E32-D32</f>
        <v>16.72</v>
      </c>
      <c r="G32" s="36">
        <f>F32/D32</f>
        <v>0.25093801590874981</v>
      </c>
      <c r="H32" s="23"/>
    </row>
    <row r="33" spans="2:12" x14ac:dyDescent="0.45">
      <c r="B33" s="5"/>
      <c r="C33" s="3">
        <v>2000</v>
      </c>
      <c r="D33" s="149">
        <f>Rates!$D$19+Rates!D48</f>
        <v>66.63</v>
      </c>
      <c r="E33" s="149">
        <f>Rates!$E$19+Rates!$E$48</f>
        <v>83.35</v>
      </c>
      <c r="F33" s="9">
        <f t="shared" ref="F33:F47" si="2">E33-D33</f>
        <v>16.72</v>
      </c>
      <c r="G33" s="36">
        <f t="shared" ref="G33:G47" si="3">F33/D33</f>
        <v>0.25093801590874981</v>
      </c>
      <c r="H33" s="23"/>
    </row>
    <row r="34" spans="2:12" x14ac:dyDescent="0.45">
      <c r="B34" s="255"/>
      <c r="C34" s="51">
        <v>4000</v>
      </c>
      <c r="D34" s="151">
        <f>Rates!$D$19+Rates!D48</f>
        <v>66.63</v>
      </c>
      <c r="E34" s="151">
        <f>Rates!$E$19+Rates!$E$48</f>
        <v>83.35</v>
      </c>
      <c r="F34" s="106">
        <f t="shared" si="2"/>
        <v>16.72</v>
      </c>
      <c r="G34" s="256">
        <f t="shared" si="3"/>
        <v>0.25093801590874981</v>
      </c>
      <c r="H34" s="257"/>
    </row>
    <row r="35" spans="2:12" x14ac:dyDescent="0.45">
      <c r="B35" s="5"/>
      <c r="C35" s="3">
        <v>6000</v>
      </c>
      <c r="D35" s="151">
        <f>Rates!$D$19+(('Bills with Surcharge'!$C35-5000)*Rates!$D$20)+Rates!D48</f>
        <v>75.11999999999999</v>
      </c>
      <c r="E35" s="151">
        <f>Rates!$E$19+(('Bills with Surcharge'!$C35-5000)*Rates!$E$20)+Rates!$E$48</f>
        <v>93.949999999999989</v>
      </c>
      <c r="F35" s="106">
        <f t="shared" si="2"/>
        <v>18.829999999999998</v>
      </c>
      <c r="G35" s="36">
        <f t="shared" si="3"/>
        <v>0.25066560170394037</v>
      </c>
      <c r="H35" s="23"/>
    </row>
    <row r="36" spans="2:12" x14ac:dyDescent="0.45">
      <c r="B36" s="255"/>
      <c r="C36" s="51">
        <v>8000</v>
      </c>
      <c r="D36" s="151">
        <f>Rates!$D$19+(('Bills with Surcharge'!$C36-5000)*Rates!$D$20)+Rates!D48</f>
        <v>92.1</v>
      </c>
      <c r="E36" s="151">
        <f>Rates!$E$19+(('Bills with Surcharge'!$C36-5000)*Rates!$E$20)+Rates!$E$48</f>
        <v>115.14999999999999</v>
      </c>
      <c r="F36" s="106">
        <f t="shared" si="2"/>
        <v>23.049999999999997</v>
      </c>
      <c r="G36" s="256">
        <f t="shared" si="3"/>
        <v>0.250271444082519</v>
      </c>
      <c r="H36" s="257"/>
    </row>
    <row r="37" spans="2:12" x14ac:dyDescent="0.45">
      <c r="B37" s="5"/>
      <c r="C37" s="3">
        <v>10000</v>
      </c>
      <c r="D37" s="151">
        <f>Rates!$D$19+(('Bills with Surcharge'!$C37-5000)*Rates!$D$20)+Rates!D48</f>
        <v>109.07999999999998</v>
      </c>
      <c r="E37" s="151">
        <f>Rates!$E$19+('Bills with Surcharge'!$C37-5000)*Rates!$E$20+Rates!$E$48</f>
        <v>136.35</v>
      </c>
      <c r="F37" s="9">
        <f t="shared" si="2"/>
        <v>27.27000000000001</v>
      </c>
      <c r="G37" s="36">
        <f t="shared" si="3"/>
        <v>0.25000000000000011</v>
      </c>
      <c r="H37" s="23"/>
    </row>
    <row r="38" spans="2:12" x14ac:dyDescent="0.45">
      <c r="B38" s="5"/>
      <c r="C38" s="3">
        <v>15000</v>
      </c>
      <c r="D38" s="151">
        <f>Rates!$D$19+(5000*Rates!$D$20)+(('Bills with Surcharge'!$C38-10000)*Rates!$D$21)+Rates!D48</f>
        <v>145.82999999999998</v>
      </c>
      <c r="E38" s="151">
        <f>Rates!$E$19+(5000*Rates!$E$20)+(('Bills with Surcharge'!$C38-10000)*Rates!$E$21)+Rates!$E$48</f>
        <v>182.25</v>
      </c>
      <c r="F38" s="9">
        <f t="shared" si="2"/>
        <v>36.420000000000016</v>
      </c>
      <c r="G38" s="36">
        <f t="shared" si="3"/>
        <v>0.2497428512651719</v>
      </c>
      <c r="H38" s="23"/>
    </row>
    <row r="39" spans="2:12" x14ac:dyDescent="0.45">
      <c r="B39" s="5"/>
      <c r="C39" s="3">
        <v>20000</v>
      </c>
      <c r="D39" s="151">
        <f>Rates!$D$19+(5000*Rates!$D$20)+(('Bills with Surcharge'!$C39-10000)*Rates!$D$21)+Rates!D48</f>
        <v>182.57999999999998</v>
      </c>
      <c r="E39" s="151">
        <f>Rates!$E$19+(5000*Rates!$E$20)+(('Bills with Surcharge'!$C39-10000)*Rates!$E$21)+Rates!$E$48</f>
        <v>228.15</v>
      </c>
      <c r="F39" s="9">
        <f t="shared" si="2"/>
        <v>45.570000000000022</v>
      </c>
      <c r="G39" s="36">
        <f t="shared" si="3"/>
        <v>0.2495892211633258</v>
      </c>
      <c r="H39" s="23"/>
    </row>
    <row r="40" spans="2:12" x14ac:dyDescent="0.45">
      <c r="B40" s="5"/>
      <c r="C40" s="3">
        <v>25000</v>
      </c>
      <c r="D40" s="151">
        <f>Rates!$D$19+(5000*Rates!$D$20)+(('Bills with Surcharge'!$C40-10000)*Rates!$D$21)+Rates!D48</f>
        <v>219.32999999999998</v>
      </c>
      <c r="E40" s="151">
        <f>Rates!$E$19+(5000*Rates!$E$20)+(('Bills with Surcharge'!$C40-10000)*Rates!$E$21)+Rates!$E$48</f>
        <v>274.05</v>
      </c>
      <c r="F40" s="9">
        <f t="shared" si="2"/>
        <v>54.720000000000027</v>
      </c>
      <c r="G40" s="36">
        <f t="shared" si="3"/>
        <v>0.2494870742716456</v>
      </c>
      <c r="H40" s="23"/>
    </row>
    <row r="41" spans="2:12" x14ac:dyDescent="0.45">
      <c r="B41" s="5"/>
      <c r="C41" s="3">
        <v>30000</v>
      </c>
      <c r="D41" s="151">
        <f>Rates!$D$19+(5000*Rates!$D$20)+(('Bills with Surcharge'!$C41-10000)*Rates!$D$21)+Rates!D48</f>
        <v>256.08</v>
      </c>
      <c r="E41" s="151">
        <f>Rates!$E$19+(5000*Rates!$E$20)+(('Bills with Surcharge'!$C41-10000)*Rates!$E$21)+Rates!$E$48</f>
        <v>319.95</v>
      </c>
      <c r="F41" s="9">
        <f t="shared" si="2"/>
        <v>63.870000000000005</v>
      </c>
      <c r="G41" s="36">
        <f t="shared" si="3"/>
        <v>0.24941424554826619</v>
      </c>
      <c r="H41" s="23"/>
    </row>
    <row r="42" spans="2:12" x14ac:dyDescent="0.45">
      <c r="B42" s="5"/>
      <c r="C42" s="3">
        <v>40000</v>
      </c>
      <c r="D42" s="151">
        <f>Rates!$D$19+(5000*Rates!$D$20)+(('Bills with Surcharge'!$C42-10000)*Rates!$D$21)+Rates!D48</f>
        <v>329.58000000000004</v>
      </c>
      <c r="E42" s="151">
        <f>Rates!$E$19+(5000*Rates!$E$20)+(('Bills with Surcharge'!$C42-10000)*Rates!$E$21)+Rates!$E$48</f>
        <v>411.75</v>
      </c>
      <c r="F42" s="9">
        <f t="shared" si="2"/>
        <v>82.169999999999959</v>
      </c>
      <c r="G42" s="36">
        <f t="shared" si="3"/>
        <v>0.24931731294374643</v>
      </c>
      <c r="H42" s="23"/>
      <c r="L42" s="50"/>
    </row>
    <row r="43" spans="2:12" x14ac:dyDescent="0.45">
      <c r="B43" s="5"/>
      <c r="C43" s="3">
        <v>50000</v>
      </c>
      <c r="D43" s="151">
        <f>Rates!$D$19+(5000*Rates!$D$20)+(('Bills with Surcharge'!$C43-10000)*Rates!$D$21)+Rates!D48</f>
        <v>403.08000000000004</v>
      </c>
      <c r="E43" s="151">
        <f>Rates!$E$19+(5000*Rates!$E$20)+(('Bills with Surcharge'!$C43-10000)*Rates!$E$21)+Rates!$E$48</f>
        <v>503.55</v>
      </c>
      <c r="F43" s="9">
        <f t="shared" si="2"/>
        <v>100.46999999999997</v>
      </c>
      <c r="G43" s="36">
        <f t="shared" si="3"/>
        <v>0.24925573087228331</v>
      </c>
      <c r="H43" s="23"/>
    </row>
    <row r="44" spans="2:12" x14ac:dyDescent="0.45">
      <c r="B44" s="138"/>
      <c r="C44" s="24">
        <v>82460</v>
      </c>
      <c r="D44" s="150">
        <f>Rates!$D$19+(5000*Rates!$D$20)+(('Bills with Surcharge'!$C44-10000)*Rates!$D$21)+Rates!D48</f>
        <v>641.66100000000006</v>
      </c>
      <c r="E44" s="150">
        <f>Rates!$E$19+(5000*Rates!$E$20)+(('Bills with Surcharge'!$C44-10000)*Rates!$E$21)+Rates!$E$48</f>
        <v>801.53280000000007</v>
      </c>
      <c r="F44" s="25">
        <f t="shared" si="2"/>
        <v>159.87180000000001</v>
      </c>
      <c r="G44" s="37">
        <f t="shared" si="3"/>
        <v>0.24915305745557231</v>
      </c>
      <c r="H44" s="26"/>
    </row>
    <row r="45" spans="2:12" x14ac:dyDescent="0.45">
      <c r="B45" s="5"/>
      <c r="C45" s="3">
        <v>100000</v>
      </c>
      <c r="D45" s="151">
        <f>Rates!$D$19+(5000*Rates!$D$20)+(('Bills with Surcharge'!$C45-10000)*Rates!$D$21)+Rates!D48</f>
        <v>770.58</v>
      </c>
      <c r="E45" s="151">
        <f>Rates!$E$19+(5000*Rates!$E$20)+(('Bills with Surcharge'!$C45-10000)*Rates!$E$21)+Rates!$E$48</f>
        <v>962.55000000000007</v>
      </c>
      <c r="F45" s="9">
        <f t="shared" si="2"/>
        <v>191.97000000000003</v>
      </c>
      <c r="G45" s="36">
        <f t="shared" si="3"/>
        <v>0.2491240364400841</v>
      </c>
      <c r="H45" s="23"/>
    </row>
    <row r="46" spans="2:12" x14ac:dyDescent="0.45">
      <c r="B46" s="5"/>
      <c r="C46" s="3">
        <v>200000</v>
      </c>
      <c r="D46" s="151">
        <f>Rates!$D$19+(5000*Rates!$D$20)+(('Bills with Surcharge'!$C46-10000)*Rates!$D$21)+Rates!D48</f>
        <v>1505.58</v>
      </c>
      <c r="E46" s="151">
        <f>Rates!$E$19+(5000*Rates!$E$20)+(('Bills with Surcharge'!$C46-10000)*Rates!$E$21)+Rates!$E$48</f>
        <v>1880.5500000000002</v>
      </c>
      <c r="F46" s="9">
        <f t="shared" si="2"/>
        <v>374.97000000000025</v>
      </c>
      <c r="G46" s="36">
        <f t="shared" si="3"/>
        <v>0.24905352090224384</v>
      </c>
      <c r="H46" s="23"/>
    </row>
    <row r="47" spans="2:12" x14ac:dyDescent="0.45">
      <c r="B47" s="5"/>
      <c r="C47" s="3">
        <v>500000</v>
      </c>
      <c r="D47" s="151">
        <f>Rates!$D$19+(5000*Rates!$D$20)+(('Bills with Surcharge'!$C47-10000)*Rates!$D$21)+Rates!D48</f>
        <v>3710.58</v>
      </c>
      <c r="E47" s="151">
        <f>Rates!$E$19+(5000*Rates!$E$20)+(('Bills with Surcharge'!$C47-10000)*Rates!$E$21)+Rates!$E$48</f>
        <v>4634.5500000000011</v>
      </c>
      <c r="F47" s="9">
        <f t="shared" si="2"/>
        <v>923.97000000000116</v>
      </c>
      <c r="G47" s="36">
        <f t="shared" si="3"/>
        <v>0.24900958879743901</v>
      </c>
      <c r="H47" s="23"/>
    </row>
    <row r="48" spans="2:12" ht="6" customHeight="1" x14ac:dyDescent="0.45">
      <c r="B48" s="5"/>
      <c r="C48" s="102"/>
      <c r="D48" s="149"/>
      <c r="E48" s="28"/>
      <c r="F48" s="9"/>
      <c r="G48" s="3"/>
      <c r="H48" s="6"/>
    </row>
    <row r="49" spans="2:8" ht="14.55" customHeight="1" x14ac:dyDescent="0.45">
      <c r="B49" s="157"/>
      <c r="C49" s="158"/>
      <c r="D49" s="159"/>
      <c r="E49" s="159"/>
      <c r="F49" s="160"/>
      <c r="G49" s="157"/>
      <c r="H49" s="157"/>
    </row>
    <row r="50" spans="2:8" ht="15.75" x14ac:dyDescent="0.5">
      <c r="B50" s="416" t="str">
        <f>Rates!B24</f>
        <v xml:space="preserve">1 1/2" Meter </v>
      </c>
      <c r="C50" s="417"/>
      <c r="D50" s="417"/>
      <c r="E50" s="417"/>
      <c r="F50" s="417"/>
      <c r="G50" s="417"/>
      <c r="H50" s="418"/>
    </row>
    <row r="51" spans="2:8" ht="6" customHeight="1" x14ac:dyDescent="0.45">
      <c r="B51" s="5"/>
      <c r="C51" s="6"/>
      <c r="D51" s="147"/>
      <c r="E51" s="146"/>
      <c r="F51" s="21"/>
      <c r="G51" s="21"/>
      <c r="H51" s="22"/>
    </row>
    <row r="52" spans="2:8" ht="16.5" x14ac:dyDescent="0.75">
      <c r="B52" s="5"/>
      <c r="C52" s="18" t="s">
        <v>2</v>
      </c>
      <c r="D52" s="148" t="s">
        <v>4</v>
      </c>
      <c r="E52" s="153" t="s">
        <v>0</v>
      </c>
      <c r="F52" s="8"/>
      <c r="G52" s="8"/>
      <c r="H52" s="18"/>
    </row>
    <row r="53" spans="2:8" ht="16.5" x14ac:dyDescent="0.75">
      <c r="B53" s="5"/>
      <c r="C53" s="18" t="s">
        <v>55</v>
      </c>
      <c r="D53" s="148" t="s">
        <v>18</v>
      </c>
      <c r="E53" s="153" t="s">
        <v>18</v>
      </c>
      <c r="F53" s="8" t="s">
        <v>5</v>
      </c>
      <c r="G53" s="8" t="s">
        <v>19</v>
      </c>
      <c r="H53" s="18"/>
    </row>
    <row r="54" spans="2:8" x14ac:dyDescent="0.45">
      <c r="B54" s="5"/>
      <c r="C54" s="9">
        <v>0</v>
      </c>
      <c r="D54" s="149">
        <f>Rates!$D$27+Rates!D48</f>
        <v>127.07</v>
      </c>
      <c r="E54" s="149">
        <f>Rates!$E$27+Rates!$E$48</f>
        <v>158.82000000000002</v>
      </c>
      <c r="F54" s="28">
        <f>E54-D54</f>
        <v>31.750000000000028</v>
      </c>
      <c r="G54" s="36">
        <f>F54/D54</f>
        <v>0.24986228063272237</v>
      </c>
      <c r="H54" s="23"/>
    </row>
    <row r="55" spans="2:8" x14ac:dyDescent="0.45">
      <c r="B55" s="5"/>
      <c r="C55" s="3">
        <v>2000</v>
      </c>
      <c r="D55" s="149">
        <f>Rates!$D$27+Rates!D48</f>
        <v>127.07</v>
      </c>
      <c r="E55" s="149">
        <f>Rates!$E$27+Rates!$E$48</f>
        <v>158.82000000000002</v>
      </c>
      <c r="F55" s="9">
        <f t="shared" ref="F55:F69" si="4">E55-D55</f>
        <v>31.750000000000028</v>
      </c>
      <c r="G55" s="36">
        <f t="shared" ref="G55:G69" si="5">F55/D55</f>
        <v>0.24986228063272237</v>
      </c>
      <c r="H55" s="23"/>
    </row>
    <row r="56" spans="2:8" x14ac:dyDescent="0.45">
      <c r="B56" s="255"/>
      <c r="C56" s="51">
        <v>4000</v>
      </c>
      <c r="D56" s="151">
        <f>Rates!$D$27+Rates!D48</f>
        <v>127.07</v>
      </c>
      <c r="E56" s="151">
        <f>Rates!$E$27+Rates!$E$48</f>
        <v>158.82000000000002</v>
      </c>
      <c r="F56" s="106">
        <f t="shared" si="4"/>
        <v>31.750000000000028</v>
      </c>
      <c r="G56" s="256">
        <f t="shared" si="5"/>
        <v>0.24986228063272237</v>
      </c>
      <c r="H56" s="257"/>
    </row>
    <row r="57" spans="2:8" x14ac:dyDescent="0.45">
      <c r="B57" s="5"/>
      <c r="C57" s="3">
        <v>6000</v>
      </c>
      <c r="D57" s="149">
        <f>Rates!$D$27+Rates!D48</f>
        <v>127.07</v>
      </c>
      <c r="E57" s="149">
        <f>Rates!$E$27+Rates!$E$48</f>
        <v>158.82000000000002</v>
      </c>
      <c r="F57" s="106">
        <f t="shared" si="4"/>
        <v>31.750000000000028</v>
      </c>
      <c r="G57" s="36">
        <f t="shared" si="5"/>
        <v>0.24986228063272237</v>
      </c>
      <c r="H57" s="23"/>
    </row>
    <row r="58" spans="2:8" x14ac:dyDescent="0.45">
      <c r="B58" s="5"/>
      <c r="C58" s="3">
        <v>8000</v>
      </c>
      <c r="D58" s="149">
        <f>Rates!$D$27+Rates!D48</f>
        <v>127.07</v>
      </c>
      <c r="E58" s="149">
        <f>Rates!$E$27+Rates!$E$48</f>
        <v>158.82000000000002</v>
      </c>
      <c r="F58" s="9">
        <f t="shared" si="4"/>
        <v>31.750000000000028</v>
      </c>
      <c r="G58" s="36">
        <f t="shared" si="5"/>
        <v>0.24986228063272237</v>
      </c>
      <c r="H58" s="23"/>
    </row>
    <row r="59" spans="2:8" x14ac:dyDescent="0.45">
      <c r="B59" s="5"/>
      <c r="C59" s="3">
        <v>10000</v>
      </c>
      <c r="D59" s="149">
        <f>Rates!$D$27+Rates!D48</f>
        <v>127.07</v>
      </c>
      <c r="E59" s="149">
        <f>Rates!$E$27+Rates!$E$48</f>
        <v>158.82000000000002</v>
      </c>
      <c r="F59" s="9">
        <f t="shared" si="4"/>
        <v>31.750000000000028</v>
      </c>
      <c r="G59" s="36">
        <f t="shared" si="5"/>
        <v>0.24986228063272237</v>
      </c>
      <c r="H59" s="23"/>
    </row>
    <row r="60" spans="2:8" x14ac:dyDescent="0.45">
      <c r="B60" s="5"/>
      <c r="C60" s="3">
        <v>15000</v>
      </c>
      <c r="D60" s="151">
        <f>Rates!$D$27+(('Bills with Surcharge'!$C60-12500)*Rates!$D$28)+Rates!D48</f>
        <v>145.44499999999999</v>
      </c>
      <c r="E60" s="151">
        <f>Rates!$E$27+(('Bills with Surcharge'!$C60-12500)*Rates!$E$28)+Rates!$E$48</f>
        <v>181.77</v>
      </c>
      <c r="F60" s="9">
        <f t="shared" si="4"/>
        <v>36.325000000000017</v>
      </c>
      <c r="G60" s="36">
        <f t="shared" si="5"/>
        <v>0.24975076489394629</v>
      </c>
      <c r="H60" s="23"/>
    </row>
    <row r="61" spans="2:8" x14ac:dyDescent="0.45">
      <c r="B61" s="5"/>
      <c r="C61" s="3">
        <v>20000</v>
      </c>
      <c r="D61" s="151">
        <f>Rates!$D$27+(('Bills with Surcharge'!$C61-12500)*Rates!$D$28)+Rates!D48</f>
        <v>182.19499999999999</v>
      </c>
      <c r="E61" s="151">
        <f>Rates!$E$27+(('Bills with Surcharge'!$C61-12500)*Rates!$E$28)+Rates!$E$48</f>
        <v>227.67000000000004</v>
      </c>
      <c r="F61" s="9">
        <f t="shared" si="4"/>
        <v>45.475000000000051</v>
      </c>
      <c r="G61" s="36">
        <f t="shared" si="5"/>
        <v>0.24959521391915285</v>
      </c>
      <c r="H61" s="23"/>
    </row>
    <row r="62" spans="2:8" x14ac:dyDescent="0.45">
      <c r="B62" s="5"/>
      <c r="C62" s="3">
        <v>25000</v>
      </c>
      <c r="D62" s="151">
        <f>Rates!$D$27+(('Bills with Surcharge'!$C62-12500)*Rates!$D$28)+Rates!D48</f>
        <v>218.94499999999999</v>
      </c>
      <c r="E62" s="151">
        <f>Rates!$E$27+(('Bills with Surcharge'!$C62-12500)*Rates!$E$28)+Rates!$E$48</f>
        <v>273.57</v>
      </c>
      <c r="F62" s="9">
        <f t="shared" si="4"/>
        <v>54.625</v>
      </c>
      <c r="G62" s="36">
        <f t="shared" si="5"/>
        <v>0.24949188152275686</v>
      </c>
      <c r="H62" s="23"/>
    </row>
    <row r="63" spans="2:8" x14ac:dyDescent="0.45">
      <c r="B63" s="5"/>
      <c r="C63" s="3">
        <v>30000</v>
      </c>
      <c r="D63" s="151">
        <f>Rates!$D$27+(('Bills with Surcharge'!$C63-12500)*Rates!$D$28)+Rates!D48</f>
        <v>255.69499999999999</v>
      </c>
      <c r="E63" s="151">
        <f>Rates!$E$27+(('Bills with Surcharge'!$C63-12500)*Rates!$E$28)+Rates!$E$48</f>
        <v>319.46999999999997</v>
      </c>
      <c r="F63" s="9">
        <f t="shared" si="4"/>
        <v>63.774999999999977</v>
      </c>
      <c r="G63" s="36">
        <f t="shared" si="5"/>
        <v>0.24941825221455241</v>
      </c>
      <c r="H63" s="23"/>
    </row>
    <row r="64" spans="2:8" x14ac:dyDescent="0.45">
      <c r="B64" s="5"/>
      <c r="C64" s="3">
        <v>40000</v>
      </c>
      <c r="D64" s="151">
        <f>Rates!$D$27+(('Bills with Surcharge'!$C64-12500)*Rates!$D$28)+Rates!D48</f>
        <v>329.19500000000005</v>
      </c>
      <c r="E64" s="151">
        <f>Rates!$E$27+(('Bills with Surcharge'!$C64-12500)*Rates!$E$28)+Rates!$E$48</f>
        <v>411.27000000000004</v>
      </c>
      <c r="F64" s="9">
        <f t="shared" si="4"/>
        <v>82.074999999999989</v>
      </c>
      <c r="G64" s="36">
        <f t="shared" si="5"/>
        <v>0.24932031166937521</v>
      </c>
      <c r="H64" s="23"/>
    </row>
    <row r="65" spans="2:8" x14ac:dyDescent="0.45">
      <c r="B65" s="5"/>
      <c r="C65" s="3">
        <v>50000</v>
      </c>
      <c r="D65" s="151">
        <f>Rates!$D$27+(('Bills with Surcharge'!$C65-12500)*Rates!$D$28)+Rates!D48</f>
        <v>402.69500000000005</v>
      </c>
      <c r="E65" s="151">
        <f>Rates!$E$27+(('Bills with Surcharge'!$C65-12500)*Rates!$E$28)+Rates!$E$48</f>
        <v>503.07</v>
      </c>
      <c r="F65" s="9">
        <f t="shared" si="4"/>
        <v>100.37499999999994</v>
      </c>
      <c r="G65" s="36">
        <f t="shared" si="5"/>
        <v>0.24925812339363521</v>
      </c>
      <c r="H65" s="23"/>
    </row>
    <row r="66" spans="2:8" x14ac:dyDescent="0.45">
      <c r="B66" s="5"/>
      <c r="C66" s="3">
        <v>75000</v>
      </c>
      <c r="D66" s="151">
        <f>Rates!$D$27+(('Bills with Surcharge'!$C66-12500)*Rates!$D$28)+Rates!D48</f>
        <v>586.44500000000005</v>
      </c>
      <c r="E66" s="151">
        <f>Rates!$E$27+(('Bills with Surcharge'!$C66-12500)*Rates!$E$28)+Rates!$E$48</f>
        <v>732.57</v>
      </c>
      <c r="F66" s="9">
        <f t="shared" si="4"/>
        <v>146.125</v>
      </c>
      <c r="G66" s="36">
        <f t="shared" si="5"/>
        <v>0.24917085148649915</v>
      </c>
      <c r="H66" s="23"/>
    </row>
    <row r="67" spans="2:8" x14ac:dyDescent="0.45">
      <c r="B67" s="5"/>
      <c r="C67" s="3">
        <v>100000</v>
      </c>
      <c r="D67" s="151">
        <f>Rates!$D$27+(('Bills with Surcharge'!$C67-12500)*Rates!$D$28)+Rates!D48</f>
        <v>770.19500000000005</v>
      </c>
      <c r="E67" s="151">
        <f>Rates!$E$27+(('Bills with Surcharge'!$C67-12500)*Rates!$E$28)+Rates!$E$48</f>
        <v>962.07000000000016</v>
      </c>
      <c r="F67" s="9">
        <f t="shared" si="4"/>
        <v>191.87500000000011</v>
      </c>
      <c r="G67" s="36">
        <f t="shared" si="5"/>
        <v>0.24912522153480626</v>
      </c>
      <c r="H67" s="23"/>
    </row>
    <row r="68" spans="2:8" x14ac:dyDescent="0.45">
      <c r="B68" s="255"/>
      <c r="C68" s="51">
        <v>200000</v>
      </c>
      <c r="D68" s="151">
        <f>Rates!$D$27+(('Bills with Surcharge'!$C68-12500)*Rates!$D$28)+Rates!D48</f>
        <v>1505.1949999999999</v>
      </c>
      <c r="E68" s="151">
        <f>Rates!$E$27+(('Bills with Surcharge'!$C68-12500)*Rates!$E$28)+Rates!$E$48</f>
        <v>1880.0700000000002</v>
      </c>
      <c r="F68" s="106">
        <f t="shared" si="4"/>
        <v>374.87500000000023</v>
      </c>
      <c r="G68" s="256">
        <f t="shared" si="5"/>
        <v>0.24905410926823451</v>
      </c>
      <c r="H68" s="257"/>
    </row>
    <row r="69" spans="2:8" x14ac:dyDescent="0.45">
      <c r="B69" s="5"/>
      <c r="C69" s="3">
        <v>500000</v>
      </c>
      <c r="D69" s="151">
        <f>Rates!$D$27+(('Bills with Surcharge'!$C69-12500)*Rates!$D$28)+Rates!D48</f>
        <v>3710.1949999999997</v>
      </c>
      <c r="E69" s="151">
        <f>Rates!$E$27+(('Bills with Surcharge'!$C69-12500)*Rates!$E$28)+Rates!$E$48</f>
        <v>4634.07</v>
      </c>
      <c r="F69" s="9">
        <f t="shared" si="4"/>
        <v>923.875</v>
      </c>
      <c r="G69" s="36">
        <f t="shared" si="5"/>
        <v>0.24900982293383503</v>
      </c>
      <c r="H69" s="23"/>
    </row>
    <row r="70" spans="2:8" ht="6" customHeight="1" x14ac:dyDescent="0.45">
      <c r="B70" s="210"/>
      <c r="C70" s="211"/>
      <c r="D70" s="212"/>
      <c r="E70" s="213"/>
      <c r="F70" s="214"/>
      <c r="G70" s="2"/>
      <c r="H70" s="215"/>
    </row>
    <row r="72" spans="2:8" ht="15.75" x14ac:dyDescent="0.5">
      <c r="B72" s="416" t="str">
        <f>Rates!B31</f>
        <v xml:space="preserve">2" Meter </v>
      </c>
      <c r="C72" s="417"/>
      <c r="D72" s="417"/>
      <c r="E72" s="417"/>
      <c r="F72" s="417"/>
      <c r="G72" s="417"/>
      <c r="H72" s="418"/>
    </row>
    <row r="73" spans="2:8" ht="15.75" x14ac:dyDescent="0.45">
      <c r="B73" s="5"/>
      <c r="C73" s="6"/>
      <c r="D73" s="147"/>
      <c r="E73" s="146"/>
      <c r="F73" s="21"/>
      <c r="G73" s="21"/>
      <c r="H73" s="22"/>
    </row>
    <row r="74" spans="2:8" ht="16.5" x14ac:dyDescent="0.75">
      <c r="B74" s="5"/>
      <c r="C74" s="18" t="s">
        <v>2</v>
      </c>
      <c r="D74" s="148" t="s">
        <v>4</v>
      </c>
      <c r="E74" s="153" t="s">
        <v>0</v>
      </c>
      <c r="F74" s="8"/>
      <c r="G74" s="8"/>
      <c r="H74" s="18"/>
    </row>
    <row r="75" spans="2:8" ht="16.5" x14ac:dyDescent="0.75">
      <c r="B75" s="5"/>
      <c r="C75" s="18" t="s">
        <v>55</v>
      </c>
      <c r="D75" s="148" t="s">
        <v>18</v>
      </c>
      <c r="E75" s="153" t="s">
        <v>18</v>
      </c>
      <c r="F75" s="8" t="s">
        <v>5</v>
      </c>
      <c r="G75" s="8" t="s">
        <v>19</v>
      </c>
      <c r="H75" s="18"/>
    </row>
    <row r="76" spans="2:8" x14ac:dyDescent="0.45">
      <c r="B76" s="5"/>
      <c r="C76" s="9">
        <v>0</v>
      </c>
      <c r="D76" s="149">
        <f>Rates!$D$34+Rates!D48</f>
        <v>219</v>
      </c>
      <c r="E76" s="149">
        <f>Rates!$E$34+Rates!$E$48</f>
        <v>273.60999999999996</v>
      </c>
      <c r="F76" s="28">
        <f>E76-D76</f>
        <v>54.609999999999957</v>
      </c>
      <c r="G76" s="36">
        <f>F76/D76</f>
        <v>0.24936073059360711</v>
      </c>
      <c r="H76" s="23"/>
    </row>
    <row r="77" spans="2:8" x14ac:dyDescent="0.45">
      <c r="B77" s="5"/>
      <c r="C77" s="3">
        <v>2000</v>
      </c>
      <c r="D77" s="149">
        <f>Rates!$D$34+Rates!D48</f>
        <v>219</v>
      </c>
      <c r="E77" s="149">
        <f>Rates!$E$34+Rates!$E$48</f>
        <v>273.60999999999996</v>
      </c>
      <c r="F77" s="9">
        <f t="shared" ref="F77:F91" si="6">E77-D77</f>
        <v>54.609999999999957</v>
      </c>
      <c r="G77" s="36">
        <f t="shared" ref="G77:G91" si="7">F77/D77</f>
        <v>0.24936073059360711</v>
      </c>
      <c r="H77" s="23"/>
    </row>
    <row r="78" spans="2:8" x14ac:dyDescent="0.45">
      <c r="B78" s="255"/>
      <c r="C78" s="51">
        <v>4000</v>
      </c>
      <c r="D78" s="149">
        <f>Rates!$D$34+Rates!D48</f>
        <v>219</v>
      </c>
      <c r="E78" s="149">
        <f>Rates!$E$34+Rates!$E$48</f>
        <v>273.60999999999996</v>
      </c>
      <c r="F78" s="106">
        <f t="shared" si="6"/>
        <v>54.609999999999957</v>
      </c>
      <c r="G78" s="256">
        <f t="shared" si="7"/>
        <v>0.24936073059360711</v>
      </c>
      <c r="H78" s="257"/>
    </row>
    <row r="79" spans="2:8" x14ac:dyDescent="0.45">
      <c r="B79" s="5"/>
      <c r="C79" s="3">
        <v>6000</v>
      </c>
      <c r="D79" s="149">
        <f>Rates!$D$34+Rates!D48</f>
        <v>219</v>
      </c>
      <c r="E79" s="149">
        <f>Rates!$E$34+Rates!$E$48</f>
        <v>273.60999999999996</v>
      </c>
      <c r="F79" s="106">
        <f t="shared" si="6"/>
        <v>54.609999999999957</v>
      </c>
      <c r="G79" s="36">
        <f t="shared" si="7"/>
        <v>0.24936073059360711</v>
      </c>
      <c r="H79" s="23"/>
    </row>
    <row r="80" spans="2:8" x14ac:dyDescent="0.45">
      <c r="B80" s="5"/>
      <c r="C80" s="3">
        <v>8000</v>
      </c>
      <c r="D80" s="149">
        <f>Rates!$D$34+Rates!D48</f>
        <v>219</v>
      </c>
      <c r="E80" s="149">
        <f>Rates!$E$34+Rates!$E$48</f>
        <v>273.60999999999996</v>
      </c>
      <c r="F80" s="9">
        <f t="shared" si="6"/>
        <v>54.609999999999957</v>
      </c>
      <c r="G80" s="36">
        <f t="shared" si="7"/>
        <v>0.24936073059360711</v>
      </c>
      <c r="H80" s="23"/>
    </row>
    <row r="81" spans="2:8" x14ac:dyDescent="0.45">
      <c r="B81" s="5"/>
      <c r="C81" s="3">
        <v>10000</v>
      </c>
      <c r="D81" s="149">
        <f>Rates!$D$34+Rates!D48</f>
        <v>219</v>
      </c>
      <c r="E81" s="149">
        <f>Rates!$E$34+Rates!$E$48</f>
        <v>273.60999999999996</v>
      </c>
      <c r="F81" s="9">
        <f t="shared" si="6"/>
        <v>54.609999999999957</v>
      </c>
      <c r="G81" s="36">
        <f t="shared" si="7"/>
        <v>0.24936073059360711</v>
      </c>
      <c r="H81" s="23"/>
    </row>
    <row r="82" spans="2:8" x14ac:dyDescent="0.45">
      <c r="B82" s="5"/>
      <c r="C82" s="3">
        <v>15000</v>
      </c>
      <c r="D82" s="149">
        <f>Rates!$D$34+Rates!D48</f>
        <v>219</v>
      </c>
      <c r="E82" s="149">
        <f>Rates!$E$34+Rates!$E$48</f>
        <v>273.60999999999996</v>
      </c>
      <c r="F82" s="9">
        <f t="shared" si="6"/>
        <v>54.609999999999957</v>
      </c>
      <c r="G82" s="36">
        <f t="shared" si="7"/>
        <v>0.24936073059360711</v>
      </c>
      <c r="H82" s="23"/>
    </row>
    <row r="83" spans="2:8" x14ac:dyDescent="0.45">
      <c r="B83" s="5"/>
      <c r="C83" s="3">
        <v>20000</v>
      </c>
      <c r="D83" s="149">
        <f>Rates!$D$34+Rates!D48</f>
        <v>219</v>
      </c>
      <c r="E83" s="149">
        <f>Rates!$E$34+Rates!$E$48</f>
        <v>273.60999999999996</v>
      </c>
      <c r="F83" s="9">
        <f t="shared" si="6"/>
        <v>54.609999999999957</v>
      </c>
      <c r="G83" s="36">
        <f t="shared" si="7"/>
        <v>0.24936073059360711</v>
      </c>
      <c r="H83" s="23"/>
    </row>
    <row r="84" spans="2:8" x14ac:dyDescent="0.45">
      <c r="B84" s="5"/>
      <c r="C84" s="3">
        <v>25000</v>
      </c>
      <c r="D84" s="149">
        <f>Rates!$D$34+Rates!D48</f>
        <v>219</v>
      </c>
      <c r="E84" s="149">
        <f>Rates!$E$34+Rates!$E$48</f>
        <v>273.60999999999996</v>
      </c>
      <c r="F84" s="9">
        <f t="shared" si="6"/>
        <v>54.609999999999957</v>
      </c>
      <c r="G84" s="36">
        <f t="shared" si="7"/>
        <v>0.24936073059360711</v>
      </c>
      <c r="H84" s="23"/>
    </row>
    <row r="85" spans="2:8" x14ac:dyDescent="0.45">
      <c r="B85" s="5"/>
      <c r="C85" s="3">
        <v>30000</v>
      </c>
      <c r="D85" s="151">
        <f>Rates!$D$34+(('Bills with Surcharge'!$C85-25000)*Rates!$D$35)+Rates!D48</f>
        <v>255.75</v>
      </c>
      <c r="E85" s="151">
        <f>Rates!$E$34+(('Bills with Surcharge'!$C85-25000)*Rates!$E$35)+Rates!$E$48</f>
        <v>319.50999999999993</v>
      </c>
      <c r="F85" s="9">
        <f t="shared" si="6"/>
        <v>63.759999999999934</v>
      </c>
      <c r="G85" s="36">
        <f t="shared" si="7"/>
        <v>0.24930596285434969</v>
      </c>
      <c r="H85" s="23"/>
    </row>
    <row r="86" spans="2:8" x14ac:dyDescent="0.45">
      <c r="B86" s="5"/>
      <c r="C86" s="3">
        <v>40000</v>
      </c>
      <c r="D86" s="151">
        <f>Rates!$D$34+(('Bills with Surcharge'!$C86-25000)*Rates!$D$35)</f>
        <v>326.39999999999998</v>
      </c>
      <c r="E86" s="151">
        <f>Rates!$E$34+(('Bills with Surcharge'!$C86-25000)*Rates!$E$35)+Rates!$E$48</f>
        <v>411.31</v>
      </c>
      <c r="F86" s="9">
        <f t="shared" si="6"/>
        <v>84.910000000000025</v>
      </c>
      <c r="G86" s="36">
        <f t="shared" si="7"/>
        <v>0.26014093137254912</v>
      </c>
      <c r="H86" s="23"/>
    </row>
    <row r="87" spans="2:8" x14ac:dyDescent="0.45">
      <c r="B87" s="5"/>
      <c r="C87" s="3">
        <v>50000</v>
      </c>
      <c r="D87" s="151">
        <f>Rates!$D$34+(('Bills with Surcharge'!$C87-25000)*Rates!$D$35)+Rates!D48</f>
        <v>402.75</v>
      </c>
      <c r="E87" s="151">
        <f>Rates!$E$34+(('Bills with Surcharge'!$C87-25000)*Rates!$E$35)+Rates!$E$48</f>
        <v>503.10999999999996</v>
      </c>
      <c r="F87" s="9">
        <f t="shared" si="6"/>
        <v>100.35999999999996</v>
      </c>
      <c r="G87" s="36">
        <f t="shared" si="7"/>
        <v>0.24918684047175657</v>
      </c>
      <c r="H87" s="23"/>
    </row>
    <row r="88" spans="2:8" x14ac:dyDescent="0.45">
      <c r="B88" s="138"/>
      <c r="C88" s="24">
        <v>89690</v>
      </c>
      <c r="D88" s="150">
        <f>Rates!$D$34+(('Bills with Surcharge'!$C88-25000)*Rates!$D$35)+Rates!D48</f>
        <v>694.47149999999999</v>
      </c>
      <c r="E88" s="150">
        <f>Rates!$E$34+(('Bills with Surcharge'!$C88-25000)*Rates!$E$35)+Rates!$E$48</f>
        <v>867.46420000000001</v>
      </c>
      <c r="F88" s="25">
        <f t="shared" si="6"/>
        <v>172.99270000000001</v>
      </c>
      <c r="G88" s="37">
        <f t="shared" si="7"/>
        <v>0.24909978307245151</v>
      </c>
      <c r="H88" s="26"/>
    </row>
    <row r="89" spans="2:8" x14ac:dyDescent="0.45">
      <c r="B89" s="5"/>
      <c r="C89" s="3">
        <v>100000</v>
      </c>
      <c r="D89" s="151">
        <f>Rates!$D$34+(('Bills with Surcharge'!$C89-25000)*Rates!$D$35)+Rates!D48</f>
        <v>770.25</v>
      </c>
      <c r="E89" s="151">
        <f>Rates!$E$34+(('Bills with Surcharge'!$C89-25000)*Rates!$E$35)+Rates!$E$48</f>
        <v>962.11</v>
      </c>
      <c r="F89" s="9">
        <f t="shared" si="6"/>
        <v>191.86</v>
      </c>
      <c r="G89" s="36">
        <f t="shared" si="7"/>
        <v>0.24908795845504708</v>
      </c>
      <c r="H89" s="23"/>
    </row>
    <row r="90" spans="2:8" x14ac:dyDescent="0.45">
      <c r="B90" s="255"/>
      <c r="C90" s="51">
        <v>200000</v>
      </c>
      <c r="D90" s="151">
        <f>Rates!$D$34+(('Bills with Surcharge'!$C90-25000)*Rates!$D$35)+Rates!D48</f>
        <v>1505.25</v>
      </c>
      <c r="E90" s="151">
        <f>Rates!$E$34+(('Bills with Surcharge'!$C90-25000)*Rates!$E$35)+Rates!$E$48</f>
        <v>1880.1100000000001</v>
      </c>
      <c r="F90" s="106">
        <f t="shared" si="6"/>
        <v>374.86000000000013</v>
      </c>
      <c r="G90" s="256">
        <f t="shared" si="7"/>
        <v>0.24903504401262258</v>
      </c>
      <c r="H90" s="257"/>
    </row>
    <row r="91" spans="2:8" x14ac:dyDescent="0.45">
      <c r="B91" s="5"/>
      <c r="C91" s="3">
        <v>500000</v>
      </c>
      <c r="D91" s="151">
        <f>Rates!$D$34+(('Bills with Surcharge'!$C91-25000)*Rates!$D$35)+Rates!D48</f>
        <v>3710.25</v>
      </c>
      <c r="E91" s="151">
        <f>Rates!$E$34+(('Bills with Surcharge'!$C91-25000)*Rates!$E$35)+Rates!$E$48</f>
        <v>4634.1099999999997</v>
      </c>
      <c r="F91" s="9">
        <f t="shared" si="6"/>
        <v>923.85999999999967</v>
      </c>
      <c r="G91" s="36">
        <f t="shared" si="7"/>
        <v>0.24900208880803171</v>
      </c>
      <c r="H91" s="23"/>
    </row>
    <row r="92" spans="2:8" ht="15.4" x14ac:dyDescent="0.45">
      <c r="B92" s="210"/>
      <c r="C92" s="211"/>
      <c r="D92" s="212"/>
      <c r="E92" s="213"/>
      <c r="F92" s="214"/>
      <c r="G92" s="2"/>
      <c r="H92" s="215"/>
    </row>
    <row r="94" spans="2:8" ht="15.75" x14ac:dyDescent="0.5">
      <c r="B94" s="416" t="str">
        <f>Rates!B38</f>
        <v>Dale Hollow State Park</v>
      </c>
      <c r="C94" s="417"/>
      <c r="D94" s="417"/>
      <c r="E94" s="417"/>
      <c r="F94" s="417"/>
      <c r="G94" s="417"/>
      <c r="H94" s="418"/>
    </row>
    <row r="95" spans="2:8" ht="15.75" x14ac:dyDescent="0.45">
      <c r="B95" s="5"/>
      <c r="C95" s="6"/>
      <c r="D95" s="147"/>
      <c r="E95" s="146"/>
      <c r="F95" s="21"/>
      <c r="G95" s="21"/>
      <c r="H95" s="22"/>
    </row>
    <row r="96" spans="2:8" ht="16.5" x14ac:dyDescent="0.75">
      <c r="B96" s="5"/>
      <c r="C96" s="18" t="s">
        <v>2</v>
      </c>
      <c r="D96" s="148" t="s">
        <v>4</v>
      </c>
      <c r="E96" s="153" t="s">
        <v>0</v>
      </c>
      <c r="F96" s="8"/>
      <c r="G96" s="8"/>
      <c r="H96" s="18"/>
    </row>
    <row r="97" spans="2:8" ht="16.5" x14ac:dyDescent="0.75">
      <c r="B97" s="5"/>
      <c r="C97" s="18" t="s">
        <v>55</v>
      </c>
      <c r="D97" s="148" t="s">
        <v>18</v>
      </c>
      <c r="E97" s="153" t="s">
        <v>18</v>
      </c>
      <c r="F97" s="8" t="s">
        <v>5</v>
      </c>
      <c r="G97" s="8" t="s">
        <v>19</v>
      </c>
      <c r="H97" s="18"/>
    </row>
    <row r="98" spans="2:8" x14ac:dyDescent="0.45">
      <c r="B98" s="5"/>
      <c r="C98" s="9">
        <v>0</v>
      </c>
      <c r="D98" s="149">
        <f>Rates!$D$41+Rates!$D$48</f>
        <v>2241.41</v>
      </c>
      <c r="E98" s="149">
        <f>Rates!$E$41+Rates!$E$48</f>
        <v>2798.9</v>
      </c>
      <c r="F98" s="28">
        <f>E98-D98</f>
        <v>557.49000000000024</v>
      </c>
      <c r="G98" s="36">
        <f>F98/D98</f>
        <v>0.24872290210180212</v>
      </c>
      <c r="H98" s="23"/>
    </row>
    <row r="99" spans="2:8" x14ac:dyDescent="0.45">
      <c r="B99" s="5"/>
      <c r="C99" s="3">
        <v>2000</v>
      </c>
      <c r="D99" s="149">
        <f>Rates!$D$41+Rates!$D$48</f>
        <v>2241.41</v>
      </c>
      <c r="E99" s="149">
        <f>Rates!$E$41+Rates!$E$48</f>
        <v>2798.9</v>
      </c>
      <c r="F99" s="9">
        <f t="shared" ref="F99:F113" si="8">E99-D99</f>
        <v>557.49000000000024</v>
      </c>
      <c r="G99" s="36">
        <f t="shared" ref="G99:G113" si="9">F99/D99</f>
        <v>0.24872290210180212</v>
      </c>
      <c r="H99" s="23"/>
    </row>
    <row r="100" spans="2:8" x14ac:dyDescent="0.45">
      <c r="B100" s="255"/>
      <c r="C100" s="51">
        <v>4000</v>
      </c>
      <c r="D100" s="149">
        <f>Rates!$D$41+Rates!$D$48</f>
        <v>2241.41</v>
      </c>
      <c r="E100" s="149">
        <f>Rates!$E$41+Rates!$E$48</f>
        <v>2798.9</v>
      </c>
      <c r="F100" s="106">
        <f t="shared" si="8"/>
        <v>557.49000000000024</v>
      </c>
      <c r="G100" s="256">
        <f t="shared" si="9"/>
        <v>0.24872290210180212</v>
      </c>
      <c r="H100" s="257"/>
    </row>
    <row r="101" spans="2:8" x14ac:dyDescent="0.45">
      <c r="B101" s="5"/>
      <c r="C101" s="3">
        <v>6000</v>
      </c>
      <c r="D101" s="149">
        <f>Rates!$D$41+Rates!$D$48</f>
        <v>2241.41</v>
      </c>
      <c r="E101" s="149">
        <f>Rates!$E$41+Rates!$E$48</f>
        <v>2798.9</v>
      </c>
      <c r="F101" s="106">
        <f t="shared" si="8"/>
        <v>557.49000000000024</v>
      </c>
      <c r="G101" s="36">
        <f t="shared" si="9"/>
        <v>0.24872290210180212</v>
      </c>
      <c r="H101" s="23"/>
    </row>
    <row r="102" spans="2:8" x14ac:dyDescent="0.45">
      <c r="B102" s="5"/>
      <c r="C102" s="3">
        <v>8000</v>
      </c>
      <c r="D102" s="149">
        <f>Rates!$D$41+Rates!$D$48</f>
        <v>2241.41</v>
      </c>
      <c r="E102" s="149">
        <f>Rates!$E$41+Rates!$E$48</f>
        <v>2798.9</v>
      </c>
      <c r="F102" s="9">
        <f t="shared" si="8"/>
        <v>557.49000000000024</v>
      </c>
      <c r="G102" s="36">
        <f t="shared" si="9"/>
        <v>0.24872290210180212</v>
      </c>
      <c r="H102" s="23"/>
    </row>
    <row r="103" spans="2:8" x14ac:dyDescent="0.45">
      <c r="B103" s="5"/>
      <c r="C103" s="3">
        <v>10000</v>
      </c>
      <c r="D103" s="149">
        <f>Rates!$D$41+Rates!$D$48</f>
        <v>2241.41</v>
      </c>
      <c r="E103" s="149">
        <f>Rates!$E$41+Rates!$E$48</f>
        <v>2798.9</v>
      </c>
      <c r="F103" s="9">
        <f t="shared" si="8"/>
        <v>557.49000000000024</v>
      </c>
      <c r="G103" s="36">
        <f t="shared" si="9"/>
        <v>0.24872290210180212</v>
      </c>
      <c r="H103" s="23"/>
    </row>
    <row r="104" spans="2:8" x14ac:dyDescent="0.45">
      <c r="B104" s="5"/>
      <c r="C104" s="3">
        <v>15000</v>
      </c>
      <c r="D104" s="149">
        <f>Rates!$D$41+Rates!$D$48</f>
        <v>2241.41</v>
      </c>
      <c r="E104" s="149">
        <f>Rates!$E$41+Rates!$E$48</f>
        <v>2798.9</v>
      </c>
      <c r="F104" s="9">
        <f t="shared" si="8"/>
        <v>557.49000000000024</v>
      </c>
      <c r="G104" s="36">
        <f t="shared" si="9"/>
        <v>0.24872290210180212</v>
      </c>
      <c r="H104" s="23"/>
    </row>
    <row r="105" spans="2:8" x14ac:dyDescent="0.45">
      <c r="B105" s="5"/>
      <c r="C105" s="3">
        <v>20000</v>
      </c>
      <c r="D105" s="149">
        <f>Rates!$D$41+Rates!$D$48</f>
        <v>2241.41</v>
      </c>
      <c r="E105" s="149">
        <f>Rates!$E$41+Rates!$E$48</f>
        <v>2798.9</v>
      </c>
      <c r="F105" s="9">
        <f t="shared" si="8"/>
        <v>557.49000000000024</v>
      </c>
      <c r="G105" s="36">
        <f t="shared" si="9"/>
        <v>0.24872290210180212</v>
      </c>
      <c r="H105" s="23"/>
    </row>
    <row r="106" spans="2:8" x14ac:dyDescent="0.45">
      <c r="B106" s="5"/>
      <c r="C106" s="3">
        <v>25000</v>
      </c>
      <c r="D106" s="149">
        <f>Rates!$D$41+Rates!$D$48</f>
        <v>2241.41</v>
      </c>
      <c r="E106" s="149">
        <f>Rates!$E$41+Rates!$E$48</f>
        <v>2798.9</v>
      </c>
      <c r="F106" s="9">
        <f t="shared" si="8"/>
        <v>557.49000000000024</v>
      </c>
      <c r="G106" s="36">
        <f t="shared" si="9"/>
        <v>0.24872290210180212</v>
      </c>
      <c r="H106" s="23"/>
    </row>
    <row r="107" spans="2:8" x14ac:dyDescent="0.45">
      <c r="B107" s="5"/>
      <c r="C107" s="3">
        <v>30000</v>
      </c>
      <c r="D107" s="149">
        <f>Rates!$D$41+Rates!$D$48</f>
        <v>2241.41</v>
      </c>
      <c r="E107" s="149">
        <f>Rates!$E$41+Rates!$E$48</f>
        <v>2798.9</v>
      </c>
      <c r="F107" s="9">
        <f t="shared" si="8"/>
        <v>557.49000000000024</v>
      </c>
      <c r="G107" s="36">
        <f t="shared" si="9"/>
        <v>0.24872290210180212</v>
      </c>
      <c r="H107" s="23"/>
    </row>
    <row r="108" spans="2:8" x14ac:dyDescent="0.45">
      <c r="B108" s="5"/>
      <c r="C108" s="3">
        <v>40000</v>
      </c>
      <c r="D108" s="149">
        <f>Rates!$D$41+Rates!$D$48</f>
        <v>2241.41</v>
      </c>
      <c r="E108" s="149">
        <f>Rates!$E$41+Rates!$E$48</f>
        <v>2798.9</v>
      </c>
      <c r="F108" s="9">
        <f t="shared" si="8"/>
        <v>557.49000000000024</v>
      </c>
      <c r="G108" s="36">
        <f t="shared" si="9"/>
        <v>0.24872290210180212</v>
      </c>
      <c r="H108" s="23"/>
    </row>
    <row r="109" spans="2:8" x14ac:dyDescent="0.45">
      <c r="B109" s="5"/>
      <c r="C109" s="3">
        <v>50000</v>
      </c>
      <c r="D109" s="149">
        <f>Rates!$D$41+Rates!$D$48</f>
        <v>2241.41</v>
      </c>
      <c r="E109" s="149">
        <f>Rates!$E$41+Rates!$E$48</f>
        <v>2798.9</v>
      </c>
      <c r="F109" s="9">
        <f t="shared" si="8"/>
        <v>557.49000000000024</v>
      </c>
      <c r="G109" s="36">
        <f t="shared" si="9"/>
        <v>0.24872290210180212</v>
      </c>
      <c r="H109" s="23"/>
    </row>
    <row r="110" spans="2:8" x14ac:dyDescent="0.45">
      <c r="B110" s="5"/>
      <c r="C110" s="3">
        <v>75000</v>
      </c>
      <c r="D110" s="149">
        <f>Rates!$D$41+Rates!$D$48</f>
        <v>2241.41</v>
      </c>
      <c r="E110" s="149">
        <f>Rates!$E$41+Rates!$E$48</f>
        <v>2798.9</v>
      </c>
      <c r="F110" s="9">
        <f t="shared" si="8"/>
        <v>557.49000000000024</v>
      </c>
      <c r="G110" s="36">
        <f t="shared" si="9"/>
        <v>0.24872290210180212</v>
      </c>
      <c r="H110" s="23"/>
    </row>
    <row r="111" spans="2:8" x14ac:dyDescent="0.45">
      <c r="B111" s="5"/>
      <c r="C111" s="3">
        <v>100000</v>
      </c>
      <c r="D111" s="149">
        <f>Rates!$D$41+Rates!$D$48</f>
        <v>2241.41</v>
      </c>
      <c r="E111" s="149">
        <f>Rates!$E$41+Rates!$E$48</f>
        <v>2798.9</v>
      </c>
      <c r="F111" s="9">
        <f t="shared" si="8"/>
        <v>557.49000000000024</v>
      </c>
      <c r="G111" s="36">
        <f t="shared" si="9"/>
        <v>0.24872290210180212</v>
      </c>
      <c r="H111" s="23"/>
    </row>
    <row r="112" spans="2:8" x14ac:dyDescent="0.45">
      <c r="B112" s="255"/>
      <c r="C112" s="51">
        <v>500000</v>
      </c>
      <c r="D112" s="151">
        <f>Rates!$D$41+('Bills with Surcharge'!$C112-300000)*Rates!$D$42+Rates!$D$48</f>
        <v>3711.41</v>
      </c>
      <c r="E112" s="151">
        <f>Rates!$E$41+('Bills with Surcharge'!$C112-300000)*Rates!$E$42+Rates!$E$48</f>
        <v>4634.9000000000005</v>
      </c>
      <c r="F112" s="106">
        <f t="shared" si="8"/>
        <v>923.49000000000069</v>
      </c>
      <c r="G112" s="256">
        <f t="shared" si="9"/>
        <v>0.24882457071571201</v>
      </c>
      <c r="H112" s="257"/>
    </row>
    <row r="113" spans="2:8" x14ac:dyDescent="0.45">
      <c r="B113" s="138"/>
      <c r="C113" s="24">
        <v>974766</v>
      </c>
      <c r="D113" s="150">
        <f>Rates!$D$41+('Bills with Surcharge'!$C113-300000)*Rates!$D$42+Rates!$D$48</f>
        <v>7200.9400999999998</v>
      </c>
      <c r="E113" s="150">
        <f>Rates!$E$41+('Bills with Surcharge'!$C113-300000)*Rates!$E$42+Rates!$E$48</f>
        <v>8993.2518799999998</v>
      </c>
      <c r="F113" s="25">
        <f t="shared" si="8"/>
        <v>1792.31178</v>
      </c>
      <c r="G113" s="37">
        <f t="shared" si="9"/>
        <v>0.24889969297203293</v>
      </c>
      <c r="H113" s="26"/>
    </row>
    <row r="114" spans="2:8" ht="15.4" x14ac:dyDescent="0.45">
      <c r="B114" s="210"/>
      <c r="C114" s="211"/>
      <c r="D114" s="212"/>
      <c r="E114" s="213"/>
      <c r="F114" s="214"/>
      <c r="G114" s="2"/>
      <c r="H114" s="215"/>
    </row>
  </sheetData>
  <mergeCells count="8">
    <mergeCell ref="B72:H72"/>
    <mergeCell ref="B94:H94"/>
    <mergeCell ref="B2:H2"/>
    <mergeCell ref="B3:H3"/>
    <mergeCell ref="B4:H4"/>
    <mergeCell ref="B6:H6"/>
    <mergeCell ref="B28:H28"/>
    <mergeCell ref="B50:H50"/>
  </mergeCells>
  <printOptions horizontalCentered="1"/>
  <pageMargins left="0.25" right="0.25" top="0.25" bottom="0.25" header="0" footer="0"/>
  <pageSetup scale="78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C1BC1-F667-40CA-9958-AC20B397132F}">
  <sheetPr>
    <pageSetUpPr fitToPage="1"/>
  </sheetPr>
  <dimension ref="B1:O168"/>
  <sheetViews>
    <sheetView zoomScale="96" zoomScaleNormal="96" workbookViewId="0">
      <selection sqref="A1:M168"/>
    </sheetView>
  </sheetViews>
  <sheetFormatPr defaultColWidth="8.83203125" defaultRowHeight="14.25" x14ac:dyDescent="0.45"/>
  <cols>
    <col min="1" max="1" width="1.609375" style="49" customWidth="1"/>
    <col min="2" max="2" width="5.94140625" style="123" customWidth="1"/>
    <col min="3" max="3" width="30.609375" style="49" customWidth="1"/>
    <col min="4" max="4" width="12.609375" style="49" customWidth="1"/>
    <col min="5" max="5" width="12.609375" style="124" customWidth="1"/>
    <col min="6" max="6" width="12.609375" style="99" customWidth="1"/>
    <col min="7" max="7" width="12.609375" style="125" customWidth="1"/>
    <col min="8" max="8" width="12.609375" style="49" customWidth="1"/>
    <col min="9" max="9" width="14.609375" style="49" customWidth="1"/>
    <col min="10" max="10" width="10.5546875" style="49" bestFit="1" customWidth="1"/>
    <col min="11" max="11" width="10" style="49" bestFit="1" customWidth="1"/>
    <col min="12" max="12" width="1.44140625" style="49" customWidth="1"/>
    <col min="13" max="13" width="1.609375" style="49" customWidth="1"/>
    <col min="14" max="16384" width="8.83203125" style="49"/>
  </cols>
  <sheetData>
    <row r="1" spans="2:12" ht="14.65" thickBot="1" x14ac:dyDescent="0.5"/>
    <row r="2" spans="2:12" x14ac:dyDescent="0.45">
      <c r="B2" s="197"/>
      <c r="C2" s="198"/>
      <c r="D2" s="198"/>
      <c r="E2" s="199"/>
      <c r="F2" s="200"/>
      <c r="G2" s="201"/>
      <c r="H2" s="198"/>
      <c r="I2" s="198"/>
      <c r="J2" s="198"/>
      <c r="K2" s="198"/>
      <c r="L2" s="202"/>
    </row>
    <row r="3" spans="2:12" ht="18" customHeight="1" x14ac:dyDescent="0.55000000000000004">
      <c r="B3" s="433" t="s">
        <v>146</v>
      </c>
      <c r="C3" s="379"/>
      <c r="D3" s="379"/>
      <c r="E3" s="379"/>
      <c r="F3" s="379"/>
      <c r="G3" s="379"/>
      <c r="H3" s="379"/>
      <c r="I3" s="379"/>
      <c r="J3" s="379"/>
      <c r="K3" s="379"/>
      <c r="L3" s="380"/>
    </row>
    <row r="4" spans="2:12" ht="18" customHeight="1" x14ac:dyDescent="0.55000000000000004">
      <c r="B4" s="434" t="s">
        <v>149</v>
      </c>
      <c r="C4" s="435"/>
      <c r="D4" s="435"/>
      <c r="E4" s="435"/>
      <c r="F4" s="435"/>
      <c r="G4" s="435"/>
      <c r="H4" s="435"/>
      <c r="I4" s="435"/>
      <c r="J4" s="435"/>
      <c r="K4" s="435"/>
      <c r="L4" s="436"/>
    </row>
    <row r="5" spans="2:12" ht="15.5" customHeight="1" x14ac:dyDescent="0.55000000000000004">
      <c r="B5" s="433" t="s">
        <v>218</v>
      </c>
      <c r="C5" s="379"/>
      <c r="D5" s="379"/>
      <c r="E5" s="379"/>
      <c r="F5" s="379"/>
      <c r="G5" s="379"/>
      <c r="H5" s="379"/>
      <c r="I5" s="379"/>
      <c r="J5" s="379"/>
      <c r="K5" s="379"/>
      <c r="L5" s="380"/>
    </row>
    <row r="6" spans="2:12" ht="14.75" customHeight="1" x14ac:dyDescent="0.45">
      <c r="B6" s="431"/>
      <c r="C6" s="432"/>
      <c r="D6" s="432"/>
      <c r="E6" s="432"/>
      <c r="F6" s="432"/>
      <c r="G6" s="432"/>
      <c r="H6" s="432"/>
      <c r="I6" s="432"/>
      <c r="J6" s="177"/>
      <c r="L6" s="203"/>
    </row>
    <row r="7" spans="2:12" x14ac:dyDescent="0.45">
      <c r="B7" s="204"/>
      <c r="D7" s="178" t="s">
        <v>59</v>
      </c>
      <c r="E7" s="100" t="s">
        <v>10</v>
      </c>
      <c r="F7" s="129" t="s">
        <v>60</v>
      </c>
      <c r="G7" s="179" t="s">
        <v>61</v>
      </c>
      <c r="H7" s="180"/>
      <c r="I7" s="180"/>
      <c r="L7" s="203"/>
    </row>
    <row r="8" spans="2:12" x14ac:dyDescent="0.45">
      <c r="B8" s="204"/>
      <c r="D8" s="178" t="s">
        <v>139</v>
      </c>
      <c r="E8" s="100">
        <f>E29+E45+E59+E73+E85+E101+E117+E131+E144+E155+E166</f>
        <v>33678</v>
      </c>
      <c r="F8" s="100">
        <f>F29+F45+F59+F73+F85+F101+F117+F131+F144+F155+F166</f>
        <v>146185100</v>
      </c>
      <c r="G8" s="154">
        <f>H29+H45+H59+H73+H85+H101+H117+H131+H144+H155+H166</f>
        <v>1996070.0919999999</v>
      </c>
      <c r="H8" s="180"/>
      <c r="I8" s="180"/>
      <c r="L8" s="203"/>
    </row>
    <row r="9" spans="2:12" x14ac:dyDescent="0.45">
      <c r="B9" s="204"/>
      <c r="D9" s="178" t="s">
        <v>138</v>
      </c>
      <c r="E9" s="100"/>
      <c r="F9" s="129"/>
      <c r="G9" s="145">
        <v>38559.480000000003</v>
      </c>
      <c r="H9" s="180" t="s">
        <v>270</v>
      </c>
      <c r="I9" s="180"/>
      <c r="L9" s="203"/>
    </row>
    <row r="10" spans="2:12" x14ac:dyDescent="0.45">
      <c r="B10" s="204"/>
      <c r="D10" s="178" t="s">
        <v>137</v>
      </c>
      <c r="E10" s="100"/>
      <c r="F10" s="129"/>
      <c r="G10" s="154">
        <f>G8-G9</f>
        <v>1957510.612</v>
      </c>
      <c r="H10" s="180"/>
      <c r="I10" s="180"/>
      <c r="L10" s="203"/>
    </row>
    <row r="11" spans="2:12" x14ac:dyDescent="0.45">
      <c r="B11" s="204"/>
      <c r="D11" s="178" t="s">
        <v>135</v>
      </c>
      <c r="E11" s="100"/>
      <c r="F11" s="129"/>
      <c r="G11" s="144">
        <f>SAO!C7</f>
        <v>1920541</v>
      </c>
      <c r="H11" s="180"/>
      <c r="I11" s="180"/>
      <c r="L11" s="203"/>
    </row>
    <row r="12" spans="2:12" x14ac:dyDescent="0.45">
      <c r="B12" s="204"/>
      <c r="D12" s="178" t="s">
        <v>136</v>
      </c>
      <c r="E12" s="100"/>
      <c r="F12" s="129"/>
      <c r="G12" s="195">
        <f>G10-G11</f>
        <v>36969.611999999965</v>
      </c>
      <c r="H12" s="180" t="s">
        <v>62</v>
      </c>
      <c r="I12" s="180"/>
      <c r="L12" s="203"/>
    </row>
    <row r="13" spans="2:12" x14ac:dyDescent="0.45">
      <c r="B13" s="204"/>
      <c r="C13" s="181"/>
      <c r="E13" s="100"/>
      <c r="F13" s="100"/>
      <c r="G13" s="196">
        <f>G12/G11</f>
        <v>1.9249582279159863E-2</v>
      </c>
      <c r="H13" s="316" t="s">
        <v>251</v>
      </c>
      <c r="I13" s="180"/>
      <c r="J13" s="180"/>
      <c r="L13" s="203"/>
    </row>
    <row r="14" spans="2:12" x14ac:dyDescent="0.45">
      <c r="B14" s="204"/>
      <c r="E14" s="100"/>
      <c r="F14" s="100"/>
      <c r="G14" s="129"/>
      <c r="H14" s="123"/>
      <c r="I14" s="180"/>
      <c r="J14" s="180"/>
      <c r="L14" s="203"/>
    </row>
    <row r="15" spans="2:12" x14ac:dyDescent="0.45">
      <c r="B15" s="204"/>
      <c r="E15" s="100"/>
      <c r="F15" s="100"/>
      <c r="G15" s="129"/>
      <c r="H15" s="123"/>
      <c r="I15" s="180"/>
      <c r="J15" s="180"/>
      <c r="L15" s="203"/>
    </row>
    <row r="16" spans="2:12" x14ac:dyDescent="0.45">
      <c r="B16" s="204"/>
      <c r="C16" s="139" t="s">
        <v>240</v>
      </c>
      <c r="E16" s="100"/>
      <c r="F16" s="100"/>
      <c r="G16" s="127" t="str">
        <f>C18</f>
        <v>First</v>
      </c>
      <c r="H16" s="127" t="str">
        <f>C19</f>
        <v>Next</v>
      </c>
      <c r="I16" s="127" t="str">
        <f>C20</f>
        <v>Next</v>
      </c>
      <c r="J16" s="127" t="str">
        <f>C21</f>
        <v>Over</v>
      </c>
      <c r="K16" s="136"/>
      <c r="L16" s="203"/>
    </row>
    <row r="17" spans="2:15" ht="14.65" thickBot="1" x14ac:dyDescent="0.5">
      <c r="B17" s="204"/>
      <c r="C17" s="123" t="s">
        <v>63</v>
      </c>
      <c r="D17" s="189" t="s">
        <v>66</v>
      </c>
      <c r="E17" s="186" t="s">
        <v>10</v>
      </c>
      <c r="F17" s="186" t="s">
        <v>60</v>
      </c>
      <c r="G17" s="190">
        <f>D18</f>
        <v>2000</v>
      </c>
      <c r="H17" s="190">
        <f>D19</f>
        <v>3000</v>
      </c>
      <c r="I17" s="190">
        <f>D20</f>
        <v>5000</v>
      </c>
      <c r="J17" s="190">
        <f>D21</f>
        <v>10000</v>
      </c>
      <c r="K17" s="191" t="s">
        <v>67</v>
      </c>
      <c r="L17" s="203"/>
    </row>
    <row r="18" spans="2:15" x14ac:dyDescent="0.45">
      <c r="B18" s="204"/>
      <c r="C18" s="183" t="s">
        <v>64</v>
      </c>
      <c r="D18" s="184">
        <v>2000</v>
      </c>
      <c r="E18" s="100">
        <v>6245</v>
      </c>
      <c r="F18" s="100">
        <v>4936700</v>
      </c>
      <c r="G18" s="100">
        <f>F18</f>
        <v>4936700</v>
      </c>
      <c r="H18" s="100">
        <v>0</v>
      </c>
      <c r="I18" s="100">
        <v>0</v>
      </c>
      <c r="J18" s="100">
        <v>0</v>
      </c>
      <c r="K18" s="137">
        <f>SUM(G18:J18)</f>
        <v>4936700</v>
      </c>
      <c r="L18" s="203"/>
    </row>
    <row r="19" spans="2:15" x14ac:dyDescent="0.45">
      <c r="B19" s="204"/>
      <c r="C19" s="183" t="s">
        <v>75</v>
      </c>
      <c r="D19" s="184">
        <v>3000</v>
      </c>
      <c r="E19" s="100">
        <v>5122</v>
      </c>
      <c r="F19" s="100">
        <v>17144800</v>
      </c>
      <c r="G19" s="100">
        <f>E19*D18</f>
        <v>10244000</v>
      </c>
      <c r="H19" s="100">
        <f>F19-G19</f>
        <v>6900800</v>
      </c>
      <c r="I19" s="100">
        <v>0</v>
      </c>
      <c r="J19" s="100">
        <v>0</v>
      </c>
      <c r="K19" s="137">
        <f>SUM(G19:J19)</f>
        <v>17144800</v>
      </c>
      <c r="L19" s="203"/>
    </row>
    <row r="20" spans="2:15" x14ac:dyDescent="0.45">
      <c r="B20" s="204"/>
      <c r="C20" s="183" t="s">
        <v>75</v>
      </c>
      <c r="D20" s="184">
        <v>5000</v>
      </c>
      <c r="E20" s="100">
        <v>2273</v>
      </c>
      <c r="F20" s="100">
        <v>15545700</v>
      </c>
      <c r="G20" s="100">
        <f>E20*D18</f>
        <v>4546000</v>
      </c>
      <c r="H20" s="100">
        <f>E20*D19</f>
        <v>6819000</v>
      </c>
      <c r="I20" s="100">
        <f>F20-G20-H20</f>
        <v>4180700</v>
      </c>
      <c r="J20" s="100">
        <v>0</v>
      </c>
      <c r="K20" s="137">
        <f>SUM(G20:J20)</f>
        <v>15545700</v>
      </c>
      <c r="L20" s="203"/>
    </row>
    <row r="21" spans="2:15" ht="14.65" thickBot="1" x14ac:dyDescent="0.5">
      <c r="B21" s="204"/>
      <c r="C21" s="183" t="s">
        <v>65</v>
      </c>
      <c r="D21" s="184">
        <v>10000</v>
      </c>
      <c r="E21" s="186">
        <v>679</v>
      </c>
      <c r="F21" s="186">
        <v>13222000</v>
      </c>
      <c r="G21" s="186">
        <f>E21*D18</f>
        <v>1358000</v>
      </c>
      <c r="H21" s="186">
        <f>E21*D19</f>
        <v>2037000</v>
      </c>
      <c r="I21" s="186">
        <f>E21*D20</f>
        <v>3395000</v>
      </c>
      <c r="J21" s="186">
        <f>F21-G21-H21-I21</f>
        <v>6432000</v>
      </c>
      <c r="K21" s="187">
        <f>SUM(G21:J21)</f>
        <v>13222000</v>
      </c>
      <c r="L21" s="203"/>
    </row>
    <row r="22" spans="2:15" x14ac:dyDescent="0.45">
      <c r="B22" s="204"/>
      <c r="C22" s="181"/>
      <c r="E22" s="100">
        <f t="shared" ref="E22:K22" si="0">SUM(E18:E21)</f>
        <v>14319</v>
      </c>
      <c r="F22" s="100">
        <f t="shared" si="0"/>
        <v>50849200</v>
      </c>
      <c r="G22" s="100">
        <f t="shared" si="0"/>
        <v>21084700</v>
      </c>
      <c r="H22" s="100">
        <f t="shared" si="0"/>
        <v>15756800</v>
      </c>
      <c r="I22" s="100">
        <f t="shared" si="0"/>
        <v>7575700</v>
      </c>
      <c r="J22" s="100">
        <f t="shared" si="0"/>
        <v>6432000</v>
      </c>
      <c r="K22" s="100">
        <f t="shared" si="0"/>
        <v>50849200</v>
      </c>
      <c r="L22" s="203"/>
      <c r="N22" s="49" t="s">
        <v>164</v>
      </c>
      <c r="O22" s="247">
        <f>F22/E22</f>
        <v>3551.1697744255885</v>
      </c>
    </row>
    <row r="23" spans="2:15" x14ac:dyDescent="0.45">
      <c r="B23" s="204"/>
      <c r="E23" s="100"/>
      <c r="F23" s="100"/>
      <c r="G23" s="129"/>
      <c r="H23" s="129"/>
      <c r="I23" s="129"/>
      <c r="J23" s="129"/>
      <c r="K23" s="180"/>
      <c r="L23" s="203"/>
    </row>
    <row r="24" spans="2:15" ht="14.65" thickBot="1" x14ac:dyDescent="0.5">
      <c r="B24" s="204"/>
      <c r="C24" s="181" t="s">
        <v>68</v>
      </c>
      <c r="D24" s="189" t="s">
        <v>66</v>
      </c>
      <c r="E24" s="186" t="s">
        <v>10</v>
      </c>
      <c r="F24" s="186" t="s">
        <v>60</v>
      </c>
      <c r="G24" s="192" t="s">
        <v>11</v>
      </c>
      <c r="H24" s="189" t="s">
        <v>61</v>
      </c>
      <c r="I24" s="129"/>
      <c r="J24" s="129"/>
      <c r="K24" s="180"/>
      <c r="L24" s="203"/>
    </row>
    <row r="25" spans="2:15" x14ac:dyDescent="0.45">
      <c r="B25" s="204"/>
      <c r="C25" s="184" t="str">
        <f t="shared" ref="C25:D28" si="1">C18</f>
        <v>First</v>
      </c>
      <c r="D25" s="184">
        <f t="shared" si="1"/>
        <v>2000</v>
      </c>
      <c r="E25" s="100">
        <f>E22</f>
        <v>14319</v>
      </c>
      <c r="F25" s="100">
        <f>G22</f>
        <v>21084700</v>
      </c>
      <c r="G25" s="128">
        <f>Rates!D$10</f>
        <v>34.630000000000003</v>
      </c>
      <c r="H25" s="154">
        <f>E25*G25</f>
        <v>495866.97000000003</v>
      </c>
      <c r="I25" s="128"/>
      <c r="J25" s="128"/>
      <c r="K25" s="180"/>
      <c r="L25" s="203"/>
    </row>
    <row r="26" spans="2:15" x14ac:dyDescent="0.45">
      <c r="B26" s="204"/>
      <c r="C26" s="184" t="str">
        <f t="shared" si="1"/>
        <v>Next</v>
      </c>
      <c r="D26" s="184">
        <f t="shared" si="1"/>
        <v>3000</v>
      </c>
      <c r="E26" s="100"/>
      <c r="F26" s="100">
        <f>H22</f>
        <v>15756800</v>
      </c>
      <c r="G26" s="254">
        <f>Rates!D$11</f>
        <v>9.5999999999999992E-3</v>
      </c>
      <c r="H26" s="154">
        <f>F26*G26</f>
        <v>151265.28</v>
      </c>
      <c r="I26" s="128"/>
      <c r="J26" s="128"/>
      <c r="K26" s="180"/>
      <c r="L26" s="203"/>
    </row>
    <row r="27" spans="2:15" x14ac:dyDescent="0.45">
      <c r="B27" s="204"/>
      <c r="C27" s="184" t="str">
        <f t="shared" si="1"/>
        <v>Next</v>
      </c>
      <c r="D27" s="184">
        <f t="shared" si="1"/>
        <v>5000</v>
      </c>
      <c r="E27" s="100"/>
      <c r="F27" s="100">
        <f>I22</f>
        <v>7575700</v>
      </c>
      <c r="G27" s="254">
        <f>Rates!D$12</f>
        <v>8.4899999999999993E-3</v>
      </c>
      <c r="H27" s="154">
        <f>F27*G27</f>
        <v>64317.692999999992</v>
      </c>
      <c r="I27" s="128"/>
      <c r="J27" s="128"/>
      <c r="K27" s="180"/>
      <c r="L27" s="203"/>
    </row>
    <row r="28" spans="2:15" ht="14.65" thickBot="1" x14ac:dyDescent="0.5">
      <c r="B28" s="204"/>
      <c r="C28" s="184" t="str">
        <f t="shared" si="1"/>
        <v>Over</v>
      </c>
      <c r="D28" s="184">
        <f t="shared" si="1"/>
        <v>10000</v>
      </c>
      <c r="E28" s="186"/>
      <c r="F28" s="186">
        <f>J22</f>
        <v>6432000</v>
      </c>
      <c r="G28" s="254">
        <f>Rates!D$13</f>
        <v>7.3499999999999998E-3</v>
      </c>
      <c r="H28" s="188">
        <f>F28*G28</f>
        <v>47275.199999999997</v>
      </c>
      <c r="I28" s="128"/>
      <c r="J28" s="128"/>
      <c r="K28" s="180"/>
      <c r="L28" s="203"/>
    </row>
    <row r="29" spans="2:15" x14ac:dyDescent="0.45">
      <c r="B29" s="204"/>
      <c r="C29" s="181"/>
      <c r="E29" s="100">
        <f>SUM(E25:E28)</f>
        <v>14319</v>
      </c>
      <c r="F29" s="100">
        <f>SUM(F25:F28)</f>
        <v>50849200</v>
      </c>
      <c r="G29" s="129"/>
      <c r="H29" s="154">
        <f>SUM(H25:H28)</f>
        <v>758725.14299999992</v>
      </c>
      <c r="I29" s="129"/>
      <c r="J29" s="129"/>
      <c r="K29" s="130"/>
      <c r="L29" s="205"/>
    </row>
    <row r="30" spans="2:15" x14ac:dyDescent="0.45">
      <c r="B30" s="204"/>
      <c r="C30" s="181"/>
      <c r="E30" s="100"/>
      <c r="F30" s="100"/>
      <c r="G30" s="129"/>
      <c r="H30" s="154"/>
      <c r="I30" s="129"/>
      <c r="J30" s="129"/>
      <c r="K30" s="130"/>
      <c r="L30" s="205"/>
    </row>
    <row r="31" spans="2:15" x14ac:dyDescent="0.45">
      <c r="B31" s="204"/>
      <c r="C31" s="181"/>
      <c r="E31" s="100"/>
      <c r="F31" s="100"/>
      <c r="G31" s="129"/>
      <c r="H31" s="129"/>
      <c r="I31" s="129"/>
      <c r="J31" s="129"/>
      <c r="K31" s="180"/>
      <c r="L31" s="203"/>
    </row>
    <row r="32" spans="2:15" x14ac:dyDescent="0.45">
      <c r="B32" s="204"/>
      <c r="C32" s="139" t="s">
        <v>241</v>
      </c>
      <c r="E32" s="100"/>
      <c r="F32" s="100"/>
      <c r="G32" s="127" t="str">
        <f>C34</f>
        <v>First</v>
      </c>
      <c r="H32" s="127" t="str">
        <f>C35</f>
        <v>Next</v>
      </c>
      <c r="I32" s="127" t="str">
        <f>C36</f>
        <v>Next</v>
      </c>
      <c r="J32" s="127" t="str">
        <f>C37</f>
        <v>Over</v>
      </c>
      <c r="K32" s="136"/>
      <c r="L32" s="203"/>
    </row>
    <row r="33" spans="2:15" ht="14.65" thickBot="1" x14ac:dyDescent="0.5">
      <c r="B33" s="204"/>
      <c r="C33" s="123" t="s">
        <v>63</v>
      </c>
      <c r="D33" s="189" t="s">
        <v>66</v>
      </c>
      <c r="E33" s="186" t="s">
        <v>10</v>
      </c>
      <c r="F33" s="186" t="s">
        <v>60</v>
      </c>
      <c r="G33" s="190">
        <f>D34</f>
        <v>2000</v>
      </c>
      <c r="H33" s="190">
        <f>D35</f>
        <v>3000</v>
      </c>
      <c r="I33" s="190">
        <f>D36</f>
        <v>5000</v>
      </c>
      <c r="J33" s="190">
        <f>D37</f>
        <v>10000</v>
      </c>
      <c r="K33" s="191" t="s">
        <v>67</v>
      </c>
      <c r="L33" s="203"/>
    </row>
    <row r="34" spans="2:15" x14ac:dyDescent="0.45">
      <c r="B34" s="204"/>
      <c r="C34" s="183" t="s">
        <v>64</v>
      </c>
      <c r="D34" s="184">
        <v>2000</v>
      </c>
      <c r="E34" s="100">
        <v>151</v>
      </c>
      <c r="F34" s="100">
        <v>62400</v>
      </c>
      <c r="G34" s="100">
        <f>F34</f>
        <v>62400</v>
      </c>
      <c r="H34" s="100">
        <v>0</v>
      </c>
      <c r="I34" s="100">
        <v>0</v>
      </c>
      <c r="J34" s="100">
        <v>0</v>
      </c>
      <c r="K34" s="137">
        <f>SUM(G34:J34)</f>
        <v>62400</v>
      </c>
      <c r="L34" s="203"/>
    </row>
    <row r="35" spans="2:15" x14ac:dyDescent="0.45">
      <c r="B35" s="204"/>
      <c r="C35" s="183" t="s">
        <v>75</v>
      </c>
      <c r="D35" s="184">
        <v>3000</v>
      </c>
      <c r="E35" s="100">
        <v>25</v>
      </c>
      <c r="F35" s="100">
        <v>83100</v>
      </c>
      <c r="G35" s="100">
        <f>E35*D34</f>
        <v>50000</v>
      </c>
      <c r="H35" s="100">
        <f>F35-G35</f>
        <v>33100</v>
      </c>
      <c r="I35" s="100">
        <v>0</v>
      </c>
      <c r="J35" s="100">
        <v>0</v>
      </c>
      <c r="K35" s="137">
        <f>SUM(G35:J35)</f>
        <v>83100</v>
      </c>
      <c r="L35" s="203"/>
    </row>
    <row r="36" spans="2:15" x14ac:dyDescent="0.45">
      <c r="B36" s="204"/>
      <c r="C36" s="183" t="s">
        <v>75</v>
      </c>
      <c r="D36" s="184">
        <v>5000</v>
      </c>
      <c r="E36" s="100">
        <v>35</v>
      </c>
      <c r="F36" s="100">
        <v>256200</v>
      </c>
      <c r="G36" s="100">
        <f>E36*D34</f>
        <v>70000</v>
      </c>
      <c r="H36" s="100">
        <f>E36*D35</f>
        <v>105000</v>
      </c>
      <c r="I36" s="100">
        <f>F36-G36-H36</f>
        <v>81200</v>
      </c>
      <c r="J36" s="100">
        <v>0</v>
      </c>
      <c r="K36" s="137">
        <f>SUM(G36:J36)</f>
        <v>256200</v>
      </c>
      <c r="L36" s="203"/>
    </row>
    <row r="37" spans="2:15" ht="14.65" thickBot="1" x14ac:dyDescent="0.5">
      <c r="B37" s="204"/>
      <c r="C37" s="183" t="s">
        <v>65</v>
      </c>
      <c r="D37" s="184">
        <v>10000</v>
      </c>
      <c r="E37" s="186">
        <v>32</v>
      </c>
      <c r="F37" s="186">
        <v>619900</v>
      </c>
      <c r="G37" s="186">
        <f>E37*D34</f>
        <v>64000</v>
      </c>
      <c r="H37" s="186">
        <f>E37*D35</f>
        <v>96000</v>
      </c>
      <c r="I37" s="186">
        <f>E37*D36</f>
        <v>160000</v>
      </c>
      <c r="J37" s="186">
        <f>F37-G37-H37-I37</f>
        <v>299900</v>
      </c>
      <c r="K37" s="187">
        <f>SUM(G37:J37)</f>
        <v>619900</v>
      </c>
      <c r="L37" s="203"/>
    </row>
    <row r="38" spans="2:15" x14ac:dyDescent="0.45">
      <c r="B38" s="204"/>
      <c r="C38" s="181"/>
      <c r="E38" s="100">
        <f t="shared" ref="E38:K38" si="2">SUM(E34:E37)</f>
        <v>243</v>
      </c>
      <c r="F38" s="100">
        <f t="shared" si="2"/>
        <v>1021600</v>
      </c>
      <c r="G38" s="100">
        <f t="shared" si="2"/>
        <v>246400</v>
      </c>
      <c r="H38" s="100">
        <f t="shared" si="2"/>
        <v>234100</v>
      </c>
      <c r="I38" s="100">
        <f t="shared" si="2"/>
        <v>241200</v>
      </c>
      <c r="J38" s="100">
        <f t="shared" si="2"/>
        <v>299900</v>
      </c>
      <c r="K38" s="100">
        <f t="shared" si="2"/>
        <v>1021600</v>
      </c>
      <c r="L38" s="203"/>
      <c r="N38" s="49" t="s">
        <v>164</v>
      </c>
      <c r="O38" s="247">
        <f>F38/E38</f>
        <v>4204.1152263374488</v>
      </c>
    </row>
    <row r="39" spans="2:15" x14ac:dyDescent="0.45">
      <c r="B39" s="204"/>
      <c r="E39" s="100"/>
      <c r="F39" s="100"/>
      <c r="G39" s="129"/>
      <c r="H39" s="129"/>
      <c r="I39" s="129"/>
      <c r="J39" s="129"/>
      <c r="K39" s="180"/>
      <c r="L39" s="203"/>
    </row>
    <row r="40" spans="2:15" ht="14.65" thickBot="1" x14ac:dyDescent="0.5">
      <c r="B40" s="204"/>
      <c r="C40" s="181" t="s">
        <v>68</v>
      </c>
      <c r="D40" s="189" t="s">
        <v>66</v>
      </c>
      <c r="E40" s="186" t="s">
        <v>10</v>
      </c>
      <c r="F40" s="186" t="s">
        <v>60</v>
      </c>
      <c r="G40" s="192" t="s">
        <v>11</v>
      </c>
      <c r="H40" s="189" t="s">
        <v>61</v>
      </c>
      <c r="I40" s="129"/>
      <c r="J40" s="129"/>
      <c r="K40" s="180"/>
      <c r="L40" s="203"/>
    </row>
    <row r="41" spans="2:15" x14ac:dyDescent="0.45">
      <c r="B41" s="204"/>
      <c r="C41" s="184" t="str">
        <f t="shared" ref="C41:D41" si="3">C34</f>
        <v>First</v>
      </c>
      <c r="D41" s="184">
        <f t="shared" si="3"/>
        <v>2000</v>
      </c>
      <c r="E41" s="100">
        <f>E38</f>
        <v>243</v>
      </c>
      <c r="F41" s="100">
        <f>G38</f>
        <v>246400</v>
      </c>
      <c r="G41" s="128">
        <f>Rates!D$10</f>
        <v>34.630000000000003</v>
      </c>
      <c r="H41" s="154">
        <f>E41*G41</f>
        <v>8415.09</v>
      </c>
      <c r="I41" s="128"/>
      <c r="J41" s="128"/>
      <c r="K41" s="180"/>
      <c r="L41" s="203"/>
    </row>
    <row r="42" spans="2:15" x14ac:dyDescent="0.45">
      <c r="B42" s="204"/>
      <c r="C42" s="184" t="str">
        <f t="shared" ref="C42:D42" si="4">C35</f>
        <v>Next</v>
      </c>
      <c r="D42" s="184">
        <f t="shared" si="4"/>
        <v>3000</v>
      </c>
      <c r="E42" s="100"/>
      <c r="F42" s="100">
        <f>H38</f>
        <v>234100</v>
      </c>
      <c r="G42" s="254">
        <f>Rates!D$11</f>
        <v>9.5999999999999992E-3</v>
      </c>
      <c r="H42" s="154">
        <f>F42*G42</f>
        <v>2247.3599999999997</v>
      </c>
      <c r="I42" s="128"/>
      <c r="J42" s="128"/>
      <c r="K42" s="180"/>
      <c r="L42" s="203"/>
    </row>
    <row r="43" spans="2:15" x14ac:dyDescent="0.45">
      <c r="B43" s="204"/>
      <c r="C43" s="184" t="str">
        <f t="shared" ref="C43:D43" si="5">C36</f>
        <v>Next</v>
      </c>
      <c r="D43" s="184">
        <f t="shared" si="5"/>
        <v>5000</v>
      </c>
      <c r="E43" s="100"/>
      <c r="F43" s="100">
        <f>I38</f>
        <v>241200</v>
      </c>
      <c r="G43" s="254">
        <f>Rates!D$12</f>
        <v>8.4899999999999993E-3</v>
      </c>
      <c r="H43" s="154">
        <f>F43*G43</f>
        <v>2047.7879999999998</v>
      </c>
      <c r="I43" s="128"/>
      <c r="J43" s="128"/>
      <c r="K43" s="180"/>
      <c r="L43" s="203"/>
    </row>
    <row r="44" spans="2:15" ht="14.65" thickBot="1" x14ac:dyDescent="0.5">
      <c r="B44" s="204"/>
      <c r="C44" s="184" t="str">
        <f t="shared" ref="C44:D44" si="6">C37</f>
        <v>Over</v>
      </c>
      <c r="D44" s="184">
        <f t="shared" si="6"/>
        <v>10000</v>
      </c>
      <c r="E44" s="186"/>
      <c r="F44" s="186">
        <f>J38</f>
        <v>299900</v>
      </c>
      <c r="G44" s="254">
        <f>Rates!D$13</f>
        <v>7.3499999999999998E-3</v>
      </c>
      <c r="H44" s="188">
        <f>F44*G44</f>
        <v>2204.2649999999999</v>
      </c>
      <c r="I44" s="128"/>
      <c r="J44" s="128"/>
      <c r="K44" s="180"/>
      <c r="L44" s="203"/>
    </row>
    <row r="45" spans="2:15" x14ac:dyDescent="0.45">
      <c r="B45" s="204"/>
      <c r="C45" s="181"/>
      <c r="E45" s="100">
        <f>SUM(E41:E44)</f>
        <v>243</v>
      </c>
      <c r="F45" s="100">
        <f>SUM(F41:F44)</f>
        <v>1021600</v>
      </c>
      <c r="G45" s="129"/>
      <c r="H45" s="154">
        <f>SUM(H41:H44)</f>
        <v>14914.503000000001</v>
      </c>
      <c r="I45" s="129"/>
      <c r="J45" s="129"/>
      <c r="K45" s="130"/>
      <c r="L45" s="205"/>
    </row>
    <row r="46" spans="2:15" x14ac:dyDescent="0.45">
      <c r="B46" s="204"/>
      <c r="C46" s="181"/>
      <c r="E46" s="100"/>
      <c r="F46" s="100"/>
      <c r="G46" s="129"/>
      <c r="H46" s="154"/>
      <c r="I46" s="129"/>
      <c r="J46" s="129"/>
      <c r="K46" s="130"/>
      <c r="L46" s="205"/>
    </row>
    <row r="47" spans="2:15" x14ac:dyDescent="0.45">
      <c r="B47" s="204"/>
      <c r="C47" s="181"/>
      <c r="E47" s="100"/>
      <c r="F47" s="100"/>
      <c r="G47" s="129"/>
      <c r="H47" s="129"/>
      <c r="I47" s="129"/>
      <c r="J47" s="129"/>
      <c r="K47" s="180"/>
      <c r="L47" s="203"/>
    </row>
    <row r="48" spans="2:15" x14ac:dyDescent="0.45">
      <c r="B48" s="204"/>
      <c r="C48" s="139" t="s">
        <v>242</v>
      </c>
      <c r="E48" s="100"/>
      <c r="F48" s="100"/>
      <c r="G48" s="127" t="str">
        <f>C50</f>
        <v>First</v>
      </c>
      <c r="H48" s="127" t="str">
        <f>C51</f>
        <v>Next</v>
      </c>
      <c r="I48" s="127" t="str">
        <f>C52</f>
        <v>Over</v>
      </c>
      <c r="J48" s="136"/>
      <c r="K48" s="136"/>
      <c r="L48" s="203"/>
    </row>
    <row r="49" spans="2:15" ht="14.65" thickBot="1" x14ac:dyDescent="0.5">
      <c r="B49" s="204"/>
      <c r="C49" s="123" t="s">
        <v>63</v>
      </c>
      <c r="D49" s="189" t="s">
        <v>66</v>
      </c>
      <c r="E49" s="186" t="s">
        <v>10</v>
      </c>
      <c r="F49" s="186" t="s">
        <v>60</v>
      </c>
      <c r="G49" s="190">
        <f>D50</f>
        <v>5000</v>
      </c>
      <c r="H49" s="190">
        <f>D51</f>
        <v>5000</v>
      </c>
      <c r="I49" s="190">
        <f>D52</f>
        <v>10000</v>
      </c>
      <c r="J49" s="191" t="s">
        <v>67</v>
      </c>
      <c r="K49" s="136"/>
      <c r="L49" s="203"/>
    </row>
    <row r="50" spans="2:15" x14ac:dyDescent="0.45">
      <c r="B50" s="204"/>
      <c r="C50" s="183" t="s">
        <v>64</v>
      </c>
      <c r="D50" s="184">
        <v>5000</v>
      </c>
      <c r="E50" s="100">
        <v>23</v>
      </c>
      <c r="F50" s="100">
        <v>32000</v>
      </c>
      <c r="G50" s="100">
        <f>F50</f>
        <v>32000</v>
      </c>
      <c r="H50" s="100">
        <v>0</v>
      </c>
      <c r="I50" s="100">
        <v>0</v>
      </c>
      <c r="J50" s="137">
        <f>SUM(G50:I50)</f>
        <v>32000</v>
      </c>
      <c r="K50" s="137"/>
      <c r="L50" s="203"/>
    </row>
    <row r="51" spans="2:15" x14ac:dyDescent="0.45">
      <c r="B51" s="204"/>
      <c r="C51" s="183" t="s">
        <v>75</v>
      </c>
      <c r="D51" s="184">
        <v>5000</v>
      </c>
      <c r="E51" s="100">
        <v>1</v>
      </c>
      <c r="F51" s="100">
        <v>9500</v>
      </c>
      <c r="G51" s="100">
        <f>E51*D50</f>
        <v>5000</v>
      </c>
      <c r="H51" s="100">
        <f>F51-G51</f>
        <v>4500</v>
      </c>
      <c r="I51" s="100">
        <v>0</v>
      </c>
      <c r="J51" s="137">
        <f>SUM(G51:I51)</f>
        <v>9500</v>
      </c>
      <c r="K51" s="137"/>
      <c r="L51" s="203"/>
    </row>
    <row r="52" spans="2:15" ht="14.65" thickBot="1" x14ac:dyDescent="0.5">
      <c r="B52" s="204"/>
      <c r="C52" s="183" t="s">
        <v>65</v>
      </c>
      <c r="D52" s="184">
        <v>10000</v>
      </c>
      <c r="E52" s="186">
        <v>12</v>
      </c>
      <c r="F52" s="186">
        <v>362200</v>
      </c>
      <c r="G52" s="186">
        <f>E52*D50</f>
        <v>60000</v>
      </c>
      <c r="H52" s="186">
        <f>E52*D51</f>
        <v>60000</v>
      </c>
      <c r="I52" s="186">
        <f>F52-G52-H52</f>
        <v>242200</v>
      </c>
      <c r="J52" s="187">
        <f>SUM(G52:I52)</f>
        <v>362200</v>
      </c>
      <c r="K52" s="137"/>
      <c r="L52" s="203"/>
    </row>
    <row r="53" spans="2:15" x14ac:dyDescent="0.45">
      <c r="B53" s="204"/>
      <c r="C53" s="181"/>
      <c r="E53" s="100">
        <f t="shared" ref="E53:J53" si="7">SUM(E50:E52)</f>
        <v>36</v>
      </c>
      <c r="F53" s="100">
        <f t="shared" si="7"/>
        <v>403700</v>
      </c>
      <c r="G53" s="100">
        <f t="shared" si="7"/>
        <v>97000</v>
      </c>
      <c r="H53" s="100">
        <f t="shared" si="7"/>
        <v>64500</v>
      </c>
      <c r="I53" s="100">
        <f t="shared" si="7"/>
        <v>242200</v>
      </c>
      <c r="J53" s="100">
        <f t="shared" si="7"/>
        <v>403700</v>
      </c>
      <c r="K53" s="100"/>
      <c r="L53" s="203"/>
      <c r="N53" s="49" t="s">
        <v>164</v>
      </c>
      <c r="O53" s="247">
        <f>F53/E53</f>
        <v>11213.888888888889</v>
      </c>
    </row>
    <row r="54" spans="2:15" x14ac:dyDescent="0.45">
      <c r="B54" s="204"/>
      <c r="E54" s="100"/>
      <c r="F54" s="100"/>
      <c r="G54" s="129"/>
      <c r="H54" s="129"/>
      <c r="I54" s="129"/>
      <c r="J54" s="129"/>
      <c r="K54" s="180"/>
      <c r="L54" s="203"/>
    </row>
    <row r="55" spans="2:15" ht="14.65" thickBot="1" x14ac:dyDescent="0.5">
      <c r="B55" s="204"/>
      <c r="C55" s="181" t="s">
        <v>68</v>
      </c>
      <c r="D55" s="189" t="s">
        <v>66</v>
      </c>
      <c r="E55" s="186" t="s">
        <v>10</v>
      </c>
      <c r="F55" s="186" t="s">
        <v>60</v>
      </c>
      <c r="G55" s="192" t="s">
        <v>11</v>
      </c>
      <c r="H55" s="189" t="s">
        <v>61</v>
      </c>
      <c r="I55" s="129"/>
      <c r="J55" s="129"/>
      <c r="K55" s="180"/>
      <c r="L55" s="203"/>
    </row>
    <row r="56" spans="2:15" x14ac:dyDescent="0.45">
      <c r="B56" s="204"/>
      <c r="C56" s="184" t="str">
        <f t="shared" ref="C56:D58" si="8">C50</f>
        <v>First</v>
      </c>
      <c r="D56" s="184">
        <f t="shared" si="8"/>
        <v>5000</v>
      </c>
      <c r="E56" s="100">
        <f>E53</f>
        <v>36</v>
      </c>
      <c r="F56" s="100">
        <f>G53</f>
        <v>97000</v>
      </c>
      <c r="G56" s="128">
        <f>Rates!D$19</f>
        <v>63.78</v>
      </c>
      <c r="H56" s="154">
        <f>E56*G56</f>
        <v>2296.08</v>
      </c>
      <c r="I56" s="128"/>
      <c r="J56" s="128"/>
      <c r="K56" s="180"/>
      <c r="L56" s="203"/>
      <c r="N56" s="57"/>
    </row>
    <row r="57" spans="2:15" x14ac:dyDescent="0.45">
      <c r="B57" s="204"/>
      <c r="C57" s="184" t="str">
        <f t="shared" si="8"/>
        <v>Next</v>
      </c>
      <c r="D57" s="184">
        <f t="shared" si="8"/>
        <v>5000</v>
      </c>
      <c r="E57" s="100"/>
      <c r="F57" s="100">
        <f>H53</f>
        <v>64500</v>
      </c>
      <c r="G57" s="254">
        <f>Rates!D$20</f>
        <v>8.4899999999999993E-3</v>
      </c>
      <c r="H57" s="154">
        <f>F57*G57</f>
        <v>547.6049999999999</v>
      </c>
      <c r="I57" s="128"/>
      <c r="J57" s="128"/>
      <c r="K57" s="180"/>
      <c r="L57" s="203"/>
      <c r="N57" s="57"/>
    </row>
    <row r="58" spans="2:15" ht="14.65" thickBot="1" x14ac:dyDescent="0.5">
      <c r="B58" s="204"/>
      <c r="C58" s="184" t="str">
        <f t="shared" si="8"/>
        <v>Over</v>
      </c>
      <c r="D58" s="184">
        <f t="shared" si="8"/>
        <v>10000</v>
      </c>
      <c r="E58" s="186"/>
      <c r="F58" s="186">
        <f>I53</f>
        <v>242200</v>
      </c>
      <c r="G58" s="254">
        <f>Rates!D$21</f>
        <v>7.3499999999999998E-3</v>
      </c>
      <c r="H58" s="188">
        <f>F58*G58</f>
        <v>1780.1699999999998</v>
      </c>
      <c r="I58" s="128"/>
      <c r="J58" s="128"/>
      <c r="K58" s="180"/>
      <c r="L58" s="203"/>
      <c r="N58" s="57"/>
    </row>
    <row r="59" spans="2:15" x14ac:dyDescent="0.45">
      <c r="B59" s="204"/>
      <c r="C59" s="181"/>
      <c r="E59" s="100">
        <f>SUM(E56:E58)</f>
        <v>36</v>
      </c>
      <c r="F59" s="100">
        <f>SUM(F56:F58)</f>
        <v>403700</v>
      </c>
      <c r="G59" s="129"/>
      <c r="H59" s="154">
        <f>SUM(H56:H58)</f>
        <v>4623.8549999999996</v>
      </c>
      <c r="I59" s="129"/>
      <c r="J59" s="129"/>
      <c r="K59" s="130"/>
      <c r="L59" s="203"/>
    </row>
    <row r="60" spans="2:15" x14ac:dyDescent="0.45">
      <c r="B60" s="204"/>
      <c r="C60" s="181"/>
      <c r="E60" s="100"/>
      <c r="F60" s="100"/>
      <c r="G60" s="129"/>
      <c r="H60" s="129"/>
      <c r="I60" s="129"/>
      <c r="J60" s="129"/>
      <c r="K60" s="180"/>
      <c r="L60" s="203"/>
    </row>
    <row r="61" spans="2:15" x14ac:dyDescent="0.45">
      <c r="B61" s="204"/>
      <c r="C61" s="181"/>
      <c r="E61" s="127"/>
      <c r="F61" s="100"/>
      <c r="G61" s="129"/>
      <c r="I61" s="206"/>
      <c r="J61" s="206"/>
      <c r="L61" s="203"/>
    </row>
    <row r="62" spans="2:15" x14ac:dyDescent="0.45">
      <c r="B62" s="204"/>
      <c r="C62" s="139" t="s">
        <v>243</v>
      </c>
      <c r="E62" s="100"/>
      <c r="F62" s="100"/>
      <c r="G62" s="127" t="str">
        <f>C64</f>
        <v>First</v>
      </c>
      <c r="H62" s="127" t="str">
        <f>C65</f>
        <v>Next</v>
      </c>
      <c r="I62" s="127" t="str">
        <f>C66</f>
        <v>Over</v>
      </c>
      <c r="J62" s="136"/>
      <c r="K62" s="136"/>
      <c r="L62" s="203"/>
    </row>
    <row r="63" spans="2:15" ht="14.65" thickBot="1" x14ac:dyDescent="0.5">
      <c r="B63" s="204"/>
      <c r="C63" s="123" t="s">
        <v>63</v>
      </c>
      <c r="D63" s="189" t="s">
        <v>66</v>
      </c>
      <c r="E63" s="186" t="s">
        <v>10</v>
      </c>
      <c r="F63" s="186" t="s">
        <v>60</v>
      </c>
      <c r="G63" s="190">
        <f>D64</f>
        <v>5000</v>
      </c>
      <c r="H63" s="190">
        <f>D65</f>
        <v>5000</v>
      </c>
      <c r="I63" s="190">
        <f>D66</f>
        <v>10000</v>
      </c>
      <c r="J63" s="191" t="s">
        <v>67</v>
      </c>
      <c r="K63" s="136"/>
      <c r="L63" s="203"/>
    </row>
    <row r="64" spans="2:15" x14ac:dyDescent="0.45">
      <c r="B64" s="204"/>
      <c r="C64" s="183" t="s">
        <v>64</v>
      </c>
      <c r="D64" s="184">
        <v>5000</v>
      </c>
      <c r="E64" s="100">
        <v>13</v>
      </c>
      <c r="F64" s="100">
        <v>15000</v>
      </c>
      <c r="G64" s="100">
        <f>F64</f>
        <v>15000</v>
      </c>
      <c r="H64" s="100">
        <v>0</v>
      </c>
      <c r="I64" s="100">
        <v>0</v>
      </c>
      <c r="J64" s="137">
        <f>SUM(G64:I64)</f>
        <v>15000</v>
      </c>
      <c r="K64" s="137"/>
      <c r="L64" s="203"/>
    </row>
    <row r="65" spans="2:15" x14ac:dyDescent="0.45">
      <c r="B65" s="204"/>
      <c r="C65" s="183" t="s">
        <v>75</v>
      </c>
      <c r="D65" s="184">
        <v>5000</v>
      </c>
      <c r="E65" s="100">
        <v>3</v>
      </c>
      <c r="F65" s="100">
        <v>20900</v>
      </c>
      <c r="G65" s="100">
        <f>E65*D64</f>
        <v>15000</v>
      </c>
      <c r="H65" s="100">
        <f>F65-G65</f>
        <v>5900</v>
      </c>
      <c r="I65" s="100">
        <v>0</v>
      </c>
      <c r="J65" s="137">
        <f>SUM(G65:I65)</f>
        <v>20900</v>
      </c>
      <c r="K65" s="137"/>
      <c r="L65" s="203"/>
    </row>
    <row r="66" spans="2:15" ht="14.65" thickBot="1" x14ac:dyDescent="0.5">
      <c r="B66" s="204"/>
      <c r="C66" s="183" t="s">
        <v>65</v>
      </c>
      <c r="D66" s="184">
        <v>10000</v>
      </c>
      <c r="E66" s="186">
        <v>32</v>
      </c>
      <c r="F66" s="186">
        <v>3922200</v>
      </c>
      <c r="G66" s="186">
        <f>E66*D64</f>
        <v>160000</v>
      </c>
      <c r="H66" s="186">
        <f>E66*D65</f>
        <v>160000</v>
      </c>
      <c r="I66" s="186">
        <f>F66-G66-H66</f>
        <v>3602200</v>
      </c>
      <c r="J66" s="187">
        <f>SUM(G66:I66)</f>
        <v>3922200</v>
      </c>
      <c r="K66" s="137"/>
      <c r="L66" s="203"/>
    </row>
    <row r="67" spans="2:15" x14ac:dyDescent="0.45">
      <c r="B67" s="204"/>
      <c r="C67" s="181"/>
      <c r="E67" s="100">
        <f t="shared" ref="E67:J67" si="9">SUM(E64:E66)</f>
        <v>48</v>
      </c>
      <c r="F67" s="100">
        <f t="shared" si="9"/>
        <v>3958100</v>
      </c>
      <c r="G67" s="100">
        <f t="shared" si="9"/>
        <v>190000</v>
      </c>
      <c r="H67" s="100">
        <f t="shared" si="9"/>
        <v>165900</v>
      </c>
      <c r="I67" s="100">
        <f t="shared" si="9"/>
        <v>3602200</v>
      </c>
      <c r="J67" s="100">
        <f t="shared" si="9"/>
        <v>3958100</v>
      </c>
      <c r="K67" s="100"/>
      <c r="L67" s="203"/>
      <c r="N67" s="49" t="s">
        <v>164</v>
      </c>
      <c r="O67" s="247">
        <f>F67/E67</f>
        <v>82460.416666666672</v>
      </c>
    </row>
    <row r="68" spans="2:15" x14ac:dyDescent="0.45">
      <c r="B68" s="204"/>
      <c r="E68" s="100"/>
      <c r="F68" s="100"/>
      <c r="G68" s="129"/>
      <c r="H68" s="129"/>
      <c r="I68" s="129"/>
      <c r="J68" s="129"/>
      <c r="K68" s="180"/>
      <c r="L68" s="203"/>
    </row>
    <row r="69" spans="2:15" ht="14.65" thickBot="1" x14ac:dyDescent="0.5">
      <c r="B69" s="204"/>
      <c r="C69" s="181" t="s">
        <v>68</v>
      </c>
      <c r="D69" s="189" t="s">
        <v>66</v>
      </c>
      <c r="E69" s="186" t="s">
        <v>10</v>
      </c>
      <c r="F69" s="186" t="s">
        <v>60</v>
      </c>
      <c r="G69" s="192" t="s">
        <v>11</v>
      </c>
      <c r="H69" s="189" t="s">
        <v>61</v>
      </c>
      <c r="I69" s="129"/>
      <c r="J69" s="129"/>
      <c r="K69" s="180"/>
      <c r="L69" s="203"/>
    </row>
    <row r="70" spans="2:15" x14ac:dyDescent="0.45">
      <c r="B70" s="204"/>
      <c r="C70" s="184" t="str">
        <f t="shared" ref="C70:D72" si="10">C64</f>
        <v>First</v>
      </c>
      <c r="D70" s="184">
        <f t="shared" si="10"/>
        <v>5000</v>
      </c>
      <c r="E70" s="100">
        <f>E67</f>
        <v>48</v>
      </c>
      <c r="F70" s="100">
        <f>G67</f>
        <v>190000</v>
      </c>
      <c r="G70" s="128">
        <f>Rates!D$19</f>
        <v>63.78</v>
      </c>
      <c r="H70" s="154">
        <f>E70*G70</f>
        <v>3061.44</v>
      </c>
      <c r="I70" s="128"/>
      <c r="J70" s="128"/>
      <c r="K70" s="180"/>
      <c r="L70" s="203"/>
      <c r="N70" s="57"/>
    </row>
    <row r="71" spans="2:15" x14ac:dyDescent="0.45">
      <c r="B71" s="204"/>
      <c r="C71" s="184" t="str">
        <f t="shared" si="10"/>
        <v>Next</v>
      </c>
      <c r="D71" s="184">
        <f t="shared" si="10"/>
        <v>5000</v>
      </c>
      <c r="E71" s="100"/>
      <c r="F71" s="100">
        <f>H67</f>
        <v>165900</v>
      </c>
      <c r="G71" s="254">
        <f>Rates!D$20</f>
        <v>8.4899999999999993E-3</v>
      </c>
      <c r="H71" s="154">
        <f>F71*G71</f>
        <v>1408.491</v>
      </c>
      <c r="I71" s="128"/>
      <c r="J71" s="128"/>
      <c r="K71" s="180"/>
      <c r="L71" s="203"/>
      <c r="N71" s="57"/>
    </row>
    <row r="72" spans="2:15" ht="14.65" thickBot="1" x14ac:dyDescent="0.5">
      <c r="B72" s="204"/>
      <c r="C72" s="184" t="str">
        <f t="shared" si="10"/>
        <v>Over</v>
      </c>
      <c r="D72" s="184">
        <f t="shared" si="10"/>
        <v>10000</v>
      </c>
      <c r="E72" s="186"/>
      <c r="F72" s="186">
        <f>I67</f>
        <v>3602200</v>
      </c>
      <c r="G72" s="254">
        <f>Rates!D$21</f>
        <v>7.3499999999999998E-3</v>
      </c>
      <c r="H72" s="188">
        <f>F72*G72</f>
        <v>26476.17</v>
      </c>
      <c r="I72" s="128"/>
      <c r="J72" s="128"/>
      <c r="K72" s="180"/>
      <c r="L72" s="203"/>
      <c r="N72" s="57"/>
    </row>
    <row r="73" spans="2:15" x14ac:dyDescent="0.45">
      <c r="B73" s="204"/>
      <c r="C73" s="181"/>
      <c r="E73" s="100">
        <f>SUM(E70:E72)</f>
        <v>48</v>
      </c>
      <c r="F73" s="100">
        <f>SUM(F70:F72)</f>
        <v>3958100</v>
      </c>
      <c r="G73" s="129"/>
      <c r="H73" s="154">
        <f>SUM(H70:H72)</f>
        <v>30946.100999999999</v>
      </c>
      <c r="I73" s="129"/>
      <c r="J73" s="129"/>
      <c r="K73" s="130"/>
      <c r="L73" s="203"/>
    </row>
    <row r="74" spans="2:15" x14ac:dyDescent="0.45">
      <c r="B74" s="204"/>
      <c r="E74" s="127"/>
      <c r="F74" s="100"/>
      <c r="G74" s="129"/>
      <c r="L74" s="203"/>
    </row>
    <row r="75" spans="2:15" x14ac:dyDescent="0.45">
      <c r="B75" s="204"/>
      <c r="E75" s="127"/>
      <c r="F75" s="100"/>
      <c r="G75" s="129"/>
      <c r="L75" s="203"/>
    </row>
    <row r="76" spans="2:15" x14ac:dyDescent="0.45">
      <c r="B76" s="204"/>
      <c r="C76" s="208" t="s">
        <v>244</v>
      </c>
      <c r="E76" s="100"/>
      <c r="F76" s="100"/>
      <c r="G76" s="127" t="str">
        <f>C78</f>
        <v>First</v>
      </c>
      <c r="H76" s="127" t="str">
        <f>C79</f>
        <v>Over</v>
      </c>
      <c r="I76" s="179"/>
      <c r="J76" s="179"/>
      <c r="K76" s="179"/>
      <c r="L76" s="203"/>
    </row>
    <row r="77" spans="2:15" ht="14.65" thickBot="1" x14ac:dyDescent="0.5">
      <c r="B77" s="204"/>
      <c r="C77" s="123" t="s">
        <v>63</v>
      </c>
      <c r="D77" s="189" t="s">
        <v>66</v>
      </c>
      <c r="E77" s="186" t="s">
        <v>10</v>
      </c>
      <c r="F77" s="186" t="s">
        <v>60</v>
      </c>
      <c r="G77" s="190">
        <f>D78</f>
        <v>300000</v>
      </c>
      <c r="H77" s="190">
        <f>D79</f>
        <v>300000</v>
      </c>
      <c r="I77" s="185" t="s">
        <v>1</v>
      </c>
      <c r="J77" s="184"/>
      <c r="K77" s="184"/>
      <c r="L77" s="203"/>
    </row>
    <row r="78" spans="2:15" x14ac:dyDescent="0.45">
      <c r="B78" s="204"/>
      <c r="C78" s="183" t="s">
        <v>64</v>
      </c>
      <c r="D78" s="184">
        <v>300000</v>
      </c>
      <c r="E78" s="100">
        <v>0</v>
      </c>
      <c r="F78" s="100">
        <v>0</v>
      </c>
      <c r="G78" s="100">
        <f>F78</f>
        <v>0</v>
      </c>
      <c r="H78" s="100">
        <v>0</v>
      </c>
      <c r="I78" s="137">
        <f>SUM(G78:H78)</f>
        <v>0</v>
      </c>
      <c r="J78" s="137"/>
      <c r="K78" s="137"/>
      <c r="L78" s="203"/>
    </row>
    <row r="79" spans="2:15" ht="14.65" thickBot="1" x14ac:dyDescent="0.5">
      <c r="B79" s="204"/>
      <c r="C79" s="183" t="s">
        <v>65</v>
      </c>
      <c r="D79" s="184">
        <v>300000</v>
      </c>
      <c r="E79" s="186">
        <v>12</v>
      </c>
      <c r="F79" s="186">
        <v>11697200</v>
      </c>
      <c r="G79" s="186">
        <f>E79*D78</f>
        <v>3600000</v>
      </c>
      <c r="H79" s="186">
        <f>F79-G79</f>
        <v>8097200</v>
      </c>
      <c r="I79" s="187">
        <f>SUM(G79:H79)</f>
        <v>11697200</v>
      </c>
      <c r="J79" s="137"/>
      <c r="K79" s="137"/>
      <c r="L79" s="203"/>
    </row>
    <row r="80" spans="2:15" x14ac:dyDescent="0.45">
      <c r="B80" s="204"/>
      <c r="C80" s="181"/>
      <c r="E80" s="100">
        <f>SUM(E78:E79)</f>
        <v>12</v>
      </c>
      <c r="F80" s="100">
        <f>SUM(F78:F79)</f>
        <v>11697200</v>
      </c>
      <c r="G80" s="100">
        <f>SUM(G78:G79)</f>
        <v>3600000</v>
      </c>
      <c r="H80" s="100">
        <f>SUM(H78:H79)</f>
        <v>8097200</v>
      </c>
      <c r="I80" s="207">
        <f>SUM(I78:I79)</f>
        <v>11697200</v>
      </c>
      <c r="J80" s="207"/>
      <c r="K80" s="207"/>
      <c r="L80" s="203"/>
      <c r="N80" s="49" t="s">
        <v>164</v>
      </c>
      <c r="O80" s="247">
        <f>F80/E80</f>
        <v>974766.66666666663</v>
      </c>
    </row>
    <row r="81" spans="2:12" x14ac:dyDescent="0.45">
      <c r="B81" s="204"/>
      <c r="E81" s="100"/>
      <c r="F81" s="100"/>
      <c r="G81" s="129"/>
      <c r="H81" s="129"/>
      <c r="L81" s="203"/>
    </row>
    <row r="82" spans="2:12" ht="14.65" thickBot="1" x14ac:dyDescent="0.5">
      <c r="B82" s="204"/>
      <c r="C82" s="181" t="s">
        <v>68</v>
      </c>
      <c r="D82" s="189" t="s">
        <v>66</v>
      </c>
      <c r="E82" s="186" t="s">
        <v>10</v>
      </c>
      <c r="F82" s="186" t="s">
        <v>60</v>
      </c>
      <c r="G82" s="192" t="s">
        <v>11</v>
      </c>
      <c r="H82" s="189" t="s">
        <v>61</v>
      </c>
      <c r="I82" s="129"/>
      <c r="J82" s="129"/>
      <c r="L82" s="203"/>
    </row>
    <row r="83" spans="2:12" x14ac:dyDescent="0.45">
      <c r="B83" s="204"/>
      <c r="C83" s="183" t="str">
        <f>C78</f>
        <v>First</v>
      </c>
      <c r="D83" s="184">
        <f>D78</f>
        <v>300000</v>
      </c>
      <c r="E83" s="100">
        <f>E80</f>
        <v>12</v>
      </c>
      <c r="F83" s="100">
        <f>G80</f>
        <v>3600000</v>
      </c>
      <c r="G83" s="128">
        <f>Rates!D41</f>
        <v>2238.56</v>
      </c>
      <c r="H83" s="154">
        <f>E83*G83</f>
        <v>26862.720000000001</v>
      </c>
      <c r="I83" s="128"/>
      <c r="J83" s="128"/>
      <c r="L83" s="203"/>
    </row>
    <row r="84" spans="2:12" ht="14.65" thickBot="1" x14ac:dyDescent="0.5">
      <c r="B84" s="204"/>
      <c r="C84" s="183" t="str">
        <f>C79</f>
        <v>Over</v>
      </c>
      <c r="D84" s="184">
        <f>D79</f>
        <v>300000</v>
      </c>
      <c r="E84" s="186"/>
      <c r="F84" s="186">
        <f>H80</f>
        <v>8097200</v>
      </c>
      <c r="G84" s="254">
        <f>Rates!D42</f>
        <v>7.3499999999999998E-3</v>
      </c>
      <c r="H84" s="188">
        <f>F84*G84</f>
        <v>59514.42</v>
      </c>
      <c r="I84" s="128"/>
      <c r="J84" s="128"/>
      <c r="L84" s="203"/>
    </row>
    <row r="85" spans="2:12" x14ac:dyDescent="0.45">
      <c r="B85" s="204"/>
      <c r="C85" s="181"/>
      <c r="E85" s="100">
        <f>SUM(E83:E84)</f>
        <v>12</v>
      </c>
      <c r="F85" s="100">
        <f>SUM(F83:F84)</f>
        <v>11697200</v>
      </c>
      <c r="G85" s="129"/>
      <c r="H85" s="154">
        <f>SUM(H83:H84)</f>
        <v>86377.14</v>
      </c>
      <c r="I85" s="129"/>
      <c r="J85" s="129"/>
      <c r="L85" s="203"/>
    </row>
    <row r="86" spans="2:12" x14ac:dyDescent="0.45">
      <c r="B86" s="204"/>
      <c r="C86" s="181"/>
      <c r="E86" s="127"/>
      <c r="F86" s="100"/>
      <c r="G86" s="129"/>
      <c r="L86" s="203"/>
    </row>
    <row r="87" spans="2:12" x14ac:dyDescent="0.45">
      <c r="B87" s="204"/>
      <c r="E87" s="127"/>
      <c r="F87" s="100"/>
      <c r="G87" s="129"/>
      <c r="L87" s="203"/>
    </row>
    <row r="88" spans="2:12" x14ac:dyDescent="0.45">
      <c r="B88" s="204"/>
      <c r="C88" s="208" t="s">
        <v>245</v>
      </c>
      <c r="E88" s="100"/>
      <c r="F88" s="100"/>
      <c r="G88" s="127" t="str">
        <f>C90</f>
        <v>First</v>
      </c>
      <c r="H88" s="127" t="str">
        <f>C91</f>
        <v>Next</v>
      </c>
      <c r="I88" s="127" t="str">
        <f>C92</f>
        <v>Next</v>
      </c>
      <c r="J88" s="127" t="str">
        <f>C93</f>
        <v>Over</v>
      </c>
      <c r="K88" s="179"/>
      <c r="L88" s="203"/>
    </row>
    <row r="89" spans="2:12" ht="14.65" thickBot="1" x14ac:dyDescent="0.5">
      <c r="B89" s="204"/>
      <c r="C89" s="123" t="s">
        <v>63</v>
      </c>
      <c r="D89" s="189" t="s">
        <v>66</v>
      </c>
      <c r="E89" s="186" t="s">
        <v>10</v>
      </c>
      <c r="F89" s="186" t="s">
        <v>60</v>
      </c>
      <c r="G89" s="190">
        <f>D90</f>
        <v>2000</v>
      </c>
      <c r="H89" s="190">
        <f>D91</f>
        <v>3000</v>
      </c>
      <c r="I89" s="190">
        <f>D92</f>
        <v>5000</v>
      </c>
      <c r="J89" s="190">
        <f>D93</f>
        <v>10000</v>
      </c>
      <c r="K89" s="185" t="s">
        <v>1</v>
      </c>
      <c r="L89" s="203"/>
    </row>
    <row r="90" spans="2:12" x14ac:dyDescent="0.45">
      <c r="B90" s="204"/>
      <c r="C90" s="183" t="s">
        <v>64</v>
      </c>
      <c r="D90" s="184">
        <v>2000</v>
      </c>
      <c r="E90" s="100">
        <v>10038</v>
      </c>
      <c r="F90" s="100">
        <v>7025900</v>
      </c>
      <c r="G90" s="100">
        <f>F90</f>
        <v>7025900</v>
      </c>
      <c r="H90" s="100">
        <v>0</v>
      </c>
      <c r="I90" s="100">
        <v>0</v>
      </c>
      <c r="J90" s="100">
        <v>0</v>
      </c>
      <c r="K90" s="137">
        <f>SUM(G90:J90)</f>
        <v>7025900</v>
      </c>
      <c r="L90" s="203"/>
    </row>
    <row r="91" spans="2:12" x14ac:dyDescent="0.45">
      <c r="B91" s="204"/>
      <c r="C91" s="183" t="s">
        <v>75</v>
      </c>
      <c r="D91" s="184">
        <v>3000</v>
      </c>
      <c r="E91" s="100">
        <v>5804</v>
      </c>
      <c r="F91" s="100">
        <v>19068400</v>
      </c>
      <c r="G91" s="100">
        <f>E91*D90</f>
        <v>11608000</v>
      </c>
      <c r="H91" s="100">
        <f>F91-G91</f>
        <v>7460400</v>
      </c>
      <c r="I91" s="100">
        <v>0</v>
      </c>
      <c r="J91" s="100">
        <v>0</v>
      </c>
      <c r="K91" s="137">
        <f>SUM(G91:J91)</f>
        <v>19068400</v>
      </c>
      <c r="L91" s="203"/>
    </row>
    <row r="92" spans="2:12" x14ac:dyDescent="0.45">
      <c r="B92" s="204"/>
      <c r="C92" s="183" t="s">
        <v>75</v>
      </c>
      <c r="D92" s="184">
        <v>5000</v>
      </c>
      <c r="E92" s="100">
        <v>2211</v>
      </c>
      <c r="F92" s="100">
        <v>14898400</v>
      </c>
      <c r="G92" s="100">
        <f>E92*D90</f>
        <v>4422000</v>
      </c>
      <c r="H92" s="100">
        <f>E92*D91</f>
        <v>6633000</v>
      </c>
      <c r="I92" s="100">
        <f>F92-G92-H92</f>
        <v>3843400</v>
      </c>
      <c r="J92" s="100">
        <v>0</v>
      </c>
      <c r="K92" s="137">
        <f>SUM(G92:J92)</f>
        <v>14898400</v>
      </c>
      <c r="L92" s="203"/>
    </row>
    <row r="93" spans="2:12" ht="14.65" thickBot="1" x14ac:dyDescent="0.5">
      <c r="B93" s="204"/>
      <c r="C93" s="183" t="s">
        <v>65</v>
      </c>
      <c r="D93" s="184">
        <v>10000</v>
      </c>
      <c r="E93" s="186">
        <v>514</v>
      </c>
      <c r="F93" s="186">
        <v>21419500</v>
      </c>
      <c r="G93" s="186">
        <f>E93*D90</f>
        <v>1028000</v>
      </c>
      <c r="H93" s="186">
        <f>E93*D91</f>
        <v>1542000</v>
      </c>
      <c r="I93" s="186">
        <f>E93*D92</f>
        <v>2570000</v>
      </c>
      <c r="J93" s="186">
        <f>F93-G93-H93-I93</f>
        <v>16279500</v>
      </c>
      <c r="K93" s="187">
        <f>SUM(G93:J93)</f>
        <v>21419500</v>
      </c>
      <c r="L93" s="203"/>
    </row>
    <row r="94" spans="2:12" x14ac:dyDescent="0.45">
      <c r="B94" s="204"/>
      <c r="C94" s="181"/>
      <c r="E94" s="100">
        <f t="shared" ref="E94:K94" si="11">SUM(E90:E93)</f>
        <v>18567</v>
      </c>
      <c r="F94" s="100">
        <f t="shared" si="11"/>
        <v>62412200</v>
      </c>
      <c r="G94" s="100">
        <f t="shared" si="11"/>
        <v>24083900</v>
      </c>
      <c r="H94" s="100">
        <f t="shared" si="11"/>
        <v>15635400</v>
      </c>
      <c r="I94" s="100">
        <f t="shared" si="11"/>
        <v>6413400</v>
      </c>
      <c r="J94" s="100">
        <f t="shared" si="11"/>
        <v>16279500</v>
      </c>
      <c r="K94" s="207">
        <f t="shared" si="11"/>
        <v>62412200</v>
      </c>
      <c r="L94" s="203"/>
    </row>
    <row r="95" spans="2:12" x14ac:dyDescent="0.45">
      <c r="B95" s="204"/>
      <c r="E95" s="100"/>
      <c r="F95" s="100"/>
      <c r="G95" s="129"/>
      <c r="H95" s="129"/>
      <c r="I95" s="129"/>
      <c r="J95" s="129"/>
      <c r="L95" s="203"/>
    </row>
    <row r="96" spans="2:12" ht="14.65" thickBot="1" x14ac:dyDescent="0.5">
      <c r="B96" s="204"/>
      <c r="C96" s="181" t="s">
        <v>68</v>
      </c>
      <c r="D96" s="189" t="s">
        <v>66</v>
      </c>
      <c r="E96" s="186" t="s">
        <v>10</v>
      </c>
      <c r="F96" s="186" t="s">
        <v>60</v>
      </c>
      <c r="G96" s="192" t="s">
        <v>11</v>
      </c>
      <c r="H96" s="189" t="s">
        <v>61</v>
      </c>
      <c r="I96" s="129"/>
      <c r="J96" s="129"/>
      <c r="L96" s="203"/>
    </row>
    <row r="97" spans="2:12" x14ac:dyDescent="0.45">
      <c r="B97" s="204"/>
      <c r="C97" s="183" t="str">
        <f>C90</f>
        <v>First</v>
      </c>
      <c r="D97" s="184">
        <f>D90</f>
        <v>2000</v>
      </c>
      <c r="E97" s="100">
        <f>E94</f>
        <v>18567</v>
      </c>
      <c r="F97" s="100">
        <f>G94</f>
        <v>24083900</v>
      </c>
      <c r="G97" s="128">
        <f>Rates!D$10</f>
        <v>34.630000000000003</v>
      </c>
      <c r="H97" s="195">
        <f>E97*G97</f>
        <v>642975.21000000008</v>
      </c>
      <c r="I97" s="128"/>
      <c r="J97" s="128"/>
      <c r="L97" s="203"/>
    </row>
    <row r="98" spans="2:12" x14ac:dyDescent="0.45">
      <c r="B98" s="204"/>
      <c r="C98" s="183" t="str">
        <f t="shared" ref="C98:D98" si="12">C91</f>
        <v>Next</v>
      </c>
      <c r="D98" s="184">
        <f t="shared" si="12"/>
        <v>3000</v>
      </c>
      <c r="E98" s="100"/>
      <c r="F98" s="100">
        <f>H94</f>
        <v>15635400</v>
      </c>
      <c r="G98" s="254">
        <f>Rates!D$11</f>
        <v>9.5999999999999992E-3</v>
      </c>
      <c r="H98" s="154">
        <f>F98*G98</f>
        <v>150099.84</v>
      </c>
      <c r="I98" s="128"/>
      <c r="J98" s="128"/>
      <c r="L98" s="203"/>
    </row>
    <row r="99" spans="2:12" x14ac:dyDescent="0.45">
      <c r="B99" s="204"/>
      <c r="C99" s="183" t="str">
        <f t="shared" ref="C99:D99" si="13">C92</f>
        <v>Next</v>
      </c>
      <c r="D99" s="184">
        <f t="shared" si="13"/>
        <v>5000</v>
      </c>
      <c r="E99" s="100"/>
      <c r="F99" s="100">
        <f>I94</f>
        <v>6413400</v>
      </c>
      <c r="G99" s="254">
        <f>Rates!D$12</f>
        <v>8.4899999999999993E-3</v>
      </c>
      <c r="H99" s="154">
        <f>F99*G99</f>
        <v>54449.765999999996</v>
      </c>
      <c r="I99" s="128"/>
      <c r="J99" s="128"/>
      <c r="L99" s="203"/>
    </row>
    <row r="100" spans="2:12" ht="14.65" thickBot="1" x14ac:dyDescent="0.5">
      <c r="B100" s="204"/>
      <c r="C100" s="183" t="str">
        <f t="shared" ref="C100:D100" si="14">C93</f>
        <v>Over</v>
      </c>
      <c r="D100" s="184">
        <f t="shared" si="14"/>
        <v>10000</v>
      </c>
      <c r="E100" s="186"/>
      <c r="F100" s="186">
        <f>J94</f>
        <v>16279500</v>
      </c>
      <c r="G100" s="254">
        <f>Rates!D$13</f>
        <v>7.3499999999999998E-3</v>
      </c>
      <c r="H100" s="188">
        <f>F100*G100</f>
        <v>119654.325</v>
      </c>
      <c r="I100" s="128"/>
      <c r="J100" s="128"/>
      <c r="L100" s="203"/>
    </row>
    <row r="101" spans="2:12" x14ac:dyDescent="0.45">
      <c r="B101" s="204"/>
      <c r="C101" s="181"/>
      <c r="E101" s="100">
        <f>SUM(E97:E100)</f>
        <v>18567</v>
      </c>
      <c r="F101" s="100">
        <f>SUM(F97:F100)</f>
        <v>62412200</v>
      </c>
      <c r="G101" s="129"/>
      <c r="H101" s="154">
        <f>SUM(H97:H100)</f>
        <v>967179.14099999995</v>
      </c>
      <c r="I101" s="129"/>
      <c r="J101" s="129"/>
      <c r="L101" s="203"/>
    </row>
    <row r="102" spans="2:12" x14ac:dyDescent="0.45">
      <c r="B102" s="204"/>
      <c r="C102" s="181"/>
      <c r="E102" s="100"/>
      <c r="F102" s="100"/>
      <c r="G102" s="129"/>
      <c r="H102" s="154"/>
      <c r="I102" s="129"/>
      <c r="J102" s="129"/>
      <c r="L102" s="203"/>
    </row>
    <row r="103" spans="2:12" x14ac:dyDescent="0.45">
      <c r="B103" s="204"/>
      <c r="C103" s="181"/>
      <c r="E103" s="100"/>
      <c r="F103" s="100"/>
      <c r="G103" s="129"/>
      <c r="H103" s="154"/>
      <c r="I103" s="129"/>
      <c r="J103" s="129"/>
      <c r="L103" s="203"/>
    </row>
    <row r="104" spans="2:12" x14ac:dyDescent="0.45">
      <c r="B104" s="204"/>
      <c r="C104" s="208" t="s">
        <v>246</v>
      </c>
      <c r="E104" s="100"/>
      <c r="F104" s="100"/>
      <c r="G104" s="127" t="str">
        <f>C106</f>
        <v>First</v>
      </c>
      <c r="H104" s="127" t="str">
        <f>C107</f>
        <v>Next</v>
      </c>
      <c r="I104" s="127" t="str">
        <f>C108</f>
        <v>Next</v>
      </c>
      <c r="J104" s="127" t="str">
        <f>C109</f>
        <v>Over</v>
      </c>
      <c r="K104" s="179"/>
      <c r="L104" s="203"/>
    </row>
    <row r="105" spans="2:12" ht="14.65" thickBot="1" x14ac:dyDescent="0.5">
      <c r="B105" s="204"/>
      <c r="C105" s="123" t="s">
        <v>63</v>
      </c>
      <c r="D105" s="189" t="s">
        <v>66</v>
      </c>
      <c r="E105" s="186" t="s">
        <v>10</v>
      </c>
      <c r="F105" s="186" t="s">
        <v>60</v>
      </c>
      <c r="G105" s="190">
        <f>D106</f>
        <v>2000</v>
      </c>
      <c r="H105" s="190">
        <f>D107</f>
        <v>3000</v>
      </c>
      <c r="I105" s="190">
        <f>D108</f>
        <v>5000</v>
      </c>
      <c r="J105" s="190">
        <f>D109</f>
        <v>10000</v>
      </c>
      <c r="K105" s="185" t="s">
        <v>1</v>
      </c>
      <c r="L105" s="203"/>
    </row>
    <row r="106" spans="2:12" x14ac:dyDescent="0.45">
      <c r="B106" s="204"/>
      <c r="C106" s="183" t="s">
        <v>64</v>
      </c>
      <c r="D106" s="184">
        <v>2000</v>
      </c>
      <c r="E106" s="100">
        <v>186</v>
      </c>
      <c r="F106" s="100">
        <v>56500</v>
      </c>
      <c r="G106" s="100">
        <f>F106</f>
        <v>56500</v>
      </c>
      <c r="H106" s="100">
        <v>0</v>
      </c>
      <c r="I106" s="100">
        <v>0</v>
      </c>
      <c r="J106" s="100">
        <v>0</v>
      </c>
      <c r="K106" s="137">
        <f>SUM(G106:J106)</f>
        <v>56500</v>
      </c>
      <c r="L106" s="203"/>
    </row>
    <row r="107" spans="2:12" x14ac:dyDescent="0.45">
      <c r="B107" s="204"/>
      <c r="C107" s="183" t="s">
        <v>75</v>
      </c>
      <c r="D107" s="184">
        <v>3000</v>
      </c>
      <c r="E107" s="100">
        <v>57</v>
      </c>
      <c r="F107" s="100">
        <v>168400</v>
      </c>
      <c r="G107" s="100">
        <f>E107*D106</f>
        <v>114000</v>
      </c>
      <c r="H107" s="100">
        <f>F107-G107</f>
        <v>54400</v>
      </c>
      <c r="I107" s="100">
        <v>0</v>
      </c>
      <c r="J107" s="100">
        <v>0</v>
      </c>
      <c r="K107" s="137">
        <f>SUM(G107:J107)</f>
        <v>168400</v>
      </c>
      <c r="L107" s="203"/>
    </row>
    <row r="108" spans="2:12" x14ac:dyDescent="0.45">
      <c r="B108" s="204"/>
      <c r="C108" s="183" t="s">
        <v>75</v>
      </c>
      <c r="D108" s="184">
        <v>5000</v>
      </c>
      <c r="E108" s="100">
        <v>19</v>
      </c>
      <c r="F108" s="100">
        <v>120800</v>
      </c>
      <c r="G108" s="100">
        <f>E108*D106</f>
        <v>38000</v>
      </c>
      <c r="H108" s="100">
        <f>E108*D107</f>
        <v>57000</v>
      </c>
      <c r="I108" s="100">
        <f>F108-G108-H108</f>
        <v>25800</v>
      </c>
      <c r="J108" s="100">
        <v>0</v>
      </c>
      <c r="K108" s="137">
        <f>SUM(G108:J108)</f>
        <v>120800</v>
      </c>
      <c r="L108" s="203"/>
    </row>
    <row r="109" spans="2:12" ht="14.65" thickBot="1" x14ac:dyDescent="0.5">
      <c r="B109" s="204"/>
      <c r="C109" s="183" t="s">
        <v>65</v>
      </c>
      <c r="D109" s="184">
        <v>10000</v>
      </c>
      <c r="E109" s="186">
        <v>27</v>
      </c>
      <c r="F109" s="186">
        <v>2071800</v>
      </c>
      <c r="G109" s="186">
        <f>E109*D106</f>
        <v>54000</v>
      </c>
      <c r="H109" s="186">
        <f>E109*D107</f>
        <v>81000</v>
      </c>
      <c r="I109" s="186">
        <f>E109*D108</f>
        <v>135000</v>
      </c>
      <c r="J109" s="186">
        <f>F109-G109-H109-I109</f>
        <v>1801800</v>
      </c>
      <c r="K109" s="187">
        <f>SUM(G109:J109)</f>
        <v>2071800</v>
      </c>
      <c r="L109" s="203"/>
    </row>
    <row r="110" spans="2:12" x14ac:dyDescent="0.45">
      <c r="B110" s="204"/>
      <c r="C110" s="181"/>
      <c r="E110" s="100">
        <f t="shared" ref="E110:K110" si="15">SUM(E106:E109)</f>
        <v>289</v>
      </c>
      <c r="F110" s="100">
        <f t="shared" si="15"/>
        <v>2417500</v>
      </c>
      <c r="G110" s="100">
        <f t="shared" si="15"/>
        <v>262500</v>
      </c>
      <c r="H110" s="100">
        <f t="shared" si="15"/>
        <v>192400</v>
      </c>
      <c r="I110" s="100">
        <f t="shared" si="15"/>
        <v>160800</v>
      </c>
      <c r="J110" s="100">
        <f t="shared" si="15"/>
        <v>1801800</v>
      </c>
      <c r="K110" s="100">
        <f t="shared" si="15"/>
        <v>2417500</v>
      </c>
      <c r="L110" s="203"/>
    </row>
    <row r="111" spans="2:12" x14ac:dyDescent="0.45">
      <c r="B111" s="204"/>
      <c r="E111" s="100"/>
      <c r="F111" s="100"/>
      <c r="G111" s="129"/>
      <c r="H111" s="129"/>
      <c r="I111" s="129"/>
      <c r="J111" s="129"/>
      <c r="K111" s="180"/>
      <c r="L111" s="203"/>
    </row>
    <row r="112" spans="2:12" ht="14.65" thickBot="1" x14ac:dyDescent="0.5">
      <c r="B112" s="204"/>
      <c r="C112" s="181" t="s">
        <v>68</v>
      </c>
      <c r="D112" s="189" t="s">
        <v>66</v>
      </c>
      <c r="E112" s="186" t="s">
        <v>10</v>
      </c>
      <c r="F112" s="186" t="s">
        <v>60</v>
      </c>
      <c r="G112" s="192" t="s">
        <v>11</v>
      </c>
      <c r="H112" s="189" t="s">
        <v>61</v>
      </c>
      <c r="I112" s="129"/>
      <c r="J112" s="129"/>
      <c r="K112" s="180"/>
      <c r="L112" s="203"/>
    </row>
    <row r="113" spans="2:12" x14ac:dyDescent="0.45">
      <c r="B113" s="204"/>
      <c r="C113" s="183" t="str">
        <f>C106</f>
        <v>First</v>
      </c>
      <c r="D113" s="184">
        <f>D106</f>
        <v>2000</v>
      </c>
      <c r="E113" s="100">
        <f>E110</f>
        <v>289</v>
      </c>
      <c r="F113" s="100">
        <f>G110</f>
        <v>262500</v>
      </c>
      <c r="G113" s="128">
        <f>Rates!D$10</f>
        <v>34.630000000000003</v>
      </c>
      <c r="H113" s="154">
        <f>E113*G113</f>
        <v>10008.070000000002</v>
      </c>
      <c r="I113" s="128"/>
      <c r="J113" s="128"/>
      <c r="K113" s="180"/>
      <c r="L113" s="203"/>
    </row>
    <row r="114" spans="2:12" x14ac:dyDescent="0.45">
      <c r="B114" s="204"/>
      <c r="C114" s="183" t="str">
        <f t="shared" ref="C114:D114" si="16">C107</f>
        <v>Next</v>
      </c>
      <c r="D114" s="184">
        <f t="shared" si="16"/>
        <v>3000</v>
      </c>
      <c r="E114" s="100"/>
      <c r="F114" s="100">
        <f>H110</f>
        <v>192400</v>
      </c>
      <c r="G114" s="254">
        <f>Rates!D$11</f>
        <v>9.5999999999999992E-3</v>
      </c>
      <c r="H114" s="154">
        <f>F114*G114</f>
        <v>1847.0399999999997</v>
      </c>
      <c r="I114" s="128"/>
      <c r="J114" s="128"/>
      <c r="K114" s="180"/>
      <c r="L114" s="203"/>
    </row>
    <row r="115" spans="2:12" x14ac:dyDescent="0.45">
      <c r="B115" s="204"/>
      <c r="C115" s="183" t="str">
        <f t="shared" ref="C115:D115" si="17">C108</f>
        <v>Next</v>
      </c>
      <c r="D115" s="184">
        <f t="shared" si="17"/>
        <v>5000</v>
      </c>
      <c r="E115" s="100"/>
      <c r="F115" s="100">
        <f>I110</f>
        <v>160800</v>
      </c>
      <c r="G115" s="254">
        <f>Rates!D$12</f>
        <v>8.4899999999999993E-3</v>
      </c>
      <c r="H115" s="154">
        <f>F115*G115</f>
        <v>1365.1919999999998</v>
      </c>
      <c r="I115" s="128"/>
      <c r="J115" s="128"/>
      <c r="K115" s="180"/>
      <c r="L115" s="203"/>
    </row>
    <row r="116" spans="2:12" ht="14.65" thickBot="1" x14ac:dyDescent="0.5">
      <c r="B116" s="204"/>
      <c r="C116" s="183" t="str">
        <f t="shared" ref="C116:D116" si="18">C109</f>
        <v>Over</v>
      </c>
      <c r="D116" s="184">
        <f t="shared" si="18"/>
        <v>10000</v>
      </c>
      <c r="E116" s="186"/>
      <c r="F116" s="186">
        <f>J110</f>
        <v>1801800</v>
      </c>
      <c r="G116" s="254">
        <f>Rates!D$13</f>
        <v>7.3499999999999998E-3</v>
      </c>
      <c r="H116" s="188">
        <f>F116*G116</f>
        <v>13243.23</v>
      </c>
      <c r="I116" s="128"/>
      <c r="J116" s="128"/>
      <c r="K116" s="180"/>
      <c r="L116" s="203"/>
    </row>
    <row r="117" spans="2:12" x14ac:dyDescent="0.45">
      <c r="B117" s="204"/>
      <c r="C117" s="181"/>
      <c r="E117" s="100">
        <f>SUM(E113:E116)</f>
        <v>289</v>
      </c>
      <c r="F117" s="100">
        <f>SUM(F113:F116)</f>
        <v>2417500</v>
      </c>
      <c r="G117" s="129"/>
      <c r="H117" s="154">
        <f>SUM(H113:H116)</f>
        <v>26463.531999999999</v>
      </c>
      <c r="I117" s="129"/>
      <c r="J117" s="129"/>
      <c r="K117" s="130"/>
      <c r="L117" s="203"/>
    </row>
    <row r="118" spans="2:12" x14ac:dyDescent="0.45">
      <c r="B118" s="204"/>
      <c r="C118" s="181"/>
      <c r="E118" s="100"/>
      <c r="F118" s="100"/>
      <c r="G118" s="129"/>
      <c r="H118" s="154"/>
      <c r="I118" s="129"/>
      <c r="J118" s="129"/>
      <c r="K118" s="130"/>
      <c r="L118" s="203"/>
    </row>
    <row r="119" spans="2:12" x14ac:dyDescent="0.45">
      <c r="B119" s="204"/>
      <c r="E119" s="127"/>
      <c r="F119" s="100"/>
      <c r="G119" s="129"/>
      <c r="L119" s="203"/>
    </row>
    <row r="120" spans="2:12" x14ac:dyDescent="0.45">
      <c r="B120" s="204"/>
      <c r="C120" s="208" t="s">
        <v>247</v>
      </c>
      <c r="E120" s="100"/>
      <c r="F120" s="100"/>
      <c r="G120" s="127" t="str">
        <f>C122</f>
        <v>First</v>
      </c>
      <c r="H120" s="127" t="str">
        <f>C123</f>
        <v>Next</v>
      </c>
      <c r="I120" s="127" t="str">
        <f>C124</f>
        <v>Over</v>
      </c>
      <c r="J120" s="179"/>
      <c r="K120" s="179"/>
      <c r="L120" s="203"/>
    </row>
    <row r="121" spans="2:12" ht="14.65" thickBot="1" x14ac:dyDescent="0.5">
      <c r="B121" s="204"/>
      <c r="C121" s="123" t="s">
        <v>63</v>
      </c>
      <c r="D121" s="189" t="s">
        <v>66</v>
      </c>
      <c r="E121" s="186" t="s">
        <v>10</v>
      </c>
      <c r="F121" s="186" t="s">
        <v>60</v>
      </c>
      <c r="G121" s="190">
        <f>D122</f>
        <v>5000</v>
      </c>
      <c r="H121" s="190">
        <f>D123</f>
        <v>5000</v>
      </c>
      <c r="I121" s="190">
        <f>D124</f>
        <v>10000</v>
      </c>
      <c r="J121" s="185" t="s">
        <v>1</v>
      </c>
      <c r="K121" s="184"/>
      <c r="L121" s="203"/>
    </row>
    <row r="122" spans="2:12" x14ac:dyDescent="0.45">
      <c r="B122" s="204"/>
      <c r="C122" s="183" t="s">
        <v>64</v>
      </c>
      <c r="D122" s="184">
        <v>5000</v>
      </c>
      <c r="E122" s="100">
        <v>0</v>
      </c>
      <c r="F122" s="100">
        <v>0</v>
      </c>
      <c r="G122" s="100">
        <f>F122</f>
        <v>0</v>
      </c>
      <c r="H122" s="100">
        <v>0</v>
      </c>
      <c r="I122" s="100">
        <v>0</v>
      </c>
      <c r="J122" s="137">
        <f>SUM(G122:I122)</f>
        <v>0</v>
      </c>
      <c r="K122" s="137"/>
      <c r="L122" s="203"/>
    </row>
    <row r="123" spans="2:12" x14ac:dyDescent="0.45">
      <c r="B123" s="204"/>
      <c r="C123" s="183" t="s">
        <v>75</v>
      </c>
      <c r="D123" s="184">
        <v>5000</v>
      </c>
      <c r="E123" s="100">
        <v>12</v>
      </c>
      <c r="F123" s="100">
        <v>82700</v>
      </c>
      <c r="G123" s="100">
        <f>E123*D122</f>
        <v>60000</v>
      </c>
      <c r="H123" s="100">
        <f>F123-G123</f>
        <v>22700</v>
      </c>
      <c r="I123" s="100">
        <v>0</v>
      </c>
      <c r="J123" s="137">
        <f>SUM(G123:I123)</f>
        <v>82700</v>
      </c>
      <c r="K123" s="137"/>
      <c r="L123" s="203"/>
    </row>
    <row r="124" spans="2:12" ht="14.65" thickBot="1" x14ac:dyDescent="0.5">
      <c r="B124" s="204"/>
      <c r="C124" s="183" t="s">
        <v>65</v>
      </c>
      <c r="D124" s="184">
        <v>10000</v>
      </c>
      <c r="E124" s="186">
        <v>12</v>
      </c>
      <c r="F124" s="186">
        <v>673900</v>
      </c>
      <c r="G124" s="186">
        <f>E124*D122</f>
        <v>60000</v>
      </c>
      <c r="H124" s="186">
        <f>E124*D123</f>
        <v>60000</v>
      </c>
      <c r="I124" s="186">
        <f>F124-G124-H124</f>
        <v>553900</v>
      </c>
      <c r="J124" s="187">
        <f>SUM(G124:I124)</f>
        <v>673900</v>
      </c>
      <c r="K124" s="137"/>
      <c r="L124" s="203"/>
    </row>
    <row r="125" spans="2:12" x14ac:dyDescent="0.45">
      <c r="B125" s="204"/>
      <c r="C125" s="181"/>
      <c r="E125" s="100">
        <f t="shared" ref="E125:J125" si="19">SUM(E122:E124)</f>
        <v>24</v>
      </c>
      <c r="F125" s="100">
        <f t="shared" si="19"/>
        <v>756600</v>
      </c>
      <c r="G125" s="100">
        <f t="shared" si="19"/>
        <v>120000</v>
      </c>
      <c r="H125" s="100">
        <f t="shared" si="19"/>
        <v>82700</v>
      </c>
      <c r="I125" s="100">
        <f t="shared" si="19"/>
        <v>553900</v>
      </c>
      <c r="J125" s="100">
        <f t="shared" si="19"/>
        <v>756600</v>
      </c>
      <c r="K125" s="100"/>
      <c r="L125" s="203"/>
    </row>
    <row r="126" spans="2:12" x14ac:dyDescent="0.45">
      <c r="B126" s="204"/>
      <c r="E126" s="100"/>
      <c r="F126" s="100"/>
      <c r="G126" s="129"/>
      <c r="H126" s="129"/>
      <c r="I126" s="129"/>
      <c r="J126" s="129"/>
      <c r="K126" s="180"/>
      <c r="L126" s="203"/>
    </row>
    <row r="127" spans="2:12" x14ac:dyDescent="0.45">
      <c r="B127" s="204"/>
      <c r="C127" s="181" t="s">
        <v>68</v>
      </c>
      <c r="D127" s="179" t="s">
        <v>66</v>
      </c>
      <c r="E127" s="100" t="s">
        <v>10</v>
      </c>
      <c r="F127" s="100" t="s">
        <v>60</v>
      </c>
      <c r="G127" s="129" t="s">
        <v>11</v>
      </c>
      <c r="H127" s="179" t="s">
        <v>61</v>
      </c>
      <c r="I127" s="129"/>
      <c r="J127" s="129"/>
      <c r="K127" s="180"/>
      <c r="L127" s="203"/>
    </row>
    <row r="128" spans="2:12" x14ac:dyDescent="0.45">
      <c r="B128" s="204"/>
      <c r="C128" s="183" t="str">
        <f t="shared" ref="C128:D130" si="20">C122</f>
        <v>First</v>
      </c>
      <c r="D128" s="184">
        <f t="shared" si="20"/>
        <v>5000</v>
      </c>
      <c r="E128" s="100">
        <f>E125</f>
        <v>24</v>
      </c>
      <c r="F128" s="100">
        <f>G125</f>
        <v>120000</v>
      </c>
      <c r="G128" s="128">
        <f>Rates!$D$19</f>
        <v>63.78</v>
      </c>
      <c r="H128" s="154">
        <f>E128*G128</f>
        <v>1530.72</v>
      </c>
      <c r="I128" s="128"/>
      <c r="J128" s="128"/>
      <c r="K128" s="180"/>
      <c r="L128" s="203"/>
    </row>
    <row r="129" spans="2:15" x14ac:dyDescent="0.45">
      <c r="B129" s="204"/>
      <c r="C129" s="183" t="str">
        <f t="shared" si="20"/>
        <v>Next</v>
      </c>
      <c r="D129" s="184">
        <f t="shared" si="20"/>
        <v>5000</v>
      </c>
      <c r="E129" s="100"/>
      <c r="F129" s="100">
        <f>H125</f>
        <v>82700</v>
      </c>
      <c r="G129" s="254">
        <f>Rates!$D$20</f>
        <v>8.4899999999999993E-3</v>
      </c>
      <c r="H129" s="154">
        <f>F129*G129</f>
        <v>702.12299999999993</v>
      </c>
      <c r="I129" s="128"/>
      <c r="J129" s="128"/>
      <c r="K129" s="180"/>
      <c r="L129" s="203"/>
    </row>
    <row r="130" spans="2:15" ht="14.65" thickBot="1" x14ac:dyDescent="0.5">
      <c r="B130" s="204"/>
      <c r="C130" s="183" t="str">
        <f t="shared" si="20"/>
        <v>Over</v>
      </c>
      <c r="D130" s="184">
        <f t="shared" si="20"/>
        <v>10000</v>
      </c>
      <c r="E130" s="186"/>
      <c r="F130" s="186">
        <f>I125</f>
        <v>553900</v>
      </c>
      <c r="G130" s="254">
        <f>Rates!$D$21</f>
        <v>7.3499999999999998E-3</v>
      </c>
      <c r="H130" s="188">
        <f>F130*G130</f>
        <v>4071.165</v>
      </c>
      <c r="I130" s="128"/>
      <c r="J130" s="128"/>
      <c r="K130" s="180"/>
      <c r="L130" s="203"/>
    </row>
    <row r="131" spans="2:15" x14ac:dyDescent="0.45">
      <c r="B131" s="204"/>
      <c r="C131" s="181"/>
      <c r="E131" s="100">
        <f>SUM(E128:E130)</f>
        <v>24</v>
      </c>
      <c r="F131" s="100">
        <f>SUM(F128:F130)</f>
        <v>756600</v>
      </c>
      <c r="G131" s="129"/>
      <c r="H131" s="154">
        <f>SUM(H128:H130)</f>
        <v>6304.0079999999998</v>
      </c>
      <c r="I131" s="129"/>
      <c r="J131" s="129"/>
      <c r="K131" s="130"/>
      <c r="L131" s="203"/>
    </row>
    <row r="132" spans="2:15" x14ac:dyDescent="0.45">
      <c r="B132" s="204"/>
      <c r="E132" s="127"/>
      <c r="F132" s="100"/>
      <c r="G132" s="129"/>
      <c r="L132" s="203"/>
    </row>
    <row r="133" spans="2:15" x14ac:dyDescent="0.45">
      <c r="B133" s="204"/>
      <c r="C133" s="208" t="s">
        <v>248</v>
      </c>
      <c r="E133" s="100"/>
      <c r="F133" s="100"/>
      <c r="G133" s="127" t="str">
        <f>C135</f>
        <v>First</v>
      </c>
      <c r="H133" s="127" t="str">
        <f>C136</f>
        <v>Next</v>
      </c>
      <c r="I133" s="127" t="str">
        <f>C137</f>
        <v>Over</v>
      </c>
      <c r="J133" s="179"/>
      <c r="K133" s="179"/>
      <c r="L133" s="203"/>
    </row>
    <row r="134" spans="2:15" ht="14.65" thickBot="1" x14ac:dyDescent="0.5">
      <c r="B134" s="204"/>
      <c r="C134" s="123" t="s">
        <v>63</v>
      </c>
      <c r="D134" s="189" t="s">
        <v>66</v>
      </c>
      <c r="E134" s="186" t="s">
        <v>10</v>
      </c>
      <c r="F134" s="186" t="s">
        <v>60</v>
      </c>
      <c r="G134" s="190">
        <f>D135</f>
        <v>5000</v>
      </c>
      <c r="H134" s="190">
        <f>D136</f>
        <v>5000</v>
      </c>
      <c r="I134" s="190">
        <f>D137</f>
        <v>10000</v>
      </c>
      <c r="J134" s="185" t="s">
        <v>1</v>
      </c>
      <c r="K134" s="184"/>
      <c r="L134" s="203"/>
    </row>
    <row r="135" spans="2:15" x14ac:dyDescent="0.45">
      <c r="B135" s="204"/>
      <c r="C135" s="183" t="s">
        <v>64</v>
      </c>
      <c r="D135" s="184">
        <v>5000</v>
      </c>
      <c r="E135" s="100">
        <v>68</v>
      </c>
      <c r="F135" s="100">
        <v>81100</v>
      </c>
      <c r="G135" s="100">
        <f>F135</f>
        <v>81100</v>
      </c>
      <c r="H135" s="100">
        <v>0</v>
      </c>
      <c r="I135" s="100">
        <v>0</v>
      </c>
      <c r="J135" s="137">
        <f>SUM(G135:I135)</f>
        <v>81100</v>
      </c>
      <c r="K135" s="137"/>
      <c r="L135" s="203"/>
    </row>
    <row r="136" spans="2:15" x14ac:dyDescent="0.45">
      <c r="B136" s="204"/>
      <c r="C136" s="183" t="s">
        <v>75</v>
      </c>
      <c r="D136" s="184">
        <v>5000</v>
      </c>
      <c r="E136" s="100">
        <v>1</v>
      </c>
      <c r="F136" s="100">
        <v>5100</v>
      </c>
      <c r="G136" s="100">
        <f>E136*D135</f>
        <v>5000</v>
      </c>
      <c r="H136" s="100">
        <f>F136-G136</f>
        <v>100</v>
      </c>
      <c r="I136" s="100">
        <v>0</v>
      </c>
      <c r="J136" s="137">
        <f>SUM(G136:I136)</f>
        <v>5100</v>
      </c>
      <c r="K136" s="137"/>
      <c r="L136" s="203"/>
    </row>
    <row r="137" spans="2:15" ht="14.65" thickBot="1" x14ac:dyDescent="0.5">
      <c r="B137" s="204"/>
      <c r="C137" s="183" t="s">
        <v>65</v>
      </c>
      <c r="D137" s="184">
        <v>10000</v>
      </c>
      <c r="E137" s="186">
        <v>27</v>
      </c>
      <c r="F137" s="186">
        <v>8523300</v>
      </c>
      <c r="G137" s="186">
        <f>E137*D135</f>
        <v>135000</v>
      </c>
      <c r="H137" s="186">
        <f>E137*D136</f>
        <v>135000</v>
      </c>
      <c r="I137" s="186">
        <f>F137-G137-H137</f>
        <v>8253300</v>
      </c>
      <c r="J137" s="187">
        <f>SUM(G137:I137)</f>
        <v>8523300</v>
      </c>
      <c r="K137" s="137"/>
      <c r="L137" s="203"/>
    </row>
    <row r="138" spans="2:15" x14ac:dyDescent="0.45">
      <c r="B138" s="204"/>
      <c r="C138" s="181"/>
      <c r="E138" s="100">
        <f t="shared" ref="E138:J138" si="21">SUM(E135:E137)</f>
        <v>96</v>
      </c>
      <c r="F138" s="100">
        <f t="shared" si="21"/>
        <v>8609500</v>
      </c>
      <c r="G138" s="100">
        <f t="shared" si="21"/>
        <v>221100</v>
      </c>
      <c r="H138" s="100">
        <f t="shared" si="21"/>
        <v>135100</v>
      </c>
      <c r="I138" s="100">
        <f t="shared" si="21"/>
        <v>8253300</v>
      </c>
      <c r="J138" s="100">
        <f t="shared" si="21"/>
        <v>8609500</v>
      </c>
      <c r="K138" s="100"/>
      <c r="L138" s="203"/>
      <c r="O138" s="247"/>
    </row>
    <row r="139" spans="2:15" x14ac:dyDescent="0.45">
      <c r="B139" s="204"/>
      <c r="E139" s="100"/>
      <c r="F139" s="100"/>
      <c r="G139" s="129"/>
      <c r="H139" s="129"/>
      <c r="I139" s="129"/>
      <c r="J139" s="129"/>
      <c r="K139" s="180"/>
      <c r="L139" s="203"/>
    </row>
    <row r="140" spans="2:15" ht="14.65" thickBot="1" x14ac:dyDescent="0.5">
      <c r="B140" s="204"/>
      <c r="C140" s="181" t="s">
        <v>68</v>
      </c>
      <c r="D140" s="189" t="s">
        <v>66</v>
      </c>
      <c r="E140" s="186" t="s">
        <v>10</v>
      </c>
      <c r="F140" s="186" t="s">
        <v>60</v>
      </c>
      <c r="G140" s="192" t="s">
        <v>11</v>
      </c>
      <c r="H140" s="189" t="s">
        <v>61</v>
      </c>
      <c r="I140" s="129"/>
      <c r="J140" s="129"/>
      <c r="K140" s="180"/>
      <c r="L140" s="203"/>
    </row>
    <row r="141" spans="2:15" x14ac:dyDescent="0.45">
      <c r="B141" s="204"/>
      <c r="C141" s="183" t="s">
        <v>64</v>
      </c>
      <c r="D141" s="184">
        <f>D135</f>
        <v>5000</v>
      </c>
      <c r="E141" s="100">
        <f>E138</f>
        <v>96</v>
      </c>
      <c r="F141" s="100">
        <f>G138</f>
        <v>221100</v>
      </c>
      <c r="G141" s="128">
        <f>Rates!$D$19</f>
        <v>63.78</v>
      </c>
      <c r="H141" s="154">
        <f>E141*G141</f>
        <v>6122.88</v>
      </c>
      <c r="I141" s="128"/>
      <c r="J141" s="128"/>
      <c r="K141" s="180"/>
      <c r="L141" s="203"/>
    </row>
    <row r="142" spans="2:15" x14ac:dyDescent="0.45">
      <c r="B142" s="204"/>
      <c r="C142" s="183" t="s">
        <v>75</v>
      </c>
      <c r="D142" s="184">
        <f>D136</f>
        <v>5000</v>
      </c>
      <c r="E142" s="100"/>
      <c r="F142" s="100">
        <f>H138</f>
        <v>135100</v>
      </c>
      <c r="G142" s="254">
        <f>Rates!$D$20</f>
        <v>8.4899999999999993E-3</v>
      </c>
      <c r="H142" s="154">
        <f>F142*G142</f>
        <v>1146.9989999999998</v>
      </c>
      <c r="I142" s="128"/>
      <c r="J142" s="128"/>
      <c r="K142" s="180"/>
      <c r="L142" s="203"/>
    </row>
    <row r="143" spans="2:15" ht="14.65" thickBot="1" x14ac:dyDescent="0.5">
      <c r="B143" s="204"/>
      <c r="C143" s="183" t="s">
        <v>75</v>
      </c>
      <c r="D143" s="184">
        <f>D137</f>
        <v>10000</v>
      </c>
      <c r="E143" s="186"/>
      <c r="F143" s="186">
        <f>I138</f>
        <v>8253300</v>
      </c>
      <c r="G143" s="254">
        <f>Rates!$D$21</f>
        <v>7.3499999999999998E-3</v>
      </c>
      <c r="H143" s="188">
        <f>F143*G143</f>
        <v>60661.754999999997</v>
      </c>
      <c r="I143" s="128"/>
      <c r="J143" s="128"/>
      <c r="K143" s="180"/>
      <c r="L143" s="203"/>
    </row>
    <row r="144" spans="2:15" x14ac:dyDescent="0.45">
      <c r="B144" s="204"/>
      <c r="C144" s="181"/>
      <c r="E144" s="100">
        <f>SUM(E141:E143)</f>
        <v>96</v>
      </c>
      <c r="F144" s="100">
        <f>SUM(F141:F143)</f>
        <v>8609500</v>
      </c>
      <c r="G144" s="129"/>
      <c r="H144" s="195">
        <f>SUM(H141:H143)</f>
        <v>67931.633999999991</v>
      </c>
      <c r="I144" s="129"/>
      <c r="J144" s="129"/>
      <c r="K144" s="130"/>
      <c r="L144" s="203"/>
    </row>
    <row r="145" spans="2:15" x14ac:dyDescent="0.45">
      <c r="B145" s="204"/>
      <c r="E145" s="127"/>
      <c r="F145" s="100"/>
      <c r="G145" s="129"/>
      <c r="L145" s="203"/>
    </row>
    <row r="146" spans="2:15" x14ac:dyDescent="0.45">
      <c r="B146" s="204"/>
      <c r="C146" s="208" t="s">
        <v>249</v>
      </c>
      <c r="E146" s="100"/>
      <c r="F146" s="100"/>
      <c r="G146" s="127" t="str">
        <f>C148</f>
        <v>First</v>
      </c>
      <c r="H146" s="127" t="str">
        <f>C149</f>
        <v>Over</v>
      </c>
      <c r="I146" s="179"/>
      <c r="J146" s="179"/>
      <c r="K146" s="179"/>
      <c r="L146" s="203"/>
    </row>
    <row r="147" spans="2:15" ht="14.65" thickBot="1" x14ac:dyDescent="0.5">
      <c r="B147" s="204"/>
      <c r="C147" s="123" t="s">
        <v>63</v>
      </c>
      <c r="D147" s="189" t="s">
        <v>66</v>
      </c>
      <c r="E147" s="186" t="s">
        <v>10</v>
      </c>
      <c r="F147" s="186" t="s">
        <v>60</v>
      </c>
      <c r="G147" s="190">
        <f>D148</f>
        <v>25500</v>
      </c>
      <c r="H147" s="190">
        <f>D149</f>
        <v>25500</v>
      </c>
      <c r="I147" s="185" t="s">
        <v>1</v>
      </c>
      <c r="J147" s="184"/>
      <c r="K147" s="184"/>
      <c r="L147" s="203"/>
    </row>
    <row r="148" spans="2:15" x14ac:dyDescent="0.45">
      <c r="B148" s="204"/>
      <c r="C148" s="183" t="s">
        <v>64</v>
      </c>
      <c r="D148" s="184">
        <v>25500</v>
      </c>
      <c r="E148" s="100">
        <v>0</v>
      </c>
      <c r="F148" s="100">
        <v>0</v>
      </c>
      <c r="G148" s="100">
        <f>F148</f>
        <v>0</v>
      </c>
      <c r="H148" s="100">
        <v>0</v>
      </c>
      <c r="I148" s="137">
        <f>SUM(G148:H148)</f>
        <v>0</v>
      </c>
      <c r="J148" s="137"/>
      <c r="K148" s="137"/>
      <c r="L148" s="203"/>
    </row>
    <row r="149" spans="2:15" ht="14.65" thickBot="1" x14ac:dyDescent="0.5">
      <c r="B149" s="204"/>
      <c r="C149" s="183" t="s">
        <v>65</v>
      </c>
      <c r="D149" s="185">
        <v>25500</v>
      </c>
      <c r="E149" s="186">
        <v>12</v>
      </c>
      <c r="F149" s="186">
        <v>1189400</v>
      </c>
      <c r="G149" s="186">
        <f>E149*D148</f>
        <v>306000</v>
      </c>
      <c r="H149" s="186">
        <f>F149-G149</f>
        <v>883400</v>
      </c>
      <c r="I149" s="187">
        <f>SUM(G149:H149)</f>
        <v>1189400</v>
      </c>
      <c r="J149" s="137"/>
      <c r="K149" s="137"/>
      <c r="L149" s="203"/>
    </row>
    <row r="150" spans="2:15" x14ac:dyDescent="0.45">
      <c r="B150" s="204"/>
      <c r="C150" s="181"/>
      <c r="E150" s="100">
        <f>SUM(E148:E149)</f>
        <v>12</v>
      </c>
      <c r="F150" s="100">
        <f>SUM(F148:F149)</f>
        <v>1189400</v>
      </c>
      <c r="G150" s="100">
        <f>SUM(G148:G149)</f>
        <v>306000</v>
      </c>
      <c r="H150" s="100">
        <f>SUM(H148:H149)</f>
        <v>883400</v>
      </c>
      <c r="I150" s="100">
        <f>SUM(I148:I149)</f>
        <v>1189400</v>
      </c>
      <c r="J150" s="100"/>
      <c r="K150" s="100"/>
      <c r="L150" s="203"/>
      <c r="O150" s="247"/>
    </row>
    <row r="151" spans="2:15" x14ac:dyDescent="0.45">
      <c r="B151" s="204"/>
      <c r="C151" s="181"/>
      <c r="E151" s="100"/>
      <c r="F151" s="100"/>
      <c r="G151" s="100"/>
      <c r="H151" s="100"/>
      <c r="I151" s="100"/>
      <c r="J151" s="100"/>
      <c r="K151" s="100"/>
      <c r="L151" s="203"/>
    </row>
    <row r="152" spans="2:15" ht="14.65" thickBot="1" x14ac:dyDescent="0.5">
      <c r="B152" s="204"/>
      <c r="C152" s="181" t="s">
        <v>68</v>
      </c>
      <c r="D152" s="189" t="s">
        <v>66</v>
      </c>
      <c r="E152" s="186" t="s">
        <v>10</v>
      </c>
      <c r="F152" s="186" t="s">
        <v>60</v>
      </c>
      <c r="G152" s="192" t="s">
        <v>11</v>
      </c>
      <c r="H152" s="189" t="s">
        <v>61</v>
      </c>
      <c r="I152" s="129"/>
      <c r="J152" s="129"/>
      <c r="K152" s="180"/>
      <c r="L152" s="203"/>
    </row>
    <row r="153" spans="2:15" x14ac:dyDescent="0.45">
      <c r="B153" s="204"/>
      <c r="C153" s="183" t="s">
        <v>64</v>
      </c>
      <c r="D153" s="184">
        <f>D148</f>
        <v>25500</v>
      </c>
      <c r="E153" s="100">
        <f>E150</f>
        <v>12</v>
      </c>
      <c r="F153" s="100">
        <f>G150</f>
        <v>306000</v>
      </c>
      <c r="G153" s="128">
        <f>Rates!$D$34</f>
        <v>216.15</v>
      </c>
      <c r="H153" s="154">
        <f>E153*G153</f>
        <v>2593.8000000000002</v>
      </c>
      <c r="I153" s="129"/>
      <c r="J153" s="129"/>
      <c r="K153" s="180"/>
      <c r="L153" s="203"/>
    </row>
    <row r="154" spans="2:15" ht="14.65" thickBot="1" x14ac:dyDescent="0.5">
      <c r="B154" s="204"/>
      <c r="C154" s="183" t="s">
        <v>75</v>
      </c>
      <c r="D154" s="184">
        <f t="shared" ref="D154" si="22">D149</f>
        <v>25500</v>
      </c>
      <c r="E154" s="186"/>
      <c r="F154" s="186">
        <f>H150</f>
        <v>883400</v>
      </c>
      <c r="G154" s="254">
        <f>Rates!$D$35</f>
        <v>7.3499999999999998E-3</v>
      </c>
      <c r="H154" s="188">
        <f>F154*G154</f>
        <v>6492.99</v>
      </c>
      <c r="I154" s="128"/>
      <c r="J154" s="128"/>
      <c r="K154" s="180"/>
      <c r="L154" s="203"/>
    </row>
    <row r="155" spans="2:15" x14ac:dyDescent="0.45">
      <c r="B155" s="204"/>
      <c r="C155" s="181"/>
      <c r="E155" s="100">
        <f>SUM(E153:E154)</f>
        <v>12</v>
      </c>
      <c r="F155" s="100">
        <f>SUM(F153:F154)</f>
        <v>1189400</v>
      </c>
      <c r="G155" s="129"/>
      <c r="H155" s="195">
        <f>SUM(H153:H154)</f>
        <v>9086.7900000000009</v>
      </c>
      <c r="I155" s="129"/>
      <c r="J155" s="129"/>
      <c r="K155" s="130"/>
      <c r="L155" s="203"/>
    </row>
    <row r="156" spans="2:15" x14ac:dyDescent="0.45">
      <c r="B156" s="350"/>
      <c r="E156" s="127"/>
      <c r="F156" s="100"/>
      <c r="G156" s="129"/>
      <c r="L156" s="203"/>
    </row>
    <row r="157" spans="2:15" x14ac:dyDescent="0.45">
      <c r="B157" s="350"/>
      <c r="C157" s="208" t="s">
        <v>250</v>
      </c>
      <c r="E157" s="100"/>
      <c r="F157" s="100"/>
      <c r="G157" s="127" t="str">
        <f>C159</f>
        <v>First</v>
      </c>
      <c r="H157" s="127" t="str">
        <f>C160</f>
        <v>Over</v>
      </c>
      <c r="I157" s="179"/>
      <c r="J157" s="179"/>
      <c r="K157" s="179"/>
      <c r="L157" s="203"/>
    </row>
    <row r="158" spans="2:15" ht="14.65" thickBot="1" x14ac:dyDescent="0.5">
      <c r="B158" s="350"/>
      <c r="C158" s="123" t="s">
        <v>63</v>
      </c>
      <c r="D158" s="189" t="s">
        <v>66</v>
      </c>
      <c r="E158" s="186" t="s">
        <v>10</v>
      </c>
      <c r="F158" s="186" t="s">
        <v>60</v>
      </c>
      <c r="G158" s="190">
        <f>D159</f>
        <v>25500</v>
      </c>
      <c r="H158" s="190">
        <f>D160</f>
        <v>25500</v>
      </c>
      <c r="I158" s="185" t="s">
        <v>1</v>
      </c>
      <c r="J158" s="184"/>
      <c r="K158" s="184"/>
      <c r="L158" s="203"/>
    </row>
    <row r="159" spans="2:15" x14ac:dyDescent="0.45">
      <c r="B159" s="350"/>
      <c r="C159" s="183" t="s">
        <v>64</v>
      </c>
      <c r="D159" s="184">
        <v>25500</v>
      </c>
      <c r="E159" s="100">
        <v>11</v>
      </c>
      <c r="F159" s="100">
        <v>75900</v>
      </c>
      <c r="G159" s="100">
        <f>F159</f>
        <v>75900</v>
      </c>
      <c r="H159" s="100">
        <v>0</v>
      </c>
      <c r="I159" s="137">
        <f>SUM(G159:H159)</f>
        <v>75900</v>
      </c>
      <c r="J159" s="137"/>
      <c r="K159" s="137"/>
      <c r="L159" s="203"/>
    </row>
    <row r="160" spans="2:15" ht="14.65" thickBot="1" x14ac:dyDescent="0.5">
      <c r="B160" s="350"/>
      <c r="C160" s="183" t="s">
        <v>65</v>
      </c>
      <c r="D160" s="185">
        <v>25500</v>
      </c>
      <c r="E160" s="186">
        <v>21</v>
      </c>
      <c r="F160" s="186">
        <v>2794200</v>
      </c>
      <c r="G160" s="186">
        <f>E160*D159</f>
        <v>535500</v>
      </c>
      <c r="H160" s="186">
        <f>F160-G160</f>
        <v>2258700</v>
      </c>
      <c r="I160" s="187">
        <f>SUM(G160:H160)</f>
        <v>2794200</v>
      </c>
      <c r="J160" s="137"/>
      <c r="K160" s="137"/>
      <c r="L160" s="203"/>
    </row>
    <row r="161" spans="2:15" x14ac:dyDescent="0.45">
      <c r="B161" s="350"/>
      <c r="C161" s="181"/>
      <c r="E161" s="100">
        <f>SUM(E159:E160)</f>
        <v>32</v>
      </c>
      <c r="F161" s="100">
        <f>SUM(F159:F160)</f>
        <v>2870100</v>
      </c>
      <c r="G161" s="100">
        <f>SUM(G159:G160)</f>
        <v>611400</v>
      </c>
      <c r="H161" s="100">
        <f>SUM(H159:H160)</f>
        <v>2258700</v>
      </c>
      <c r="I161" s="100">
        <f>SUM(I159:I160)</f>
        <v>2870100</v>
      </c>
      <c r="J161" s="100"/>
      <c r="K161" s="100"/>
      <c r="L161" s="203"/>
      <c r="N161" s="49" t="s">
        <v>164</v>
      </c>
      <c r="O161" s="247">
        <f>F161/E161</f>
        <v>89690.625</v>
      </c>
    </row>
    <row r="162" spans="2:15" x14ac:dyDescent="0.45">
      <c r="B162" s="350"/>
      <c r="C162" s="181"/>
      <c r="E162" s="100"/>
      <c r="F162" s="100"/>
      <c r="G162" s="100"/>
      <c r="H162" s="100"/>
      <c r="I162" s="100"/>
      <c r="J162" s="100"/>
      <c r="K162" s="100"/>
      <c r="L162" s="203"/>
    </row>
    <row r="163" spans="2:15" ht="14.65" thickBot="1" x14ac:dyDescent="0.5">
      <c r="B163" s="350"/>
      <c r="C163" s="181" t="s">
        <v>68</v>
      </c>
      <c r="D163" s="189" t="s">
        <v>66</v>
      </c>
      <c r="E163" s="186" t="s">
        <v>10</v>
      </c>
      <c r="F163" s="186" t="s">
        <v>60</v>
      </c>
      <c r="G163" s="192" t="s">
        <v>11</v>
      </c>
      <c r="H163" s="189" t="s">
        <v>61</v>
      </c>
      <c r="I163" s="129"/>
      <c r="J163" s="129"/>
      <c r="K163" s="180"/>
      <c r="L163" s="203"/>
    </row>
    <row r="164" spans="2:15" x14ac:dyDescent="0.45">
      <c r="B164" s="350"/>
      <c r="C164" s="183" t="s">
        <v>64</v>
      </c>
      <c r="D164" s="184">
        <f>D159</f>
        <v>25500</v>
      </c>
      <c r="E164" s="100">
        <f>E161</f>
        <v>32</v>
      </c>
      <c r="F164" s="100">
        <f>G161</f>
        <v>611400</v>
      </c>
      <c r="G164" s="128">
        <f>Rates!$D$34</f>
        <v>216.15</v>
      </c>
      <c r="H164" s="154">
        <f>E164*G164</f>
        <v>6916.8</v>
      </c>
      <c r="I164" s="129"/>
      <c r="J164" s="129"/>
      <c r="K164" s="180"/>
      <c r="L164" s="203"/>
    </row>
    <row r="165" spans="2:15" ht="14.65" thickBot="1" x14ac:dyDescent="0.5">
      <c r="B165" s="350"/>
      <c r="C165" s="183" t="s">
        <v>75</v>
      </c>
      <c r="D165" s="184">
        <f t="shared" ref="D165" si="23">D160</f>
        <v>25500</v>
      </c>
      <c r="E165" s="186"/>
      <c r="F165" s="186">
        <f>H161</f>
        <v>2258700</v>
      </c>
      <c r="G165" s="254">
        <f>Rates!$D$35</f>
        <v>7.3499999999999998E-3</v>
      </c>
      <c r="H165" s="188">
        <f>F165*G165</f>
        <v>16601.445</v>
      </c>
      <c r="I165" s="128"/>
      <c r="J165" s="128"/>
      <c r="K165" s="180"/>
      <c r="L165" s="203"/>
    </row>
    <row r="166" spans="2:15" x14ac:dyDescent="0.45">
      <c r="B166" s="350"/>
      <c r="C166" s="181"/>
      <c r="E166" s="100">
        <f>SUM(E164:E165)</f>
        <v>32</v>
      </c>
      <c r="F166" s="100">
        <f>SUM(F164:F165)</f>
        <v>2870100</v>
      </c>
      <c r="G166" s="129"/>
      <c r="H166" s="195">
        <f>SUM(H164:H165)</f>
        <v>23518.244999999999</v>
      </c>
      <c r="I166" s="129"/>
      <c r="J166" s="129"/>
      <c r="K166" s="130"/>
      <c r="L166" s="203"/>
    </row>
    <row r="167" spans="2:15" ht="14.65" thickBot="1" x14ac:dyDescent="0.5">
      <c r="B167" s="351"/>
      <c r="C167" s="194"/>
      <c r="D167" s="194"/>
      <c r="E167" s="193"/>
      <c r="F167" s="186"/>
      <c r="G167" s="192"/>
      <c r="H167" s="194"/>
      <c r="I167" s="194"/>
      <c r="J167" s="194"/>
      <c r="K167" s="194"/>
      <c r="L167" s="209"/>
    </row>
    <row r="168" spans="2:15" ht="14.65" thickTop="1" x14ac:dyDescent="0.45">
      <c r="C168" s="123"/>
      <c r="E168" s="100"/>
      <c r="F168" s="100"/>
      <c r="G168" s="129"/>
      <c r="H168" s="129"/>
      <c r="I168" s="129"/>
      <c r="J168" s="129"/>
      <c r="K168" s="136"/>
    </row>
  </sheetData>
  <sortState xmlns:xlrd2="http://schemas.microsoft.com/office/spreadsheetml/2017/richdata2" ref="B7:H60">
    <sortCondition ref="H7:H60"/>
    <sortCondition ref="B7:B60"/>
    <sortCondition ref="C7:C60"/>
  </sortState>
  <mergeCells count="4">
    <mergeCell ref="B6:I6"/>
    <mergeCell ref="B3:L3"/>
    <mergeCell ref="B4:L4"/>
    <mergeCell ref="B5:L5"/>
  </mergeCells>
  <pageMargins left="0.25" right="0.25" top="0.5" bottom="0.5" header="0" footer="0"/>
  <pageSetup scale="80" fitToHeight="0" orientation="landscape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B426C-EDCF-4F75-A235-26D224CEBEBE}">
  <sheetPr>
    <pageSetUpPr fitToPage="1"/>
  </sheetPr>
  <dimension ref="A1:O168"/>
  <sheetViews>
    <sheetView workbookViewId="0">
      <selection sqref="A1:M168"/>
    </sheetView>
  </sheetViews>
  <sheetFormatPr defaultColWidth="8.83203125" defaultRowHeight="14.25" x14ac:dyDescent="0.45"/>
  <cols>
    <col min="1" max="1" width="1.609375" style="49" customWidth="1"/>
    <col min="2" max="2" width="5.94140625" style="123" customWidth="1"/>
    <col min="3" max="3" width="30.609375" style="49" customWidth="1"/>
    <col min="4" max="4" width="12.609375" style="49" customWidth="1"/>
    <col min="5" max="5" width="12.609375" style="124" customWidth="1"/>
    <col min="6" max="6" width="12.609375" style="99" customWidth="1"/>
    <col min="7" max="7" width="12.609375" style="125" customWidth="1"/>
    <col min="8" max="8" width="12.609375" style="49" customWidth="1"/>
    <col min="9" max="9" width="14.609375" style="49" customWidth="1"/>
    <col min="10" max="10" width="10.5546875" style="49" bestFit="1" customWidth="1"/>
    <col min="11" max="11" width="10" style="49" bestFit="1" customWidth="1"/>
    <col min="12" max="12" width="1.44140625" style="49" customWidth="1"/>
    <col min="13" max="13" width="1.609375" style="49" customWidth="1"/>
    <col min="14" max="16384" width="8.83203125" style="49"/>
  </cols>
  <sheetData>
    <row r="1" spans="2:12" ht="14.65" thickBot="1" x14ac:dyDescent="0.5"/>
    <row r="2" spans="2:12" x14ac:dyDescent="0.45">
      <c r="B2" s="197"/>
      <c r="C2" s="198"/>
      <c r="D2" s="198"/>
      <c r="E2" s="199"/>
      <c r="F2" s="200"/>
      <c r="G2" s="201"/>
      <c r="H2" s="198"/>
      <c r="I2" s="198"/>
      <c r="J2" s="198"/>
      <c r="K2" s="198"/>
      <c r="L2" s="202"/>
    </row>
    <row r="3" spans="2:12" ht="18" customHeight="1" x14ac:dyDescent="0.55000000000000004">
      <c r="B3" s="433" t="s">
        <v>288</v>
      </c>
      <c r="C3" s="379"/>
      <c r="D3" s="379"/>
      <c r="E3" s="379"/>
      <c r="F3" s="379"/>
      <c r="G3" s="379"/>
      <c r="H3" s="379"/>
      <c r="I3" s="379"/>
      <c r="J3" s="379"/>
      <c r="K3" s="379"/>
      <c r="L3" s="380"/>
    </row>
    <row r="4" spans="2:12" ht="18" customHeight="1" x14ac:dyDescent="0.55000000000000004">
      <c r="B4" s="434" t="s">
        <v>267</v>
      </c>
      <c r="C4" s="435"/>
      <c r="D4" s="435"/>
      <c r="E4" s="435"/>
      <c r="F4" s="435"/>
      <c r="G4" s="435"/>
      <c r="H4" s="435"/>
      <c r="I4" s="435"/>
      <c r="J4" s="435"/>
      <c r="K4" s="435"/>
      <c r="L4" s="436"/>
    </row>
    <row r="5" spans="2:12" ht="15.5" customHeight="1" x14ac:dyDescent="0.55000000000000004">
      <c r="B5" s="433" t="s">
        <v>218</v>
      </c>
      <c r="C5" s="379"/>
      <c r="D5" s="379"/>
      <c r="E5" s="379"/>
      <c r="F5" s="379"/>
      <c r="G5" s="379"/>
      <c r="H5" s="379"/>
      <c r="I5" s="379"/>
      <c r="J5" s="379"/>
      <c r="K5" s="379"/>
      <c r="L5" s="380"/>
    </row>
    <row r="6" spans="2:12" ht="14.75" customHeight="1" x14ac:dyDescent="0.45">
      <c r="B6" s="431"/>
      <c r="C6" s="432"/>
      <c r="D6" s="432"/>
      <c r="E6" s="432"/>
      <c r="F6" s="432"/>
      <c r="G6" s="432"/>
      <c r="H6" s="432"/>
      <c r="I6" s="432"/>
      <c r="J6" s="177"/>
      <c r="L6" s="203"/>
    </row>
    <row r="7" spans="2:12" x14ac:dyDescent="0.45">
      <c r="B7" s="204"/>
      <c r="D7" s="178" t="s">
        <v>59</v>
      </c>
      <c r="E7" s="100" t="s">
        <v>10</v>
      </c>
      <c r="F7" s="129" t="s">
        <v>60</v>
      </c>
      <c r="G7" s="179" t="s">
        <v>61</v>
      </c>
      <c r="H7" s="180"/>
      <c r="I7" s="180"/>
      <c r="L7" s="203"/>
    </row>
    <row r="8" spans="2:12" x14ac:dyDescent="0.45">
      <c r="B8" s="204"/>
      <c r="D8" s="178" t="s">
        <v>139</v>
      </c>
      <c r="E8" s="100">
        <f>E29+E45+E59+E73+E85+E101+E117+E131+E144+E155+E166</f>
        <v>33678</v>
      </c>
      <c r="F8" s="100">
        <f>F29+F45+F59+F73+F85+F101+F117+F131+F144+F155+F166</f>
        <v>146185100</v>
      </c>
      <c r="G8" s="154">
        <f>H29+H45+H59+H73+H85+H101+H117+H131+H144+H155+H166</f>
        <v>2492565.191000001</v>
      </c>
      <c r="H8" s="180"/>
      <c r="I8" s="180"/>
      <c r="L8" s="203"/>
    </row>
    <row r="9" spans="2:12" x14ac:dyDescent="0.45">
      <c r="B9" s="204"/>
      <c r="D9" s="178" t="s">
        <v>138</v>
      </c>
      <c r="E9" s="100"/>
      <c r="F9" s="129"/>
      <c r="G9" s="145">
        <f>'Existing Billing Analysis'!G9</f>
        <v>38559.480000000003</v>
      </c>
      <c r="H9" s="180" t="s">
        <v>270</v>
      </c>
      <c r="I9" s="180"/>
      <c r="L9" s="203"/>
    </row>
    <row r="10" spans="2:12" x14ac:dyDescent="0.45">
      <c r="B10" s="204"/>
      <c r="D10" s="178" t="s">
        <v>137</v>
      </c>
      <c r="E10" s="100"/>
      <c r="F10" s="129"/>
      <c r="G10" s="154">
        <f>G8-G9</f>
        <v>2454005.7110000011</v>
      </c>
      <c r="H10" s="180"/>
      <c r="I10" s="180"/>
      <c r="L10" s="203"/>
    </row>
    <row r="11" spans="2:12" x14ac:dyDescent="0.45">
      <c r="B11" s="204"/>
      <c r="D11" s="178" t="s">
        <v>140</v>
      </c>
      <c r="E11" s="100"/>
      <c r="F11" s="129"/>
      <c r="G11" s="144">
        <f>'Revenue Requirement'!F18</f>
        <v>2444253.8068755488</v>
      </c>
      <c r="H11" s="180"/>
      <c r="I11" s="180"/>
      <c r="L11" s="203"/>
    </row>
    <row r="12" spans="2:12" x14ac:dyDescent="0.45">
      <c r="B12" s="204"/>
      <c r="D12" s="178" t="s">
        <v>136</v>
      </c>
      <c r="E12" s="100"/>
      <c r="F12" s="129"/>
      <c r="G12" s="195">
        <f>G10-G11</f>
        <v>9751.9041244522668</v>
      </c>
      <c r="H12" s="180"/>
      <c r="I12" s="180"/>
      <c r="L12" s="203"/>
    </row>
    <row r="13" spans="2:12" x14ac:dyDescent="0.45">
      <c r="B13" s="204"/>
      <c r="C13" s="181"/>
      <c r="E13" s="100"/>
      <c r="F13" s="100"/>
      <c r="G13" s="196">
        <f>G12/G11</f>
        <v>3.9897264748123568E-3</v>
      </c>
      <c r="H13" s="182"/>
      <c r="I13" s="180"/>
      <c r="J13" s="180"/>
      <c r="L13" s="203"/>
    </row>
    <row r="14" spans="2:12" x14ac:dyDescent="0.45">
      <c r="B14" s="204"/>
      <c r="E14" s="100"/>
      <c r="F14" s="100"/>
      <c r="G14" s="129"/>
      <c r="H14" s="123"/>
      <c r="I14" s="180"/>
      <c r="J14" s="180"/>
      <c r="L14" s="203"/>
    </row>
    <row r="15" spans="2:12" x14ac:dyDescent="0.45">
      <c r="B15" s="204"/>
      <c r="E15" s="100"/>
      <c r="F15" s="100"/>
      <c r="G15" s="129"/>
      <c r="H15" s="123"/>
      <c r="I15" s="180"/>
      <c r="J15" s="180"/>
      <c r="L15" s="203"/>
    </row>
    <row r="16" spans="2:12" x14ac:dyDescent="0.45">
      <c r="B16" s="204"/>
      <c r="C16" s="139" t="s">
        <v>240</v>
      </c>
      <c r="E16" s="100"/>
      <c r="F16" s="100"/>
      <c r="G16" s="127" t="str">
        <f>C18</f>
        <v>First</v>
      </c>
      <c r="H16" s="127" t="str">
        <f>C19</f>
        <v>Next</v>
      </c>
      <c r="I16" s="127" t="str">
        <f>C20</f>
        <v>Next</v>
      </c>
      <c r="J16" s="127" t="str">
        <f>C21</f>
        <v>Over</v>
      </c>
      <c r="K16" s="136"/>
      <c r="L16" s="203"/>
    </row>
    <row r="17" spans="2:15" ht="14.65" thickBot="1" x14ac:dyDescent="0.5">
      <c r="B17" s="204"/>
      <c r="C17" s="123" t="s">
        <v>63</v>
      </c>
      <c r="D17" s="189" t="s">
        <v>66</v>
      </c>
      <c r="E17" s="186" t="s">
        <v>10</v>
      </c>
      <c r="F17" s="186" t="s">
        <v>60</v>
      </c>
      <c r="G17" s="190">
        <f>D18</f>
        <v>2000</v>
      </c>
      <c r="H17" s="190">
        <f>D19</f>
        <v>3000</v>
      </c>
      <c r="I17" s="190">
        <f>D20</f>
        <v>5000</v>
      </c>
      <c r="J17" s="190">
        <f>D21</f>
        <v>10000</v>
      </c>
      <c r="K17" s="191" t="s">
        <v>67</v>
      </c>
      <c r="L17" s="203"/>
    </row>
    <row r="18" spans="2:15" x14ac:dyDescent="0.45">
      <c r="B18" s="204"/>
      <c r="C18" s="183" t="s">
        <v>64</v>
      </c>
      <c r="D18" s="184">
        <v>2000</v>
      </c>
      <c r="E18" s="100">
        <v>6245</v>
      </c>
      <c r="F18" s="100">
        <v>4936700</v>
      </c>
      <c r="G18" s="100">
        <f>F18</f>
        <v>4936700</v>
      </c>
      <c r="H18" s="100">
        <v>0</v>
      </c>
      <c r="I18" s="100">
        <v>0</v>
      </c>
      <c r="J18" s="100">
        <v>0</v>
      </c>
      <c r="K18" s="137">
        <f>SUM(G18:J18)</f>
        <v>4936700</v>
      </c>
      <c r="L18" s="203"/>
    </row>
    <row r="19" spans="2:15" x14ac:dyDescent="0.45">
      <c r="B19" s="204"/>
      <c r="C19" s="183" t="s">
        <v>75</v>
      </c>
      <c r="D19" s="184">
        <v>3000</v>
      </c>
      <c r="E19" s="100">
        <v>5122</v>
      </c>
      <c r="F19" s="100">
        <v>17144800</v>
      </c>
      <c r="G19" s="100">
        <f>E19*D18</f>
        <v>10244000</v>
      </c>
      <c r="H19" s="100">
        <f>F19-G19</f>
        <v>6900800</v>
      </c>
      <c r="I19" s="100">
        <v>0</v>
      </c>
      <c r="J19" s="100">
        <v>0</v>
      </c>
      <c r="K19" s="137">
        <f>SUM(G19:J19)</f>
        <v>17144800</v>
      </c>
      <c r="L19" s="203"/>
    </row>
    <row r="20" spans="2:15" x14ac:dyDescent="0.45">
      <c r="B20" s="204"/>
      <c r="C20" s="183" t="s">
        <v>75</v>
      </c>
      <c r="D20" s="184">
        <v>5000</v>
      </c>
      <c r="E20" s="100">
        <v>2273</v>
      </c>
      <c r="F20" s="100">
        <v>15545700</v>
      </c>
      <c r="G20" s="100">
        <f>E20*D18</f>
        <v>4546000</v>
      </c>
      <c r="H20" s="100">
        <f>E20*D19</f>
        <v>6819000</v>
      </c>
      <c r="I20" s="100">
        <f>F20-G20-H20</f>
        <v>4180700</v>
      </c>
      <c r="J20" s="100">
        <v>0</v>
      </c>
      <c r="K20" s="137">
        <f>SUM(G20:J20)</f>
        <v>15545700</v>
      </c>
      <c r="L20" s="203"/>
    </row>
    <row r="21" spans="2:15" ht="14.65" thickBot="1" x14ac:dyDescent="0.5">
      <c r="B21" s="204"/>
      <c r="C21" s="183" t="s">
        <v>65</v>
      </c>
      <c r="D21" s="184">
        <v>10000</v>
      </c>
      <c r="E21" s="186">
        <v>679</v>
      </c>
      <c r="F21" s="186">
        <v>13222000</v>
      </c>
      <c r="G21" s="186">
        <f>E21*D18</f>
        <v>1358000</v>
      </c>
      <c r="H21" s="186">
        <f>E21*D19</f>
        <v>2037000</v>
      </c>
      <c r="I21" s="186">
        <f>E21*D20</f>
        <v>3395000</v>
      </c>
      <c r="J21" s="186">
        <f>F21-G21-H21-I21</f>
        <v>6432000</v>
      </c>
      <c r="K21" s="187">
        <f>SUM(G21:J21)</f>
        <v>13222000</v>
      </c>
      <c r="L21" s="203"/>
    </row>
    <row r="22" spans="2:15" x14ac:dyDescent="0.45">
      <c r="B22" s="204"/>
      <c r="C22" s="181"/>
      <c r="E22" s="100">
        <f t="shared" ref="E22:K22" si="0">SUM(E18:E21)</f>
        <v>14319</v>
      </c>
      <c r="F22" s="100">
        <f t="shared" si="0"/>
        <v>50849200</v>
      </c>
      <c r="G22" s="100">
        <f t="shared" si="0"/>
        <v>21084700</v>
      </c>
      <c r="H22" s="100">
        <f t="shared" si="0"/>
        <v>15756800</v>
      </c>
      <c r="I22" s="100">
        <f t="shared" si="0"/>
        <v>7575700</v>
      </c>
      <c r="J22" s="100">
        <f t="shared" si="0"/>
        <v>6432000</v>
      </c>
      <c r="K22" s="100">
        <f t="shared" si="0"/>
        <v>50849200</v>
      </c>
      <c r="L22" s="203"/>
      <c r="N22" s="49" t="s">
        <v>164</v>
      </c>
      <c r="O22" s="247">
        <f>F22/E22</f>
        <v>3551.1697744255885</v>
      </c>
    </row>
    <row r="23" spans="2:15" x14ac:dyDescent="0.45">
      <c r="B23" s="204"/>
      <c r="E23" s="100"/>
      <c r="F23" s="100"/>
      <c r="G23" s="129"/>
      <c r="H23" s="129"/>
      <c r="I23" s="129"/>
      <c r="J23" s="129"/>
      <c r="K23" s="180"/>
      <c r="L23" s="203"/>
    </row>
    <row r="24" spans="2:15" ht="14.65" thickBot="1" x14ac:dyDescent="0.5">
      <c r="B24" s="204"/>
      <c r="C24" s="181" t="s">
        <v>68</v>
      </c>
      <c r="D24" s="189" t="s">
        <v>66</v>
      </c>
      <c r="E24" s="186" t="s">
        <v>10</v>
      </c>
      <c r="F24" s="186" t="s">
        <v>60</v>
      </c>
      <c r="G24" s="192" t="s">
        <v>11</v>
      </c>
      <c r="H24" s="189" t="s">
        <v>61</v>
      </c>
      <c r="I24" s="129"/>
      <c r="J24" s="129"/>
      <c r="K24" s="180"/>
      <c r="L24" s="203"/>
    </row>
    <row r="25" spans="2:15" x14ac:dyDescent="0.45">
      <c r="B25" s="204"/>
      <c r="C25" s="184" t="str">
        <f t="shared" ref="C25:D28" si="1">C18</f>
        <v>First</v>
      </c>
      <c r="D25" s="184">
        <f t="shared" si="1"/>
        <v>2000</v>
      </c>
      <c r="E25" s="100">
        <f>E22</f>
        <v>14319</v>
      </c>
      <c r="F25" s="100">
        <f>G22</f>
        <v>21084700</v>
      </c>
      <c r="G25" s="128">
        <f>Rates!E$10</f>
        <v>43.24</v>
      </c>
      <c r="H25" s="154">
        <f>E25*G25</f>
        <v>619153.56000000006</v>
      </c>
      <c r="I25" s="128"/>
      <c r="J25" s="128"/>
      <c r="K25" s="180"/>
      <c r="L25" s="203"/>
    </row>
    <row r="26" spans="2:15" x14ac:dyDescent="0.45">
      <c r="B26" s="204"/>
      <c r="C26" s="184" t="str">
        <f t="shared" si="1"/>
        <v>Next</v>
      </c>
      <c r="D26" s="184">
        <f t="shared" si="1"/>
        <v>3000</v>
      </c>
      <c r="E26" s="100"/>
      <c r="F26" s="100">
        <f>H22</f>
        <v>15756800</v>
      </c>
      <c r="G26" s="254">
        <f>Rates!E$11</f>
        <v>1.1990000000000001E-2</v>
      </c>
      <c r="H26" s="154">
        <f>F26*G26</f>
        <v>188924.03200000001</v>
      </c>
      <c r="I26" s="128"/>
      <c r="J26" s="128"/>
      <c r="K26" s="180"/>
      <c r="L26" s="203"/>
    </row>
    <row r="27" spans="2:15" x14ac:dyDescent="0.45">
      <c r="B27" s="204"/>
      <c r="C27" s="184" t="str">
        <f t="shared" si="1"/>
        <v>Next</v>
      </c>
      <c r="D27" s="184">
        <f t="shared" si="1"/>
        <v>5000</v>
      </c>
      <c r="E27" s="100"/>
      <c r="F27" s="100">
        <f>I22</f>
        <v>7575700</v>
      </c>
      <c r="G27" s="254">
        <f>Rates!E$12</f>
        <v>1.06E-2</v>
      </c>
      <c r="H27" s="154">
        <f>F27*G27</f>
        <v>80302.42</v>
      </c>
      <c r="I27" s="128"/>
      <c r="J27" s="128"/>
      <c r="K27" s="180"/>
      <c r="L27" s="203"/>
    </row>
    <row r="28" spans="2:15" ht="14.65" thickBot="1" x14ac:dyDescent="0.5">
      <c r="B28" s="204"/>
      <c r="C28" s="184" t="str">
        <f t="shared" si="1"/>
        <v>Over</v>
      </c>
      <c r="D28" s="184">
        <f t="shared" si="1"/>
        <v>10000</v>
      </c>
      <c r="E28" s="186"/>
      <c r="F28" s="186">
        <f>J22</f>
        <v>6432000</v>
      </c>
      <c r="G28" s="254">
        <f>Rates!E$13</f>
        <v>9.1800000000000007E-3</v>
      </c>
      <c r="H28" s="188">
        <f>F28*G28</f>
        <v>59045.760000000002</v>
      </c>
      <c r="I28" s="128"/>
      <c r="J28" s="128"/>
      <c r="K28" s="180"/>
      <c r="L28" s="203"/>
    </row>
    <row r="29" spans="2:15" x14ac:dyDescent="0.45">
      <c r="B29" s="204"/>
      <c r="C29" s="181"/>
      <c r="E29" s="100">
        <f>SUM(E25:E28)</f>
        <v>14319</v>
      </c>
      <c r="F29" s="100">
        <f>SUM(F25:F28)</f>
        <v>50849200</v>
      </c>
      <c r="G29" s="129"/>
      <c r="H29" s="154">
        <f>SUM(H25:H28)</f>
        <v>947425.77200000011</v>
      </c>
      <c r="I29" s="129"/>
      <c r="J29" s="129"/>
      <c r="K29" s="130"/>
      <c r="L29" s="205"/>
    </row>
    <row r="30" spans="2:15" x14ac:dyDescent="0.45">
      <c r="B30" s="204"/>
      <c r="C30" s="181"/>
      <c r="E30" s="100"/>
      <c r="F30" s="100"/>
      <c r="G30" s="129"/>
      <c r="H30" s="154"/>
      <c r="I30" s="129"/>
      <c r="J30" s="129"/>
      <c r="K30" s="130"/>
      <c r="L30" s="205"/>
    </row>
    <row r="31" spans="2:15" x14ac:dyDescent="0.45">
      <c r="B31" s="204"/>
      <c r="C31" s="181"/>
      <c r="E31" s="100"/>
      <c r="F31" s="100"/>
      <c r="G31" s="129"/>
      <c r="H31" s="129"/>
      <c r="I31" s="129"/>
      <c r="J31" s="129"/>
      <c r="K31" s="180"/>
      <c r="L31" s="203"/>
    </row>
    <row r="32" spans="2:15" x14ac:dyDescent="0.45">
      <c r="B32" s="204"/>
      <c r="C32" s="139" t="s">
        <v>241</v>
      </c>
      <c r="E32" s="100"/>
      <c r="F32" s="100"/>
      <c r="G32" s="127" t="str">
        <f>C34</f>
        <v>First</v>
      </c>
      <c r="H32" s="127" t="str">
        <f>C35</f>
        <v>Next</v>
      </c>
      <c r="I32" s="127" t="str">
        <f>C36</f>
        <v>Next</v>
      </c>
      <c r="J32" s="127" t="str">
        <f>C37</f>
        <v>Over</v>
      </c>
      <c r="K32" s="136"/>
      <c r="L32" s="203"/>
    </row>
    <row r="33" spans="2:15" ht="14.65" thickBot="1" x14ac:dyDescent="0.5">
      <c r="B33" s="204"/>
      <c r="C33" s="123" t="s">
        <v>63</v>
      </c>
      <c r="D33" s="189" t="s">
        <v>66</v>
      </c>
      <c r="E33" s="186" t="s">
        <v>10</v>
      </c>
      <c r="F33" s="186" t="s">
        <v>60</v>
      </c>
      <c r="G33" s="190">
        <f>D34</f>
        <v>2000</v>
      </c>
      <c r="H33" s="190">
        <f>D35</f>
        <v>3000</v>
      </c>
      <c r="I33" s="190">
        <f>D36</f>
        <v>5000</v>
      </c>
      <c r="J33" s="190">
        <f>D37</f>
        <v>10000</v>
      </c>
      <c r="K33" s="191" t="s">
        <v>67</v>
      </c>
      <c r="L33" s="203"/>
    </row>
    <row r="34" spans="2:15" x14ac:dyDescent="0.45">
      <c r="B34" s="204"/>
      <c r="C34" s="183" t="s">
        <v>64</v>
      </c>
      <c r="D34" s="184">
        <v>2000</v>
      </c>
      <c r="E34" s="100">
        <v>151</v>
      </c>
      <c r="F34" s="100">
        <v>62400</v>
      </c>
      <c r="G34" s="100">
        <f>F34</f>
        <v>62400</v>
      </c>
      <c r="H34" s="100">
        <v>0</v>
      </c>
      <c r="I34" s="100">
        <v>0</v>
      </c>
      <c r="J34" s="100">
        <v>0</v>
      </c>
      <c r="K34" s="137">
        <f>SUM(G34:J34)</f>
        <v>62400</v>
      </c>
      <c r="L34" s="203"/>
    </row>
    <row r="35" spans="2:15" x14ac:dyDescent="0.45">
      <c r="B35" s="204"/>
      <c r="C35" s="183" t="s">
        <v>75</v>
      </c>
      <c r="D35" s="184">
        <v>3000</v>
      </c>
      <c r="E35" s="100">
        <v>25</v>
      </c>
      <c r="F35" s="100">
        <v>83100</v>
      </c>
      <c r="G35" s="100">
        <f>E35*D34</f>
        <v>50000</v>
      </c>
      <c r="H35" s="100">
        <f>F35-G35</f>
        <v>33100</v>
      </c>
      <c r="I35" s="100">
        <v>0</v>
      </c>
      <c r="J35" s="100">
        <v>0</v>
      </c>
      <c r="K35" s="137">
        <f>SUM(G35:J35)</f>
        <v>83100</v>
      </c>
      <c r="L35" s="203"/>
    </row>
    <row r="36" spans="2:15" x14ac:dyDescent="0.45">
      <c r="B36" s="204"/>
      <c r="C36" s="183" t="s">
        <v>75</v>
      </c>
      <c r="D36" s="184">
        <v>5000</v>
      </c>
      <c r="E36" s="100">
        <v>35</v>
      </c>
      <c r="F36" s="100">
        <v>256200</v>
      </c>
      <c r="G36" s="100">
        <f>E36*D34</f>
        <v>70000</v>
      </c>
      <c r="H36" s="100">
        <f>E36*D35</f>
        <v>105000</v>
      </c>
      <c r="I36" s="100">
        <f>F36-G36-H36</f>
        <v>81200</v>
      </c>
      <c r="J36" s="100">
        <v>0</v>
      </c>
      <c r="K36" s="137">
        <f>SUM(G36:J36)</f>
        <v>256200</v>
      </c>
      <c r="L36" s="203"/>
    </row>
    <row r="37" spans="2:15" ht="14.65" thickBot="1" x14ac:dyDescent="0.5">
      <c r="B37" s="204"/>
      <c r="C37" s="183" t="s">
        <v>65</v>
      </c>
      <c r="D37" s="184">
        <v>10000</v>
      </c>
      <c r="E37" s="186">
        <v>32</v>
      </c>
      <c r="F37" s="186">
        <v>619900</v>
      </c>
      <c r="G37" s="186">
        <f>E37*D34</f>
        <v>64000</v>
      </c>
      <c r="H37" s="186">
        <f>E37*D35</f>
        <v>96000</v>
      </c>
      <c r="I37" s="186">
        <f>E37*D36</f>
        <v>160000</v>
      </c>
      <c r="J37" s="186">
        <f>F37-G37-H37-I37</f>
        <v>299900</v>
      </c>
      <c r="K37" s="187">
        <f>SUM(G37:J37)</f>
        <v>619900</v>
      </c>
      <c r="L37" s="203"/>
    </row>
    <row r="38" spans="2:15" x14ac:dyDescent="0.45">
      <c r="B38" s="204"/>
      <c r="C38" s="181"/>
      <c r="E38" s="100">
        <f t="shared" ref="E38:K38" si="2">SUM(E34:E37)</f>
        <v>243</v>
      </c>
      <c r="F38" s="100">
        <f t="shared" si="2"/>
        <v>1021600</v>
      </c>
      <c r="G38" s="100">
        <f t="shared" si="2"/>
        <v>246400</v>
      </c>
      <c r="H38" s="100">
        <f t="shared" si="2"/>
        <v>234100</v>
      </c>
      <c r="I38" s="100">
        <f t="shared" si="2"/>
        <v>241200</v>
      </c>
      <c r="J38" s="100">
        <f t="shared" si="2"/>
        <v>299900</v>
      </c>
      <c r="K38" s="100">
        <f t="shared" si="2"/>
        <v>1021600</v>
      </c>
      <c r="L38" s="203"/>
      <c r="N38" s="49" t="s">
        <v>164</v>
      </c>
      <c r="O38" s="247">
        <f>F38/E38</f>
        <v>4204.1152263374488</v>
      </c>
    </row>
    <row r="39" spans="2:15" x14ac:dyDescent="0.45">
      <c r="B39" s="204"/>
      <c r="E39" s="100"/>
      <c r="F39" s="100"/>
      <c r="G39" s="129"/>
      <c r="H39" s="129"/>
      <c r="I39" s="129"/>
      <c r="J39" s="129"/>
      <c r="K39" s="180"/>
      <c r="L39" s="203"/>
    </row>
    <row r="40" spans="2:15" ht="14.65" thickBot="1" x14ac:dyDescent="0.5">
      <c r="B40" s="204"/>
      <c r="C40" s="181" t="s">
        <v>68</v>
      </c>
      <c r="D40" s="189" t="s">
        <v>66</v>
      </c>
      <c r="E40" s="186" t="s">
        <v>10</v>
      </c>
      <c r="F40" s="186" t="s">
        <v>60</v>
      </c>
      <c r="G40" s="192" t="s">
        <v>11</v>
      </c>
      <c r="H40" s="189" t="s">
        <v>61</v>
      </c>
      <c r="I40" s="129"/>
      <c r="J40" s="129"/>
      <c r="K40" s="180"/>
      <c r="L40" s="203"/>
    </row>
    <row r="41" spans="2:15" x14ac:dyDescent="0.45">
      <c r="B41" s="204"/>
      <c r="C41" s="184" t="str">
        <f t="shared" ref="C41:D44" si="3">C34</f>
        <v>First</v>
      </c>
      <c r="D41" s="184">
        <f t="shared" si="3"/>
        <v>2000</v>
      </c>
      <c r="E41" s="100">
        <f>E38</f>
        <v>243</v>
      </c>
      <c r="F41" s="100">
        <f>G38</f>
        <v>246400</v>
      </c>
      <c r="G41" s="128">
        <f>Rates!E$10</f>
        <v>43.24</v>
      </c>
      <c r="H41" s="154">
        <f>E41*G41</f>
        <v>10507.32</v>
      </c>
      <c r="I41" s="128"/>
      <c r="J41" s="128"/>
      <c r="K41" s="180"/>
      <c r="L41" s="203"/>
    </row>
    <row r="42" spans="2:15" x14ac:dyDescent="0.45">
      <c r="B42" s="204"/>
      <c r="C42" s="184" t="str">
        <f t="shared" si="3"/>
        <v>Next</v>
      </c>
      <c r="D42" s="184">
        <f t="shared" si="3"/>
        <v>3000</v>
      </c>
      <c r="E42" s="100"/>
      <c r="F42" s="100">
        <f>H38</f>
        <v>234100</v>
      </c>
      <c r="G42" s="254">
        <f>Rates!E$11</f>
        <v>1.1990000000000001E-2</v>
      </c>
      <c r="H42" s="154">
        <f>F42*G42</f>
        <v>2806.8590000000004</v>
      </c>
      <c r="I42" s="128"/>
      <c r="J42" s="128"/>
      <c r="K42" s="180"/>
      <c r="L42" s="203"/>
    </row>
    <row r="43" spans="2:15" x14ac:dyDescent="0.45">
      <c r="B43" s="204"/>
      <c r="C43" s="184" t="str">
        <f t="shared" si="3"/>
        <v>Next</v>
      </c>
      <c r="D43" s="184">
        <f t="shared" si="3"/>
        <v>5000</v>
      </c>
      <c r="E43" s="100"/>
      <c r="F43" s="100">
        <f>I38</f>
        <v>241200</v>
      </c>
      <c r="G43" s="254">
        <f>Rates!E$12</f>
        <v>1.06E-2</v>
      </c>
      <c r="H43" s="154">
        <f>F43*G43</f>
        <v>2556.7199999999998</v>
      </c>
      <c r="I43" s="128"/>
      <c r="J43" s="128"/>
      <c r="K43" s="180"/>
      <c r="L43" s="203"/>
    </row>
    <row r="44" spans="2:15" ht="14.65" thickBot="1" x14ac:dyDescent="0.5">
      <c r="B44" s="204"/>
      <c r="C44" s="184" t="str">
        <f t="shared" si="3"/>
        <v>Over</v>
      </c>
      <c r="D44" s="184">
        <f t="shared" si="3"/>
        <v>10000</v>
      </c>
      <c r="E44" s="186"/>
      <c r="F44" s="186">
        <f>J38</f>
        <v>299900</v>
      </c>
      <c r="G44" s="254">
        <f>Rates!E$13</f>
        <v>9.1800000000000007E-3</v>
      </c>
      <c r="H44" s="188">
        <f>F44*G44</f>
        <v>2753.0820000000003</v>
      </c>
      <c r="I44" s="128"/>
      <c r="J44" s="128"/>
      <c r="K44" s="180"/>
      <c r="L44" s="203"/>
    </row>
    <row r="45" spans="2:15" x14ac:dyDescent="0.45">
      <c r="B45" s="204"/>
      <c r="C45" s="181"/>
      <c r="E45" s="100">
        <f>SUM(E41:E44)</f>
        <v>243</v>
      </c>
      <c r="F45" s="100">
        <f>SUM(F41:F44)</f>
        <v>1021600</v>
      </c>
      <c r="G45" s="129"/>
      <c r="H45" s="154">
        <f>SUM(H41:H44)</f>
        <v>18623.981</v>
      </c>
      <c r="I45" s="129"/>
      <c r="J45" s="129"/>
      <c r="K45" s="130"/>
      <c r="L45" s="205"/>
    </row>
    <row r="46" spans="2:15" x14ac:dyDescent="0.45">
      <c r="B46" s="204"/>
      <c r="C46" s="181"/>
      <c r="E46" s="100"/>
      <c r="F46" s="100"/>
      <c r="G46" s="129"/>
      <c r="H46" s="154"/>
      <c r="I46" s="129"/>
      <c r="J46" s="129"/>
      <c r="K46" s="130"/>
      <c r="L46" s="205"/>
    </row>
    <row r="47" spans="2:15" x14ac:dyDescent="0.45">
      <c r="B47" s="204"/>
      <c r="C47" s="181"/>
      <c r="E47" s="100"/>
      <c r="F47" s="100"/>
      <c r="G47" s="129"/>
      <c r="H47" s="129"/>
      <c r="I47" s="129"/>
      <c r="J47" s="129"/>
      <c r="K47" s="180"/>
      <c r="L47" s="203"/>
    </row>
    <row r="48" spans="2:15" x14ac:dyDescent="0.45">
      <c r="B48" s="204"/>
      <c r="C48" s="139" t="s">
        <v>242</v>
      </c>
      <c r="E48" s="100"/>
      <c r="F48" s="100"/>
      <c r="G48" s="127" t="str">
        <f>C50</f>
        <v>First</v>
      </c>
      <c r="H48" s="127" t="str">
        <f>C51</f>
        <v>Next</v>
      </c>
      <c r="I48" s="127" t="str">
        <f>C52</f>
        <v>Over</v>
      </c>
      <c r="J48" s="136"/>
      <c r="K48" s="136"/>
      <c r="L48" s="203"/>
    </row>
    <row r="49" spans="2:15" ht="14.65" thickBot="1" x14ac:dyDescent="0.5">
      <c r="B49" s="204"/>
      <c r="C49" s="123" t="s">
        <v>63</v>
      </c>
      <c r="D49" s="189" t="s">
        <v>66</v>
      </c>
      <c r="E49" s="186" t="s">
        <v>10</v>
      </c>
      <c r="F49" s="186" t="s">
        <v>60</v>
      </c>
      <c r="G49" s="190">
        <f>D50</f>
        <v>5000</v>
      </c>
      <c r="H49" s="190">
        <f>D51</f>
        <v>5000</v>
      </c>
      <c r="I49" s="190">
        <f>D52</f>
        <v>10000</v>
      </c>
      <c r="J49" s="191" t="s">
        <v>67</v>
      </c>
      <c r="K49" s="136"/>
      <c r="L49" s="203"/>
    </row>
    <row r="50" spans="2:15" x14ac:dyDescent="0.45">
      <c r="B50" s="204"/>
      <c r="C50" s="183" t="s">
        <v>64</v>
      </c>
      <c r="D50" s="184">
        <v>5000</v>
      </c>
      <c r="E50" s="100">
        <v>23</v>
      </c>
      <c r="F50" s="100">
        <v>32000</v>
      </c>
      <c r="G50" s="100">
        <f>F50</f>
        <v>32000</v>
      </c>
      <c r="H50" s="100">
        <v>0</v>
      </c>
      <c r="I50" s="100">
        <v>0</v>
      </c>
      <c r="J50" s="137">
        <f>SUM(G50:I50)</f>
        <v>32000</v>
      </c>
      <c r="K50" s="137"/>
      <c r="L50" s="203"/>
    </row>
    <row r="51" spans="2:15" x14ac:dyDescent="0.45">
      <c r="B51" s="204"/>
      <c r="C51" s="183" t="s">
        <v>75</v>
      </c>
      <c r="D51" s="184">
        <v>5000</v>
      </c>
      <c r="E51" s="100">
        <v>1</v>
      </c>
      <c r="F51" s="100">
        <v>9500</v>
      </c>
      <c r="G51" s="100">
        <f>E51*D50</f>
        <v>5000</v>
      </c>
      <c r="H51" s="100">
        <f>F51-G51</f>
        <v>4500</v>
      </c>
      <c r="I51" s="100">
        <v>0</v>
      </c>
      <c r="J51" s="137">
        <f>SUM(G51:I51)</f>
        <v>9500</v>
      </c>
      <c r="K51" s="137"/>
      <c r="L51" s="203"/>
    </row>
    <row r="52" spans="2:15" ht="14.65" thickBot="1" x14ac:dyDescent="0.5">
      <c r="B52" s="204"/>
      <c r="C52" s="183" t="s">
        <v>65</v>
      </c>
      <c r="D52" s="184">
        <v>10000</v>
      </c>
      <c r="E52" s="186">
        <v>12</v>
      </c>
      <c r="F52" s="186">
        <v>362200</v>
      </c>
      <c r="G52" s="186">
        <f>E52*D50</f>
        <v>60000</v>
      </c>
      <c r="H52" s="186">
        <f>E52*D51</f>
        <v>60000</v>
      </c>
      <c r="I52" s="186">
        <f>F52-G52-H52</f>
        <v>242200</v>
      </c>
      <c r="J52" s="187">
        <f>SUM(G52:I52)</f>
        <v>362200</v>
      </c>
      <c r="K52" s="137"/>
      <c r="L52" s="203"/>
    </row>
    <row r="53" spans="2:15" x14ac:dyDescent="0.45">
      <c r="B53" s="204"/>
      <c r="C53" s="181"/>
      <c r="E53" s="100">
        <f t="shared" ref="E53:J53" si="4">SUM(E50:E52)</f>
        <v>36</v>
      </c>
      <c r="F53" s="100">
        <f t="shared" si="4"/>
        <v>403700</v>
      </c>
      <c r="G53" s="100">
        <f t="shared" si="4"/>
        <v>97000</v>
      </c>
      <c r="H53" s="100">
        <f t="shared" si="4"/>
        <v>64500</v>
      </c>
      <c r="I53" s="100">
        <f t="shared" si="4"/>
        <v>242200</v>
      </c>
      <c r="J53" s="100">
        <f t="shared" si="4"/>
        <v>403700</v>
      </c>
      <c r="K53" s="100"/>
      <c r="L53" s="203"/>
      <c r="N53" s="49" t="s">
        <v>164</v>
      </c>
      <c r="O53" s="247">
        <f>F53/E53</f>
        <v>11213.888888888889</v>
      </c>
    </row>
    <row r="54" spans="2:15" x14ac:dyDescent="0.45">
      <c r="B54" s="204"/>
      <c r="E54" s="100"/>
      <c r="F54" s="100"/>
      <c r="G54" s="129"/>
      <c r="H54" s="129"/>
      <c r="I54" s="129"/>
      <c r="J54" s="129"/>
      <c r="K54" s="180"/>
      <c r="L54" s="203"/>
    </row>
    <row r="55" spans="2:15" ht="14.65" thickBot="1" x14ac:dyDescent="0.5">
      <c r="B55" s="204"/>
      <c r="C55" s="181" t="s">
        <v>68</v>
      </c>
      <c r="D55" s="189" t="s">
        <v>66</v>
      </c>
      <c r="E55" s="186" t="s">
        <v>10</v>
      </c>
      <c r="F55" s="186" t="s">
        <v>60</v>
      </c>
      <c r="G55" s="192" t="s">
        <v>11</v>
      </c>
      <c r="H55" s="189" t="s">
        <v>61</v>
      </c>
      <c r="I55" s="129"/>
      <c r="J55" s="129"/>
      <c r="K55" s="180"/>
      <c r="L55" s="203"/>
    </row>
    <row r="56" spans="2:15" x14ac:dyDescent="0.45">
      <c r="B56" s="204"/>
      <c r="C56" s="184" t="str">
        <f t="shared" ref="C56:D58" si="5">C50</f>
        <v>First</v>
      </c>
      <c r="D56" s="184">
        <f t="shared" si="5"/>
        <v>5000</v>
      </c>
      <c r="E56" s="100">
        <f>E53</f>
        <v>36</v>
      </c>
      <c r="F56" s="100">
        <f>G53</f>
        <v>97000</v>
      </c>
      <c r="G56" s="128">
        <f>Rates!E$19</f>
        <v>79.64</v>
      </c>
      <c r="H56" s="154">
        <f>E56*G56</f>
        <v>2867.04</v>
      </c>
      <c r="I56" s="128"/>
      <c r="J56" s="128"/>
      <c r="K56" s="180"/>
      <c r="L56" s="203"/>
      <c r="N56" s="57"/>
    </row>
    <row r="57" spans="2:15" x14ac:dyDescent="0.45">
      <c r="B57" s="204"/>
      <c r="C57" s="184" t="str">
        <f t="shared" si="5"/>
        <v>Next</v>
      </c>
      <c r="D57" s="184">
        <f t="shared" si="5"/>
        <v>5000</v>
      </c>
      <c r="E57" s="100"/>
      <c r="F57" s="100">
        <f>H53</f>
        <v>64500</v>
      </c>
      <c r="G57" s="254">
        <f>Rates!E$20</f>
        <v>1.06E-2</v>
      </c>
      <c r="H57" s="154">
        <f>F57*G57</f>
        <v>683.7</v>
      </c>
      <c r="I57" s="128"/>
      <c r="J57" s="128"/>
      <c r="K57" s="180"/>
      <c r="L57" s="203"/>
      <c r="N57" s="57"/>
    </row>
    <row r="58" spans="2:15" ht="14.65" thickBot="1" x14ac:dyDescent="0.5">
      <c r="B58" s="204"/>
      <c r="C58" s="184" t="str">
        <f t="shared" si="5"/>
        <v>Over</v>
      </c>
      <c r="D58" s="184">
        <f t="shared" si="5"/>
        <v>10000</v>
      </c>
      <c r="E58" s="186"/>
      <c r="F58" s="186">
        <f>I53</f>
        <v>242200</v>
      </c>
      <c r="G58" s="254">
        <f>Rates!E$21</f>
        <v>9.1800000000000007E-3</v>
      </c>
      <c r="H58" s="188">
        <f>F58*G58</f>
        <v>2223.3960000000002</v>
      </c>
      <c r="I58" s="128"/>
      <c r="J58" s="128"/>
      <c r="K58" s="180"/>
      <c r="L58" s="203"/>
      <c r="N58" s="57"/>
    </row>
    <row r="59" spans="2:15" x14ac:dyDescent="0.45">
      <c r="B59" s="204"/>
      <c r="C59" s="181"/>
      <c r="E59" s="100">
        <f>SUM(E56:E58)</f>
        <v>36</v>
      </c>
      <c r="F59" s="100">
        <f>SUM(F56:F58)</f>
        <v>403700</v>
      </c>
      <c r="G59" s="129"/>
      <c r="H59" s="154">
        <f>SUM(H56:H58)</f>
        <v>5774.1360000000004</v>
      </c>
      <c r="I59" s="129"/>
      <c r="J59" s="129"/>
      <c r="K59" s="130"/>
      <c r="L59" s="203"/>
    </row>
    <row r="60" spans="2:15" x14ac:dyDescent="0.45">
      <c r="B60" s="204"/>
      <c r="C60" s="181"/>
      <c r="E60" s="100"/>
      <c r="F60" s="100"/>
      <c r="G60" s="129"/>
      <c r="H60" s="129"/>
      <c r="I60" s="129"/>
      <c r="J60" s="129"/>
      <c r="K60" s="180"/>
      <c r="L60" s="203"/>
    </row>
    <row r="61" spans="2:15" x14ac:dyDescent="0.45">
      <c r="B61" s="204"/>
      <c r="C61" s="181"/>
      <c r="E61" s="127"/>
      <c r="F61" s="100"/>
      <c r="G61" s="129"/>
      <c r="I61" s="206"/>
      <c r="J61" s="206"/>
      <c r="L61" s="203"/>
    </row>
    <row r="62" spans="2:15" x14ac:dyDescent="0.45">
      <c r="B62" s="204"/>
      <c r="C62" s="139" t="s">
        <v>243</v>
      </c>
      <c r="E62" s="100"/>
      <c r="F62" s="100"/>
      <c r="G62" s="127" t="str">
        <f>C64</f>
        <v>First</v>
      </c>
      <c r="H62" s="127" t="str">
        <f>C65</f>
        <v>Next</v>
      </c>
      <c r="I62" s="127" t="str">
        <f>C66</f>
        <v>Over</v>
      </c>
      <c r="J62" s="136"/>
      <c r="K62" s="136"/>
      <c r="L62" s="203"/>
    </row>
    <row r="63" spans="2:15" ht="14.65" thickBot="1" x14ac:dyDescent="0.5">
      <c r="B63" s="204"/>
      <c r="C63" s="123" t="s">
        <v>63</v>
      </c>
      <c r="D63" s="189" t="s">
        <v>66</v>
      </c>
      <c r="E63" s="186" t="s">
        <v>10</v>
      </c>
      <c r="F63" s="186" t="s">
        <v>60</v>
      </c>
      <c r="G63" s="190">
        <f>D64</f>
        <v>5000</v>
      </c>
      <c r="H63" s="190">
        <f>D65</f>
        <v>5000</v>
      </c>
      <c r="I63" s="190">
        <f>D66</f>
        <v>10000</v>
      </c>
      <c r="J63" s="191" t="s">
        <v>67</v>
      </c>
      <c r="K63" s="136"/>
      <c r="L63" s="203"/>
    </row>
    <row r="64" spans="2:15" x14ac:dyDescent="0.45">
      <c r="B64" s="204"/>
      <c r="C64" s="183" t="s">
        <v>64</v>
      </c>
      <c r="D64" s="184">
        <v>5000</v>
      </c>
      <c r="E64" s="100">
        <v>13</v>
      </c>
      <c r="F64" s="100">
        <v>15000</v>
      </c>
      <c r="G64" s="100">
        <f>F64</f>
        <v>15000</v>
      </c>
      <c r="H64" s="100">
        <v>0</v>
      </c>
      <c r="I64" s="100">
        <v>0</v>
      </c>
      <c r="J64" s="137">
        <f>SUM(G64:I64)</f>
        <v>15000</v>
      </c>
      <c r="K64" s="137"/>
      <c r="L64" s="203"/>
    </row>
    <row r="65" spans="2:15" x14ac:dyDescent="0.45">
      <c r="B65" s="204"/>
      <c r="C65" s="183" t="s">
        <v>75</v>
      </c>
      <c r="D65" s="184">
        <v>5000</v>
      </c>
      <c r="E65" s="100">
        <v>3</v>
      </c>
      <c r="F65" s="100">
        <v>20900</v>
      </c>
      <c r="G65" s="100">
        <f>E65*D64</f>
        <v>15000</v>
      </c>
      <c r="H65" s="100">
        <f>F65-G65</f>
        <v>5900</v>
      </c>
      <c r="I65" s="100">
        <v>0</v>
      </c>
      <c r="J65" s="137">
        <f>SUM(G65:I65)</f>
        <v>20900</v>
      </c>
      <c r="K65" s="137"/>
      <c r="L65" s="203"/>
    </row>
    <row r="66" spans="2:15" ht="14.65" thickBot="1" x14ac:dyDescent="0.5">
      <c r="B66" s="204"/>
      <c r="C66" s="183" t="s">
        <v>65</v>
      </c>
      <c r="D66" s="184">
        <v>10000</v>
      </c>
      <c r="E66" s="186">
        <v>32</v>
      </c>
      <c r="F66" s="186">
        <v>3922200</v>
      </c>
      <c r="G66" s="186">
        <f>E66*D64</f>
        <v>160000</v>
      </c>
      <c r="H66" s="186">
        <f>E66*D65</f>
        <v>160000</v>
      </c>
      <c r="I66" s="186">
        <f>F66-G66-H66</f>
        <v>3602200</v>
      </c>
      <c r="J66" s="187">
        <f>SUM(G66:I66)</f>
        <v>3922200</v>
      </c>
      <c r="K66" s="137"/>
      <c r="L66" s="203"/>
    </row>
    <row r="67" spans="2:15" x14ac:dyDescent="0.45">
      <c r="B67" s="204"/>
      <c r="C67" s="181"/>
      <c r="E67" s="100">
        <f t="shared" ref="E67:J67" si="6">SUM(E64:E66)</f>
        <v>48</v>
      </c>
      <c r="F67" s="100">
        <f t="shared" si="6"/>
        <v>3958100</v>
      </c>
      <c r="G67" s="100">
        <f t="shared" si="6"/>
        <v>190000</v>
      </c>
      <c r="H67" s="100">
        <f t="shared" si="6"/>
        <v>165900</v>
      </c>
      <c r="I67" s="100">
        <f t="shared" si="6"/>
        <v>3602200</v>
      </c>
      <c r="J67" s="100">
        <f t="shared" si="6"/>
        <v>3958100</v>
      </c>
      <c r="K67" s="100"/>
      <c r="L67" s="203"/>
      <c r="N67" s="49" t="s">
        <v>164</v>
      </c>
      <c r="O67" s="247">
        <f>F67/E67</f>
        <v>82460.416666666672</v>
      </c>
    </row>
    <row r="68" spans="2:15" x14ac:dyDescent="0.45">
      <c r="B68" s="204"/>
      <c r="E68" s="100"/>
      <c r="F68" s="100"/>
      <c r="G68" s="129"/>
      <c r="H68" s="129"/>
      <c r="I68" s="129"/>
      <c r="J68" s="129"/>
      <c r="K68" s="180"/>
      <c r="L68" s="203"/>
    </row>
    <row r="69" spans="2:15" ht="14.65" thickBot="1" x14ac:dyDescent="0.5">
      <c r="B69" s="204"/>
      <c r="C69" s="181" t="s">
        <v>68</v>
      </c>
      <c r="D69" s="189" t="s">
        <v>66</v>
      </c>
      <c r="E69" s="186" t="s">
        <v>10</v>
      </c>
      <c r="F69" s="186" t="s">
        <v>60</v>
      </c>
      <c r="G69" s="192" t="s">
        <v>11</v>
      </c>
      <c r="H69" s="189" t="s">
        <v>61</v>
      </c>
      <c r="I69" s="129"/>
      <c r="J69" s="129"/>
      <c r="K69" s="180"/>
      <c r="L69" s="203"/>
    </row>
    <row r="70" spans="2:15" x14ac:dyDescent="0.45">
      <c r="B70" s="204"/>
      <c r="C70" s="184" t="str">
        <f t="shared" ref="C70:D72" si="7">C64</f>
        <v>First</v>
      </c>
      <c r="D70" s="184">
        <f t="shared" si="7"/>
        <v>5000</v>
      </c>
      <c r="E70" s="100">
        <f>E67</f>
        <v>48</v>
      </c>
      <c r="F70" s="100">
        <f>G67</f>
        <v>190000</v>
      </c>
      <c r="G70" s="128">
        <f>Rates!E$19</f>
        <v>79.64</v>
      </c>
      <c r="H70" s="154">
        <f>E70*G70</f>
        <v>3822.7200000000003</v>
      </c>
      <c r="I70" s="128"/>
      <c r="J70" s="128"/>
      <c r="K70" s="180"/>
      <c r="L70" s="203"/>
      <c r="N70" s="57"/>
    </row>
    <row r="71" spans="2:15" x14ac:dyDescent="0.45">
      <c r="B71" s="204"/>
      <c r="C71" s="184" t="str">
        <f t="shared" si="7"/>
        <v>Next</v>
      </c>
      <c r="D71" s="184">
        <f t="shared" si="7"/>
        <v>5000</v>
      </c>
      <c r="E71" s="100"/>
      <c r="F71" s="100">
        <f>H67</f>
        <v>165900</v>
      </c>
      <c r="G71" s="254">
        <f>Rates!E$20</f>
        <v>1.06E-2</v>
      </c>
      <c r="H71" s="154">
        <f>F71*G71</f>
        <v>1758.54</v>
      </c>
      <c r="I71" s="128"/>
      <c r="J71" s="128"/>
      <c r="K71" s="180"/>
      <c r="L71" s="203"/>
      <c r="N71" s="57"/>
    </row>
    <row r="72" spans="2:15" ht="14.65" thickBot="1" x14ac:dyDescent="0.5">
      <c r="B72" s="204"/>
      <c r="C72" s="184" t="str">
        <f t="shared" si="7"/>
        <v>Over</v>
      </c>
      <c r="D72" s="184">
        <f t="shared" si="7"/>
        <v>10000</v>
      </c>
      <c r="E72" s="186"/>
      <c r="F72" s="186">
        <f>I67</f>
        <v>3602200</v>
      </c>
      <c r="G72" s="254">
        <f>Rates!E$21</f>
        <v>9.1800000000000007E-3</v>
      </c>
      <c r="H72" s="188">
        <f>F72*G72</f>
        <v>33068.196000000004</v>
      </c>
      <c r="I72" s="128"/>
      <c r="J72" s="128"/>
      <c r="K72" s="180"/>
      <c r="L72" s="203"/>
      <c r="N72" s="57"/>
    </row>
    <row r="73" spans="2:15" x14ac:dyDescent="0.45">
      <c r="B73" s="204"/>
      <c r="C73" s="181"/>
      <c r="E73" s="100">
        <f>SUM(E70:E72)</f>
        <v>48</v>
      </c>
      <c r="F73" s="100">
        <f>SUM(F70:F72)</f>
        <v>3958100</v>
      </c>
      <c r="G73" s="129"/>
      <c r="H73" s="154">
        <f>SUM(H70:H72)</f>
        <v>38649.456000000006</v>
      </c>
      <c r="I73" s="129"/>
      <c r="J73" s="129"/>
      <c r="K73" s="130"/>
      <c r="L73" s="203"/>
    </row>
    <row r="74" spans="2:15" x14ac:dyDescent="0.45">
      <c r="B74" s="204"/>
      <c r="E74" s="127"/>
      <c r="F74" s="100"/>
      <c r="G74" s="129"/>
      <c r="L74" s="203"/>
    </row>
    <row r="75" spans="2:15" x14ac:dyDescent="0.45">
      <c r="B75" s="204"/>
      <c r="E75" s="127"/>
      <c r="F75" s="100"/>
      <c r="G75" s="129"/>
      <c r="L75" s="203"/>
    </row>
    <row r="76" spans="2:15" x14ac:dyDescent="0.45">
      <c r="B76" s="204"/>
      <c r="C76" s="208" t="s">
        <v>244</v>
      </c>
      <c r="E76" s="100"/>
      <c r="F76" s="100"/>
      <c r="G76" s="127" t="str">
        <f>C78</f>
        <v>First</v>
      </c>
      <c r="H76" s="127" t="str">
        <f>C79</f>
        <v>Over</v>
      </c>
      <c r="I76" s="179"/>
      <c r="J76" s="179"/>
      <c r="K76" s="179"/>
      <c r="L76" s="203"/>
    </row>
    <row r="77" spans="2:15" ht="14.65" thickBot="1" x14ac:dyDescent="0.5">
      <c r="B77" s="204"/>
      <c r="C77" s="123" t="s">
        <v>63</v>
      </c>
      <c r="D77" s="189" t="s">
        <v>66</v>
      </c>
      <c r="E77" s="186" t="s">
        <v>10</v>
      </c>
      <c r="F77" s="186" t="s">
        <v>60</v>
      </c>
      <c r="G77" s="190">
        <f>D78</f>
        <v>300000</v>
      </c>
      <c r="H77" s="190">
        <f>D79</f>
        <v>300000</v>
      </c>
      <c r="I77" s="185" t="s">
        <v>1</v>
      </c>
      <c r="J77" s="184"/>
      <c r="K77" s="184"/>
      <c r="L77" s="203"/>
    </row>
    <row r="78" spans="2:15" x14ac:dyDescent="0.45">
      <c r="B78" s="204"/>
      <c r="C78" s="183" t="s">
        <v>64</v>
      </c>
      <c r="D78" s="184">
        <v>300000</v>
      </c>
      <c r="E78" s="100">
        <v>0</v>
      </c>
      <c r="F78" s="100">
        <v>0</v>
      </c>
      <c r="G78" s="100">
        <f>F78</f>
        <v>0</v>
      </c>
      <c r="H78" s="100">
        <v>0</v>
      </c>
      <c r="I78" s="137">
        <f>SUM(G78:H78)</f>
        <v>0</v>
      </c>
      <c r="J78" s="137"/>
      <c r="K78" s="137"/>
      <c r="L78" s="203"/>
    </row>
    <row r="79" spans="2:15" ht="14.65" thickBot="1" x14ac:dyDescent="0.5">
      <c r="B79" s="204"/>
      <c r="C79" s="183" t="s">
        <v>65</v>
      </c>
      <c r="D79" s="184">
        <v>300000</v>
      </c>
      <c r="E79" s="186">
        <v>12</v>
      </c>
      <c r="F79" s="186">
        <v>11697200</v>
      </c>
      <c r="G79" s="186">
        <f>E79*D78</f>
        <v>3600000</v>
      </c>
      <c r="H79" s="186">
        <f>F79-G79</f>
        <v>8097200</v>
      </c>
      <c r="I79" s="187">
        <f>SUM(G79:H79)</f>
        <v>11697200</v>
      </c>
      <c r="J79" s="137"/>
      <c r="K79" s="137"/>
      <c r="L79" s="203"/>
    </row>
    <row r="80" spans="2:15" x14ac:dyDescent="0.45">
      <c r="B80" s="204"/>
      <c r="C80" s="181"/>
      <c r="E80" s="100">
        <f>SUM(E78:E79)</f>
        <v>12</v>
      </c>
      <c r="F80" s="100">
        <f>SUM(F78:F79)</f>
        <v>11697200</v>
      </c>
      <c r="G80" s="100">
        <f>SUM(G78:G79)</f>
        <v>3600000</v>
      </c>
      <c r="H80" s="100">
        <f>SUM(H78:H79)</f>
        <v>8097200</v>
      </c>
      <c r="I80" s="207">
        <f>SUM(I78:I79)</f>
        <v>11697200</v>
      </c>
      <c r="J80" s="207"/>
      <c r="K80" s="207"/>
      <c r="L80" s="203"/>
      <c r="N80" s="49" t="s">
        <v>164</v>
      </c>
      <c r="O80" s="247">
        <f>F80/E80</f>
        <v>974766.66666666663</v>
      </c>
    </row>
    <row r="81" spans="2:12" x14ac:dyDescent="0.45">
      <c r="B81" s="204"/>
      <c r="E81" s="100"/>
      <c r="F81" s="100"/>
      <c r="G81" s="129"/>
      <c r="H81" s="129"/>
      <c r="L81" s="203"/>
    </row>
    <row r="82" spans="2:12" ht="14.65" thickBot="1" x14ac:dyDescent="0.5">
      <c r="B82" s="204"/>
      <c r="C82" s="181" t="s">
        <v>68</v>
      </c>
      <c r="D82" s="189" t="s">
        <v>66</v>
      </c>
      <c r="E82" s="186" t="s">
        <v>10</v>
      </c>
      <c r="F82" s="186" t="s">
        <v>60</v>
      </c>
      <c r="G82" s="192" t="s">
        <v>11</v>
      </c>
      <c r="H82" s="189" t="s">
        <v>61</v>
      </c>
      <c r="I82" s="129"/>
      <c r="J82" s="129"/>
      <c r="L82" s="203"/>
    </row>
    <row r="83" spans="2:12" x14ac:dyDescent="0.45">
      <c r="B83" s="204"/>
      <c r="C83" s="183" t="str">
        <f>C78</f>
        <v>First</v>
      </c>
      <c r="D83" s="184">
        <f>D78</f>
        <v>300000</v>
      </c>
      <c r="E83" s="100">
        <f>E80</f>
        <v>12</v>
      </c>
      <c r="F83" s="100">
        <f>G80</f>
        <v>3600000</v>
      </c>
      <c r="G83" s="128">
        <f>Rates!E41</f>
        <v>2795.19</v>
      </c>
      <c r="H83" s="154">
        <f>E83*G83</f>
        <v>33542.28</v>
      </c>
      <c r="I83" s="128"/>
      <c r="J83" s="128"/>
      <c r="L83" s="203"/>
    </row>
    <row r="84" spans="2:12" ht="14.65" thickBot="1" x14ac:dyDescent="0.5">
      <c r="B84" s="204"/>
      <c r="C84" s="183" t="str">
        <f>C79</f>
        <v>Over</v>
      </c>
      <c r="D84" s="184">
        <f>D79</f>
        <v>300000</v>
      </c>
      <c r="E84" s="186"/>
      <c r="F84" s="186">
        <f>H80</f>
        <v>8097200</v>
      </c>
      <c r="G84" s="254">
        <f>Rates!E42</f>
        <v>9.1800000000000007E-3</v>
      </c>
      <c r="H84" s="188">
        <f>F84*G84</f>
        <v>74332.296000000002</v>
      </c>
      <c r="I84" s="128"/>
      <c r="J84" s="128"/>
      <c r="L84" s="203"/>
    </row>
    <row r="85" spans="2:12" x14ac:dyDescent="0.45">
      <c r="B85" s="204"/>
      <c r="C85" s="181"/>
      <c r="E85" s="100">
        <f>SUM(E83:E84)</f>
        <v>12</v>
      </c>
      <c r="F85" s="100">
        <f>SUM(F83:F84)</f>
        <v>11697200</v>
      </c>
      <c r="G85" s="129"/>
      <c r="H85" s="154">
        <f>SUM(H83:H84)</f>
        <v>107874.576</v>
      </c>
      <c r="I85" s="129"/>
      <c r="J85" s="129"/>
      <c r="L85" s="203"/>
    </row>
    <row r="86" spans="2:12" x14ac:dyDescent="0.45">
      <c r="B86" s="204"/>
      <c r="C86" s="181"/>
      <c r="E86" s="127"/>
      <c r="F86" s="100"/>
      <c r="G86" s="129"/>
      <c r="L86" s="203"/>
    </row>
    <row r="87" spans="2:12" x14ac:dyDescent="0.45">
      <c r="B87" s="204"/>
      <c r="E87" s="127"/>
      <c r="F87" s="100"/>
      <c r="G87" s="129"/>
      <c r="L87" s="203"/>
    </row>
    <row r="88" spans="2:12" x14ac:dyDescent="0.45">
      <c r="B88" s="204"/>
      <c r="C88" s="208" t="s">
        <v>245</v>
      </c>
      <c r="E88" s="100"/>
      <c r="F88" s="100"/>
      <c r="G88" s="127" t="str">
        <f>C90</f>
        <v>First</v>
      </c>
      <c r="H88" s="127" t="str">
        <f>C91</f>
        <v>Next</v>
      </c>
      <c r="I88" s="127" t="str">
        <f>C92</f>
        <v>Next</v>
      </c>
      <c r="J88" s="127" t="str">
        <f>C93</f>
        <v>Over</v>
      </c>
      <c r="K88" s="179"/>
      <c r="L88" s="203"/>
    </row>
    <row r="89" spans="2:12" ht="14.65" thickBot="1" x14ac:dyDescent="0.5">
      <c r="B89" s="204"/>
      <c r="C89" s="123" t="s">
        <v>63</v>
      </c>
      <c r="D89" s="189" t="s">
        <v>66</v>
      </c>
      <c r="E89" s="186" t="s">
        <v>10</v>
      </c>
      <c r="F89" s="186" t="s">
        <v>60</v>
      </c>
      <c r="G89" s="190">
        <f>D90</f>
        <v>2000</v>
      </c>
      <c r="H89" s="190">
        <f>D91</f>
        <v>3000</v>
      </c>
      <c r="I89" s="190">
        <f>D92</f>
        <v>5000</v>
      </c>
      <c r="J89" s="190">
        <f>D93</f>
        <v>10000</v>
      </c>
      <c r="K89" s="185" t="s">
        <v>1</v>
      </c>
      <c r="L89" s="203"/>
    </row>
    <row r="90" spans="2:12" x14ac:dyDescent="0.45">
      <c r="B90" s="204"/>
      <c r="C90" s="183" t="s">
        <v>64</v>
      </c>
      <c r="D90" s="184">
        <v>2000</v>
      </c>
      <c r="E90" s="100">
        <v>10038</v>
      </c>
      <c r="F90" s="100">
        <v>7025900</v>
      </c>
      <c r="G90" s="100">
        <f>F90</f>
        <v>7025900</v>
      </c>
      <c r="H90" s="100">
        <v>0</v>
      </c>
      <c r="I90" s="100">
        <v>0</v>
      </c>
      <c r="J90" s="100">
        <v>0</v>
      </c>
      <c r="K90" s="137">
        <f>SUM(G90:J90)</f>
        <v>7025900</v>
      </c>
      <c r="L90" s="203"/>
    </row>
    <row r="91" spans="2:12" x14ac:dyDescent="0.45">
      <c r="B91" s="204"/>
      <c r="C91" s="183" t="s">
        <v>75</v>
      </c>
      <c r="D91" s="184">
        <v>3000</v>
      </c>
      <c r="E91" s="100">
        <v>5804</v>
      </c>
      <c r="F91" s="100">
        <v>19068400</v>
      </c>
      <c r="G91" s="100">
        <f>E91*D90</f>
        <v>11608000</v>
      </c>
      <c r="H91" s="100">
        <f>F91-G91</f>
        <v>7460400</v>
      </c>
      <c r="I91" s="100">
        <v>0</v>
      </c>
      <c r="J91" s="100">
        <v>0</v>
      </c>
      <c r="K91" s="137">
        <f>SUM(G91:J91)</f>
        <v>19068400</v>
      </c>
      <c r="L91" s="203"/>
    </row>
    <row r="92" spans="2:12" x14ac:dyDescent="0.45">
      <c r="B92" s="204"/>
      <c r="C92" s="183" t="s">
        <v>75</v>
      </c>
      <c r="D92" s="184">
        <v>5000</v>
      </c>
      <c r="E92" s="100">
        <v>2211</v>
      </c>
      <c r="F92" s="100">
        <v>14898400</v>
      </c>
      <c r="G92" s="100">
        <f>E92*D90</f>
        <v>4422000</v>
      </c>
      <c r="H92" s="100">
        <f>E92*D91</f>
        <v>6633000</v>
      </c>
      <c r="I92" s="100">
        <f>F92-G92-H92</f>
        <v>3843400</v>
      </c>
      <c r="J92" s="100">
        <v>0</v>
      </c>
      <c r="K92" s="137">
        <f>SUM(G92:J92)</f>
        <v>14898400</v>
      </c>
      <c r="L92" s="203"/>
    </row>
    <row r="93" spans="2:12" ht="14.65" thickBot="1" x14ac:dyDescent="0.5">
      <c r="B93" s="204"/>
      <c r="C93" s="183" t="s">
        <v>65</v>
      </c>
      <c r="D93" s="184">
        <v>10000</v>
      </c>
      <c r="E93" s="186">
        <v>514</v>
      </c>
      <c r="F93" s="186">
        <v>21419500</v>
      </c>
      <c r="G93" s="186">
        <f>E93*D90</f>
        <v>1028000</v>
      </c>
      <c r="H93" s="186">
        <f>E93*D91</f>
        <v>1542000</v>
      </c>
      <c r="I93" s="186">
        <f>E93*D92</f>
        <v>2570000</v>
      </c>
      <c r="J93" s="186">
        <f>F93-G93-H93-I93</f>
        <v>16279500</v>
      </c>
      <c r="K93" s="187">
        <f>SUM(G93:J93)</f>
        <v>21419500</v>
      </c>
      <c r="L93" s="203"/>
    </row>
    <row r="94" spans="2:12" x14ac:dyDescent="0.45">
      <c r="B94" s="204"/>
      <c r="C94" s="181"/>
      <c r="E94" s="100">
        <f t="shared" ref="E94:K94" si="8">SUM(E90:E93)</f>
        <v>18567</v>
      </c>
      <c r="F94" s="100">
        <f t="shared" si="8"/>
        <v>62412200</v>
      </c>
      <c r="G94" s="100">
        <f t="shared" si="8"/>
        <v>24083900</v>
      </c>
      <c r="H94" s="100">
        <f t="shared" si="8"/>
        <v>15635400</v>
      </c>
      <c r="I94" s="100">
        <f t="shared" si="8"/>
        <v>6413400</v>
      </c>
      <c r="J94" s="100">
        <f t="shared" si="8"/>
        <v>16279500</v>
      </c>
      <c r="K94" s="207">
        <f t="shared" si="8"/>
        <v>62412200</v>
      </c>
      <c r="L94" s="203"/>
    </row>
    <row r="95" spans="2:12" x14ac:dyDescent="0.45">
      <c r="B95" s="204"/>
      <c r="E95" s="100"/>
      <c r="F95" s="100"/>
      <c r="G95" s="129"/>
      <c r="H95" s="129"/>
      <c r="I95" s="129"/>
      <c r="J95" s="129"/>
      <c r="L95" s="203"/>
    </row>
    <row r="96" spans="2:12" ht="14.65" thickBot="1" x14ac:dyDescent="0.5">
      <c r="B96" s="204"/>
      <c r="C96" s="181" t="s">
        <v>68</v>
      </c>
      <c r="D96" s="189" t="s">
        <v>66</v>
      </c>
      <c r="E96" s="186" t="s">
        <v>10</v>
      </c>
      <c r="F96" s="186" t="s">
        <v>60</v>
      </c>
      <c r="G96" s="192" t="s">
        <v>11</v>
      </c>
      <c r="H96" s="189" t="s">
        <v>61</v>
      </c>
      <c r="I96" s="129"/>
      <c r="J96" s="129"/>
      <c r="L96" s="203"/>
    </row>
    <row r="97" spans="2:12" x14ac:dyDescent="0.45">
      <c r="B97" s="204"/>
      <c r="C97" s="183" t="str">
        <f>C90</f>
        <v>First</v>
      </c>
      <c r="D97" s="184">
        <f>D90</f>
        <v>2000</v>
      </c>
      <c r="E97" s="100">
        <f>E94</f>
        <v>18567</v>
      </c>
      <c r="F97" s="100">
        <f>G94</f>
        <v>24083900</v>
      </c>
      <c r="G97" s="128">
        <f>Rates!E$10</f>
        <v>43.24</v>
      </c>
      <c r="H97" s="195">
        <f>E97*G97</f>
        <v>802837.08000000007</v>
      </c>
      <c r="I97" s="128"/>
      <c r="J97" s="128"/>
      <c r="L97" s="203"/>
    </row>
    <row r="98" spans="2:12" x14ac:dyDescent="0.45">
      <c r="B98" s="204"/>
      <c r="C98" s="183" t="str">
        <f t="shared" ref="C98:D100" si="9">C91</f>
        <v>Next</v>
      </c>
      <c r="D98" s="184">
        <f t="shared" si="9"/>
        <v>3000</v>
      </c>
      <c r="E98" s="100"/>
      <c r="F98" s="100">
        <f>H94</f>
        <v>15635400</v>
      </c>
      <c r="G98" s="254">
        <f>Rates!E$11</f>
        <v>1.1990000000000001E-2</v>
      </c>
      <c r="H98" s="154">
        <f>F98*G98</f>
        <v>187468.446</v>
      </c>
      <c r="I98" s="128"/>
      <c r="J98" s="128"/>
      <c r="L98" s="203"/>
    </row>
    <row r="99" spans="2:12" x14ac:dyDescent="0.45">
      <c r="B99" s="204"/>
      <c r="C99" s="183" t="str">
        <f t="shared" si="9"/>
        <v>Next</v>
      </c>
      <c r="D99" s="184">
        <f t="shared" si="9"/>
        <v>5000</v>
      </c>
      <c r="E99" s="100"/>
      <c r="F99" s="100">
        <f>I94</f>
        <v>6413400</v>
      </c>
      <c r="G99" s="254">
        <f>Rates!E$12</f>
        <v>1.06E-2</v>
      </c>
      <c r="H99" s="154">
        <f>F99*G99</f>
        <v>67982.039999999994</v>
      </c>
      <c r="I99" s="128"/>
      <c r="J99" s="128"/>
      <c r="L99" s="203"/>
    </row>
    <row r="100" spans="2:12" ht="14.65" thickBot="1" x14ac:dyDescent="0.5">
      <c r="B100" s="204"/>
      <c r="C100" s="183" t="str">
        <f t="shared" si="9"/>
        <v>Over</v>
      </c>
      <c r="D100" s="184">
        <f t="shared" si="9"/>
        <v>10000</v>
      </c>
      <c r="E100" s="186"/>
      <c r="F100" s="186">
        <f>J94</f>
        <v>16279500</v>
      </c>
      <c r="G100" s="254">
        <f>Rates!E$13</f>
        <v>9.1800000000000007E-3</v>
      </c>
      <c r="H100" s="188">
        <f>F100*G100</f>
        <v>149445.81</v>
      </c>
      <c r="I100" s="128"/>
      <c r="J100" s="128"/>
      <c r="L100" s="203"/>
    </row>
    <row r="101" spans="2:12" x14ac:dyDescent="0.45">
      <c r="B101" s="204"/>
      <c r="C101" s="181"/>
      <c r="E101" s="100">
        <f>SUM(E97:E100)</f>
        <v>18567</v>
      </c>
      <c r="F101" s="100">
        <f>SUM(F97:F100)</f>
        <v>62412200</v>
      </c>
      <c r="G101" s="129"/>
      <c r="H101" s="154">
        <f>SUM(H97:H100)</f>
        <v>1207733.3760000002</v>
      </c>
      <c r="I101" s="129"/>
      <c r="J101" s="129"/>
      <c r="L101" s="203"/>
    </row>
    <row r="102" spans="2:12" x14ac:dyDescent="0.45">
      <c r="B102" s="204"/>
      <c r="C102" s="181"/>
      <c r="E102" s="100"/>
      <c r="F102" s="100"/>
      <c r="G102" s="129"/>
      <c r="H102" s="154"/>
      <c r="I102" s="129"/>
      <c r="J102" s="129"/>
      <c r="L102" s="203"/>
    </row>
    <row r="103" spans="2:12" x14ac:dyDescent="0.45">
      <c r="B103" s="204"/>
      <c r="C103" s="181"/>
      <c r="E103" s="100"/>
      <c r="F103" s="100"/>
      <c r="G103" s="129"/>
      <c r="H103" s="154"/>
      <c r="I103" s="129"/>
      <c r="J103" s="129"/>
      <c r="L103" s="203"/>
    </row>
    <row r="104" spans="2:12" x14ac:dyDescent="0.45">
      <c r="B104" s="204"/>
      <c r="C104" s="208" t="s">
        <v>246</v>
      </c>
      <c r="E104" s="100"/>
      <c r="F104" s="100"/>
      <c r="G104" s="127" t="str">
        <f>C106</f>
        <v>First</v>
      </c>
      <c r="H104" s="127" t="str">
        <f>C107</f>
        <v>Next</v>
      </c>
      <c r="I104" s="127" t="str">
        <f>C108</f>
        <v>Next</v>
      </c>
      <c r="J104" s="127" t="str">
        <f>C109</f>
        <v>Over</v>
      </c>
      <c r="K104" s="179"/>
      <c r="L104" s="203"/>
    </row>
    <row r="105" spans="2:12" ht="14.65" thickBot="1" x14ac:dyDescent="0.5">
      <c r="B105" s="204"/>
      <c r="C105" s="123" t="s">
        <v>63</v>
      </c>
      <c r="D105" s="189" t="s">
        <v>66</v>
      </c>
      <c r="E105" s="186" t="s">
        <v>10</v>
      </c>
      <c r="F105" s="186" t="s">
        <v>60</v>
      </c>
      <c r="G105" s="190">
        <f>D106</f>
        <v>2000</v>
      </c>
      <c r="H105" s="190">
        <f>D107</f>
        <v>3000</v>
      </c>
      <c r="I105" s="190">
        <f>D108</f>
        <v>5000</v>
      </c>
      <c r="J105" s="190">
        <f>D109</f>
        <v>10000</v>
      </c>
      <c r="K105" s="185" t="s">
        <v>1</v>
      </c>
      <c r="L105" s="203"/>
    </row>
    <row r="106" spans="2:12" x14ac:dyDescent="0.45">
      <c r="B106" s="204"/>
      <c r="C106" s="183" t="s">
        <v>64</v>
      </c>
      <c r="D106" s="184">
        <v>2000</v>
      </c>
      <c r="E106" s="100">
        <v>186</v>
      </c>
      <c r="F106" s="100">
        <v>56500</v>
      </c>
      <c r="G106" s="100">
        <f>F106</f>
        <v>56500</v>
      </c>
      <c r="H106" s="100">
        <v>0</v>
      </c>
      <c r="I106" s="100">
        <v>0</v>
      </c>
      <c r="J106" s="100">
        <v>0</v>
      </c>
      <c r="K106" s="137">
        <f>SUM(G106:J106)</f>
        <v>56500</v>
      </c>
      <c r="L106" s="203"/>
    </row>
    <row r="107" spans="2:12" x14ac:dyDescent="0.45">
      <c r="B107" s="204"/>
      <c r="C107" s="183" t="s">
        <v>75</v>
      </c>
      <c r="D107" s="184">
        <v>3000</v>
      </c>
      <c r="E107" s="100">
        <v>57</v>
      </c>
      <c r="F107" s="100">
        <v>168400</v>
      </c>
      <c r="G107" s="100">
        <f>E107*D106</f>
        <v>114000</v>
      </c>
      <c r="H107" s="100">
        <f>F107-G107</f>
        <v>54400</v>
      </c>
      <c r="I107" s="100">
        <v>0</v>
      </c>
      <c r="J107" s="100">
        <v>0</v>
      </c>
      <c r="K107" s="137">
        <f>SUM(G107:J107)</f>
        <v>168400</v>
      </c>
      <c r="L107" s="203"/>
    </row>
    <row r="108" spans="2:12" x14ac:dyDescent="0.45">
      <c r="B108" s="204"/>
      <c r="C108" s="183" t="s">
        <v>75</v>
      </c>
      <c r="D108" s="184">
        <v>5000</v>
      </c>
      <c r="E108" s="100">
        <v>19</v>
      </c>
      <c r="F108" s="100">
        <v>120800</v>
      </c>
      <c r="G108" s="100">
        <f>E108*D106</f>
        <v>38000</v>
      </c>
      <c r="H108" s="100">
        <f>E108*D107</f>
        <v>57000</v>
      </c>
      <c r="I108" s="100">
        <f>F108-G108-H108</f>
        <v>25800</v>
      </c>
      <c r="J108" s="100">
        <v>0</v>
      </c>
      <c r="K108" s="137">
        <f>SUM(G108:J108)</f>
        <v>120800</v>
      </c>
      <c r="L108" s="203"/>
    </row>
    <row r="109" spans="2:12" ht="14.65" thickBot="1" x14ac:dyDescent="0.5">
      <c r="B109" s="204"/>
      <c r="C109" s="183" t="s">
        <v>65</v>
      </c>
      <c r="D109" s="184">
        <v>10000</v>
      </c>
      <c r="E109" s="186">
        <v>27</v>
      </c>
      <c r="F109" s="186">
        <v>2071800</v>
      </c>
      <c r="G109" s="186">
        <f>E109*D106</f>
        <v>54000</v>
      </c>
      <c r="H109" s="186">
        <f>E109*D107</f>
        <v>81000</v>
      </c>
      <c r="I109" s="186">
        <f>E109*D108</f>
        <v>135000</v>
      </c>
      <c r="J109" s="186">
        <f>F109-G109-H109-I109</f>
        <v>1801800</v>
      </c>
      <c r="K109" s="187">
        <f>SUM(G109:J109)</f>
        <v>2071800</v>
      </c>
      <c r="L109" s="203"/>
    </row>
    <row r="110" spans="2:12" x14ac:dyDescent="0.45">
      <c r="B110" s="204"/>
      <c r="C110" s="181"/>
      <c r="E110" s="100">
        <f t="shared" ref="E110:K110" si="10">SUM(E106:E109)</f>
        <v>289</v>
      </c>
      <c r="F110" s="100">
        <f t="shared" si="10"/>
        <v>2417500</v>
      </c>
      <c r="G110" s="100">
        <f t="shared" si="10"/>
        <v>262500</v>
      </c>
      <c r="H110" s="100">
        <f t="shared" si="10"/>
        <v>192400</v>
      </c>
      <c r="I110" s="100">
        <f t="shared" si="10"/>
        <v>160800</v>
      </c>
      <c r="J110" s="100">
        <f t="shared" si="10"/>
        <v>1801800</v>
      </c>
      <c r="K110" s="100">
        <f t="shared" si="10"/>
        <v>2417500</v>
      </c>
      <c r="L110" s="203"/>
    </row>
    <row r="111" spans="2:12" x14ac:dyDescent="0.45">
      <c r="B111" s="204"/>
      <c r="E111" s="100"/>
      <c r="F111" s="100"/>
      <c r="G111" s="129"/>
      <c r="H111" s="129"/>
      <c r="I111" s="129"/>
      <c r="J111" s="129"/>
      <c r="K111" s="180"/>
      <c r="L111" s="203"/>
    </row>
    <row r="112" spans="2:12" ht="14.65" thickBot="1" x14ac:dyDescent="0.5">
      <c r="B112" s="204"/>
      <c r="C112" s="181" t="s">
        <v>68</v>
      </c>
      <c r="D112" s="189" t="s">
        <v>66</v>
      </c>
      <c r="E112" s="186" t="s">
        <v>10</v>
      </c>
      <c r="F112" s="186" t="s">
        <v>60</v>
      </c>
      <c r="G112" s="192" t="s">
        <v>11</v>
      </c>
      <c r="H112" s="189" t="s">
        <v>61</v>
      </c>
      <c r="I112" s="129"/>
      <c r="J112" s="129"/>
      <c r="K112" s="180"/>
      <c r="L112" s="203"/>
    </row>
    <row r="113" spans="2:12" x14ac:dyDescent="0.45">
      <c r="B113" s="204"/>
      <c r="C113" s="183" t="str">
        <f>C106</f>
        <v>First</v>
      </c>
      <c r="D113" s="184">
        <f>D106</f>
        <v>2000</v>
      </c>
      <c r="E113" s="100">
        <f>E110</f>
        <v>289</v>
      </c>
      <c r="F113" s="100">
        <f>G110</f>
        <v>262500</v>
      </c>
      <c r="G113" s="128">
        <f>Rates!E$10</f>
        <v>43.24</v>
      </c>
      <c r="H113" s="154">
        <f>E113*G113</f>
        <v>12496.36</v>
      </c>
      <c r="I113" s="128"/>
      <c r="J113" s="128"/>
      <c r="K113" s="180"/>
      <c r="L113" s="203"/>
    </row>
    <row r="114" spans="2:12" x14ac:dyDescent="0.45">
      <c r="B114" s="204"/>
      <c r="C114" s="183" t="str">
        <f t="shared" ref="C114:D116" si="11">C107</f>
        <v>Next</v>
      </c>
      <c r="D114" s="184">
        <f t="shared" si="11"/>
        <v>3000</v>
      </c>
      <c r="E114" s="100"/>
      <c r="F114" s="100">
        <f>H110</f>
        <v>192400</v>
      </c>
      <c r="G114" s="254">
        <f>Rates!E$11</f>
        <v>1.1990000000000001E-2</v>
      </c>
      <c r="H114" s="154">
        <f>F114*G114</f>
        <v>2306.8760000000002</v>
      </c>
      <c r="I114" s="128"/>
      <c r="J114" s="128"/>
      <c r="K114" s="180"/>
      <c r="L114" s="203"/>
    </row>
    <row r="115" spans="2:12" x14ac:dyDescent="0.45">
      <c r="B115" s="204"/>
      <c r="C115" s="183" t="str">
        <f t="shared" si="11"/>
        <v>Next</v>
      </c>
      <c r="D115" s="184">
        <f t="shared" si="11"/>
        <v>5000</v>
      </c>
      <c r="E115" s="100"/>
      <c r="F115" s="100">
        <f>I110</f>
        <v>160800</v>
      </c>
      <c r="G115" s="254">
        <f>Rates!E$12</f>
        <v>1.06E-2</v>
      </c>
      <c r="H115" s="154">
        <f>F115*G115</f>
        <v>1704.48</v>
      </c>
      <c r="I115" s="128"/>
      <c r="J115" s="128"/>
      <c r="K115" s="180"/>
      <c r="L115" s="203"/>
    </row>
    <row r="116" spans="2:12" ht="14.65" thickBot="1" x14ac:dyDescent="0.5">
      <c r="B116" s="204"/>
      <c r="C116" s="183" t="str">
        <f t="shared" si="11"/>
        <v>Over</v>
      </c>
      <c r="D116" s="184">
        <f t="shared" si="11"/>
        <v>10000</v>
      </c>
      <c r="E116" s="186"/>
      <c r="F116" s="186">
        <f>J110</f>
        <v>1801800</v>
      </c>
      <c r="G116" s="254">
        <f>Rates!E$13</f>
        <v>9.1800000000000007E-3</v>
      </c>
      <c r="H116" s="188">
        <f>F116*G116</f>
        <v>16540.524000000001</v>
      </c>
      <c r="I116" s="128"/>
      <c r="J116" s="128"/>
      <c r="K116" s="180"/>
      <c r="L116" s="203"/>
    </row>
    <row r="117" spans="2:12" x14ac:dyDescent="0.45">
      <c r="B117" s="204"/>
      <c r="C117" s="181"/>
      <c r="E117" s="100">
        <f>SUM(E113:E116)</f>
        <v>289</v>
      </c>
      <c r="F117" s="100">
        <f>SUM(F113:F116)</f>
        <v>2417500</v>
      </c>
      <c r="G117" s="129"/>
      <c r="H117" s="154">
        <f>SUM(H113:H116)</f>
        <v>33048.240000000005</v>
      </c>
      <c r="I117" s="129"/>
      <c r="J117" s="129"/>
      <c r="K117" s="130"/>
      <c r="L117" s="203"/>
    </row>
    <row r="118" spans="2:12" x14ac:dyDescent="0.45">
      <c r="B118" s="204"/>
      <c r="C118" s="181"/>
      <c r="E118" s="100"/>
      <c r="F118" s="100"/>
      <c r="G118" s="129"/>
      <c r="H118" s="154"/>
      <c r="I118" s="129"/>
      <c r="J118" s="129"/>
      <c r="K118" s="130"/>
      <c r="L118" s="203"/>
    </row>
    <row r="119" spans="2:12" x14ac:dyDescent="0.45">
      <c r="B119" s="204"/>
      <c r="E119" s="127"/>
      <c r="F119" s="100"/>
      <c r="G119" s="129"/>
      <c r="L119" s="203"/>
    </row>
    <row r="120" spans="2:12" x14ac:dyDescent="0.45">
      <c r="B120" s="204"/>
      <c r="C120" s="208" t="s">
        <v>247</v>
      </c>
      <c r="E120" s="100"/>
      <c r="F120" s="100"/>
      <c r="G120" s="127" t="str">
        <f>C122</f>
        <v>First</v>
      </c>
      <c r="H120" s="127" t="str">
        <f>C123</f>
        <v>Next</v>
      </c>
      <c r="I120" s="127" t="str">
        <f>C124</f>
        <v>Over</v>
      </c>
      <c r="J120" s="179"/>
      <c r="K120" s="179"/>
      <c r="L120" s="203"/>
    </row>
    <row r="121" spans="2:12" ht="14.65" thickBot="1" x14ac:dyDescent="0.5">
      <c r="B121" s="204"/>
      <c r="C121" s="123" t="s">
        <v>63</v>
      </c>
      <c r="D121" s="189" t="s">
        <v>66</v>
      </c>
      <c r="E121" s="186" t="s">
        <v>10</v>
      </c>
      <c r="F121" s="186" t="s">
        <v>60</v>
      </c>
      <c r="G121" s="190">
        <f>D122</f>
        <v>5000</v>
      </c>
      <c r="H121" s="190">
        <f>D123</f>
        <v>5000</v>
      </c>
      <c r="I121" s="190">
        <f>D124</f>
        <v>10000</v>
      </c>
      <c r="J121" s="185" t="s">
        <v>1</v>
      </c>
      <c r="K121" s="184"/>
      <c r="L121" s="203"/>
    </row>
    <row r="122" spans="2:12" x14ac:dyDescent="0.45">
      <c r="B122" s="204"/>
      <c r="C122" s="183" t="s">
        <v>64</v>
      </c>
      <c r="D122" s="184">
        <v>5000</v>
      </c>
      <c r="E122" s="100">
        <v>0</v>
      </c>
      <c r="F122" s="100">
        <v>0</v>
      </c>
      <c r="G122" s="100">
        <f>F122</f>
        <v>0</v>
      </c>
      <c r="H122" s="100">
        <v>0</v>
      </c>
      <c r="I122" s="100">
        <v>0</v>
      </c>
      <c r="J122" s="137">
        <f>SUM(G122:I122)</f>
        <v>0</v>
      </c>
      <c r="K122" s="137"/>
      <c r="L122" s="203"/>
    </row>
    <row r="123" spans="2:12" x14ac:dyDescent="0.45">
      <c r="B123" s="204"/>
      <c r="C123" s="183" t="s">
        <v>75</v>
      </c>
      <c r="D123" s="184">
        <v>5000</v>
      </c>
      <c r="E123" s="100">
        <v>12</v>
      </c>
      <c r="F123" s="100">
        <v>82700</v>
      </c>
      <c r="G123" s="100">
        <f>E123*D122</f>
        <v>60000</v>
      </c>
      <c r="H123" s="100">
        <f>F123-G123</f>
        <v>22700</v>
      </c>
      <c r="I123" s="100">
        <v>0</v>
      </c>
      <c r="J123" s="137">
        <f>SUM(G123:I123)</f>
        <v>82700</v>
      </c>
      <c r="K123" s="137"/>
      <c r="L123" s="203"/>
    </row>
    <row r="124" spans="2:12" ht="14.65" thickBot="1" x14ac:dyDescent="0.5">
      <c r="B124" s="204"/>
      <c r="C124" s="183" t="s">
        <v>65</v>
      </c>
      <c r="D124" s="184">
        <v>10000</v>
      </c>
      <c r="E124" s="186">
        <v>12</v>
      </c>
      <c r="F124" s="186">
        <v>673900</v>
      </c>
      <c r="G124" s="186">
        <f>E124*D122</f>
        <v>60000</v>
      </c>
      <c r="H124" s="186">
        <f>E124*D123</f>
        <v>60000</v>
      </c>
      <c r="I124" s="186">
        <f>F124-G124-H124</f>
        <v>553900</v>
      </c>
      <c r="J124" s="187">
        <f>SUM(G124:I124)</f>
        <v>673900</v>
      </c>
      <c r="K124" s="137"/>
      <c r="L124" s="203"/>
    </row>
    <row r="125" spans="2:12" x14ac:dyDescent="0.45">
      <c r="B125" s="204"/>
      <c r="C125" s="181"/>
      <c r="E125" s="100">
        <f t="shared" ref="E125:J125" si="12">SUM(E122:E124)</f>
        <v>24</v>
      </c>
      <c r="F125" s="100">
        <f t="shared" si="12"/>
        <v>756600</v>
      </c>
      <c r="G125" s="100">
        <f t="shared" si="12"/>
        <v>120000</v>
      </c>
      <c r="H125" s="100">
        <f t="shared" si="12"/>
        <v>82700</v>
      </c>
      <c r="I125" s="100">
        <f t="shared" si="12"/>
        <v>553900</v>
      </c>
      <c r="J125" s="100">
        <f t="shared" si="12"/>
        <v>756600</v>
      </c>
      <c r="K125" s="100"/>
      <c r="L125" s="203"/>
    </row>
    <row r="126" spans="2:12" x14ac:dyDescent="0.45">
      <c r="B126" s="204"/>
      <c r="E126" s="100"/>
      <c r="F126" s="100"/>
      <c r="G126" s="129"/>
      <c r="H126" s="129"/>
      <c r="I126" s="129"/>
      <c r="J126" s="129"/>
      <c r="K126" s="180"/>
      <c r="L126" s="203"/>
    </row>
    <row r="127" spans="2:12" x14ac:dyDescent="0.45">
      <c r="B127" s="204"/>
      <c r="C127" s="181" t="s">
        <v>68</v>
      </c>
      <c r="D127" s="179" t="s">
        <v>66</v>
      </c>
      <c r="E127" s="100" t="s">
        <v>10</v>
      </c>
      <c r="F127" s="100" t="s">
        <v>60</v>
      </c>
      <c r="G127" s="129" t="s">
        <v>11</v>
      </c>
      <c r="H127" s="179" t="s">
        <v>61</v>
      </c>
      <c r="I127" s="129"/>
      <c r="J127" s="129"/>
      <c r="K127" s="180"/>
      <c r="L127" s="203"/>
    </row>
    <row r="128" spans="2:12" x14ac:dyDescent="0.45">
      <c r="B128" s="204"/>
      <c r="C128" s="183" t="str">
        <f t="shared" ref="C128:D130" si="13">C122</f>
        <v>First</v>
      </c>
      <c r="D128" s="184">
        <f t="shared" si="13"/>
        <v>5000</v>
      </c>
      <c r="E128" s="100">
        <f>E125</f>
        <v>24</v>
      </c>
      <c r="F128" s="100">
        <f>G125</f>
        <v>120000</v>
      </c>
      <c r="G128" s="128">
        <f>Rates!$E$19</f>
        <v>79.64</v>
      </c>
      <c r="H128" s="154">
        <f>E128*G128</f>
        <v>1911.3600000000001</v>
      </c>
      <c r="I128" s="128"/>
      <c r="J128" s="128"/>
      <c r="K128" s="180"/>
      <c r="L128" s="203"/>
    </row>
    <row r="129" spans="2:15" x14ac:dyDescent="0.45">
      <c r="B129" s="204"/>
      <c r="C129" s="183" t="str">
        <f t="shared" si="13"/>
        <v>Next</v>
      </c>
      <c r="D129" s="184">
        <f t="shared" si="13"/>
        <v>5000</v>
      </c>
      <c r="E129" s="100"/>
      <c r="F129" s="100">
        <f>H125</f>
        <v>82700</v>
      </c>
      <c r="G129" s="254">
        <f>Rates!$E$20</f>
        <v>1.06E-2</v>
      </c>
      <c r="H129" s="154">
        <f>F129*G129</f>
        <v>876.62</v>
      </c>
      <c r="I129" s="128"/>
      <c r="J129" s="128"/>
      <c r="K129" s="180"/>
      <c r="L129" s="203"/>
    </row>
    <row r="130" spans="2:15" ht="14.65" thickBot="1" x14ac:dyDescent="0.5">
      <c r="B130" s="204"/>
      <c r="C130" s="183" t="str">
        <f t="shared" si="13"/>
        <v>Over</v>
      </c>
      <c r="D130" s="184">
        <f t="shared" si="13"/>
        <v>10000</v>
      </c>
      <c r="E130" s="186"/>
      <c r="F130" s="186">
        <f>I125</f>
        <v>553900</v>
      </c>
      <c r="G130" s="254">
        <f>Rates!$E$21</f>
        <v>9.1800000000000007E-3</v>
      </c>
      <c r="H130" s="188">
        <f>F130*G130</f>
        <v>5084.8020000000006</v>
      </c>
      <c r="I130" s="128"/>
      <c r="J130" s="128"/>
      <c r="K130" s="180"/>
      <c r="L130" s="203"/>
    </row>
    <row r="131" spans="2:15" x14ac:dyDescent="0.45">
      <c r="B131" s="204"/>
      <c r="C131" s="181"/>
      <c r="E131" s="100">
        <f>SUM(E128:E130)</f>
        <v>24</v>
      </c>
      <c r="F131" s="100">
        <f>SUM(F128:F130)</f>
        <v>756600</v>
      </c>
      <c r="G131" s="129"/>
      <c r="H131" s="154">
        <f>SUM(H128:H130)</f>
        <v>7872.7820000000011</v>
      </c>
      <c r="I131" s="129"/>
      <c r="J131" s="129"/>
      <c r="K131" s="130"/>
      <c r="L131" s="203"/>
    </row>
    <row r="132" spans="2:15" x14ac:dyDescent="0.45">
      <c r="B132" s="204"/>
      <c r="E132" s="127"/>
      <c r="F132" s="100"/>
      <c r="G132" s="129"/>
      <c r="L132" s="203"/>
    </row>
    <row r="133" spans="2:15" x14ac:dyDescent="0.45">
      <c r="B133" s="204"/>
      <c r="C133" s="208" t="s">
        <v>248</v>
      </c>
      <c r="E133" s="100"/>
      <c r="F133" s="100"/>
      <c r="G133" s="127" t="str">
        <f>C135</f>
        <v>First</v>
      </c>
      <c r="H133" s="127" t="str">
        <f>C136</f>
        <v>Next</v>
      </c>
      <c r="I133" s="127" t="str">
        <f>C137</f>
        <v>Over</v>
      </c>
      <c r="J133" s="179"/>
      <c r="K133" s="179"/>
      <c r="L133" s="203"/>
    </row>
    <row r="134" spans="2:15" ht="14.65" thickBot="1" x14ac:dyDescent="0.5">
      <c r="B134" s="204"/>
      <c r="C134" s="123" t="s">
        <v>63</v>
      </c>
      <c r="D134" s="189" t="s">
        <v>66</v>
      </c>
      <c r="E134" s="186" t="s">
        <v>10</v>
      </c>
      <c r="F134" s="186" t="s">
        <v>60</v>
      </c>
      <c r="G134" s="190">
        <f>D135</f>
        <v>5000</v>
      </c>
      <c r="H134" s="190">
        <f>D136</f>
        <v>5000</v>
      </c>
      <c r="I134" s="190">
        <f>D137</f>
        <v>10000</v>
      </c>
      <c r="J134" s="185" t="s">
        <v>1</v>
      </c>
      <c r="K134" s="184"/>
      <c r="L134" s="203"/>
    </row>
    <row r="135" spans="2:15" x14ac:dyDescent="0.45">
      <c r="B135" s="204"/>
      <c r="C135" s="183" t="s">
        <v>64</v>
      </c>
      <c r="D135" s="184">
        <v>5000</v>
      </c>
      <c r="E135" s="100">
        <v>68</v>
      </c>
      <c r="F135" s="100">
        <v>81100</v>
      </c>
      <c r="G135" s="100">
        <f>F135</f>
        <v>81100</v>
      </c>
      <c r="H135" s="100">
        <v>0</v>
      </c>
      <c r="I135" s="100">
        <v>0</v>
      </c>
      <c r="J135" s="137">
        <f>SUM(G135:I135)</f>
        <v>81100</v>
      </c>
      <c r="K135" s="137"/>
      <c r="L135" s="203"/>
    </row>
    <row r="136" spans="2:15" x14ac:dyDescent="0.45">
      <c r="B136" s="204"/>
      <c r="C136" s="183" t="s">
        <v>75</v>
      </c>
      <c r="D136" s="184">
        <v>5000</v>
      </c>
      <c r="E136" s="100">
        <v>1</v>
      </c>
      <c r="F136" s="100">
        <v>5100</v>
      </c>
      <c r="G136" s="100">
        <f>E136*D135</f>
        <v>5000</v>
      </c>
      <c r="H136" s="100">
        <f>F136-G136</f>
        <v>100</v>
      </c>
      <c r="I136" s="100">
        <v>0</v>
      </c>
      <c r="J136" s="137">
        <f>SUM(G136:I136)</f>
        <v>5100</v>
      </c>
      <c r="K136" s="137"/>
      <c r="L136" s="203"/>
    </row>
    <row r="137" spans="2:15" ht="14.65" thickBot="1" x14ac:dyDescent="0.5">
      <c r="B137" s="204"/>
      <c r="C137" s="183" t="s">
        <v>65</v>
      </c>
      <c r="D137" s="184">
        <v>10000</v>
      </c>
      <c r="E137" s="186">
        <v>27</v>
      </c>
      <c r="F137" s="186">
        <v>8523300</v>
      </c>
      <c r="G137" s="186">
        <f>E137*D135</f>
        <v>135000</v>
      </c>
      <c r="H137" s="186">
        <f>E137*D136</f>
        <v>135000</v>
      </c>
      <c r="I137" s="186">
        <f>F137-G137-H137</f>
        <v>8253300</v>
      </c>
      <c r="J137" s="187">
        <f>SUM(G137:I137)</f>
        <v>8523300</v>
      </c>
      <c r="K137" s="137"/>
      <c r="L137" s="203"/>
    </row>
    <row r="138" spans="2:15" x14ac:dyDescent="0.45">
      <c r="B138" s="204"/>
      <c r="C138" s="181"/>
      <c r="E138" s="100">
        <f t="shared" ref="E138:J138" si="14">SUM(E135:E137)</f>
        <v>96</v>
      </c>
      <c r="F138" s="100">
        <f t="shared" si="14"/>
        <v>8609500</v>
      </c>
      <c r="G138" s="100">
        <f t="shared" si="14"/>
        <v>221100</v>
      </c>
      <c r="H138" s="100">
        <f t="shared" si="14"/>
        <v>135100</v>
      </c>
      <c r="I138" s="100">
        <f t="shared" si="14"/>
        <v>8253300</v>
      </c>
      <c r="J138" s="100">
        <f t="shared" si="14"/>
        <v>8609500</v>
      </c>
      <c r="K138" s="100"/>
      <c r="L138" s="203"/>
      <c r="O138" s="247"/>
    </row>
    <row r="139" spans="2:15" x14ac:dyDescent="0.45">
      <c r="B139" s="204"/>
      <c r="E139" s="100"/>
      <c r="F139" s="100"/>
      <c r="G139" s="129"/>
      <c r="H139" s="129"/>
      <c r="I139" s="129"/>
      <c r="J139" s="129"/>
      <c r="K139" s="180"/>
      <c r="L139" s="203"/>
    </row>
    <row r="140" spans="2:15" ht="14.65" thickBot="1" x14ac:dyDescent="0.5">
      <c r="B140" s="204"/>
      <c r="C140" s="181" t="s">
        <v>68</v>
      </c>
      <c r="D140" s="189" t="s">
        <v>66</v>
      </c>
      <c r="E140" s="186" t="s">
        <v>10</v>
      </c>
      <c r="F140" s="186" t="s">
        <v>60</v>
      </c>
      <c r="G140" s="192" t="s">
        <v>11</v>
      </c>
      <c r="H140" s="189" t="s">
        <v>61</v>
      </c>
      <c r="I140" s="129"/>
      <c r="J140" s="129"/>
      <c r="K140" s="180"/>
      <c r="L140" s="203"/>
    </row>
    <row r="141" spans="2:15" x14ac:dyDescent="0.45">
      <c r="B141" s="204"/>
      <c r="C141" s="183" t="s">
        <v>64</v>
      </c>
      <c r="D141" s="184">
        <f>D135</f>
        <v>5000</v>
      </c>
      <c r="E141" s="100">
        <f>E138</f>
        <v>96</v>
      </c>
      <c r="F141" s="100">
        <f>G138</f>
        <v>221100</v>
      </c>
      <c r="G141" s="128">
        <f>Rates!$E$19</f>
        <v>79.64</v>
      </c>
      <c r="H141" s="154">
        <f>E141*G141</f>
        <v>7645.4400000000005</v>
      </c>
      <c r="I141" s="128"/>
      <c r="J141" s="128"/>
      <c r="K141" s="180"/>
      <c r="L141" s="203"/>
    </row>
    <row r="142" spans="2:15" x14ac:dyDescent="0.45">
      <c r="B142" s="204"/>
      <c r="C142" s="183" t="s">
        <v>75</v>
      </c>
      <c r="D142" s="184">
        <f>D136</f>
        <v>5000</v>
      </c>
      <c r="E142" s="100"/>
      <c r="F142" s="100">
        <f>H138</f>
        <v>135100</v>
      </c>
      <c r="G142" s="254">
        <f>Rates!$E$20</f>
        <v>1.06E-2</v>
      </c>
      <c r="H142" s="154">
        <f>F142*G142</f>
        <v>1432.06</v>
      </c>
      <c r="I142" s="128"/>
      <c r="J142" s="128"/>
      <c r="K142" s="180"/>
      <c r="L142" s="203"/>
    </row>
    <row r="143" spans="2:15" ht="14.65" thickBot="1" x14ac:dyDescent="0.5">
      <c r="B143" s="204"/>
      <c r="C143" s="183" t="s">
        <v>75</v>
      </c>
      <c r="D143" s="184">
        <f>D137</f>
        <v>10000</v>
      </c>
      <c r="E143" s="186"/>
      <c r="F143" s="186">
        <f>I138</f>
        <v>8253300</v>
      </c>
      <c r="G143" s="254">
        <f>Rates!$E$21</f>
        <v>9.1800000000000007E-3</v>
      </c>
      <c r="H143" s="188">
        <f>F143*G143</f>
        <v>75765.294000000009</v>
      </c>
      <c r="I143" s="128"/>
      <c r="J143" s="128"/>
      <c r="K143" s="180"/>
      <c r="L143" s="203"/>
    </row>
    <row r="144" spans="2:15" x14ac:dyDescent="0.45">
      <c r="B144" s="204"/>
      <c r="C144" s="181"/>
      <c r="E144" s="100">
        <f>SUM(E141:E143)</f>
        <v>96</v>
      </c>
      <c r="F144" s="100">
        <f>SUM(F141:F143)</f>
        <v>8609500</v>
      </c>
      <c r="G144" s="129"/>
      <c r="H144" s="195">
        <f>SUM(H141:H143)</f>
        <v>84842.794000000009</v>
      </c>
      <c r="I144" s="129"/>
      <c r="J144" s="129"/>
      <c r="K144" s="130"/>
      <c r="L144" s="203"/>
    </row>
    <row r="145" spans="1:15" x14ac:dyDescent="0.45">
      <c r="B145" s="204"/>
      <c r="E145" s="127"/>
      <c r="F145" s="100"/>
      <c r="G145" s="129"/>
      <c r="L145" s="203"/>
    </row>
    <row r="146" spans="1:15" x14ac:dyDescent="0.45">
      <c r="B146" s="204"/>
      <c r="C146" s="208" t="s">
        <v>249</v>
      </c>
      <c r="E146" s="100"/>
      <c r="F146" s="100"/>
      <c r="G146" s="127" t="str">
        <f>C148</f>
        <v>First</v>
      </c>
      <c r="H146" s="127" t="str">
        <f>C149</f>
        <v>Over</v>
      </c>
      <c r="I146" s="179"/>
      <c r="J146" s="179"/>
      <c r="K146" s="179"/>
      <c r="L146" s="203"/>
    </row>
    <row r="147" spans="1:15" ht="14.65" thickBot="1" x14ac:dyDescent="0.5">
      <c r="B147" s="204"/>
      <c r="C147" s="123" t="s">
        <v>63</v>
      </c>
      <c r="D147" s="189" t="s">
        <v>66</v>
      </c>
      <c r="E147" s="186" t="s">
        <v>10</v>
      </c>
      <c r="F147" s="186" t="s">
        <v>60</v>
      </c>
      <c r="G147" s="190">
        <f>D148</f>
        <v>25500</v>
      </c>
      <c r="H147" s="190">
        <f>D149</f>
        <v>25500</v>
      </c>
      <c r="I147" s="185" t="s">
        <v>1</v>
      </c>
      <c r="J147" s="184"/>
      <c r="K147" s="184"/>
      <c r="L147" s="203"/>
    </row>
    <row r="148" spans="1:15" x14ac:dyDescent="0.45">
      <c r="B148" s="204"/>
      <c r="C148" s="183" t="s">
        <v>64</v>
      </c>
      <c r="D148" s="184">
        <v>25500</v>
      </c>
      <c r="E148" s="100">
        <v>0</v>
      </c>
      <c r="F148" s="100">
        <v>0</v>
      </c>
      <c r="G148" s="100">
        <f>F148</f>
        <v>0</v>
      </c>
      <c r="H148" s="100">
        <v>0</v>
      </c>
      <c r="I148" s="137">
        <f>SUM(G148:H148)</f>
        <v>0</v>
      </c>
      <c r="J148" s="137"/>
      <c r="K148" s="137"/>
      <c r="L148" s="203"/>
    </row>
    <row r="149" spans="1:15" ht="14.65" thickBot="1" x14ac:dyDescent="0.5">
      <c r="B149" s="204"/>
      <c r="C149" s="183" t="s">
        <v>65</v>
      </c>
      <c r="D149" s="185">
        <v>25500</v>
      </c>
      <c r="E149" s="186">
        <v>12</v>
      </c>
      <c r="F149" s="186">
        <v>1189400</v>
      </c>
      <c r="G149" s="186">
        <f>E149*D148</f>
        <v>306000</v>
      </c>
      <c r="H149" s="186">
        <f>F149-G149</f>
        <v>883400</v>
      </c>
      <c r="I149" s="187">
        <f>SUM(G149:H149)</f>
        <v>1189400</v>
      </c>
      <c r="J149" s="137"/>
      <c r="K149" s="137"/>
      <c r="L149" s="203"/>
    </row>
    <row r="150" spans="1:15" x14ac:dyDescent="0.45">
      <c r="B150" s="204"/>
      <c r="C150" s="181"/>
      <c r="E150" s="100">
        <f>SUM(E148:E149)</f>
        <v>12</v>
      </c>
      <c r="F150" s="100">
        <f>SUM(F148:F149)</f>
        <v>1189400</v>
      </c>
      <c r="G150" s="100">
        <f>SUM(G148:G149)</f>
        <v>306000</v>
      </c>
      <c r="H150" s="100">
        <f>SUM(H148:H149)</f>
        <v>883400</v>
      </c>
      <c r="I150" s="100">
        <f>SUM(I148:I149)</f>
        <v>1189400</v>
      </c>
      <c r="J150" s="100"/>
      <c r="K150" s="100"/>
      <c r="L150" s="203"/>
      <c r="O150" s="247"/>
    </row>
    <row r="151" spans="1:15" x14ac:dyDescent="0.45">
      <c r="B151" s="204"/>
      <c r="C151" s="181"/>
      <c r="E151" s="100"/>
      <c r="F151" s="100"/>
      <c r="G151" s="100"/>
      <c r="H151" s="100"/>
      <c r="I151" s="100"/>
      <c r="J151" s="100"/>
      <c r="K151" s="100"/>
      <c r="L151" s="203"/>
    </row>
    <row r="152" spans="1:15" ht="14.65" thickBot="1" x14ac:dyDescent="0.5">
      <c r="B152" s="204"/>
      <c r="C152" s="181" t="s">
        <v>68</v>
      </c>
      <c r="D152" s="189" t="s">
        <v>66</v>
      </c>
      <c r="E152" s="186" t="s">
        <v>10</v>
      </c>
      <c r="F152" s="186" t="s">
        <v>60</v>
      </c>
      <c r="G152" s="192" t="s">
        <v>11</v>
      </c>
      <c r="H152" s="189" t="s">
        <v>61</v>
      </c>
      <c r="I152" s="129"/>
      <c r="J152" s="129"/>
      <c r="K152" s="180"/>
      <c r="L152" s="203"/>
    </row>
    <row r="153" spans="1:15" x14ac:dyDescent="0.45">
      <c r="B153" s="204"/>
      <c r="C153" s="183" t="s">
        <v>64</v>
      </c>
      <c r="D153" s="184">
        <f>D148</f>
        <v>25500</v>
      </c>
      <c r="E153" s="100">
        <f>E150</f>
        <v>12</v>
      </c>
      <c r="F153" s="100">
        <f>G150</f>
        <v>306000</v>
      </c>
      <c r="G153" s="128">
        <f>Rates!$E$34</f>
        <v>269.89999999999998</v>
      </c>
      <c r="H153" s="154">
        <f>E153*G153</f>
        <v>3238.7999999999997</v>
      </c>
      <c r="I153" s="129"/>
      <c r="J153" s="129"/>
      <c r="K153" s="180"/>
      <c r="L153" s="203"/>
    </row>
    <row r="154" spans="1:15" ht="14.65" thickBot="1" x14ac:dyDescent="0.5">
      <c r="B154" s="204"/>
      <c r="C154" s="183" t="s">
        <v>75</v>
      </c>
      <c r="D154" s="184">
        <f t="shared" ref="D154" si="15">D149</f>
        <v>25500</v>
      </c>
      <c r="E154" s="186"/>
      <c r="F154" s="186">
        <f>H150</f>
        <v>883400</v>
      </c>
      <c r="G154" s="254">
        <f>Rates!$E$35</f>
        <v>9.1800000000000007E-3</v>
      </c>
      <c r="H154" s="188">
        <f>F154*G154</f>
        <v>8109.612000000001</v>
      </c>
      <c r="I154" s="128"/>
      <c r="J154" s="128"/>
      <c r="K154" s="180"/>
      <c r="L154" s="203"/>
    </row>
    <row r="155" spans="1:15" x14ac:dyDescent="0.45">
      <c r="B155" s="204"/>
      <c r="C155" s="181"/>
      <c r="E155" s="100">
        <f>SUM(E153:E154)</f>
        <v>12</v>
      </c>
      <c r="F155" s="100">
        <f>SUM(F153:F154)</f>
        <v>1189400</v>
      </c>
      <c r="G155" s="129"/>
      <c r="H155" s="195">
        <f>SUM(H153:H154)</f>
        <v>11348.412</v>
      </c>
      <c r="I155" s="129"/>
      <c r="J155" s="129"/>
      <c r="K155" s="130"/>
      <c r="L155" s="203"/>
    </row>
    <row r="156" spans="1:15" x14ac:dyDescent="0.45">
      <c r="A156" s="360"/>
      <c r="E156" s="127"/>
      <c r="F156" s="100"/>
      <c r="G156" s="129"/>
      <c r="L156" s="203"/>
    </row>
    <row r="157" spans="1:15" x14ac:dyDescent="0.45">
      <c r="A157" s="360"/>
      <c r="C157" s="208" t="s">
        <v>250</v>
      </c>
      <c r="E157" s="100"/>
      <c r="F157" s="100"/>
      <c r="G157" s="127" t="str">
        <f>C159</f>
        <v>First</v>
      </c>
      <c r="H157" s="127" t="str">
        <f>C160</f>
        <v>Over</v>
      </c>
      <c r="I157" s="179"/>
      <c r="J157" s="179"/>
      <c r="K157" s="179"/>
      <c r="L157" s="203"/>
    </row>
    <row r="158" spans="1:15" ht="14.65" thickBot="1" x14ac:dyDescent="0.5">
      <c r="A158" s="360"/>
      <c r="C158" s="123" t="s">
        <v>63</v>
      </c>
      <c r="D158" s="189" t="s">
        <v>66</v>
      </c>
      <c r="E158" s="186" t="s">
        <v>10</v>
      </c>
      <c r="F158" s="186" t="s">
        <v>60</v>
      </c>
      <c r="G158" s="190">
        <f>D159</f>
        <v>25500</v>
      </c>
      <c r="H158" s="190">
        <f>D160</f>
        <v>25500</v>
      </c>
      <c r="I158" s="185" t="s">
        <v>1</v>
      </c>
      <c r="J158" s="184"/>
      <c r="K158" s="184"/>
      <c r="L158" s="203"/>
    </row>
    <row r="159" spans="1:15" x14ac:dyDescent="0.45">
      <c r="A159" s="360"/>
      <c r="C159" s="183" t="s">
        <v>64</v>
      </c>
      <c r="D159" s="184">
        <v>25500</v>
      </c>
      <c r="E159" s="100">
        <v>11</v>
      </c>
      <c r="F159" s="100">
        <v>75900</v>
      </c>
      <c r="G159" s="100">
        <f>F159</f>
        <v>75900</v>
      </c>
      <c r="H159" s="100">
        <v>0</v>
      </c>
      <c r="I159" s="137">
        <f>SUM(G159:H159)</f>
        <v>75900</v>
      </c>
      <c r="J159" s="137"/>
      <c r="K159" s="137"/>
      <c r="L159" s="203"/>
    </row>
    <row r="160" spans="1:15" ht="14.65" thickBot="1" x14ac:dyDescent="0.5">
      <c r="A160" s="360"/>
      <c r="C160" s="183" t="s">
        <v>65</v>
      </c>
      <c r="D160" s="185">
        <v>25500</v>
      </c>
      <c r="E160" s="186">
        <v>21</v>
      </c>
      <c r="F160" s="186">
        <v>2794200</v>
      </c>
      <c r="G160" s="186">
        <f>E160*D159</f>
        <v>535500</v>
      </c>
      <c r="H160" s="186">
        <f>F160-G160</f>
        <v>2258700</v>
      </c>
      <c r="I160" s="187">
        <f>SUM(G160:H160)</f>
        <v>2794200</v>
      </c>
      <c r="J160" s="137"/>
      <c r="K160" s="137"/>
      <c r="L160" s="203"/>
    </row>
    <row r="161" spans="1:15" x14ac:dyDescent="0.45">
      <c r="A161" s="360"/>
      <c r="C161" s="181"/>
      <c r="E161" s="100">
        <f>SUM(E159:E160)</f>
        <v>32</v>
      </c>
      <c r="F161" s="100">
        <f>SUM(F159:F160)</f>
        <v>2870100</v>
      </c>
      <c r="G161" s="100">
        <f>SUM(G159:G160)</f>
        <v>611400</v>
      </c>
      <c r="H161" s="100">
        <f>SUM(H159:H160)</f>
        <v>2258700</v>
      </c>
      <c r="I161" s="100">
        <f>SUM(I159:I160)</f>
        <v>2870100</v>
      </c>
      <c r="J161" s="100"/>
      <c r="K161" s="100"/>
      <c r="L161" s="203"/>
      <c r="N161" s="49" t="s">
        <v>164</v>
      </c>
      <c r="O161" s="247">
        <f>F161/E161</f>
        <v>89690.625</v>
      </c>
    </row>
    <row r="162" spans="1:15" x14ac:dyDescent="0.45">
      <c r="A162" s="360"/>
      <c r="C162" s="181"/>
      <c r="E162" s="100"/>
      <c r="F162" s="100"/>
      <c r="G162" s="100"/>
      <c r="H162" s="100"/>
      <c r="I162" s="100"/>
      <c r="J162" s="100"/>
      <c r="K162" s="100"/>
      <c r="L162" s="203"/>
    </row>
    <row r="163" spans="1:15" ht="14.65" thickBot="1" x14ac:dyDescent="0.5">
      <c r="A163" s="360"/>
      <c r="C163" s="181" t="s">
        <v>68</v>
      </c>
      <c r="D163" s="189" t="s">
        <v>66</v>
      </c>
      <c r="E163" s="186" t="s">
        <v>10</v>
      </c>
      <c r="F163" s="186" t="s">
        <v>60</v>
      </c>
      <c r="G163" s="192" t="s">
        <v>11</v>
      </c>
      <c r="H163" s="189" t="s">
        <v>61</v>
      </c>
      <c r="I163" s="129"/>
      <c r="J163" s="129"/>
      <c r="K163" s="180"/>
      <c r="L163" s="203"/>
    </row>
    <row r="164" spans="1:15" x14ac:dyDescent="0.45">
      <c r="A164" s="360"/>
      <c r="C164" s="183" t="s">
        <v>64</v>
      </c>
      <c r="D164" s="184">
        <f>D159</f>
        <v>25500</v>
      </c>
      <c r="E164" s="100">
        <f>E161</f>
        <v>32</v>
      </c>
      <c r="F164" s="100">
        <f>G161</f>
        <v>611400</v>
      </c>
      <c r="G164" s="128">
        <f>Rates!$E$34</f>
        <v>269.89999999999998</v>
      </c>
      <c r="H164" s="154">
        <f>E164*G164</f>
        <v>8636.7999999999993</v>
      </c>
      <c r="I164" s="129"/>
      <c r="J164" s="129"/>
      <c r="K164" s="180"/>
      <c r="L164" s="203"/>
    </row>
    <row r="165" spans="1:15" ht="14.65" thickBot="1" x14ac:dyDescent="0.5">
      <c r="A165" s="360"/>
      <c r="C165" s="183" t="s">
        <v>75</v>
      </c>
      <c r="D165" s="184">
        <f t="shared" ref="D165" si="16">D160</f>
        <v>25500</v>
      </c>
      <c r="E165" s="186"/>
      <c r="F165" s="186">
        <f>H161</f>
        <v>2258700</v>
      </c>
      <c r="G165" s="254">
        <f>Rates!$E$35</f>
        <v>9.1800000000000007E-3</v>
      </c>
      <c r="H165" s="188">
        <f>F165*G165</f>
        <v>20734.866000000002</v>
      </c>
      <c r="I165" s="128"/>
      <c r="J165" s="128"/>
      <c r="K165" s="180"/>
      <c r="L165" s="203"/>
    </row>
    <row r="166" spans="1:15" x14ac:dyDescent="0.45">
      <c r="A166" s="360"/>
      <c r="C166" s="181"/>
      <c r="E166" s="100">
        <f>SUM(E164:E165)</f>
        <v>32</v>
      </c>
      <c r="F166" s="100">
        <f>SUM(F164:F165)</f>
        <v>2870100</v>
      </c>
      <c r="G166" s="129"/>
      <c r="H166" s="195">
        <f>SUM(H164:H165)</f>
        <v>29371.666000000001</v>
      </c>
      <c r="I166" s="129"/>
      <c r="J166" s="129"/>
      <c r="K166" s="130"/>
      <c r="L166" s="203"/>
    </row>
    <row r="167" spans="1:15" ht="14.65" thickBot="1" x14ac:dyDescent="0.5">
      <c r="A167" s="360"/>
      <c r="B167" s="361"/>
      <c r="C167" s="194"/>
      <c r="D167" s="194"/>
      <c r="E167" s="193"/>
      <c r="F167" s="186"/>
      <c r="G167" s="192"/>
      <c r="H167" s="194"/>
      <c r="I167" s="194"/>
      <c r="J167" s="194"/>
      <c r="K167" s="194"/>
      <c r="L167" s="209"/>
    </row>
    <row r="168" spans="1:15" ht="14.65" thickTop="1" x14ac:dyDescent="0.45">
      <c r="C168" s="123"/>
      <c r="E168" s="100"/>
      <c r="F168" s="100"/>
      <c r="G168" s="129"/>
      <c r="H168" s="129"/>
      <c r="I168" s="129"/>
      <c r="J168" s="129"/>
      <c r="K168" s="136"/>
    </row>
  </sheetData>
  <mergeCells count="4">
    <mergeCell ref="B6:I6"/>
    <mergeCell ref="B3:L3"/>
    <mergeCell ref="B4:L4"/>
    <mergeCell ref="B5:L5"/>
  </mergeCells>
  <printOptions horizontalCentered="1"/>
  <pageMargins left="0.25" right="0.25" top="0.5" bottom="0.5" header="0" footer="0"/>
  <pageSetup scale="80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80109-31C4-4640-AD9A-7CC81A59588E}">
  <dimension ref="A1:K24"/>
  <sheetViews>
    <sheetView workbookViewId="0">
      <selection activeCell="F21" sqref="F21"/>
    </sheetView>
  </sheetViews>
  <sheetFormatPr defaultColWidth="8.83203125" defaultRowHeight="14.25" x14ac:dyDescent="0.45"/>
  <cols>
    <col min="1" max="1" width="4.609375" style="4" customWidth="1"/>
    <col min="2" max="2" width="29.44140625" style="4" customWidth="1"/>
    <col min="3" max="3" width="14.94140625" style="4" customWidth="1"/>
    <col min="4" max="4" width="11.5546875" style="4" customWidth="1"/>
    <col min="5" max="5" width="3.609375" style="352" customWidth="1"/>
    <col min="6" max="6" width="11.5546875" style="133" customWidth="1"/>
    <col min="7" max="7" width="3.5546875" style="4" customWidth="1"/>
    <col min="8" max="8" width="30.83203125" style="4" customWidth="1"/>
    <col min="9" max="10" width="11.38671875" style="4" customWidth="1"/>
    <col min="11" max="11" width="10.83203125" style="4" customWidth="1"/>
    <col min="12" max="16384" width="8.83203125" style="4"/>
  </cols>
  <sheetData>
    <row r="1" spans="1:11" ht="18" x14ac:dyDescent="0.45">
      <c r="A1" s="377" t="s">
        <v>144</v>
      </c>
      <c r="B1" s="377"/>
      <c r="C1" s="377"/>
      <c r="D1" s="377"/>
      <c r="E1" s="377"/>
      <c r="F1" s="377"/>
      <c r="G1" s="31"/>
      <c r="H1" s="31"/>
      <c r="I1" s="31"/>
      <c r="J1" s="31"/>
    </row>
    <row r="2" spans="1:11" ht="18" x14ac:dyDescent="0.45">
      <c r="A2" s="377" t="s">
        <v>218</v>
      </c>
      <c r="B2" s="377"/>
      <c r="C2" s="377"/>
      <c r="D2" s="377"/>
      <c r="E2" s="377"/>
      <c r="F2" s="377"/>
      <c r="G2" s="31"/>
      <c r="H2" s="31"/>
      <c r="I2" s="31"/>
      <c r="J2" s="31"/>
      <c r="K2" s="31"/>
    </row>
    <row r="3" spans="1:11" ht="15.75" x14ac:dyDescent="0.45">
      <c r="A3" s="96"/>
      <c r="B3" s="96"/>
      <c r="C3" s="96"/>
      <c r="D3" s="96"/>
      <c r="E3" s="96"/>
      <c r="F3" s="96"/>
      <c r="G3" s="31"/>
      <c r="H3" s="31"/>
      <c r="I3" s="31"/>
      <c r="J3" s="31"/>
      <c r="K3" s="31"/>
    </row>
    <row r="4" spans="1:11" x14ac:dyDescent="0.45">
      <c r="A4" s="34" t="s">
        <v>58</v>
      </c>
      <c r="B4" s="31"/>
      <c r="C4" s="35"/>
      <c r="D4" s="31"/>
      <c r="E4" s="33"/>
      <c r="G4" s="31"/>
      <c r="I4" s="31"/>
      <c r="J4" s="31"/>
    </row>
    <row r="5" spans="1:11" x14ac:dyDescent="0.45">
      <c r="A5" s="34"/>
      <c r="B5" s="31" t="str">
        <f>SAO!A28</f>
        <v>Total Operating Expenses</v>
      </c>
      <c r="C5" s="35"/>
      <c r="D5" s="31"/>
      <c r="E5" s="33"/>
      <c r="F5" s="133">
        <f>SAO!F28</f>
        <v>1792197.0563760328</v>
      </c>
      <c r="G5" s="31"/>
      <c r="I5" s="31"/>
      <c r="J5" s="31"/>
    </row>
    <row r="6" spans="1:11" x14ac:dyDescent="0.45">
      <c r="A6" s="34"/>
      <c r="B6" s="31" t="str">
        <f>SAO!A33</f>
        <v>Total Other Expenses</v>
      </c>
      <c r="C6" s="35"/>
      <c r="D6" s="31"/>
      <c r="E6" s="33"/>
      <c r="F6" s="133">
        <f>SAO!F33</f>
        <v>283820.08089951589</v>
      </c>
      <c r="G6" s="31"/>
      <c r="I6" s="31"/>
      <c r="J6" s="31"/>
    </row>
    <row r="7" spans="1:11" x14ac:dyDescent="0.45">
      <c r="A7" s="31"/>
      <c r="B7" s="31" t="s">
        <v>42</v>
      </c>
      <c r="C7" s="35"/>
      <c r="D7" s="31"/>
      <c r="E7" s="33" t="s">
        <v>278</v>
      </c>
      <c r="F7" s="133">
        <f>'Debt Service'!M24</f>
        <v>334405.55800000002</v>
      </c>
      <c r="G7" s="31"/>
      <c r="I7" s="31"/>
      <c r="J7" s="31"/>
    </row>
    <row r="8" spans="1:11" s="50" customFormat="1" x14ac:dyDescent="0.45">
      <c r="A8" s="101"/>
      <c r="B8" s="101" t="s">
        <v>71</v>
      </c>
      <c r="C8" s="143"/>
      <c r="D8" s="101"/>
      <c r="E8" s="353" t="s">
        <v>286</v>
      </c>
      <c r="F8" s="135">
        <f>'Debt Service'!M26</f>
        <v>66881.111600000004</v>
      </c>
      <c r="G8" s="101"/>
      <c r="I8" s="101"/>
      <c r="J8" s="101"/>
    </row>
    <row r="9" spans="1:11" x14ac:dyDescent="0.45">
      <c r="A9" s="34" t="s">
        <v>15</v>
      </c>
      <c r="B9" s="31"/>
      <c r="C9" s="35"/>
      <c r="D9" s="31"/>
      <c r="E9" s="33"/>
      <c r="F9" s="155">
        <f>SUM(F5:F8)</f>
        <v>2477303.8068755488</v>
      </c>
      <c r="G9" s="31"/>
      <c r="I9" s="31"/>
      <c r="J9" s="31"/>
    </row>
    <row r="10" spans="1:11" x14ac:dyDescent="0.45">
      <c r="A10" s="34"/>
      <c r="B10" s="31"/>
      <c r="C10" s="35"/>
      <c r="D10" s="31"/>
      <c r="E10" s="33"/>
      <c r="F10" s="155"/>
      <c r="G10" s="31"/>
      <c r="I10" s="31"/>
      <c r="J10" s="31"/>
    </row>
    <row r="11" spans="1:11" x14ac:dyDescent="0.45">
      <c r="A11" s="34" t="s">
        <v>104</v>
      </c>
      <c r="B11" s="31"/>
      <c r="C11" s="35"/>
      <c r="D11" s="31"/>
      <c r="E11" s="33"/>
      <c r="F11" s="155"/>
      <c r="G11" s="31"/>
      <c r="I11" s="31"/>
      <c r="J11" s="31"/>
    </row>
    <row r="12" spans="1:11" x14ac:dyDescent="0.45">
      <c r="A12" s="34"/>
      <c r="B12" s="31" t="str">
        <f>SAO!B8</f>
        <v>Forfeited Discounts</v>
      </c>
      <c r="C12" s="35"/>
      <c r="D12" s="31"/>
      <c r="E12" s="33"/>
      <c r="F12" s="155">
        <f>SAO!F8</f>
        <v>0</v>
      </c>
      <c r="G12" s="31"/>
      <c r="I12" s="31"/>
      <c r="J12" s="31"/>
    </row>
    <row r="13" spans="1:11" x14ac:dyDescent="0.45">
      <c r="A13" s="34"/>
      <c r="B13" s="31" t="str">
        <f>SAO!B9</f>
        <v>Miscellaneous</v>
      </c>
      <c r="C13" s="35"/>
      <c r="D13" s="31"/>
      <c r="E13" s="33"/>
      <c r="F13" s="155">
        <f>SAO!F9</f>
        <v>0</v>
      </c>
      <c r="G13" s="31"/>
      <c r="I13" s="31"/>
      <c r="J13" s="31"/>
    </row>
    <row r="14" spans="1:11" x14ac:dyDescent="0.45">
      <c r="A14" s="34"/>
      <c r="B14" s="31" t="str">
        <f>SAO!B10</f>
        <v>Other Water Revenues</v>
      </c>
      <c r="C14" s="35"/>
      <c r="D14" s="31"/>
      <c r="E14" s="33"/>
      <c r="F14" s="155">
        <f>SAO!F10</f>
        <v>32952</v>
      </c>
      <c r="G14" s="31"/>
      <c r="I14" s="31"/>
      <c r="J14" s="31"/>
    </row>
    <row r="15" spans="1:11" x14ac:dyDescent="0.45">
      <c r="A15" s="34"/>
      <c r="B15" s="31" t="str">
        <f>SAO!A38</f>
        <v>Total Other Income</v>
      </c>
      <c r="C15" s="35"/>
      <c r="D15" s="31"/>
      <c r="E15" s="33"/>
      <c r="F15" s="134">
        <f>SAO!F38</f>
        <v>98</v>
      </c>
      <c r="G15" s="31"/>
      <c r="I15" s="31"/>
      <c r="J15" s="31"/>
    </row>
    <row r="16" spans="1:11" x14ac:dyDescent="0.45">
      <c r="A16" s="34" t="s">
        <v>105</v>
      </c>
      <c r="B16" s="31"/>
      <c r="C16" s="35"/>
      <c r="D16" s="31"/>
      <c r="E16" s="33"/>
      <c r="F16" s="155">
        <f>SUM(F12:F15)</f>
        <v>33050</v>
      </c>
      <c r="G16" s="31"/>
      <c r="I16" s="31"/>
      <c r="J16" s="31"/>
    </row>
    <row r="17" spans="1:10" x14ac:dyDescent="0.45">
      <c r="A17" s="34"/>
      <c r="B17" s="31"/>
      <c r="C17" s="35"/>
      <c r="D17" s="31"/>
      <c r="E17" s="33"/>
      <c r="F17" s="155"/>
      <c r="G17" s="31"/>
      <c r="I17" s="31"/>
      <c r="J17" s="31"/>
    </row>
    <row r="18" spans="1:10" x14ac:dyDescent="0.45">
      <c r="A18" s="34" t="s">
        <v>70</v>
      </c>
      <c r="B18" s="31"/>
      <c r="C18" s="35"/>
      <c r="D18" s="31"/>
      <c r="E18" s="33"/>
      <c r="F18" s="155">
        <f>F9-F16</f>
        <v>2444253.8068755488</v>
      </c>
      <c r="G18" s="31"/>
      <c r="I18" s="31"/>
      <c r="J18" s="31"/>
    </row>
    <row r="19" spans="1:10" x14ac:dyDescent="0.45">
      <c r="A19" s="31" t="s">
        <v>3</v>
      </c>
      <c r="B19" s="31" t="s">
        <v>14</v>
      </c>
      <c r="C19" s="35"/>
      <c r="D19" s="31"/>
      <c r="E19" s="33"/>
      <c r="F19" s="134">
        <f>SAO!F7</f>
        <v>1957510.612</v>
      </c>
      <c r="G19" s="31"/>
      <c r="H19" s="17"/>
      <c r="I19" s="31"/>
      <c r="J19" s="31"/>
    </row>
    <row r="20" spans="1:10" x14ac:dyDescent="0.45">
      <c r="A20" s="34" t="s">
        <v>16</v>
      </c>
      <c r="B20" s="31"/>
      <c r="C20" s="35"/>
      <c r="D20" s="31"/>
      <c r="E20" s="33"/>
      <c r="F20" s="131">
        <f>F18-F19</f>
        <v>486743.19487554883</v>
      </c>
      <c r="G20" s="31"/>
      <c r="H20" s="31"/>
      <c r="I20" s="31"/>
      <c r="J20" s="31"/>
    </row>
    <row r="21" spans="1:10" ht="14.55" customHeight="1" x14ac:dyDescent="0.45">
      <c r="A21" s="34" t="s">
        <v>57</v>
      </c>
      <c r="B21" s="31"/>
      <c r="C21" s="35"/>
      <c r="D21" s="31"/>
      <c r="E21" s="33"/>
      <c r="F21" s="169">
        <f>IF(F20&lt;0,0,F20/F19)</f>
        <v>0.24865417939075204</v>
      </c>
      <c r="G21" s="31"/>
      <c r="H21" s="31"/>
      <c r="I21" s="31"/>
      <c r="J21" s="31"/>
    </row>
    <row r="22" spans="1:10" x14ac:dyDescent="0.45">
      <c r="A22" s="34"/>
      <c r="B22" s="31"/>
      <c r="C22" s="35"/>
      <c r="D22" s="31"/>
      <c r="E22" s="33"/>
      <c r="F22" s="131"/>
    </row>
    <row r="23" spans="1:10" x14ac:dyDescent="0.45">
      <c r="A23" s="31"/>
      <c r="B23" s="31"/>
      <c r="C23" s="35"/>
      <c r="D23" s="31"/>
      <c r="E23" s="33"/>
      <c r="F23" s="131"/>
    </row>
    <row r="24" spans="1:10" x14ac:dyDescent="0.45">
      <c r="A24" s="34"/>
      <c r="B24" s="31"/>
      <c r="C24" s="35"/>
      <c r="D24" s="31"/>
      <c r="E24" s="33"/>
      <c r="F24" s="131"/>
    </row>
  </sheetData>
  <mergeCells count="2">
    <mergeCell ref="A1:F1"/>
    <mergeCell ref="A2:F2"/>
  </mergeCells>
  <printOptions horizontalCentered="1" verticalCentered="1"/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7A01C-7852-4E95-BD91-257134D74ABD}">
  <dimension ref="A2:N34"/>
  <sheetViews>
    <sheetView workbookViewId="0">
      <selection activeCell="B18" sqref="B18"/>
    </sheetView>
  </sheetViews>
  <sheetFormatPr defaultColWidth="8.83203125" defaultRowHeight="14.25" x14ac:dyDescent="0.45"/>
  <cols>
    <col min="1" max="1" width="8.83203125" style="1"/>
    <col min="2" max="2" width="20.609375" style="1" customWidth="1"/>
    <col min="3" max="3" width="12.609375" style="306" customWidth="1"/>
    <col min="4" max="8" width="12.609375" style="7" customWidth="1"/>
    <col min="9" max="9" width="8.83203125" style="11"/>
    <col min="10" max="11" width="8.83203125" style="1"/>
    <col min="12" max="12" width="9.0546875" style="247" bestFit="1" customWidth="1"/>
    <col min="13" max="14" width="8.83203125" style="49"/>
    <col min="15" max="16384" width="8.83203125" style="1"/>
  </cols>
  <sheetData>
    <row r="2" spans="1:14" x14ac:dyDescent="0.45">
      <c r="C2" s="307"/>
      <c r="D2" s="38"/>
      <c r="E2" s="38"/>
      <c r="F2" s="38"/>
      <c r="G2" s="38"/>
      <c r="H2" s="38" t="s">
        <v>1</v>
      </c>
      <c r="I2" s="11" t="s">
        <v>52</v>
      </c>
    </row>
    <row r="3" spans="1:14" x14ac:dyDescent="0.45">
      <c r="C3" s="307" t="s">
        <v>21</v>
      </c>
      <c r="D3" s="38" t="s">
        <v>21</v>
      </c>
      <c r="E3" s="38" t="s">
        <v>22</v>
      </c>
      <c r="F3" s="38" t="s">
        <v>21</v>
      </c>
      <c r="G3" s="38" t="s">
        <v>21</v>
      </c>
      <c r="H3" s="38" t="s">
        <v>21</v>
      </c>
      <c r="I3" s="11" t="s">
        <v>49</v>
      </c>
      <c r="L3" s="365">
        <v>2024</v>
      </c>
    </row>
    <row r="4" spans="1:14" x14ac:dyDescent="0.45">
      <c r="A4" s="303" t="s">
        <v>203</v>
      </c>
      <c r="B4" s="376" t="s">
        <v>204</v>
      </c>
      <c r="C4" s="308" t="s">
        <v>24</v>
      </c>
      <c r="D4" s="304" t="s">
        <v>25</v>
      </c>
      <c r="E4" s="304" t="s">
        <v>26</v>
      </c>
      <c r="F4" s="304" t="s">
        <v>27</v>
      </c>
      <c r="G4" s="304" t="s">
        <v>28</v>
      </c>
      <c r="H4" s="304" t="s">
        <v>29</v>
      </c>
      <c r="I4" s="305" t="s">
        <v>50</v>
      </c>
      <c r="L4" s="124" t="s">
        <v>29</v>
      </c>
      <c r="M4" s="179" t="s">
        <v>17</v>
      </c>
    </row>
    <row r="5" spans="1:14" x14ac:dyDescent="0.45">
      <c r="A5" s="10">
        <v>1</v>
      </c>
      <c r="B5" s="375" t="s">
        <v>252</v>
      </c>
      <c r="C5" s="306">
        <v>2080</v>
      </c>
      <c r="D5" s="7">
        <v>34</v>
      </c>
      <c r="E5" s="45">
        <v>26.25</v>
      </c>
      <c r="F5" s="7">
        <f>C5*E5</f>
        <v>54600</v>
      </c>
      <c r="G5" s="7">
        <f>D5*E5*1.5</f>
        <v>1338.75</v>
      </c>
      <c r="H5" s="7">
        <f>F5+G5</f>
        <v>55938.75</v>
      </c>
      <c r="I5" s="348">
        <v>0</v>
      </c>
      <c r="L5" s="247">
        <f>18446.25+35118</f>
        <v>53564.25</v>
      </c>
      <c r="M5" s="335">
        <f>H5-L5</f>
        <v>2374.5</v>
      </c>
      <c r="N5" s="49">
        <v>1</v>
      </c>
    </row>
    <row r="6" spans="1:14" x14ac:dyDescent="0.45">
      <c r="A6" s="10">
        <f>A5+1</f>
        <v>2</v>
      </c>
      <c r="B6" s="375" t="s">
        <v>253</v>
      </c>
      <c r="C6" s="306">
        <v>2080</v>
      </c>
      <c r="D6" s="7">
        <v>31.5</v>
      </c>
      <c r="E6" s="45">
        <v>14.7</v>
      </c>
      <c r="F6" s="7">
        <f t="shared" ref="F6:F15" si="0">C6*E6</f>
        <v>30576</v>
      </c>
      <c r="G6" s="7">
        <f t="shared" ref="G6:G15" si="1">D6*E6*1.5</f>
        <v>694.57499999999993</v>
      </c>
      <c r="H6" s="7">
        <f t="shared" ref="H6:H15" si="2">F6+G6</f>
        <v>31270.575000000001</v>
      </c>
      <c r="I6" s="348">
        <v>0</v>
      </c>
      <c r="L6" s="247">
        <v>8215.1200000000008</v>
      </c>
      <c r="M6" s="335">
        <f t="shared" ref="M6:M15" si="3">H6-L6</f>
        <v>23055.455000000002</v>
      </c>
      <c r="N6" s="49">
        <v>4</v>
      </c>
    </row>
    <row r="7" spans="1:14" x14ac:dyDescent="0.45">
      <c r="A7" s="10">
        <f t="shared" ref="A7:A13" si="4">A6+1</f>
        <v>3</v>
      </c>
      <c r="B7" s="375" t="s">
        <v>254</v>
      </c>
      <c r="C7" s="306">
        <v>2080</v>
      </c>
      <c r="D7" s="317">
        <v>35.5</v>
      </c>
      <c r="E7" s="52">
        <v>14.6</v>
      </c>
      <c r="F7" s="7">
        <f t="shared" si="0"/>
        <v>30368</v>
      </c>
      <c r="G7" s="7">
        <f t="shared" si="1"/>
        <v>777.44999999999993</v>
      </c>
      <c r="H7" s="7">
        <f t="shared" si="2"/>
        <v>31145.45</v>
      </c>
      <c r="I7" s="348">
        <v>0</v>
      </c>
      <c r="L7" s="247">
        <v>29470.01</v>
      </c>
      <c r="M7" s="335">
        <f t="shared" si="3"/>
        <v>1675.4400000000023</v>
      </c>
      <c r="N7" s="49">
        <v>1</v>
      </c>
    </row>
    <row r="8" spans="1:14" x14ac:dyDescent="0.45">
      <c r="A8" s="10">
        <f t="shared" si="4"/>
        <v>4</v>
      </c>
      <c r="B8" s="375" t="s">
        <v>255</v>
      </c>
      <c r="C8" s="306">
        <v>2080</v>
      </c>
      <c r="D8" s="317">
        <v>104.5</v>
      </c>
      <c r="E8" s="45">
        <v>15.14</v>
      </c>
      <c r="F8" s="7">
        <f t="shared" si="0"/>
        <v>31491.200000000001</v>
      </c>
      <c r="G8" s="7">
        <f t="shared" si="1"/>
        <v>2373.1950000000002</v>
      </c>
      <c r="H8" s="7">
        <f t="shared" si="2"/>
        <v>33864.395000000004</v>
      </c>
      <c r="I8" s="348">
        <v>0</v>
      </c>
      <c r="K8" s="40"/>
      <c r="L8" s="247">
        <v>34980.46</v>
      </c>
      <c r="M8" s="335">
        <f t="shared" si="3"/>
        <v>-1116.0649999999951</v>
      </c>
      <c r="N8" s="49">
        <v>1</v>
      </c>
    </row>
    <row r="9" spans="1:14" x14ac:dyDescent="0.45">
      <c r="A9" s="10">
        <f t="shared" si="4"/>
        <v>5</v>
      </c>
      <c r="B9" s="375" t="s">
        <v>256</v>
      </c>
      <c r="C9" s="306">
        <v>2080</v>
      </c>
      <c r="D9" s="317">
        <v>33.5</v>
      </c>
      <c r="E9" s="45">
        <v>20.55</v>
      </c>
      <c r="F9" s="7">
        <f t="shared" si="0"/>
        <v>42744</v>
      </c>
      <c r="G9" s="7">
        <f t="shared" si="1"/>
        <v>1032.6375</v>
      </c>
      <c r="H9" s="7">
        <f t="shared" si="2"/>
        <v>43776.637499999997</v>
      </c>
      <c r="I9" s="348">
        <v>0</v>
      </c>
      <c r="L9" s="247">
        <v>43448.33</v>
      </c>
      <c r="M9" s="335">
        <f t="shared" si="3"/>
        <v>328.30749999999534</v>
      </c>
      <c r="N9" s="49">
        <v>1</v>
      </c>
    </row>
    <row r="10" spans="1:14" x14ac:dyDescent="0.45">
      <c r="A10" s="10">
        <f t="shared" si="4"/>
        <v>6</v>
      </c>
      <c r="B10" s="375" t="s">
        <v>257</v>
      </c>
      <c r="C10" s="306">
        <v>2080</v>
      </c>
      <c r="D10" s="317">
        <v>175.73</v>
      </c>
      <c r="E10" s="45">
        <v>17.3</v>
      </c>
      <c r="F10" s="7">
        <f t="shared" si="0"/>
        <v>35984</v>
      </c>
      <c r="G10" s="7">
        <f t="shared" si="1"/>
        <v>4560.1934999999994</v>
      </c>
      <c r="H10" s="7">
        <f t="shared" si="2"/>
        <v>40544.193500000001</v>
      </c>
      <c r="I10" s="348">
        <v>0</v>
      </c>
      <c r="L10" s="247">
        <v>43733.63</v>
      </c>
      <c r="M10" s="335">
        <f t="shared" si="3"/>
        <v>-3189.4364999999962</v>
      </c>
      <c r="N10" s="49">
        <v>1</v>
      </c>
    </row>
    <row r="11" spans="1:14" x14ac:dyDescent="0.45">
      <c r="A11" s="10">
        <f t="shared" si="4"/>
        <v>7</v>
      </c>
      <c r="B11" s="375" t="s">
        <v>258</v>
      </c>
      <c r="C11" s="306">
        <v>2080</v>
      </c>
      <c r="D11" s="317">
        <v>102.5</v>
      </c>
      <c r="E11" s="45">
        <v>14.76</v>
      </c>
      <c r="F11" s="7">
        <f t="shared" si="0"/>
        <v>30700.799999999999</v>
      </c>
      <c r="G11" s="7">
        <f t="shared" si="1"/>
        <v>2269.3500000000004</v>
      </c>
      <c r="H11" s="7">
        <f t="shared" si="2"/>
        <v>32970.15</v>
      </c>
      <c r="I11" s="348">
        <v>0</v>
      </c>
      <c r="L11" s="247">
        <v>35307.19</v>
      </c>
      <c r="M11" s="335">
        <f t="shared" si="3"/>
        <v>-2337.0400000000009</v>
      </c>
      <c r="N11" s="49">
        <v>1</v>
      </c>
    </row>
    <row r="12" spans="1:14" x14ac:dyDescent="0.45">
      <c r="A12" s="10">
        <f t="shared" si="4"/>
        <v>8</v>
      </c>
      <c r="B12" s="375" t="s">
        <v>259</v>
      </c>
      <c r="C12" s="306">
        <v>2080</v>
      </c>
      <c r="D12" s="317">
        <v>98.5</v>
      </c>
      <c r="E12" s="45">
        <v>16.86</v>
      </c>
      <c r="F12" s="7">
        <f t="shared" si="0"/>
        <v>35068.799999999996</v>
      </c>
      <c r="G12" s="7">
        <f t="shared" si="1"/>
        <v>2491.0650000000001</v>
      </c>
      <c r="H12" s="7">
        <f t="shared" si="2"/>
        <v>37559.864999999998</v>
      </c>
      <c r="I12" s="348">
        <v>0</v>
      </c>
      <c r="L12" s="247">
        <v>36496.339999999997</v>
      </c>
      <c r="M12" s="335">
        <f t="shared" si="3"/>
        <v>1063.5250000000015</v>
      </c>
      <c r="N12" s="49">
        <v>1</v>
      </c>
    </row>
    <row r="13" spans="1:14" x14ac:dyDescent="0.45">
      <c r="A13" s="10">
        <f t="shared" si="4"/>
        <v>9</v>
      </c>
      <c r="B13" s="375" t="s">
        <v>260</v>
      </c>
      <c r="C13" s="306">
        <v>2080</v>
      </c>
      <c r="D13" s="317">
        <v>69</v>
      </c>
      <c r="E13" s="52">
        <v>20.55</v>
      </c>
      <c r="F13" s="7">
        <f t="shared" si="0"/>
        <v>42744</v>
      </c>
      <c r="G13" s="7">
        <f t="shared" si="1"/>
        <v>2126.9250000000002</v>
      </c>
      <c r="H13" s="7">
        <f t="shared" si="2"/>
        <v>44870.925000000003</v>
      </c>
      <c r="I13" s="348">
        <v>0</v>
      </c>
      <c r="L13" s="247">
        <v>44083.94</v>
      </c>
      <c r="M13" s="335">
        <f t="shared" si="3"/>
        <v>786.98500000000058</v>
      </c>
      <c r="N13" s="49">
        <v>1</v>
      </c>
    </row>
    <row r="14" spans="1:14" x14ac:dyDescent="0.45">
      <c r="A14" s="10">
        <v>10</v>
      </c>
      <c r="B14" s="375" t="s">
        <v>271</v>
      </c>
      <c r="C14" s="306">
        <v>2080</v>
      </c>
      <c r="D14" s="317">
        <v>0</v>
      </c>
      <c r="E14" s="52">
        <v>14</v>
      </c>
      <c r="F14" s="7">
        <f t="shared" si="0"/>
        <v>29120</v>
      </c>
      <c r="G14" s="7">
        <f t="shared" si="1"/>
        <v>0</v>
      </c>
      <c r="H14" s="7">
        <f t="shared" si="2"/>
        <v>29120</v>
      </c>
      <c r="I14" s="348">
        <v>0</v>
      </c>
      <c r="L14" s="247">
        <f>80881.67-75473</f>
        <v>5408.6699999999983</v>
      </c>
      <c r="M14" s="335">
        <f t="shared" si="3"/>
        <v>23711.33</v>
      </c>
      <c r="N14" s="49">
        <v>3</v>
      </c>
    </row>
    <row r="15" spans="1:14" x14ac:dyDescent="0.45">
      <c r="A15" s="10">
        <v>11</v>
      </c>
      <c r="B15" s="375" t="s">
        <v>272</v>
      </c>
      <c r="C15" s="346">
        <v>2080</v>
      </c>
      <c r="D15" s="347">
        <v>0</v>
      </c>
      <c r="E15" s="45">
        <v>14</v>
      </c>
      <c r="F15" s="214">
        <f t="shared" si="0"/>
        <v>29120</v>
      </c>
      <c r="G15" s="214">
        <f t="shared" si="1"/>
        <v>0</v>
      </c>
      <c r="H15" s="214">
        <f t="shared" si="2"/>
        <v>29120</v>
      </c>
      <c r="I15" s="349">
        <v>0</v>
      </c>
      <c r="L15" s="345">
        <v>0</v>
      </c>
      <c r="M15" s="339">
        <f t="shared" si="3"/>
        <v>29120</v>
      </c>
      <c r="N15" s="49">
        <v>3</v>
      </c>
    </row>
    <row r="16" spans="1:14" x14ac:dyDescent="0.45">
      <c r="E16" s="45"/>
      <c r="L16" s="247">
        <f>SUM(L5:L15)</f>
        <v>334707.93999999994</v>
      </c>
      <c r="M16" s="335">
        <f>H17-L16</f>
        <v>75473.001000000047</v>
      </c>
    </row>
    <row r="17" spans="3:14" x14ac:dyDescent="0.45">
      <c r="C17" s="306">
        <f>SUM(C5:C15)</f>
        <v>22880</v>
      </c>
      <c r="D17" s="7">
        <f>SUM(D5:D15)</f>
        <v>684.73</v>
      </c>
      <c r="E17" s="45"/>
      <c r="F17" s="7">
        <f>SUM(F5:F15)</f>
        <v>392516.8</v>
      </c>
      <c r="G17" s="7">
        <f>SUM(G5:G15)</f>
        <v>17664.141</v>
      </c>
      <c r="H17" s="7">
        <f>SUM(H5:H15)</f>
        <v>410180.94099999999</v>
      </c>
      <c r="I17" s="7">
        <f>SUM(I5:I15)</f>
        <v>0</v>
      </c>
    </row>
    <row r="19" spans="3:14" x14ac:dyDescent="0.45">
      <c r="H19" s="38" t="s">
        <v>8</v>
      </c>
      <c r="L19" s="366" t="s">
        <v>296</v>
      </c>
      <c r="M19" s="366" t="s">
        <v>264</v>
      </c>
      <c r="N19" s="366" t="s">
        <v>297</v>
      </c>
    </row>
    <row r="20" spans="3:14" ht="28.5" x14ac:dyDescent="0.45">
      <c r="E20" s="7" t="s">
        <v>30</v>
      </c>
      <c r="H20" s="7">
        <f>H17</f>
        <v>410180.94099999999</v>
      </c>
      <c r="L20" s="367" t="s">
        <v>298</v>
      </c>
      <c r="M20" s="368">
        <v>334708</v>
      </c>
      <c r="N20" s="367"/>
    </row>
    <row r="21" spans="3:14" ht="57" x14ac:dyDescent="0.45">
      <c r="E21" s="7" t="s">
        <v>31</v>
      </c>
      <c r="H21" s="58">
        <f>-SAO!C14</f>
        <v>-334708</v>
      </c>
      <c r="L21" s="367" t="s">
        <v>299</v>
      </c>
      <c r="M21" s="374">
        <v>-17550</v>
      </c>
      <c r="N21" s="367"/>
    </row>
    <row r="22" spans="3:14" ht="42.75" x14ac:dyDescent="0.45">
      <c r="E22" s="7" t="s">
        <v>32</v>
      </c>
      <c r="H22" s="7">
        <f>H20+H21</f>
        <v>75472.940999999992</v>
      </c>
      <c r="I22" s="10"/>
      <c r="L22" s="367" t="s">
        <v>300</v>
      </c>
      <c r="M22" s="369">
        <v>317158</v>
      </c>
      <c r="N22" s="367"/>
    </row>
    <row r="23" spans="3:14" ht="28.5" x14ac:dyDescent="0.45">
      <c r="H23" s="7" t="s">
        <v>33</v>
      </c>
      <c r="I23" s="10"/>
      <c r="K23" s="10">
        <v>1</v>
      </c>
      <c r="L23" s="367" t="s">
        <v>301</v>
      </c>
      <c r="M23" s="370">
        <f>M5+M7+M8+M9+M10+M11+M12+M13</f>
        <v>-413.78399999999237</v>
      </c>
      <c r="N23" s="371">
        <f>M23/M30</f>
        <v>-5.4825434261257982E-3</v>
      </c>
    </row>
    <row r="24" spans="3:14" ht="42.75" x14ac:dyDescent="0.45">
      <c r="E24" s="7" t="s">
        <v>34</v>
      </c>
      <c r="H24" s="7">
        <f>H17</f>
        <v>410180.94099999999</v>
      </c>
      <c r="I24" s="10"/>
      <c r="K24" s="10">
        <v>2</v>
      </c>
      <c r="L24" s="367" t="s">
        <v>302</v>
      </c>
      <c r="M24" s="372"/>
      <c r="N24" s="371">
        <v>0</v>
      </c>
    </row>
    <row r="25" spans="3:14" ht="57" x14ac:dyDescent="0.45">
      <c r="E25" s="7" t="s">
        <v>35</v>
      </c>
      <c r="H25" s="39">
        <v>7.6499999999999999E-2</v>
      </c>
      <c r="I25" s="10"/>
      <c r="K25" s="10">
        <v>3</v>
      </c>
      <c r="L25" s="367" t="s">
        <v>303</v>
      </c>
      <c r="M25" s="370">
        <f>M14+M15</f>
        <v>52831.33</v>
      </c>
      <c r="N25" s="373">
        <f>M25/M30</f>
        <v>0.70000304744743158</v>
      </c>
    </row>
    <row r="26" spans="3:14" ht="42.75" x14ac:dyDescent="0.45">
      <c r="E26" s="7" t="s">
        <v>36</v>
      </c>
      <c r="H26" s="7">
        <f>H24*H25</f>
        <v>31378.8419865</v>
      </c>
      <c r="I26" s="10"/>
      <c r="K26" s="10">
        <v>4</v>
      </c>
      <c r="L26" s="367" t="s">
        <v>304</v>
      </c>
      <c r="M26" s="370">
        <f>M6</f>
        <v>23055.455000000002</v>
      </c>
      <c r="N26" s="373">
        <f>M26/M30</f>
        <v>0.30547950922846584</v>
      </c>
    </row>
    <row r="27" spans="3:14" ht="28.9" thickBot="1" x14ac:dyDescent="0.5">
      <c r="E27" s="7" t="s">
        <v>37</v>
      </c>
      <c r="H27" s="58">
        <f>-SAO!C32</f>
        <v>-24515</v>
      </c>
      <c r="I27" s="10"/>
      <c r="L27" s="367" t="s">
        <v>305</v>
      </c>
      <c r="M27" s="363">
        <v>392631</v>
      </c>
      <c r="N27" s="364"/>
    </row>
    <row r="28" spans="3:14" ht="14.65" thickTop="1" x14ac:dyDescent="0.45">
      <c r="E28" s="7" t="s">
        <v>38</v>
      </c>
      <c r="H28" s="7">
        <f>H26+H27</f>
        <v>6863.8419864999996</v>
      </c>
      <c r="I28" s="10"/>
    </row>
    <row r="29" spans="3:14" x14ac:dyDescent="0.45">
      <c r="I29" s="10"/>
    </row>
    <row r="30" spans="3:14" x14ac:dyDescent="0.45">
      <c r="E30" s="7" t="s">
        <v>34</v>
      </c>
      <c r="H30" s="7">
        <f>I17</f>
        <v>0</v>
      </c>
      <c r="I30" s="10"/>
      <c r="M30" s="362">
        <f>M27-M22</f>
        <v>75473</v>
      </c>
    </row>
    <row r="31" spans="3:14" x14ac:dyDescent="0.45">
      <c r="E31" s="7" t="s">
        <v>54</v>
      </c>
      <c r="H31" s="39">
        <v>0.1971</v>
      </c>
      <c r="I31" s="10"/>
    </row>
    <row r="32" spans="3:14" x14ac:dyDescent="0.45">
      <c r="E32" s="7" t="s">
        <v>39</v>
      </c>
      <c r="H32" s="7">
        <f>H30*H31</f>
        <v>0</v>
      </c>
      <c r="I32" s="10"/>
    </row>
    <row r="33" spans="5:9" x14ac:dyDescent="0.45">
      <c r="E33" s="7" t="s">
        <v>40</v>
      </c>
      <c r="H33" s="58">
        <v>0</v>
      </c>
      <c r="I33" s="10"/>
    </row>
    <row r="34" spans="5:9" x14ac:dyDescent="0.45">
      <c r="E34" s="7" t="s">
        <v>41</v>
      </c>
      <c r="H34" s="7">
        <f>H32+H33</f>
        <v>0</v>
      </c>
      <c r="I34" s="10"/>
    </row>
  </sheetData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502C5-2CD7-493D-BF25-B1BF26C1D76D}">
  <sheetPr>
    <pageSetUpPr fitToPage="1"/>
  </sheetPr>
  <dimension ref="A1:K16"/>
  <sheetViews>
    <sheetView tabSelected="1" workbookViewId="0">
      <selection activeCell="H14" sqref="H14"/>
    </sheetView>
  </sheetViews>
  <sheetFormatPr defaultRowHeight="15.75" x14ac:dyDescent="0.5"/>
  <cols>
    <col min="1" max="1" width="28" style="318" bestFit="1" customWidth="1"/>
    <col min="2" max="2" width="6.5546875" style="336" bestFit="1" customWidth="1"/>
    <col min="3" max="3" width="9.6640625" style="318" bestFit="1" customWidth="1"/>
    <col min="4" max="5" width="14.77734375" style="318" customWidth="1"/>
    <col min="6" max="6" width="1.77734375" style="318" customWidth="1"/>
    <col min="7" max="9" width="14.77734375" style="319" customWidth="1"/>
    <col min="10" max="10" width="8.88671875" style="318"/>
    <col min="11" max="11" width="12.609375" style="318" customWidth="1"/>
    <col min="12" max="16384" width="8.88671875" style="318"/>
  </cols>
  <sheetData>
    <row r="1" spans="1:11" x14ac:dyDescent="0.5">
      <c r="A1" s="318" t="s">
        <v>218</v>
      </c>
    </row>
    <row r="2" spans="1:11" x14ac:dyDescent="0.5">
      <c r="A2" s="318" t="s">
        <v>214</v>
      </c>
    </row>
    <row r="4" spans="1:11" x14ac:dyDescent="0.5">
      <c r="A4" s="320"/>
      <c r="B4" s="320" t="s">
        <v>205</v>
      </c>
      <c r="C4" s="320"/>
      <c r="D4" s="309" t="s">
        <v>215</v>
      </c>
      <c r="E4" s="321" t="s">
        <v>23</v>
      </c>
      <c r="F4" s="49"/>
      <c r="G4" s="378" t="s">
        <v>206</v>
      </c>
      <c r="H4" s="378"/>
      <c r="I4" s="378"/>
      <c r="J4" s="179" t="s">
        <v>261</v>
      </c>
      <c r="K4" s="179" t="s">
        <v>262</v>
      </c>
    </row>
    <row r="5" spans="1:11" x14ac:dyDescent="0.5">
      <c r="A5" s="322" t="s">
        <v>207</v>
      </c>
      <c r="B5" s="322" t="s">
        <v>208</v>
      </c>
      <c r="C5" s="322" t="s">
        <v>209</v>
      </c>
      <c r="D5" s="344">
        <v>0.8</v>
      </c>
      <c r="E5" s="323">
        <v>0.2</v>
      </c>
      <c r="F5" s="343"/>
      <c r="G5" s="324" t="s">
        <v>215</v>
      </c>
      <c r="H5" s="324" t="s">
        <v>23</v>
      </c>
      <c r="I5" s="338" t="s">
        <v>1</v>
      </c>
      <c r="J5" s="340" t="s">
        <v>263</v>
      </c>
      <c r="K5" s="340" t="s">
        <v>264</v>
      </c>
    </row>
    <row r="6" spans="1:11" x14ac:dyDescent="0.5">
      <c r="A6" s="325" t="s">
        <v>210</v>
      </c>
      <c r="B6" s="326">
        <v>0</v>
      </c>
      <c r="C6" s="327">
        <v>0</v>
      </c>
      <c r="D6" s="328">
        <f>ROUND($C6*D$5,2)</f>
        <v>0</v>
      </c>
      <c r="E6" s="328">
        <f t="shared" ref="E6:E9" si="0">ROUND($C6*E$5,2)</f>
        <v>0</v>
      </c>
      <c r="F6" s="49"/>
      <c r="G6" s="328">
        <f>$B6*D6*12</f>
        <v>0</v>
      </c>
      <c r="H6" s="328">
        <f>$B6*E6*12</f>
        <v>0</v>
      </c>
      <c r="I6" s="319">
        <f>G6+H6</f>
        <v>0</v>
      </c>
      <c r="J6" s="341">
        <v>1</v>
      </c>
      <c r="K6" s="335">
        <f>J6*G6</f>
        <v>0</v>
      </c>
    </row>
    <row r="7" spans="1:11" x14ac:dyDescent="0.5">
      <c r="A7" s="329" t="s">
        <v>211</v>
      </c>
      <c r="B7" s="326">
        <v>0</v>
      </c>
      <c r="C7" s="330">
        <v>0</v>
      </c>
      <c r="D7" s="328">
        <f t="shared" ref="D7:D9" si="1">ROUND($C7*D$5,2)</f>
        <v>0</v>
      </c>
      <c r="E7" s="328">
        <f t="shared" si="0"/>
        <v>0</v>
      </c>
      <c r="F7" s="49"/>
      <c r="G7" s="328">
        <f t="shared" ref="G7:H9" si="2">$B7*D7*12</f>
        <v>0</v>
      </c>
      <c r="H7" s="328">
        <f t="shared" si="2"/>
        <v>0</v>
      </c>
      <c r="I7" s="319">
        <f t="shared" ref="I7:I9" si="3">G7+H7</f>
        <v>0</v>
      </c>
      <c r="J7" s="341">
        <v>1</v>
      </c>
      <c r="K7" s="335">
        <f t="shared" ref="K7:K9" si="4">J7*G7</f>
        <v>0</v>
      </c>
    </row>
    <row r="8" spans="1:11" x14ac:dyDescent="0.5">
      <c r="A8" s="329" t="s">
        <v>212</v>
      </c>
      <c r="B8" s="326">
        <v>1</v>
      </c>
      <c r="C8" s="330">
        <v>1846.59</v>
      </c>
      <c r="D8" s="328">
        <f t="shared" si="1"/>
        <v>1477.27</v>
      </c>
      <c r="E8" s="328">
        <f t="shared" si="0"/>
        <v>369.32</v>
      </c>
      <c r="F8" s="49"/>
      <c r="G8" s="328">
        <f t="shared" si="2"/>
        <v>17727.239999999998</v>
      </c>
      <c r="H8" s="328">
        <f t="shared" si="2"/>
        <v>4431.84</v>
      </c>
      <c r="I8" s="319">
        <f t="shared" si="3"/>
        <v>22159.079999999998</v>
      </c>
      <c r="J8" s="341">
        <v>1</v>
      </c>
      <c r="K8" s="335">
        <f t="shared" si="4"/>
        <v>17727.239999999998</v>
      </c>
    </row>
    <row r="9" spans="1:11" x14ac:dyDescent="0.5">
      <c r="A9" s="331" t="s">
        <v>213</v>
      </c>
      <c r="B9" s="332">
        <v>10</v>
      </c>
      <c r="C9" s="333">
        <v>879.33</v>
      </c>
      <c r="D9" s="342">
        <f t="shared" si="1"/>
        <v>703.46</v>
      </c>
      <c r="E9" s="334">
        <f t="shared" si="0"/>
        <v>175.87</v>
      </c>
      <c r="F9" s="343"/>
      <c r="G9" s="334">
        <f t="shared" si="2"/>
        <v>84415.200000000012</v>
      </c>
      <c r="H9" s="334">
        <f t="shared" si="2"/>
        <v>21104.400000000001</v>
      </c>
      <c r="I9" s="334">
        <f t="shared" si="3"/>
        <v>105519.6</v>
      </c>
      <c r="J9" s="341">
        <v>1</v>
      </c>
      <c r="K9" s="339">
        <f t="shared" si="4"/>
        <v>84415.200000000012</v>
      </c>
    </row>
    <row r="10" spans="1:11" x14ac:dyDescent="0.5">
      <c r="A10" s="49"/>
      <c r="B10" s="337">
        <f>SUM(B6:B9)</f>
        <v>11</v>
      </c>
      <c r="C10" s="335">
        <f>SUM(C6:C9)</f>
        <v>2725.92</v>
      </c>
      <c r="D10" s="335">
        <f>SUM(D6:D9)</f>
        <v>2180.73</v>
      </c>
      <c r="E10" s="335">
        <f>SUM(E6:E9)</f>
        <v>545.19000000000005</v>
      </c>
      <c r="F10" s="335"/>
      <c r="G10" s="328">
        <f>SUM(G6:G9)</f>
        <v>102142.44</v>
      </c>
      <c r="H10" s="328">
        <f>SUM(H6:H9)</f>
        <v>25536.240000000002</v>
      </c>
      <c r="I10" s="328">
        <f>SUM(I6:I9)</f>
        <v>127678.68000000001</v>
      </c>
      <c r="J10" s="49"/>
      <c r="K10" s="328">
        <f>SUM(K6:K9)</f>
        <v>102142.44</v>
      </c>
    </row>
    <row r="13" spans="1:11" x14ac:dyDescent="0.5">
      <c r="A13" s="49" t="s">
        <v>265</v>
      </c>
      <c r="B13" s="123"/>
      <c r="C13" s="247">
        <f>K10</f>
        <v>102142.44</v>
      </c>
    </row>
    <row r="14" spans="1:11" x14ac:dyDescent="0.5">
      <c r="A14" s="49" t="s">
        <v>266</v>
      </c>
      <c r="B14" s="123"/>
      <c r="C14" s="345">
        <v>47336.26</v>
      </c>
    </row>
    <row r="15" spans="1:11" x14ac:dyDescent="0.5">
      <c r="A15" s="49" t="s">
        <v>130</v>
      </c>
      <c r="B15" s="123"/>
      <c r="C15" s="247">
        <f>C13-C14</f>
        <v>54806.18</v>
      </c>
    </row>
    <row r="16" spans="1:11" x14ac:dyDescent="0.5">
      <c r="A16" s="49"/>
      <c r="B16" s="123"/>
    </row>
  </sheetData>
  <mergeCells count="1">
    <mergeCell ref="G4:I4"/>
  </mergeCells>
  <pageMargins left="0.7" right="0.7" top="0.75" bottom="0.75" header="0.3" footer="0.3"/>
  <pageSetup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52E2D-32DB-42DA-8EA9-BE7E6793BDAF}">
  <dimension ref="B1:I45"/>
  <sheetViews>
    <sheetView topLeftCell="A16" workbookViewId="0">
      <selection activeCell="C46" sqref="C46"/>
    </sheetView>
  </sheetViews>
  <sheetFormatPr defaultRowHeight="13.5" x14ac:dyDescent="0.35"/>
  <cols>
    <col min="1" max="1" width="2.609375" style="171" customWidth="1"/>
    <col min="2" max="2" width="1.609375" style="171" customWidth="1"/>
    <col min="3" max="3" width="22.0546875" style="171" customWidth="1"/>
    <col min="4" max="4" width="9.88671875" style="170" bestFit="1" customWidth="1"/>
    <col min="5" max="5" width="9.71875" style="170" bestFit="1" customWidth="1"/>
    <col min="6" max="6" width="10.38671875" style="171" bestFit="1" customWidth="1"/>
    <col min="7" max="8" width="8.88671875" style="171"/>
    <col min="9" max="9" width="1.609375" style="171" customWidth="1"/>
    <col min="10" max="16384" width="8.88671875" style="171"/>
  </cols>
  <sheetData>
    <row r="1" spans="2:9" ht="13.9" thickBot="1" x14ac:dyDescent="0.4"/>
    <row r="2" spans="2:9" x14ac:dyDescent="0.35">
      <c r="B2" s="219"/>
      <c r="C2" s="220"/>
      <c r="D2" s="221"/>
      <c r="E2" s="221"/>
      <c r="F2" s="220"/>
      <c r="G2" s="220"/>
      <c r="H2" s="222"/>
    </row>
    <row r="3" spans="2:9" ht="17.649999999999999" x14ac:dyDescent="0.5">
      <c r="B3" s="223"/>
      <c r="C3" s="383" t="s">
        <v>6</v>
      </c>
      <c r="D3" s="383"/>
      <c r="E3" s="383"/>
      <c r="F3" s="383"/>
      <c r="G3" s="383"/>
      <c r="H3" s="384"/>
    </row>
    <row r="4" spans="2:9" x14ac:dyDescent="0.35">
      <c r="B4" s="223"/>
      <c r="C4" s="216" t="s">
        <v>134</v>
      </c>
      <c r="D4" s="174"/>
      <c r="E4" s="174"/>
      <c r="H4" s="224"/>
    </row>
    <row r="5" spans="2:9" ht="18" x14ac:dyDescent="0.55000000000000004">
      <c r="B5" s="223"/>
      <c r="C5" s="379" t="s">
        <v>218</v>
      </c>
      <c r="D5" s="379"/>
      <c r="E5" s="379"/>
      <c r="F5" s="379"/>
      <c r="G5" s="379"/>
      <c r="H5" s="380"/>
    </row>
    <row r="6" spans="2:9" ht="16.5" customHeight="1" x14ac:dyDescent="0.55000000000000004">
      <c r="B6" s="223"/>
      <c r="C6" s="381" t="s">
        <v>292</v>
      </c>
      <c r="D6" s="381"/>
      <c r="E6" s="381"/>
      <c r="F6" s="381"/>
      <c r="G6" s="381"/>
      <c r="H6" s="382"/>
      <c r="I6" s="1"/>
    </row>
    <row r="7" spans="2:9" ht="14.25" x14ac:dyDescent="0.45">
      <c r="B7" s="223"/>
      <c r="C7" s="217"/>
      <c r="D7" s="12"/>
      <c r="E7" s="12"/>
      <c r="F7" s="1"/>
      <c r="G7" s="1"/>
      <c r="H7" s="225"/>
      <c r="I7" s="1"/>
    </row>
    <row r="8" spans="2:9" ht="14.25" x14ac:dyDescent="0.45">
      <c r="B8" s="223"/>
      <c r="C8" s="1" t="s">
        <v>109</v>
      </c>
      <c r="D8" s="12"/>
      <c r="E8" s="12">
        <v>53319</v>
      </c>
      <c r="F8" s="1"/>
      <c r="G8" s="1"/>
      <c r="H8" s="225"/>
      <c r="I8" s="1"/>
    </row>
    <row r="9" spans="2:9" ht="14.25" x14ac:dyDescent="0.45">
      <c r="B9" s="223"/>
      <c r="C9" s="1" t="s">
        <v>110</v>
      </c>
      <c r="D9" s="12"/>
      <c r="E9" s="56">
        <v>164326</v>
      </c>
      <c r="F9" s="1"/>
      <c r="G9" s="1"/>
      <c r="H9" s="225"/>
      <c r="I9" s="1"/>
    </row>
    <row r="10" spans="2:9" ht="14.25" x14ac:dyDescent="0.45">
      <c r="B10" s="223"/>
      <c r="C10" s="1" t="s">
        <v>111</v>
      </c>
      <c r="D10" s="12"/>
      <c r="E10" s="12">
        <f>E8+E9</f>
        <v>217645</v>
      </c>
      <c r="F10" s="1"/>
      <c r="G10" s="1"/>
      <c r="H10" s="225"/>
      <c r="I10" s="1"/>
    </row>
    <row r="11" spans="2:9" ht="14.25" x14ac:dyDescent="0.45">
      <c r="B11" s="223"/>
      <c r="C11" s="1"/>
      <c r="D11" s="12"/>
      <c r="E11" s="12"/>
      <c r="F11" s="1"/>
      <c r="G11" s="1"/>
      <c r="H11" s="225"/>
      <c r="I11" s="1"/>
    </row>
    <row r="12" spans="2:9" ht="14.25" x14ac:dyDescent="0.45">
      <c r="B12" s="223"/>
      <c r="C12" s="1" t="s">
        <v>112</v>
      </c>
      <c r="D12" s="12"/>
      <c r="E12" s="12">
        <v>140462</v>
      </c>
      <c r="F12" s="1"/>
      <c r="G12" s="1"/>
      <c r="H12" s="225"/>
      <c r="I12" s="1"/>
    </row>
    <row r="13" spans="2:9" ht="14.25" x14ac:dyDescent="0.45">
      <c r="B13" s="223"/>
      <c r="C13" s="1"/>
      <c r="D13" s="12"/>
      <c r="E13" s="12"/>
      <c r="F13" s="1"/>
      <c r="G13" s="1"/>
      <c r="H13" s="225"/>
      <c r="I13" s="1"/>
    </row>
    <row r="14" spans="2:9" ht="14.25" x14ac:dyDescent="0.45">
      <c r="B14" s="223"/>
      <c r="C14" s="1" t="s">
        <v>113</v>
      </c>
      <c r="D14" s="12"/>
      <c r="E14" s="12"/>
      <c r="F14" s="1"/>
      <c r="G14" s="1"/>
      <c r="H14" s="225"/>
      <c r="I14" s="1"/>
    </row>
    <row r="15" spans="2:9" ht="14.25" x14ac:dyDescent="0.45">
      <c r="B15" s="223"/>
      <c r="C15" s="1" t="s">
        <v>114</v>
      </c>
      <c r="D15" s="12">
        <v>0</v>
      </c>
      <c r="E15" s="12"/>
      <c r="F15" s="1"/>
      <c r="G15" s="1"/>
      <c r="H15" s="225"/>
      <c r="I15" s="1"/>
    </row>
    <row r="16" spans="2:9" ht="14.25" x14ac:dyDescent="0.45">
      <c r="B16" s="223"/>
      <c r="C16" s="1" t="s">
        <v>115</v>
      </c>
      <c r="D16" s="12">
        <v>2945</v>
      </c>
      <c r="E16" s="12"/>
      <c r="F16" s="1"/>
      <c r="G16" s="1"/>
      <c r="H16" s="225"/>
      <c r="I16" s="1"/>
    </row>
    <row r="17" spans="2:9" ht="14.25" x14ac:dyDescent="0.45">
      <c r="B17" s="223"/>
      <c r="C17" s="1" t="s">
        <v>116</v>
      </c>
      <c r="D17" s="12">
        <v>64</v>
      </c>
      <c r="E17" s="12"/>
      <c r="F17" s="1"/>
      <c r="G17" s="1"/>
      <c r="H17" s="225"/>
      <c r="I17" s="1"/>
    </row>
    <row r="18" spans="2:9" ht="14.25" x14ac:dyDescent="0.45">
      <c r="B18" s="223"/>
      <c r="C18" s="1" t="s">
        <v>117</v>
      </c>
      <c r="D18" s="56">
        <v>0</v>
      </c>
      <c r="E18" s="12"/>
      <c r="F18" s="1"/>
      <c r="G18" s="1"/>
      <c r="H18" s="225"/>
      <c r="I18" s="1"/>
    </row>
    <row r="19" spans="2:9" ht="14.25" x14ac:dyDescent="0.45">
      <c r="B19" s="223"/>
      <c r="C19" s="1" t="s">
        <v>118</v>
      </c>
      <c r="D19" s="12"/>
      <c r="E19" s="12">
        <f>SUM(D15:D18)</f>
        <v>3009</v>
      </c>
      <c r="F19" s="1"/>
      <c r="G19" s="1"/>
      <c r="H19" s="225"/>
      <c r="I19" s="1"/>
    </row>
    <row r="20" spans="2:9" ht="14.25" x14ac:dyDescent="0.45">
      <c r="B20" s="223"/>
      <c r="C20" s="1"/>
      <c r="D20" s="12"/>
      <c r="E20" s="12"/>
      <c r="F20" s="1"/>
      <c r="G20" s="1"/>
      <c r="H20" s="225"/>
      <c r="I20" s="1"/>
    </row>
    <row r="21" spans="2:9" ht="14.25" x14ac:dyDescent="0.45">
      <c r="B21" s="223"/>
      <c r="C21" s="1" t="s">
        <v>119</v>
      </c>
      <c r="D21" s="12"/>
      <c r="E21" s="12"/>
      <c r="F21" s="1"/>
      <c r="G21" s="1"/>
      <c r="H21" s="225"/>
      <c r="I21" s="1"/>
    </row>
    <row r="22" spans="2:9" ht="14.25" x14ac:dyDescent="0.45">
      <c r="B22" s="223"/>
      <c r="C22" s="1" t="s">
        <v>120</v>
      </c>
      <c r="D22" s="12">
        <v>0</v>
      </c>
      <c r="E22" s="12"/>
      <c r="F22" s="1"/>
      <c r="G22" s="1"/>
      <c r="H22" s="225"/>
      <c r="I22" s="1"/>
    </row>
    <row r="23" spans="2:9" ht="14.25" x14ac:dyDescent="0.45">
      <c r="B23" s="223"/>
      <c r="C23" s="1" t="s">
        <v>121</v>
      </c>
      <c r="D23" s="12">
        <v>9690</v>
      </c>
      <c r="E23" s="12"/>
      <c r="F23" s="1"/>
      <c r="G23" s="1"/>
      <c r="H23" s="225"/>
      <c r="I23" s="1"/>
    </row>
    <row r="24" spans="2:9" ht="14.25" x14ac:dyDescent="0.45">
      <c r="B24" s="223"/>
      <c r="C24" s="1" t="s">
        <v>122</v>
      </c>
      <c r="D24" s="12">
        <v>2904</v>
      </c>
      <c r="E24" s="12"/>
      <c r="F24" s="1"/>
      <c r="G24" s="1"/>
      <c r="H24" s="225"/>
      <c r="I24" s="1"/>
    </row>
    <row r="25" spans="2:9" ht="14.25" x14ac:dyDescent="0.45">
      <c r="B25" s="223"/>
      <c r="C25" s="1" t="s">
        <v>217</v>
      </c>
      <c r="D25" s="12">
        <v>2586</v>
      </c>
      <c r="E25" s="12"/>
      <c r="F25" s="1"/>
      <c r="G25" s="1"/>
      <c r="H25" s="225"/>
      <c r="I25" s="1"/>
    </row>
    <row r="26" spans="2:9" ht="14.25" x14ac:dyDescent="0.45">
      <c r="B26" s="223"/>
      <c r="C26" s="1" t="s">
        <v>123</v>
      </c>
      <c r="D26" s="12">
        <v>58994</v>
      </c>
      <c r="E26" s="12"/>
      <c r="H26" s="224"/>
    </row>
    <row r="27" spans="2:9" ht="14.25" x14ac:dyDescent="0.45">
      <c r="B27" s="223"/>
      <c r="C27" s="1" t="s">
        <v>124</v>
      </c>
      <c r="D27" s="12"/>
      <c r="E27" s="56">
        <f>SUM(D22:D26)</f>
        <v>74174</v>
      </c>
      <c r="H27" s="224"/>
    </row>
    <row r="28" spans="2:9" ht="14.55" customHeight="1" x14ac:dyDescent="0.45">
      <c r="B28" s="223"/>
      <c r="C28" s="1" t="s">
        <v>125</v>
      </c>
      <c r="D28" s="12"/>
      <c r="E28" s="12">
        <f>E12+E19+E27</f>
        <v>217645</v>
      </c>
      <c r="H28" s="224"/>
    </row>
    <row r="29" spans="2:9" ht="14.25" x14ac:dyDescent="0.45">
      <c r="B29" s="223"/>
      <c r="C29" s="1"/>
      <c r="D29" s="174"/>
      <c r="E29" s="174"/>
      <c r="H29" s="224"/>
    </row>
    <row r="30" spans="2:9" x14ac:dyDescent="0.35">
      <c r="B30" s="223"/>
      <c r="D30" s="174"/>
      <c r="E30" s="174"/>
      <c r="H30" s="224"/>
    </row>
    <row r="31" spans="2:9" ht="14.25" x14ac:dyDescent="0.45">
      <c r="B31" s="223"/>
      <c r="D31" s="174"/>
      <c r="E31" s="174"/>
      <c r="F31" s="226">
        <f>E27/E10</f>
        <v>0.34080268326862551</v>
      </c>
      <c r="G31" s="1" t="s">
        <v>126</v>
      </c>
      <c r="H31" s="225"/>
      <c r="I31" s="1"/>
    </row>
    <row r="32" spans="2:9" ht="14.25" x14ac:dyDescent="0.45">
      <c r="B32" s="223"/>
      <c r="D32" s="174"/>
      <c r="E32" s="174"/>
      <c r="F32" s="175">
        <v>0.15</v>
      </c>
      <c r="G32" s="1" t="s">
        <v>127</v>
      </c>
      <c r="H32" s="225"/>
      <c r="I32" s="1"/>
    </row>
    <row r="33" spans="2:9" ht="14.25" x14ac:dyDescent="0.45">
      <c r="B33" s="223"/>
      <c r="D33" s="174"/>
      <c r="E33" s="174"/>
      <c r="F33" s="226">
        <f>IF(F31&gt;F32,F31-F32,0)</f>
        <v>0.19080268326862551</v>
      </c>
      <c r="G33" s="1" t="s">
        <v>128</v>
      </c>
      <c r="H33" s="225"/>
      <c r="I33" s="10"/>
    </row>
    <row r="34" spans="2:9" x14ac:dyDescent="0.35">
      <c r="B34" s="223"/>
      <c r="D34" s="174"/>
      <c r="E34" s="174"/>
      <c r="H34" s="224"/>
    </row>
    <row r="35" spans="2:9" ht="14.25" x14ac:dyDescent="0.45">
      <c r="B35" s="223"/>
      <c r="C35" s="1" t="s">
        <v>129</v>
      </c>
      <c r="D35" s="12"/>
      <c r="E35" s="12"/>
      <c r="F35" s="11" t="s">
        <v>130</v>
      </c>
      <c r="H35" s="224"/>
    </row>
    <row r="36" spans="2:9" ht="14.25" x14ac:dyDescent="0.45">
      <c r="B36" s="223"/>
      <c r="C36" s="218" t="str">
        <f>SAO!B18</f>
        <v>Purchased Water</v>
      </c>
      <c r="D36" s="55">
        <f>SAO!C18</f>
        <v>584741</v>
      </c>
      <c r="E36" s="41"/>
      <c r="F36" s="227">
        <f>-D36*F33</f>
        <v>-111570.15181717934</v>
      </c>
      <c r="H36" s="228"/>
    </row>
    <row r="37" spans="2:9" ht="14.25" x14ac:dyDescent="0.45">
      <c r="B37" s="223"/>
      <c r="C37" s="218" t="str">
        <f>SAO!B19</f>
        <v>Purchased Power</v>
      </c>
      <c r="D37" s="55">
        <f>SAO!C19</f>
        <v>70762</v>
      </c>
      <c r="E37" s="41"/>
      <c r="F37" s="227">
        <f>-D37*F33</f>
        <v>-13501.579473454478</v>
      </c>
      <c r="H37" s="228"/>
    </row>
    <row r="38" spans="2:9" ht="14.25" x14ac:dyDescent="0.45">
      <c r="B38" s="223"/>
      <c r="C38" s="1" t="s">
        <v>143</v>
      </c>
      <c r="D38" s="172">
        <v>0</v>
      </c>
      <c r="E38" s="41"/>
      <c r="F38" s="173">
        <f>0</f>
        <v>0</v>
      </c>
      <c r="H38" s="224"/>
    </row>
    <row r="39" spans="2:9" ht="14.25" x14ac:dyDescent="0.45">
      <c r="B39" s="223"/>
      <c r="C39" s="1" t="s">
        <v>1</v>
      </c>
      <c r="D39" s="55">
        <f>SUM(D36:D38)</f>
        <v>655503</v>
      </c>
      <c r="E39" s="41"/>
      <c r="F39" s="41">
        <f>SUM(F36:F38)</f>
        <v>-125071.73129063382</v>
      </c>
      <c r="H39" s="224"/>
    </row>
    <row r="40" spans="2:9" ht="14.25" x14ac:dyDescent="0.45">
      <c r="B40" s="223"/>
      <c r="C40" s="1"/>
      <c r="D40" s="55"/>
      <c r="E40" s="41"/>
      <c r="F40" s="55"/>
      <c r="H40" s="224"/>
    </row>
    <row r="41" spans="2:9" ht="14.25" x14ac:dyDescent="0.45">
      <c r="B41" s="223"/>
      <c r="C41" s="1" t="s">
        <v>131</v>
      </c>
      <c r="D41" s="12"/>
      <c r="E41" s="41"/>
      <c r="F41" s="227"/>
      <c r="H41" s="224"/>
    </row>
    <row r="42" spans="2:9" ht="14.25" x14ac:dyDescent="0.45">
      <c r="B42" s="223"/>
      <c r="C42" s="1" t="s">
        <v>132</v>
      </c>
      <c r="D42" s="12"/>
      <c r="E42" s="41"/>
      <c r="F42" s="227">
        <f>-F39</f>
        <v>125071.73129063382</v>
      </c>
      <c r="H42" s="224"/>
    </row>
    <row r="43" spans="2:9" ht="14.25" x14ac:dyDescent="0.45">
      <c r="B43" s="223"/>
      <c r="C43" s="1" t="s">
        <v>133</v>
      </c>
      <c r="D43" s="12"/>
      <c r="E43" s="12"/>
      <c r="F43" s="16">
        <f>'Existing Billing Analysis'!E8</f>
        <v>33678</v>
      </c>
      <c r="H43" s="224"/>
    </row>
    <row r="44" spans="2:9" ht="14.25" x14ac:dyDescent="0.45">
      <c r="B44" s="223"/>
      <c r="C44" s="1" t="s">
        <v>141</v>
      </c>
      <c r="D44" s="12"/>
      <c r="E44" s="41"/>
      <c r="F44" s="227">
        <f>ROUND(F42/F43,2)</f>
        <v>3.71</v>
      </c>
      <c r="H44" s="224"/>
    </row>
    <row r="45" spans="2:9" ht="13.9" thickBot="1" x14ac:dyDescent="0.4">
      <c r="B45" s="229"/>
      <c r="C45" s="230"/>
      <c r="D45" s="231"/>
      <c r="E45" s="231"/>
      <c r="F45" s="230"/>
      <c r="G45" s="230"/>
      <c r="H45" s="232"/>
    </row>
  </sheetData>
  <mergeCells count="3">
    <mergeCell ref="C5:H5"/>
    <mergeCell ref="C6:H6"/>
    <mergeCell ref="C3:H3"/>
  </mergeCells>
  <printOptions horizontalCentered="1" verticalCentered="1"/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630B1-5320-458A-B984-AF0BD6A9981A}">
  <sheetPr>
    <pageSetUpPr fitToPage="1"/>
  </sheetPr>
  <dimension ref="B1:O31"/>
  <sheetViews>
    <sheetView showGridLines="0" workbookViewId="0">
      <selection activeCell="M26" sqref="M26"/>
    </sheetView>
  </sheetViews>
  <sheetFormatPr defaultColWidth="8.83203125" defaultRowHeight="14.25" x14ac:dyDescent="0.45"/>
  <cols>
    <col min="1" max="1" width="1.83203125" style="60" customWidth="1"/>
    <col min="2" max="2" width="23.0546875" style="60" bestFit="1" customWidth="1"/>
    <col min="3" max="12" width="9.609375" style="88" customWidth="1"/>
    <col min="13" max="13" width="10.44140625" style="88" customWidth="1"/>
    <col min="14" max="14" width="0.83203125" style="60" customWidth="1"/>
    <col min="15" max="15" width="1.609375" style="60" customWidth="1"/>
    <col min="16" max="16384" width="8.83203125" style="60"/>
  </cols>
  <sheetData>
    <row r="1" spans="2:14" x14ac:dyDescent="0.45"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2"/>
    </row>
    <row r="2" spans="2:14" x14ac:dyDescent="0.45">
      <c r="B2" s="64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</row>
    <row r="3" spans="2:14" ht="18" x14ac:dyDescent="0.55000000000000004">
      <c r="B3" s="385" t="s">
        <v>108</v>
      </c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67"/>
      <c r="N3" s="68"/>
    </row>
    <row r="4" spans="2:14" ht="18" x14ac:dyDescent="0.55000000000000004">
      <c r="B4" s="387" t="s">
        <v>43</v>
      </c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69"/>
      <c r="N4" s="68"/>
    </row>
    <row r="5" spans="2:14" ht="15.75" x14ac:dyDescent="0.45">
      <c r="B5" s="389" t="s">
        <v>218</v>
      </c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67"/>
      <c r="N5" s="68"/>
    </row>
    <row r="6" spans="2:14" ht="15.75" x14ac:dyDescent="0.5">
      <c r="B6" s="391" t="s">
        <v>154</v>
      </c>
      <c r="C6" s="392"/>
      <c r="D6" s="392"/>
      <c r="E6" s="392"/>
      <c r="F6" s="392"/>
      <c r="G6" s="392"/>
      <c r="H6" s="392"/>
      <c r="I6" s="392"/>
      <c r="J6" s="392"/>
      <c r="K6" s="392"/>
      <c r="L6" s="392"/>
      <c r="M6" s="63"/>
      <c r="N6" s="68"/>
    </row>
    <row r="7" spans="2:14" ht="14.65" thickBot="1" x14ac:dyDescent="0.5">
      <c r="B7" s="70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8"/>
    </row>
    <row r="8" spans="2:14" x14ac:dyDescent="0.45">
      <c r="B8" s="233"/>
      <c r="C8" s="71"/>
      <c r="D8" s="65"/>
      <c r="E8" s="71"/>
      <c r="F8" s="72"/>
      <c r="G8" s="71"/>
      <c r="H8" s="72"/>
      <c r="I8" s="71"/>
      <c r="J8" s="72"/>
      <c r="K8" s="71"/>
      <c r="L8" s="72"/>
      <c r="M8" s="65"/>
      <c r="N8" s="66"/>
    </row>
    <row r="9" spans="2:14" x14ac:dyDescent="0.45">
      <c r="B9" s="73"/>
      <c r="C9" s="393">
        <v>2026</v>
      </c>
      <c r="D9" s="394"/>
      <c r="E9" s="393">
        <v>2027</v>
      </c>
      <c r="F9" s="394"/>
      <c r="G9" s="393">
        <v>2028</v>
      </c>
      <c r="H9" s="394"/>
      <c r="I9" s="393">
        <v>2029</v>
      </c>
      <c r="J9" s="394"/>
      <c r="K9" s="393">
        <v>2030</v>
      </c>
      <c r="L9" s="394"/>
      <c r="M9" s="63"/>
      <c r="N9" s="68"/>
    </row>
    <row r="10" spans="2:14" ht="16.5" x14ac:dyDescent="0.45">
      <c r="B10" s="73"/>
      <c r="C10" s="74"/>
      <c r="D10" s="75" t="s">
        <v>44</v>
      </c>
      <c r="E10" s="76"/>
      <c r="F10" s="75" t="s">
        <v>44</v>
      </c>
      <c r="G10" s="76"/>
      <c r="H10" s="75" t="s">
        <v>44</v>
      </c>
      <c r="I10" s="76"/>
      <c r="J10" s="75" t="s">
        <v>44</v>
      </c>
      <c r="K10" s="76"/>
      <c r="L10" s="75" t="s">
        <v>44</v>
      </c>
      <c r="M10" s="63"/>
      <c r="N10" s="68"/>
    </row>
    <row r="11" spans="2:14" x14ac:dyDescent="0.45">
      <c r="B11" s="73"/>
      <c r="C11" s="235" t="s">
        <v>45</v>
      </c>
      <c r="D11" s="236" t="s">
        <v>46</v>
      </c>
      <c r="E11" s="237" t="s">
        <v>45</v>
      </c>
      <c r="F11" s="236" t="s">
        <v>46</v>
      </c>
      <c r="G11" s="237" t="s">
        <v>45</v>
      </c>
      <c r="H11" s="236" t="s">
        <v>46</v>
      </c>
      <c r="I11" s="237" t="s">
        <v>45</v>
      </c>
      <c r="J11" s="236" t="s">
        <v>46</v>
      </c>
      <c r="K11" s="237" t="s">
        <v>45</v>
      </c>
      <c r="L11" s="236" t="s">
        <v>46</v>
      </c>
      <c r="M11" s="235" t="s">
        <v>20</v>
      </c>
      <c r="N11" s="68"/>
    </row>
    <row r="12" spans="2:14" x14ac:dyDescent="0.45">
      <c r="B12" s="77" t="s">
        <v>224</v>
      </c>
      <c r="C12" s="234">
        <v>5000</v>
      </c>
      <c r="D12" s="241">
        <v>1627</v>
      </c>
      <c r="E12" s="234">
        <v>6000</v>
      </c>
      <c r="F12" s="241">
        <v>1419</v>
      </c>
      <c r="G12" s="234">
        <v>6000</v>
      </c>
      <c r="H12" s="241">
        <v>1157</v>
      </c>
      <c r="I12" s="234">
        <v>6000</v>
      </c>
      <c r="J12" s="241">
        <v>894</v>
      </c>
      <c r="K12" s="234">
        <v>7000</v>
      </c>
      <c r="L12" s="241">
        <f>334.25+167.65</f>
        <v>501.9</v>
      </c>
      <c r="M12" s="78">
        <f t="shared" ref="M12:M21" si="0">SUM(C12:L12)</f>
        <v>35598.9</v>
      </c>
      <c r="N12" s="68"/>
    </row>
    <row r="13" spans="2:14" x14ac:dyDescent="0.45">
      <c r="B13" s="77" t="s">
        <v>225</v>
      </c>
      <c r="C13" s="234">
        <v>22000</v>
      </c>
      <c r="D13" s="314">
        <v>17404</v>
      </c>
      <c r="E13" s="234">
        <v>22500</v>
      </c>
      <c r="F13" s="314">
        <v>16909</v>
      </c>
      <c r="G13" s="234">
        <v>23000</v>
      </c>
      <c r="H13" s="314">
        <v>16403</v>
      </c>
      <c r="I13" s="234">
        <v>23500</v>
      </c>
      <c r="J13" s="314">
        <v>15885</v>
      </c>
      <c r="K13" s="234">
        <v>24000</v>
      </c>
      <c r="L13" s="314">
        <v>15356</v>
      </c>
      <c r="M13" s="78">
        <f t="shared" si="0"/>
        <v>196957</v>
      </c>
      <c r="N13" s="68"/>
    </row>
    <row r="14" spans="2:14" x14ac:dyDescent="0.45">
      <c r="B14" s="77" t="s">
        <v>226</v>
      </c>
      <c r="C14" s="234">
        <v>9500</v>
      </c>
      <c r="D14" s="314">
        <v>11083</v>
      </c>
      <c r="E14" s="234">
        <v>10000</v>
      </c>
      <c r="F14" s="314">
        <v>10821</v>
      </c>
      <c r="G14" s="234">
        <v>10500</v>
      </c>
      <c r="H14" s="314">
        <v>10546</v>
      </c>
      <c r="I14" s="234">
        <v>10500</v>
      </c>
      <c r="J14" s="314">
        <v>10258</v>
      </c>
      <c r="K14" s="234">
        <v>11000</v>
      </c>
      <c r="L14" s="314">
        <v>9969</v>
      </c>
      <c r="M14" s="78">
        <f t="shared" si="0"/>
        <v>104177</v>
      </c>
      <c r="N14" s="68"/>
    </row>
    <row r="15" spans="2:14" x14ac:dyDescent="0.45">
      <c r="B15" s="77" t="s">
        <v>227</v>
      </c>
      <c r="C15" s="234">
        <v>44173</v>
      </c>
      <c r="D15" s="314">
        <v>3701</v>
      </c>
      <c r="E15" s="234">
        <v>44505</v>
      </c>
      <c r="F15" s="314">
        <v>3370</v>
      </c>
      <c r="G15" s="234">
        <v>44840</v>
      </c>
      <c r="H15" s="314">
        <v>3036</v>
      </c>
      <c r="I15" s="234">
        <v>45176</v>
      </c>
      <c r="J15" s="314">
        <v>2698</v>
      </c>
      <c r="K15" s="234">
        <f>22715.28+22800.48</f>
        <v>45515.759999999995</v>
      </c>
      <c r="L15" s="314">
        <f>1222.06+1136.88+407.35+378.96</f>
        <v>3145.25</v>
      </c>
      <c r="M15" s="78">
        <f t="shared" si="0"/>
        <v>240160.01</v>
      </c>
      <c r="N15" s="68"/>
    </row>
    <row r="16" spans="2:14" x14ac:dyDescent="0.45">
      <c r="B16" s="77" t="s">
        <v>228</v>
      </c>
      <c r="C16" s="234">
        <v>13500</v>
      </c>
      <c r="D16" s="314">
        <v>11466</v>
      </c>
      <c r="E16" s="234">
        <v>14000</v>
      </c>
      <c r="F16" s="314">
        <v>11213</v>
      </c>
      <c r="G16" s="234">
        <v>14000</v>
      </c>
      <c r="H16" s="314">
        <v>10950</v>
      </c>
      <c r="I16" s="234">
        <v>14500</v>
      </c>
      <c r="J16" s="314">
        <v>10688</v>
      </c>
      <c r="K16" s="234">
        <v>14500</v>
      </c>
      <c r="L16" s="314">
        <v>10416</v>
      </c>
      <c r="M16" s="78">
        <f t="shared" si="0"/>
        <v>125233</v>
      </c>
      <c r="N16" s="68"/>
    </row>
    <row r="17" spans="2:15" x14ac:dyDescent="0.45">
      <c r="B17" s="77" t="s">
        <v>229</v>
      </c>
      <c r="C17" s="234">
        <v>10000</v>
      </c>
      <c r="D17" s="314">
        <v>5771</v>
      </c>
      <c r="E17" s="234">
        <v>10000</v>
      </c>
      <c r="F17" s="314">
        <v>5659</v>
      </c>
      <c r="G17" s="234">
        <v>10500</v>
      </c>
      <c r="H17" s="314">
        <v>5546</v>
      </c>
      <c r="I17" s="234">
        <v>10500</v>
      </c>
      <c r="J17" s="314">
        <v>5428</v>
      </c>
      <c r="K17" s="234">
        <v>11000</v>
      </c>
      <c r="L17" s="314">
        <v>5310</v>
      </c>
      <c r="M17" s="78">
        <f t="shared" si="0"/>
        <v>79714</v>
      </c>
      <c r="N17" s="68"/>
    </row>
    <row r="18" spans="2:15" x14ac:dyDescent="0.45">
      <c r="B18" s="77" t="s">
        <v>230</v>
      </c>
      <c r="C18" s="234">
        <v>76250</v>
      </c>
      <c r="D18" s="314">
        <v>32750</v>
      </c>
      <c r="E18" s="234">
        <v>70417</v>
      </c>
      <c r="F18" s="314">
        <v>29509</v>
      </c>
      <c r="G18" s="234">
        <v>65417</v>
      </c>
      <c r="H18" s="314">
        <v>26517</v>
      </c>
      <c r="I18" s="234">
        <v>65000</v>
      </c>
      <c r="J18" s="314">
        <v>23737</v>
      </c>
      <c r="K18" s="234">
        <f>12*5416.67</f>
        <v>65000.04</v>
      </c>
      <c r="L18" s="314">
        <f>1958.86+(11*1728.65)</f>
        <v>20974.010000000002</v>
      </c>
      <c r="M18" s="78">
        <f t="shared" si="0"/>
        <v>475571.05</v>
      </c>
      <c r="N18" s="68"/>
    </row>
    <row r="19" spans="2:15" x14ac:dyDescent="0.45">
      <c r="B19" s="77" t="s">
        <v>231</v>
      </c>
      <c r="C19" s="234">
        <v>70724.14</v>
      </c>
      <c r="D19" s="314">
        <v>2591.56</v>
      </c>
      <c r="E19" s="234">
        <v>0</v>
      </c>
      <c r="F19" s="314">
        <v>0</v>
      </c>
      <c r="G19" s="234">
        <v>0</v>
      </c>
      <c r="H19" s="314">
        <v>0</v>
      </c>
      <c r="I19" s="234">
        <v>0</v>
      </c>
      <c r="J19" s="314">
        <v>0</v>
      </c>
      <c r="K19" s="234">
        <v>0</v>
      </c>
      <c r="L19" s="314">
        <v>0</v>
      </c>
      <c r="M19" s="78">
        <f>SUM(C19:L19)</f>
        <v>73315.7</v>
      </c>
      <c r="N19" s="68"/>
    </row>
    <row r="20" spans="2:15" x14ac:dyDescent="0.45">
      <c r="B20" s="77" t="s">
        <v>231</v>
      </c>
      <c r="C20" s="234">
        <v>0</v>
      </c>
      <c r="D20" s="314">
        <v>3730.63</v>
      </c>
      <c r="E20" s="234">
        <v>35043.08</v>
      </c>
      <c r="F20" s="314">
        <v>671.66</v>
      </c>
      <c r="G20" s="234">
        <v>0</v>
      </c>
      <c r="H20" s="314">
        <v>0</v>
      </c>
      <c r="I20" s="234">
        <v>0</v>
      </c>
      <c r="J20" s="314">
        <v>0</v>
      </c>
      <c r="K20" s="234">
        <v>0</v>
      </c>
      <c r="L20" s="314">
        <v>0</v>
      </c>
      <c r="M20" s="78">
        <f t="shared" si="0"/>
        <v>39445.370000000003</v>
      </c>
      <c r="N20" s="68"/>
    </row>
    <row r="21" spans="2:15" x14ac:dyDescent="0.45">
      <c r="B21" s="77" t="s">
        <v>291</v>
      </c>
      <c r="C21" s="238">
        <f>26420.27+26486.32</f>
        <v>52906.59</v>
      </c>
      <c r="D21" s="239">
        <f>2775+2708.95+1110+1083.58</f>
        <v>7677.53</v>
      </c>
      <c r="E21" s="238">
        <f>26552.53+26618.91</f>
        <v>53171.44</v>
      </c>
      <c r="F21" s="240">
        <f>2642.73+2576.35+1057.09+1030.54</f>
        <v>7306.71</v>
      </c>
      <c r="G21" s="238">
        <f>26685.46+26752.17</f>
        <v>53437.63</v>
      </c>
      <c r="H21" s="239">
        <f>2509.8+2443.09+1003.92+977.24</f>
        <v>6934.05</v>
      </c>
      <c r="I21" s="238">
        <f>26819.05+26886.1</f>
        <v>53705.149999999994</v>
      </c>
      <c r="J21" s="240">
        <f>2376.21+2309.16+950.48+923.67</f>
        <v>6559.52</v>
      </c>
      <c r="K21" s="238">
        <f>26953.32+27020.7</f>
        <v>53974.020000000004</v>
      </c>
      <c r="L21" s="240">
        <f>2241.95+2174.56+896.78+869.83</f>
        <v>6183.12</v>
      </c>
      <c r="M21" s="78">
        <f t="shared" si="0"/>
        <v>301855.75999999995</v>
      </c>
      <c r="N21" s="79"/>
    </row>
    <row r="22" spans="2:15" x14ac:dyDescent="0.45">
      <c r="B22" s="77" t="s">
        <v>1</v>
      </c>
      <c r="C22" s="242">
        <f t="shared" ref="C22:M22" si="1">SUM(C12:C21)</f>
        <v>304053.73</v>
      </c>
      <c r="D22" s="243">
        <f t="shared" si="1"/>
        <v>97801.72</v>
      </c>
      <c r="E22" s="242">
        <f t="shared" si="1"/>
        <v>265636.52</v>
      </c>
      <c r="F22" s="315">
        <f t="shared" si="1"/>
        <v>86878.37000000001</v>
      </c>
      <c r="G22" s="242">
        <f t="shared" si="1"/>
        <v>227694.63</v>
      </c>
      <c r="H22" s="243">
        <f t="shared" si="1"/>
        <v>81089.05</v>
      </c>
      <c r="I22" s="242">
        <f t="shared" si="1"/>
        <v>228881.15</v>
      </c>
      <c r="J22" s="243">
        <f t="shared" si="1"/>
        <v>76147.520000000004</v>
      </c>
      <c r="K22" s="242">
        <f t="shared" si="1"/>
        <v>231989.82</v>
      </c>
      <c r="L22" s="243">
        <f t="shared" si="1"/>
        <v>71855.28</v>
      </c>
      <c r="M22" s="244">
        <f t="shared" si="1"/>
        <v>1672027.79</v>
      </c>
      <c r="N22" s="245"/>
    </row>
    <row r="23" spans="2:15" x14ac:dyDescent="0.45">
      <c r="B23" s="80"/>
      <c r="C23" s="67"/>
      <c r="D23" s="67"/>
      <c r="E23" s="67"/>
      <c r="F23" s="67"/>
      <c r="G23" s="67"/>
      <c r="H23" s="67"/>
      <c r="I23" s="67"/>
      <c r="J23" s="81"/>
      <c r="K23" s="81"/>
      <c r="L23" s="81"/>
      <c r="M23" s="67"/>
      <c r="N23" s="68"/>
    </row>
    <row r="24" spans="2:15" x14ac:dyDescent="0.45">
      <c r="B24" s="82"/>
      <c r="C24" s="83"/>
      <c r="D24" s="67"/>
      <c r="E24" s="83"/>
      <c r="F24" s="83"/>
      <c r="G24" s="83"/>
      <c r="H24" s="83"/>
      <c r="I24" s="67" t="s">
        <v>47</v>
      </c>
      <c r="J24" s="63"/>
      <c r="K24" s="67"/>
      <c r="L24" s="83"/>
      <c r="M24" s="83">
        <f>M22/5</f>
        <v>334405.55800000002</v>
      </c>
      <c r="N24" s="68"/>
    </row>
    <row r="25" spans="2:15" x14ac:dyDescent="0.45">
      <c r="B25" s="84"/>
      <c r="C25" s="67"/>
      <c r="D25" s="63"/>
      <c r="E25" s="67"/>
      <c r="F25" s="67"/>
      <c r="G25" s="67"/>
      <c r="H25" s="67"/>
      <c r="I25" s="67"/>
      <c r="J25" s="63"/>
      <c r="K25" s="63"/>
      <c r="L25" s="67"/>
      <c r="M25" s="85"/>
      <c r="N25" s="68"/>
    </row>
    <row r="26" spans="2:15" x14ac:dyDescent="0.45">
      <c r="B26" s="82"/>
      <c r="C26" s="67"/>
      <c r="D26" s="67"/>
      <c r="E26" s="67"/>
      <c r="F26" s="67"/>
      <c r="G26" s="67"/>
      <c r="H26" s="67"/>
      <c r="I26" s="67" t="s">
        <v>48</v>
      </c>
      <c r="J26" s="63"/>
      <c r="K26" s="67"/>
      <c r="L26" s="67"/>
      <c r="M26" s="83">
        <f>M24*$B$31</f>
        <v>66881.111600000004</v>
      </c>
      <c r="N26" s="68"/>
    </row>
    <row r="27" spans="2:15" x14ac:dyDescent="0.45">
      <c r="B27" s="86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79"/>
    </row>
    <row r="28" spans="2:15" x14ac:dyDescent="0.45">
      <c r="O28" s="60" t="s">
        <v>294</v>
      </c>
    </row>
    <row r="30" spans="2:15" x14ac:dyDescent="0.45">
      <c r="B30" s="60" t="s">
        <v>56</v>
      </c>
      <c r="M30" s="89"/>
    </row>
    <row r="31" spans="2:15" x14ac:dyDescent="0.45">
      <c r="B31" s="90">
        <v>0.2</v>
      </c>
    </row>
  </sheetData>
  <mergeCells count="9">
    <mergeCell ref="B3:L3"/>
    <mergeCell ref="B4:L4"/>
    <mergeCell ref="B5:L5"/>
    <mergeCell ref="B6:L6"/>
    <mergeCell ref="C9:D9"/>
    <mergeCell ref="E9:F9"/>
    <mergeCell ref="G9:H9"/>
    <mergeCell ref="I9:J9"/>
    <mergeCell ref="K9:L9"/>
  </mergeCells>
  <pageMargins left="0.7" right="0.7" top="0.75" bottom="0.75" header="0.3" footer="0.3"/>
  <pageSetup scale="76" fitToHeight="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24D66-267B-47C6-8691-0B7760DD7D72}">
  <sheetPr>
    <pageSetUpPr fitToPage="1"/>
  </sheetPr>
  <dimension ref="A1:R51"/>
  <sheetViews>
    <sheetView topLeftCell="A27" zoomScaleNormal="100" workbookViewId="0">
      <selection activeCell="P27" sqref="P27"/>
    </sheetView>
  </sheetViews>
  <sheetFormatPr defaultRowHeight="15.4" x14ac:dyDescent="0.45"/>
  <cols>
    <col min="1" max="1" width="2" style="261" customWidth="1"/>
    <col min="2" max="3" width="1.88671875" style="261" customWidth="1"/>
    <col min="4" max="4" width="27.44140625" style="49" customWidth="1"/>
    <col min="5" max="5" width="8.33203125" style="49" customWidth="1"/>
    <col min="6" max="6" width="10.6640625" style="259" customWidth="1"/>
    <col min="7" max="7" width="6.109375" style="49" customWidth="1"/>
    <col min="8" max="8" width="9.33203125" style="299" customWidth="1"/>
    <col min="9" max="9" width="6.109375" style="261" customWidth="1"/>
    <col min="10" max="10" width="9.33203125" style="299" customWidth="1"/>
    <col min="11" max="11" width="10.6640625" style="261" customWidth="1"/>
    <col min="12" max="12" width="1.88671875" style="261" customWidth="1"/>
    <col min="13" max="13" width="2.44140625" style="261" customWidth="1"/>
    <col min="14" max="14" width="8.88671875" style="261"/>
    <col min="15" max="18" width="8.88671875" style="49"/>
    <col min="19" max="16384" width="8.88671875" style="261"/>
  </cols>
  <sheetData>
    <row r="1" spans="1:13" x14ac:dyDescent="0.45">
      <c r="A1" s="49"/>
      <c r="B1" s="49"/>
      <c r="C1" s="258"/>
      <c r="D1" s="258"/>
      <c r="E1" s="258"/>
      <c r="G1" s="260"/>
      <c r="H1" s="184"/>
      <c r="I1" s="260"/>
      <c r="J1" s="184"/>
      <c r="K1" s="258"/>
      <c r="L1" s="258"/>
      <c r="M1" s="258"/>
    </row>
    <row r="2" spans="1:13" x14ac:dyDescent="0.45">
      <c r="A2" s="49"/>
      <c r="B2" s="262"/>
      <c r="C2" s="263"/>
      <c r="D2" s="263"/>
      <c r="E2" s="263"/>
      <c r="F2" s="264"/>
      <c r="G2" s="265"/>
      <c r="H2" s="266"/>
      <c r="I2" s="265"/>
      <c r="J2" s="266"/>
      <c r="K2" s="263"/>
      <c r="L2" s="267"/>
      <c r="M2" s="268"/>
    </row>
    <row r="3" spans="1:13" ht="18" x14ac:dyDescent="0.55000000000000004">
      <c r="A3" s="49"/>
      <c r="B3" s="269"/>
      <c r="C3" s="397" t="s">
        <v>147</v>
      </c>
      <c r="D3" s="397"/>
      <c r="E3" s="397"/>
      <c r="F3" s="397"/>
      <c r="G3" s="397"/>
      <c r="H3" s="397"/>
      <c r="I3" s="397"/>
      <c r="J3" s="397"/>
      <c r="K3" s="397"/>
      <c r="L3" s="270"/>
      <c r="M3" s="268"/>
    </row>
    <row r="4" spans="1:13" ht="18" x14ac:dyDescent="0.55000000000000004">
      <c r="A4" s="49"/>
      <c r="B4" s="269"/>
      <c r="C4" s="398" t="s">
        <v>165</v>
      </c>
      <c r="D4" s="398"/>
      <c r="E4" s="398"/>
      <c r="F4" s="398"/>
      <c r="G4" s="398"/>
      <c r="H4" s="398"/>
      <c r="I4" s="398"/>
      <c r="J4" s="398"/>
      <c r="K4" s="398"/>
      <c r="L4" s="270"/>
      <c r="M4" s="268"/>
    </row>
    <row r="5" spans="1:13" ht="15.75" x14ac:dyDescent="0.45">
      <c r="A5" s="49"/>
      <c r="B5" s="269"/>
      <c r="C5" s="395" t="s">
        <v>218</v>
      </c>
      <c r="D5" s="395"/>
      <c r="E5" s="395"/>
      <c r="F5" s="395"/>
      <c r="G5" s="395"/>
      <c r="H5" s="395"/>
      <c r="I5" s="395"/>
      <c r="J5" s="395"/>
      <c r="K5" s="395"/>
      <c r="L5" s="270"/>
      <c r="M5" s="268"/>
    </row>
    <row r="6" spans="1:13" ht="15.75" x14ac:dyDescent="0.45">
      <c r="A6" s="49"/>
      <c r="B6" s="272"/>
      <c r="C6" s="273"/>
      <c r="D6" s="273"/>
      <c r="E6" s="273"/>
      <c r="F6" s="273"/>
      <c r="G6" s="273"/>
      <c r="H6" s="273"/>
      <c r="I6" s="273"/>
      <c r="J6" s="273"/>
      <c r="K6" s="273"/>
      <c r="L6" s="274"/>
      <c r="M6" s="268"/>
    </row>
    <row r="7" spans="1:13" ht="15.75" x14ac:dyDescent="0.45">
      <c r="A7" s="49"/>
      <c r="B7" s="269"/>
      <c r="C7" s="271"/>
      <c r="D7" s="271"/>
      <c r="E7" s="271"/>
      <c r="F7" s="271"/>
      <c r="G7" s="271"/>
      <c r="H7" s="271"/>
      <c r="I7" s="271"/>
      <c r="J7" s="271"/>
      <c r="K7" s="271"/>
      <c r="L7" s="270"/>
      <c r="M7" s="268"/>
    </row>
    <row r="8" spans="1:13" x14ac:dyDescent="0.45">
      <c r="A8" s="49"/>
      <c r="B8" s="269"/>
      <c r="C8" s="258"/>
      <c r="D8" s="258"/>
      <c r="E8" s="258"/>
      <c r="G8" s="260"/>
      <c r="H8" s="184"/>
      <c r="I8" s="260"/>
      <c r="J8" s="184"/>
      <c r="K8" s="275" t="s">
        <v>88</v>
      </c>
      <c r="L8" s="270"/>
      <c r="M8" s="268"/>
    </row>
    <row r="9" spans="1:13" x14ac:dyDescent="0.45">
      <c r="A9" s="49"/>
      <c r="B9" s="269"/>
      <c r="C9" s="276"/>
      <c r="D9" s="276"/>
      <c r="E9" s="276" t="s">
        <v>166</v>
      </c>
      <c r="F9" s="277" t="s">
        <v>196</v>
      </c>
      <c r="G9" s="396" t="s">
        <v>197</v>
      </c>
      <c r="H9" s="396"/>
      <c r="I9" s="396" t="s">
        <v>9</v>
      </c>
      <c r="J9" s="396"/>
      <c r="K9" s="275" t="s">
        <v>167</v>
      </c>
      <c r="L9" s="270"/>
      <c r="M9" s="268"/>
    </row>
    <row r="10" spans="1:13" ht="17.649999999999999" x14ac:dyDescent="0.75">
      <c r="A10" s="49"/>
      <c r="B10" s="269"/>
      <c r="C10" s="275"/>
      <c r="D10" s="279" t="s">
        <v>198</v>
      </c>
      <c r="E10" s="275" t="s">
        <v>168</v>
      </c>
      <c r="F10" s="280" t="s">
        <v>200</v>
      </c>
      <c r="G10" s="278" t="s">
        <v>199</v>
      </c>
      <c r="H10" s="275" t="s">
        <v>169</v>
      </c>
      <c r="I10" s="278" t="s">
        <v>199</v>
      </c>
      <c r="J10" s="275" t="s">
        <v>169</v>
      </c>
      <c r="K10" s="275" t="s">
        <v>130</v>
      </c>
      <c r="L10" s="270"/>
      <c r="M10" s="268"/>
    </row>
    <row r="11" spans="1:13" x14ac:dyDescent="0.45">
      <c r="A11" s="49"/>
      <c r="B11" s="269"/>
      <c r="C11" s="281" t="s">
        <v>170</v>
      </c>
      <c r="D11" s="258"/>
      <c r="E11" s="282"/>
      <c r="G11" s="260"/>
      <c r="H11" s="283"/>
      <c r="I11" s="260"/>
      <c r="J11" s="283"/>
      <c r="K11" s="207"/>
      <c r="L11" s="270"/>
      <c r="M11" s="268"/>
    </row>
    <row r="12" spans="1:13" x14ac:dyDescent="0.45">
      <c r="A12" s="49"/>
      <c r="B12" s="269"/>
      <c r="C12" s="281"/>
      <c r="D12" s="258" t="s">
        <v>171</v>
      </c>
      <c r="E12" s="282" t="s">
        <v>172</v>
      </c>
      <c r="F12" s="284">
        <f>+[1]Adjusted!$E$23</f>
        <v>104563</v>
      </c>
      <c r="G12" s="285" t="s">
        <v>172</v>
      </c>
      <c r="H12" s="63">
        <f>[1]Adjusted!$J$23</f>
        <v>5090.97</v>
      </c>
      <c r="I12" s="260">
        <v>37.5</v>
      </c>
      <c r="J12" s="63">
        <f>F12/I12</f>
        <v>2788.3466666666668</v>
      </c>
      <c r="K12" s="62">
        <f>J12-H12</f>
        <v>-2302.6233333333334</v>
      </c>
      <c r="L12" s="270"/>
      <c r="M12" s="268"/>
    </row>
    <row r="13" spans="1:13" x14ac:dyDescent="0.45">
      <c r="A13" s="49"/>
      <c r="B13" s="269"/>
      <c r="C13" s="281"/>
      <c r="D13" s="258" t="s">
        <v>173</v>
      </c>
      <c r="E13" s="282" t="s">
        <v>172</v>
      </c>
      <c r="F13" s="284"/>
      <c r="G13" s="285" t="s">
        <v>172</v>
      </c>
      <c r="H13" s="63"/>
      <c r="I13" s="260">
        <v>10</v>
      </c>
      <c r="J13" s="63">
        <f>F13/I13</f>
        <v>0</v>
      </c>
      <c r="K13" s="62">
        <f>J13-H13</f>
        <v>0</v>
      </c>
      <c r="L13" s="270"/>
      <c r="M13" s="268"/>
    </row>
    <row r="14" spans="1:13" x14ac:dyDescent="0.45">
      <c r="A14" s="49"/>
      <c r="B14" s="269"/>
      <c r="C14" s="258"/>
      <c r="D14" s="258" t="s">
        <v>174</v>
      </c>
      <c r="E14" s="282" t="s">
        <v>172</v>
      </c>
      <c r="F14" s="284">
        <f>[1]Adjusted!$E$99</f>
        <v>0</v>
      </c>
      <c r="G14" s="285" t="s">
        <v>172</v>
      </c>
      <c r="H14" s="63">
        <f>[1]Adjusted!$J$99</f>
        <v>0</v>
      </c>
      <c r="I14" s="260">
        <v>22.5</v>
      </c>
      <c r="J14" s="63">
        <f>F14/I14</f>
        <v>0</v>
      </c>
      <c r="K14" s="62">
        <f>J14-H14</f>
        <v>0</v>
      </c>
      <c r="L14" s="270"/>
      <c r="M14" s="268"/>
    </row>
    <row r="15" spans="1:13" x14ac:dyDescent="0.45">
      <c r="A15" s="49"/>
      <c r="B15" s="269"/>
      <c r="C15" s="258"/>
      <c r="D15" s="258" t="s">
        <v>175</v>
      </c>
      <c r="E15" s="282" t="s">
        <v>172</v>
      </c>
      <c r="F15" s="284">
        <f>[1]Adjusted!$E$128</f>
        <v>0</v>
      </c>
      <c r="G15" s="285" t="s">
        <v>172</v>
      </c>
      <c r="H15" s="63">
        <f>[1]Adjusted!$J$128</f>
        <v>0</v>
      </c>
      <c r="I15" s="260">
        <v>12.5</v>
      </c>
      <c r="J15" s="63">
        <f t="shared" ref="J15:J16" si="0">F15/I15</f>
        <v>0</v>
      </c>
      <c r="K15" s="62">
        <f t="shared" ref="K15:K16" si="1">J15-H15</f>
        <v>0</v>
      </c>
      <c r="L15" s="270"/>
      <c r="M15" s="268"/>
    </row>
    <row r="16" spans="1:13" x14ac:dyDescent="0.45">
      <c r="A16" s="49"/>
      <c r="B16" s="269"/>
      <c r="C16" s="258"/>
      <c r="D16" s="258" t="s">
        <v>176</v>
      </c>
      <c r="E16" s="282" t="s">
        <v>172</v>
      </c>
      <c r="F16" s="284">
        <f>[1]Adjusted!$E$161</f>
        <v>0</v>
      </c>
      <c r="G16" s="285" t="s">
        <v>172</v>
      </c>
      <c r="H16" s="63">
        <f>[1]Adjusted!$J$161</f>
        <v>0</v>
      </c>
      <c r="I16" s="260">
        <v>17.5</v>
      </c>
      <c r="J16" s="63">
        <f t="shared" si="0"/>
        <v>0</v>
      </c>
      <c r="K16" s="62">
        <f t="shared" si="1"/>
        <v>0</v>
      </c>
      <c r="L16" s="270"/>
      <c r="M16" s="268"/>
    </row>
    <row r="17" spans="1:13" x14ac:dyDescent="0.45">
      <c r="A17" s="49"/>
      <c r="B17" s="269"/>
      <c r="C17" s="258"/>
      <c r="D17" s="258"/>
      <c r="E17" s="282"/>
      <c r="F17" s="284"/>
      <c r="G17" s="285"/>
      <c r="H17" s="63"/>
      <c r="I17" s="260"/>
      <c r="J17" s="63"/>
      <c r="K17" s="62"/>
      <c r="L17" s="270"/>
      <c r="M17" s="268"/>
    </row>
    <row r="18" spans="1:13" x14ac:dyDescent="0.45">
      <c r="A18" s="49"/>
      <c r="B18" s="269"/>
      <c r="C18" s="281" t="s">
        <v>177</v>
      </c>
      <c r="D18" s="258"/>
      <c r="E18" s="282"/>
      <c r="F18" s="284"/>
      <c r="G18" s="285"/>
      <c r="H18" s="63"/>
      <c r="I18" s="260"/>
      <c r="J18" s="63"/>
      <c r="K18" s="62"/>
      <c r="L18" s="270"/>
      <c r="M18" s="268"/>
    </row>
    <row r="19" spans="1:13" x14ac:dyDescent="0.45">
      <c r="A19" s="49"/>
      <c r="B19" s="269"/>
      <c r="C19" s="258"/>
      <c r="D19" s="258" t="s">
        <v>178</v>
      </c>
      <c r="E19" s="282"/>
      <c r="F19" s="284"/>
      <c r="G19" s="285"/>
      <c r="H19" s="63"/>
      <c r="I19" s="260">
        <v>62.5</v>
      </c>
      <c r="J19" s="63">
        <f t="shared" ref="J19:J20" si="2">F19/I19</f>
        <v>0</v>
      </c>
      <c r="K19" s="62">
        <f t="shared" ref="K19:K20" si="3">J19-H19</f>
        <v>0</v>
      </c>
      <c r="L19" s="270"/>
      <c r="M19" s="268"/>
    </row>
    <row r="20" spans="1:13" x14ac:dyDescent="0.45">
      <c r="A20" s="49"/>
      <c r="B20" s="269"/>
      <c r="C20" s="258"/>
      <c r="D20" s="258" t="s">
        <v>179</v>
      </c>
      <c r="E20" s="282" t="s">
        <v>172</v>
      </c>
      <c r="F20" s="284">
        <v>0</v>
      </c>
      <c r="G20" s="285" t="s">
        <v>172</v>
      </c>
      <c r="H20" s="63">
        <v>0</v>
      </c>
      <c r="I20" s="260">
        <v>62.5</v>
      </c>
      <c r="J20" s="63">
        <f t="shared" si="2"/>
        <v>0</v>
      </c>
      <c r="K20" s="62">
        <f t="shared" si="3"/>
        <v>0</v>
      </c>
      <c r="L20" s="270"/>
      <c r="M20" s="268"/>
    </row>
    <row r="21" spans="1:13" x14ac:dyDescent="0.45">
      <c r="A21" s="49"/>
      <c r="B21" s="269"/>
      <c r="C21" s="275"/>
      <c r="D21" s="275"/>
      <c r="E21" s="275"/>
      <c r="F21" s="286"/>
      <c r="G21" s="278"/>
      <c r="H21" s="287"/>
      <c r="I21" s="278"/>
      <c r="J21" s="287"/>
      <c r="K21" s="275"/>
      <c r="L21" s="270"/>
      <c r="M21" s="268"/>
    </row>
    <row r="22" spans="1:13" x14ac:dyDescent="0.45">
      <c r="A22" s="49"/>
      <c r="B22" s="269"/>
      <c r="C22" s="281" t="s">
        <v>180</v>
      </c>
      <c r="D22" s="258"/>
      <c r="E22" s="282"/>
      <c r="G22" s="288"/>
      <c r="H22" s="283"/>
      <c r="I22" s="288"/>
      <c r="J22" s="283"/>
      <c r="K22" s="207"/>
      <c r="L22" s="270"/>
      <c r="M22" s="268"/>
    </row>
    <row r="23" spans="1:13" x14ac:dyDescent="0.45">
      <c r="A23" s="49"/>
      <c r="B23" s="269"/>
      <c r="C23" s="281"/>
      <c r="D23" s="258" t="s">
        <v>171</v>
      </c>
      <c r="E23" s="282" t="s">
        <v>172</v>
      </c>
      <c r="F23" s="284"/>
      <c r="G23" s="285" t="s">
        <v>172</v>
      </c>
      <c r="H23" s="63"/>
      <c r="I23" s="260">
        <v>37.5</v>
      </c>
      <c r="J23" s="63">
        <f>F23/I23</f>
        <v>0</v>
      </c>
      <c r="K23" s="62">
        <f>J23-H23</f>
        <v>0</v>
      </c>
      <c r="L23" s="270"/>
      <c r="M23" s="268"/>
    </row>
    <row r="24" spans="1:13" x14ac:dyDescent="0.45">
      <c r="A24" s="49"/>
      <c r="B24" s="269"/>
      <c r="C24" s="258"/>
      <c r="D24" s="258" t="s">
        <v>181</v>
      </c>
      <c r="E24" s="282"/>
      <c r="G24" s="285"/>
      <c r="H24" s="63"/>
      <c r="I24" s="260">
        <v>10</v>
      </c>
      <c r="J24" s="283">
        <f>F24/I24</f>
        <v>0</v>
      </c>
      <c r="K24" s="62">
        <f>J24-H24</f>
        <v>0</v>
      </c>
      <c r="L24" s="270"/>
      <c r="M24" s="268"/>
    </row>
    <row r="25" spans="1:13" x14ac:dyDescent="0.45">
      <c r="A25" s="49"/>
      <c r="B25" s="269"/>
      <c r="C25" s="258"/>
      <c r="D25" s="258" t="s">
        <v>182</v>
      </c>
      <c r="E25" s="282" t="s">
        <v>172</v>
      </c>
      <c r="F25" s="259">
        <f>[1]Adjusted!$E$114</f>
        <v>57568</v>
      </c>
      <c r="G25" s="285" t="s">
        <v>172</v>
      </c>
      <c r="H25" s="63">
        <f>[1]Adjusted!$J$114</f>
        <v>4800.3</v>
      </c>
      <c r="I25" s="260">
        <v>20</v>
      </c>
      <c r="J25" s="283">
        <f>F25/I25</f>
        <v>2878.4</v>
      </c>
      <c r="K25" s="62">
        <f>J25-H25</f>
        <v>-1921.9</v>
      </c>
      <c r="L25" s="270"/>
      <c r="M25" s="268"/>
    </row>
    <row r="26" spans="1:13" x14ac:dyDescent="0.45">
      <c r="A26" s="49"/>
      <c r="B26" s="269"/>
      <c r="C26" s="275"/>
      <c r="D26" s="275"/>
      <c r="E26" s="275"/>
      <c r="G26" s="285"/>
      <c r="H26" s="283"/>
      <c r="I26" s="288"/>
      <c r="J26" s="283"/>
      <c r="K26" s="207"/>
      <c r="L26" s="270"/>
      <c r="M26" s="268"/>
    </row>
    <row r="27" spans="1:13" x14ac:dyDescent="0.45">
      <c r="A27" s="49"/>
      <c r="B27" s="269"/>
      <c r="C27" s="281" t="s">
        <v>183</v>
      </c>
      <c r="D27" s="258"/>
      <c r="E27" s="282"/>
      <c r="G27" s="285"/>
      <c r="H27" s="283"/>
      <c r="I27" s="260"/>
      <c r="J27" s="283"/>
      <c r="K27" s="207"/>
      <c r="L27" s="270"/>
      <c r="M27" s="268"/>
    </row>
    <row r="28" spans="1:13" x14ac:dyDescent="0.45">
      <c r="A28" s="49"/>
      <c r="B28" s="269"/>
      <c r="C28" s="281"/>
      <c r="D28" s="258" t="s">
        <v>184</v>
      </c>
      <c r="E28" s="282" t="s">
        <v>172</v>
      </c>
      <c r="F28" s="284"/>
      <c r="G28" s="285" t="s">
        <v>172</v>
      </c>
      <c r="H28" s="63"/>
      <c r="I28" s="260">
        <v>50</v>
      </c>
      <c r="J28" s="63">
        <f>H28</f>
        <v>0</v>
      </c>
      <c r="K28" s="62">
        <f>J28-H28</f>
        <v>0</v>
      </c>
      <c r="L28" s="270"/>
      <c r="M28" s="268"/>
    </row>
    <row r="29" spans="1:13" x14ac:dyDescent="0.45">
      <c r="A29" s="49"/>
      <c r="B29" s="269"/>
      <c r="C29" s="281"/>
      <c r="D29" s="258" t="s">
        <v>185</v>
      </c>
      <c r="E29" s="282" t="s">
        <v>172</v>
      </c>
      <c r="F29" s="284">
        <f>[1]Adjusted!$E$187</f>
        <v>10232858.939999999</v>
      </c>
      <c r="G29" s="285" t="s">
        <v>172</v>
      </c>
      <c r="H29" s="63">
        <f>[1]Adjusted!$J$187</f>
        <v>270319.87</v>
      </c>
      <c r="I29" s="260">
        <v>62.5</v>
      </c>
      <c r="J29" s="63">
        <f t="shared" ref="J29:J35" si="4">F29/I29</f>
        <v>163725.74304</v>
      </c>
      <c r="K29" s="62">
        <f t="shared" ref="K29:K35" si="5">J29-H29</f>
        <v>-106594.12695999999</v>
      </c>
      <c r="L29" s="270"/>
      <c r="M29" s="268"/>
    </row>
    <row r="30" spans="1:13" x14ac:dyDescent="0.45">
      <c r="A30" s="49"/>
      <c r="B30" s="269"/>
      <c r="C30" s="281"/>
      <c r="D30" s="258" t="s">
        <v>273</v>
      </c>
      <c r="E30" s="282" t="s">
        <v>172</v>
      </c>
      <c r="F30" s="284">
        <f>[1]Adjusted!$E$67</f>
        <v>159514</v>
      </c>
      <c r="G30" s="285" t="s">
        <v>172</v>
      </c>
      <c r="H30" s="63">
        <f>[1]Adjusted!$J$67</f>
        <v>9719.85</v>
      </c>
      <c r="I30" s="260">
        <v>40</v>
      </c>
      <c r="J30" s="63">
        <f t="shared" si="4"/>
        <v>3987.85</v>
      </c>
      <c r="K30" s="62">
        <f t="shared" si="5"/>
        <v>-5732</v>
      </c>
      <c r="L30" s="270"/>
      <c r="M30" s="268"/>
    </row>
    <row r="31" spans="1:13" x14ac:dyDescent="0.45">
      <c r="A31" s="49"/>
      <c r="B31" s="269"/>
      <c r="C31" s="281"/>
      <c r="D31" s="258" t="s">
        <v>186</v>
      </c>
      <c r="E31" s="282" t="s">
        <v>172</v>
      </c>
      <c r="F31" s="284">
        <f>[1]Adjusted!$E$136</f>
        <v>17760</v>
      </c>
      <c r="G31" s="285" t="s">
        <v>172</v>
      </c>
      <c r="H31" s="63">
        <f>[1]Adjusted!$J$136</f>
        <v>1776</v>
      </c>
      <c r="I31" s="260">
        <v>20</v>
      </c>
      <c r="J31" s="63">
        <f t="shared" si="4"/>
        <v>888</v>
      </c>
      <c r="K31" s="62">
        <f t="shared" si="5"/>
        <v>-888</v>
      </c>
      <c r="L31" s="270"/>
      <c r="M31" s="268"/>
    </row>
    <row r="32" spans="1:13" x14ac:dyDescent="0.45">
      <c r="A32" s="49"/>
      <c r="B32" s="269"/>
      <c r="C32" s="281"/>
      <c r="D32" s="258" t="s">
        <v>187</v>
      </c>
      <c r="E32" s="282"/>
      <c r="F32" s="284"/>
      <c r="G32" s="285"/>
      <c r="H32" s="63"/>
      <c r="I32" s="260">
        <v>37.5</v>
      </c>
      <c r="J32" s="63">
        <f t="shared" si="4"/>
        <v>0</v>
      </c>
      <c r="K32" s="62">
        <f t="shared" si="5"/>
        <v>0</v>
      </c>
      <c r="L32" s="270"/>
      <c r="M32" s="268"/>
    </row>
    <row r="33" spans="1:14" x14ac:dyDescent="0.45">
      <c r="A33" s="49"/>
      <c r="B33" s="269"/>
      <c r="C33" s="281"/>
      <c r="D33" s="258" t="s">
        <v>188</v>
      </c>
      <c r="E33" s="282" t="s">
        <v>172</v>
      </c>
      <c r="F33" s="284">
        <f>[1]Adjusted!$E$145</f>
        <v>60884</v>
      </c>
      <c r="G33" s="285" t="s">
        <v>172</v>
      </c>
      <c r="H33" s="63">
        <f>[1]Adjusted!$J$145</f>
        <v>1522.1100000000001</v>
      </c>
      <c r="I33" s="260">
        <v>40</v>
      </c>
      <c r="J33" s="63">
        <f t="shared" si="4"/>
        <v>1522.1</v>
      </c>
      <c r="K33" s="62">
        <f t="shared" si="5"/>
        <v>-1.0000000000218279E-2</v>
      </c>
      <c r="L33" s="270"/>
      <c r="M33" s="268"/>
    </row>
    <row r="34" spans="1:14" x14ac:dyDescent="0.45">
      <c r="A34" s="49"/>
      <c r="B34" s="269"/>
      <c r="C34" s="281"/>
      <c r="D34" s="258" t="s">
        <v>189</v>
      </c>
      <c r="E34" s="282" t="s">
        <v>172</v>
      </c>
      <c r="F34" s="284">
        <f>+[1]Adjusted!$E$33</f>
        <v>63500</v>
      </c>
      <c r="G34" s="285" t="s">
        <v>172</v>
      </c>
      <c r="H34" s="63">
        <f>+[1]Adjusted!$J$33</f>
        <v>1602.4</v>
      </c>
      <c r="I34" s="260">
        <v>45</v>
      </c>
      <c r="J34" s="63">
        <f t="shared" si="4"/>
        <v>1411.1111111111111</v>
      </c>
      <c r="K34" s="62">
        <f t="shared" si="5"/>
        <v>-191.28888888888901</v>
      </c>
      <c r="L34" s="270"/>
      <c r="M34" s="268"/>
    </row>
    <row r="35" spans="1:14" x14ac:dyDescent="0.45">
      <c r="A35" s="49"/>
      <c r="B35" s="269"/>
      <c r="C35" s="281"/>
      <c r="D35" s="258" t="s">
        <v>290</v>
      </c>
      <c r="E35" s="282"/>
      <c r="F35" s="284">
        <v>1400000</v>
      </c>
      <c r="G35" s="285"/>
      <c r="H35" s="63">
        <v>0</v>
      </c>
      <c r="I35" s="260">
        <v>50</v>
      </c>
      <c r="J35" s="63">
        <f t="shared" si="4"/>
        <v>28000</v>
      </c>
      <c r="K35" s="62">
        <f t="shared" si="5"/>
        <v>28000</v>
      </c>
      <c r="L35" s="270"/>
      <c r="M35" s="268"/>
    </row>
    <row r="36" spans="1:14" x14ac:dyDescent="0.45">
      <c r="A36" s="49"/>
      <c r="B36" s="269"/>
      <c r="C36" s="281"/>
      <c r="D36" s="258" t="s">
        <v>293</v>
      </c>
      <c r="E36" s="282"/>
      <c r="F36" s="284">
        <v>1110000</v>
      </c>
      <c r="G36" s="285"/>
      <c r="H36" s="63">
        <v>0</v>
      </c>
      <c r="I36" s="260">
        <v>45</v>
      </c>
      <c r="J36" s="63">
        <f t="shared" ref="J36" si="6">F36/I36</f>
        <v>24666.666666666668</v>
      </c>
      <c r="K36" s="62">
        <f t="shared" ref="K36" si="7">J36-H36</f>
        <v>24666.666666666668</v>
      </c>
      <c r="L36" s="270"/>
      <c r="M36" s="268"/>
    </row>
    <row r="37" spans="1:14" x14ac:dyDescent="0.45">
      <c r="A37" s="49"/>
      <c r="B37" s="269"/>
      <c r="C37" s="281"/>
      <c r="E37" s="282"/>
      <c r="G37" s="285"/>
      <c r="H37" s="283"/>
      <c r="I37" s="288"/>
      <c r="J37" s="283"/>
      <c r="K37" s="62"/>
      <c r="L37" s="270"/>
      <c r="M37" s="268"/>
    </row>
    <row r="38" spans="1:14" x14ac:dyDescent="0.45">
      <c r="A38" s="49"/>
      <c r="B38" s="269"/>
      <c r="C38" s="281" t="s">
        <v>190</v>
      </c>
      <c r="E38" s="282"/>
      <c r="G38" s="285"/>
      <c r="H38" s="283"/>
      <c r="I38" s="289"/>
      <c r="J38" s="283"/>
      <c r="K38" s="207"/>
      <c r="L38" s="270"/>
      <c r="M38" s="268"/>
    </row>
    <row r="39" spans="1:14" x14ac:dyDescent="0.45">
      <c r="A39" s="49"/>
      <c r="B39" s="269"/>
      <c r="C39" s="258"/>
      <c r="D39" s="49" t="s">
        <v>191</v>
      </c>
      <c r="E39" s="282" t="s">
        <v>172</v>
      </c>
      <c r="F39" s="259">
        <f>[1]Adjusted!$E$209</f>
        <v>158011.15</v>
      </c>
      <c r="G39" s="285" t="s">
        <v>172</v>
      </c>
      <c r="H39" s="283">
        <f>[1]Adjusted!$J$209</f>
        <v>17666.170000000002</v>
      </c>
      <c r="I39" s="289">
        <v>7</v>
      </c>
      <c r="J39" s="283">
        <f>F39/I39</f>
        <v>22573.021428571428</v>
      </c>
      <c r="K39" s="207">
        <f>J39-H39</f>
        <v>4906.8514285714264</v>
      </c>
      <c r="L39" s="270"/>
      <c r="M39" s="268"/>
    </row>
    <row r="40" spans="1:14" x14ac:dyDescent="0.45">
      <c r="A40" s="49"/>
      <c r="B40" s="269"/>
      <c r="C40" s="258"/>
      <c r="D40" s="258"/>
      <c r="E40" s="258"/>
      <c r="G40" s="207"/>
      <c r="H40" s="63"/>
      <c r="I40" s="207"/>
      <c r="J40" s="290"/>
      <c r="K40" s="207"/>
      <c r="L40" s="270"/>
      <c r="M40" s="268"/>
    </row>
    <row r="41" spans="1:14" x14ac:dyDescent="0.45">
      <c r="A41" s="49"/>
      <c r="B41" s="269"/>
      <c r="C41" s="291" t="s">
        <v>20</v>
      </c>
      <c r="F41" s="292">
        <f>SUM(F12:F40)</f>
        <v>13364659.09</v>
      </c>
      <c r="G41" s="293"/>
      <c r="H41" s="292">
        <f>SUM(H12:H40)</f>
        <v>312497.67</v>
      </c>
      <c r="I41" s="294"/>
      <c r="J41" s="292">
        <f>SUM(J12:J40)</f>
        <v>252441.2389130159</v>
      </c>
      <c r="K41" s="294">
        <f>SUM(K12:K40)</f>
        <v>-60056.431086984107</v>
      </c>
      <c r="L41" s="270"/>
      <c r="M41" s="268"/>
      <c r="N41" s="123"/>
    </row>
    <row r="42" spans="1:14" x14ac:dyDescent="0.45">
      <c r="A42" s="49"/>
      <c r="B42" s="272"/>
      <c r="C42" s="295"/>
      <c r="D42" s="295"/>
      <c r="E42" s="295"/>
      <c r="F42" s="296"/>
      <c r="G42" s="295"/>
      <c r="H42" s="297"/>
      <c r="I42" s="295"/>
      <c r="J42" s="297"/>
      <c r="K42" s="295"/>
      <c r="L42" s="274"/>
      <c r="M42" s="298"/>
    </row>
    <row r="43" spans="1:14" x14ac:dyDescent="0.45">
      <c r="A43" s="49"/>
      <c r="B43" s="49"/>
      <c r="C43" s="258"/>
      <c r="D43" s="258"/>
      <c r="E43" s="258"/>
      <c r="G43" s="258"/>
      <c r="H43" s="290"/>
      <c r="I43" s="258"/>
      <c r="J43" s="290"/>
      <c r="K43" s="258"/>
      <c r="L43" s="258"/>
      <c r="M43" s="258"/>
    </row>
    <row r="44" spans="1:14" x14ac:dyDescent="0.45">
      <c r="D44" s="258" t="s">
        <v>192</v>
      </c>
    </row>
    <row r="45" spans="1:14" x14ac:dyDescent="0.45">
      <c r="D45" s="258"/>
    </row>
    <row r="47" spans="1:14" x14ac:dyDescent="0.45">
      <c r="D47" s="49" t="s">
        <v>193</v>
      </c>
      <c r="F47" s="259">
        <f>J41</f>
        <v>252441.2389130159</v>
      </c>
    </row>
    <row r="48" spans="1:14" ht="17.649999999999999" x14ac:dyDescent="0.75">
      <c r="D48" s="49" t="s">
        <v>194</v>
      </c>
      <c r="F48" s="300">
        <f>SAO!C31</f>
        <v>312498</v>
      </c>
      <c r="J48" s="301"/>
    </row>
    <row r="49" spans="4:11" x14ac:dyDescent="0.45">
      <c r="D49" s="49" t="s">
        <v>195</v>
      </c>
      <c r="F49" s="259">
        <f>F47-F48</f>
        <v>-60056.761086984101</v>
      </c>
      <c r="G49" s="123"/>
    </row>
    <row r="51" spans="4:11" x14ac:dyDescent="0.45">
      <c r="F51" s="292"/>
      <c r="G51" s="293"/>
      <c r="H51" s="292"/>
      <c r="I51" s="294"/>
      <c r="J51" s="292"/>
      <c r="K51" s="294"/>
    </row>
  </sheetData>
  <mergeCells count="5">
    <mergeCell ref="C5:K5"/>
    <mergeCell ref="G9:H9"/>
    <mergeCell ref="I9:J9"/>
    <mergeCell ref="C3:K3"/>
    <mergeCell ref="C4:K4"/>
  </mergeCells>
  <printOptions horizontalCentered="1" verticalCentered="1"/>
  <pageMargins left="0.7" right="0.7" top="0.75" bottom="0.75" header="0.3" footer="0.3"/>
  <pageSetup scale="77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2B56D-C709-4B50-AF3D-F7AB7B39738A}">
  <dimension ref="A1:B9"/>
  <sheetViews>
    <sheetView workbookViewId="0">
      <selection activeCell="B5" sqref="B5"/>
    </sheetView>
  </sheetViews>
  <sheetFormatPr defaultRowHeight="14.25" x14ac:dyDescent="0.45"/>
  <cols>
    <col min="1" max="1" width="20.609375" style="49" customWidth="1"/>
    <col min="2" max="2" width="12.609375" style="49" customWidth="1"/>
    <col min="3" max="16384" width="8.88671875" style="49"/>
  </cols>
  <sheetData>
    <row r="1" spans="1:2" x14ac:dyDescent="0.45">
      <c r="A1" s="49" t="s">
        <v>155</v>
      </c>
    </row>
    <row r="3" spans="1:2" x14ac:dyDescent="0.45">
      <c r="A3" s="49" t="s">
        <v>156</v>
      </c>
      <c r="B3" s="49">
        <v>45</v>
      </c>
    </row>
    <row r="4" spans="1:2" ht="16.5" x14ac:dyDescent="0.75">
      <c r="A4" s="49" t="s">
        <v>157</v>
      </c>
      <c r="B4" s="250">
        <v>1300</v>
      </c>
    </row>
    <row r="5" spans="1:2" x14ac:dyDescent="0.45">
      <c r="A5" s="49" t="s">
        <v>158</v>
      </c>
      <c r="B5" s="249">
        <f>B3*B4</f>
        <v>58500</v>
      </c>
    </row>
    <row r="7" spans="1:2" x14ac:dyDescent="0.45">
      <c r="A7" s="49" t="s">
        <v>159</v>
      </c>
      <c r="B7" s="249">
        <f>ROUND(B5*0.3,0)</f>
        <v>17550</v>
      </c>
    </row>
    <row r="8" spans="1:2" ht="16.5" x14ac:dyDescent="0.75">
      <c r="A8" s="49" t="s">
        <v>160</v>
      </c>
      <c r="B8" s="251">
        <f>ROUND(B5*0.7,0)</f>
        <v>40950</v>
      </c>
    </row>
    <row r="9" spans="1:2" x14ac:dyDescent="0.45">
      <c r="B9" s="249">
        <f>SUM(B7:B8)</f>
        <v>58500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11CB-4786-49ED-84DB-B7097166E3AD}">
  <dimension ref="A1:B7"/>
  <sheetViews>
    <sheetView workbookViewId="0">
      <selection activeCell="B6" sqref="B6"/>
    </sheetView>
  </sheetViews>
  <sheetFormatPr defaultRowHeight="14.25" x14ac:dyDescent="0.45"/>
  <cols>
    <col min="1" max="1" width="20.609375" style="49" customWidth="1"/>
    <col min="2" max="2" width="12.609375" style="247" customWidth="1"/>
    <col min="3" max="16384" width="8.88671875" style="49"/>
  </cols>
  <sheetData>
    <row r="1" spans="1:2" x14ac:dyDescent="0.45">
      <c r="A1" s="49" t="s">
        <v>150</v>
      </c>
    </row>
    <row r="3" spans="1:2" x14ac:dyDescent="0.45">
      <c r="A3" s="49" t="s">
        <v>151</v>
      </c>
      <c r="B3" s="247">
        <v>9335</v>
      </c>
    </row>
    <row r="4" spans="1:2" x14ac:dyDescent="0.45">
      <c r="A4" s="49" t="s">
        <v>216</v>
      </c>
      <c r="B4" s="310">
        <v>0</v>
      </c>
    </row>
    <row r="5" spans="1:2" x14ac:dyDescent="0.45">
      <c r="A5" s="49" t="s">
        <v>1</v>
      </c>
      <c r="B5" s="247">
        <f>B3+B4</f>
        <v>9335</v>
      </c>
    </row>
    <row r="6" spans="1:2" x14ac:dyDescent="0.45">
      <c r="A6" s="49" t="s">
        <v>152</v>
      </c>
      <c r="B6" s="248">
        <v>3</v>
      </c>
    </row>
    <row r="7" spans="1:2" x14ac:dyDescent="0.45">
      <c r="A7" s="49" t="s">
        <v>153</v>
      </c>
      <c r="B7" s="247">
        <f>B5/B6</f>
        <v>3111.6666666666665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SAO</vt:lpstr>
      <vt:lpstr>Revenue Requirement</vt:lpstr>
      <vt:lpstr>Wages</vt:lpstr>
      <vt:lpstr>Medical</vt:lpstr>
      <vt:lpstr>Water Loss Surcharge</vt:lpstr>
      <vt:lpstr>Debt Service</vt:lpstr>
      <vt:lpstr>Depreciation</vt:lpstr>
      <vt:lpstr>Tap Fees</vt:lpstr>
      <vt:lpstr>Rate Case Expenses</vt:lpstr>
      <vt:lpstr>Rates</vt:lpstr>
      <vt:lpstr>Bills</vt:lpstr>
      <vt:lpstr>Bills with Surcharge</vt:lpstr>
      <vt:lpstr>Existing Billing Analysis</vt:lpstr>
      <vt:lpstr>Proposed Billing Analysis</vt:lpstr>
      <vt:lpstr>Bills!Print_Area</vt:lpstr>
      <vt:lpstr>'Bills with Surcharge'!Print_Area</vt:lpstr>
      <vt:lpstr>'Debt Service'!Print_Area</vt:lpstr>
      <vt:lpstr>Depreciation!Print_Area</vt:lpstr>
      <vt:lpstr>'Existing Billing Analysis'!Print_Area</vt:lpstr>
      <vt:lpstr>'Proposed Billing Analysis'!Print_Area</vt:lpstr>
      <vt:lpstr>Rates!Print_Area</vt:lpstr>
      <vt:lpstr>'Revenue Requirement'!Print_Area</vt:lpstr>
      <vt:lpstr>SAO!Print_Area</vt:lpstr>
      <vt:lpstr>Wages!Print_Area</vt:lpstr>
      <vt:lpstr>'Water Loss Surcharge'!Print_Area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Robert Miller</cp:lastModifiedBy>
  <cp:lastPrinted>2025-08-19T15:44:04Z</cp:lastPrinted>
  <dcterms:created xsi:type="dcterms:W3CDTF">2016-05-18T14:12:06Z</dcterms:created>
  <dcterms:modified xsi:type="dcterms:W3CDTF">2025-10-25T18:03:37Z</dcterms:modified>
</cp:coreProperties>
</file>