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Fleming-Mason/Analysis/"/>
    </mc:Choice>
  </mc:AlternateContent>
  <xr:revisionPtr revIDLastSave="0" documentId="8_{FFD89F90-A685-477F-8A95-3BB6570EDA5E}" xr6:coauthVersionLast="47" xr6:coauthVersionMax="47" xr10:uidLastSave="{00000000-0000-0000-0000-000000000000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Detail'!$A$1:$R$261</definedName>
    <definedName name="_xlnm.Print_Area" localSheetId="2">'Notice Table'!$A$1:$G$110</definedName>
    <definedName name="_xlnm.Print_Area" localSheetId="0">Summary!$A$1:$O$41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M181" i="1"/>
  <c r="M180" i="1"/>
  <c r="H108" i="3" l="1"/>
  <c r="I108" i="3" s="1"/>
  <c r="H109" i="3"/>
  <c r="I109" i="3"/>
  <c r="H110" i="3"/>
  <c r="I110" i="3"/>
  <c r="E109" i="3"/>
  <c r="E110" i="3"/>
  <c r="F109" i="3"/>
  <c r="G109" i="3"/>
  <c r="F110" i="3"/>
  <c r="G110" i="3"/>
  <c r="G108" i="3"/>
  <c r="F108" i="3"/>
  <c r="E108" i="3"/>
  <c r="D107" i="3"/>
  <c r="L259" i="1"/>
  <c r="L258" i="1"/>
  <c r="L257" i="1"/>
  <c r="L166" i="1"/>
  <c r="L4" i="2" l="1"/>
  <c r="E104" i="3"/>
  <c r="F104" i="3"/>
  <c r="E105" i="3"/>
  <c r="F105" i="3"/>
  <c r="E106" i="3"/>
  <c r="F106" i="3"/>
  <c r="F103" i="3"/>
  <c r="E103" i="3"/>
  <c r="D102" i="3"/>
  <c r="C102" i="3"/>
  <c r="F123" i="1"/>
  <c r="I27" i="2"/>
  <c r="I26" i="2"/>
  <c r="I25" i="2"/>
  <c r="I24" i="2"/>
  <c r="S254" i="1"/>
  <c r="F71" i="3" l="1"/>
  <c r="F70" i="3"/>
  <c r="F69" i="3"/>
  <c r="L127" i="1" l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N194" i="1"/>
  <c r="E70" i="3"/>
  <c r="E71" i="3"/>
  <c r="E69" i="3"/>
  <c r="D68" i="3"/>
  <c r="C68" i="3"/>
  <c r="G77" i="1"/>
  <c r="G76" i="1"/>
  <c r="E74" i="1"/>
  <c r="E73" i="1"/>
  <c r="E72" i="1"/>
  <c r="D45" i="3" l="1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E33" i="1"/>
  <c r="E16" i="3"/>
  <c r="E17" i="3"/>
  <c r="F16" i="3"/>
  <c r="F17" i="3"/>
  <c r="F15" i="3"/>
  <c r="E15" i="3"/>
  <c r="D14" i="3"/>
  <c r="C14" i="3"/>
  <c r="F40" i="3"/>
  <c r="F41" i="3"/>
  <c r="F42" i="3"/>
  <c r="F39" i="3"/>
  <c r="E42" i="3"/>
  <c r="E40" i="3"/>
  <c r="E41" i="3"/>
  <c r="E39" i="3"/>
  <c r="D38" i="3"/>
  <c r="C38" i="3"/>
  <c r="G12" i="1"/>
  <c r="G11" i="1"/>
  <c r="E9" i="1"/>
  <c r="E8" i="1"/>
  <c r="E269" i="1" s="1"/>
  <c r="C27" i="2"/>
  <c r="F124" i="1" l="1"/>
  <c r="G124" i="1" s="1"/>
  <c r="F111" i="1"/>
  <c r="F86" i="1"/>
  <c r="F73" i="1"/>
  <c r="F60" i="1"/>
  <c r="F48" i="1"/>
  <c r="F47" i="1"/>
  <c r="F46" i="1"/>
  <c r="F34" i="1"/>
  <c r="F33" i="1"/>
  <c r="F21" i="1"/>
  <c r="F9" i="1"/>
  <c r="F177" i="1"/>
  <c r="F165" i="1"/>
  <c r="F164" i="1"/>
  <c r="F85" i="1"/>
  <c r="F80" i="1"/>
  <c r="F79" i="1"/>
  <c r="F78" i="1"/>
  <c r="F77" i="1"/>
  <c r="F74" i="1"/>
  <c r="F72" i="1"/>
  <c r="F61" i="1"/>
  <c r="F59" i="1"/>
  <c r="F45" i="1"/>
  <c r="F32" i="1"/>
  <c r="G32" i="1" s="1"/>
  <c r="F8" i="1"/>
  <c r="I152" i="1"/>
  <c r="G152" i="1"/>
  <c r="C15" i="2"/>
  <c r="C117" i="3" s="1"/>
  <c r="C134" i="3" s="1"/>
  <c r="B15" i="2"/>
  <c r="D117" i="3" s="1"/>
  <c r="D134" i="3" s="1"/>
  <c r="G40" i="1"/>
  <c r="I39" i="1"/>
  <c r="M39" i="1" s="1"/>
  <c r="I38" i="1"/>
  <c r="M38" i="1" s="1"/>
  <c r="N38" i="1" s="1"/>
  <c r="I37" i="1"/>
  <c r="M37" i="1" s="1"/>
  <c r="N37" i="1" s="1"/>
  <c r="I32" i="1"/>
  <c r="I13" i="1"/>
  <c r="G115" i="1"/>
  <c r="G192" i="1" s="1"/>
  <c r="G114" i="1"/>
  <c r="G191" i="1" s="1"/>
  <c r="E112" i="1"/>
  <c r="E111" i="1"/>
  <c r="E120" i="1" s="1"/>
  <c r="C26" i="2"/>
  <c r="C123" i="3" s="1"/>
  <c r="C140" i="3" s="1"/>
  <c r="B26" i="2"/>
  <c r="D123" i="3" s="1"/>
  <c r="D140" i="3" s="1"/>
  <c r="E126" i="1"/>
  <c r="G126" i="1" s="1"/>
  <c r="E127" i="1"/>
  <c r="I127" i="1" s="1"/>
  <c r="G133" i="1"/>
  <c r="I132" i="1"/>
  <c r="M132" i="1" s="1"/>
  <c r="I131" i="1"/>
  <c r="M131" i="1" s="1"/>
  <c r="N131" i="1" s="1"/>
  <c r="I130" i="1"/>
  <c r="M130" i="1" s="1"/>
  <c r="N130" i="1" s="1"/>
  <c r="I125" i="1"/>
  <c r="G125" i="1"/>
  <c r="I124" i="1"/>
  <c r="I123" i="1"/>
  <c r="G123" i="1"/>
  <c r="E265" i="1" l="1"/>
  <c r="I34" i="1"/>
  <c r="G34" i="1"/>
  <c r="I36" i="1"/>
  <c r="I40" i="1" s="1"/>
  <c r="G33" i="1"/>
  <c r="E42" i="1"/>
  <c r="E134" i="3" s="1"/>
  <c r="I33" i="1"/>
  <c r="G128" i="1"/>
  <c r="D26" i="2" s="1"/>
  <c r="I126" i="1"/>
  <c r="V123" i="1" s="1"/>
  <c r="I129" i="1"/>
  <c r="M129" i="1" s="1"/>
  <c r="N129" i="1" s="1"/>
  <c r="E135" i="1"/>
  <c r="E140" i="3" s="1"/>
  <c r="G35" i="1" l="1"/>
  <c r="G41" i="1" s="1"/>
  <c r="G42" i="1" s="1"/>
  <c r="G134" i="1"/>
  <c r="G135" i="1" s="1"/>
  <c r="I35" i="1"/>
  <c r="M36" i="1"/>
  <c r="N36" i="1" s="1"/>
  <c r="M40" i="1"/>
  <c r="I128" i="1"/>
  <c r="M133" i="1"/>
  <c r="I133" i="1"/>
  <c r="K128" i="1" l="1"/>
  <c r="V124" i="1" s="1"/>
  <c r="V125" i="1" s="1"/>
  <c r="V126" i="1" s="1"/>
  <c r="L124" i="1" s="1"/>
  <c r="D15" i="2"/>
  <c r="J34" i="1"/>
  <c r="E15" i="2"/>
  <c r="G15" i="2" s="1"/>
  <c r="J33" i="1"/>
  <c r="J32" i="1"/>
  <c r="I41" i="1"/>
  <c r="I42" i="1" s="1"/>
  <c r="N40" i="1"/>
  <c r="O40" i="1" s="1"/>
  <c r="I134" i="1"/>
  <c r="I135" i="1" s="1"/>
  <c r="J125" i="1"/>
  <c r="J123" i="1"/>
  <c r="E26" i="2"/>
  <c r="G26" i="2" s="1"/>
  <c r="J124" i="1"/>
  <c r="J127" i="1"/>
  <c r="J126" i="1"/>
  <c r="N133" i="1"/>
  <c r="O133" i="1" s="1"/>
  <c r="L125" i="1" l="1"/>
  <c r="L252" i="1" s="1"/>
  <c r="G105" i="3" s="1"/>
  <c r="H105" i="3" s="1"/>
  <c r="I105" i="3" s="1"/>
  <c r="L126" i="1"/>
  <c r="L241" i="1" s="1"/>
  <c r="J35" i="1"/>
  <c r="J128" i="1"/>
  <c r="L228" i="1" l="1"/>
  <c r="L253" i="1"/>
  <c r="G106" i="3" s="1"/>
  <c r="H106" i="3" s="1"/>
  <c r="I106" i="3" s="1"/>
  <c r="L240" i="1"/>
  <c r="E29" i="1"/>
  <c r="M20" i="1"/>
  <c r="I20" i="1"/>
  <c r="G20" i="1"/>
  <c r="T253" i="1" l="1"/>
  <c r="N20" i="1"/>
  <c r="H166" i="1" l="1"/>
  <c r="F166" i="1" s="1"/>
  <c r="B49" i="1"/>
  <c r="G14" i="1"/>
  <c r="G194" i="1" s="1"/>
  <c r="E266" i="1" l="1"/>
  <c r="E267" i="1" s="1"/>
  <c r="I168" i="1"/>
  <c r="I114" i="1"/>
  <c r="I88" i="1"/>
  <c r="I76" i="1"/>
  <c r="I63" i="1"/>
  <c r="I50" i="1"/>
  <c r="I23" i="1"/>
  <c r="I11" i="1"/>
  <c r="H72" i="3"/>
  <c r="D61" i="3" l="1"/>
  <c r="F11" i="3" l="1"/>
  <c r="G11" i="3" s="1"/>
  <c r="H11" i="3" s="1"/>
  <c r="I11" i="3" s="1"/>
  <c r="L98" i="1" l="1"/>
  <c r="E174" i="1"/>
  <c r="E142" i="3" s="1"/>
  <c r="E107" i="1"/>
  <c r="E94" i="1"/>
  <c r="E138" i="3" s="1"/>
  <c r="E139" i="3"/>
  <c r="E82" i="1"/>
  <c r="E137" i="3" s="1"/>
  <c r="E69" i="1"/>
  <c r="E136" i="3" s="1"/>
  <c r="E56" i="1"/>
  <c r="E135" i="3" s="1"/>
  <c r="E100" i="3" l="1"/>
  <c r="F100" i="3"/>
  <c r="E101" i="3"/>
  <c r="F101" i="3"/>
  <c r="F99" i="3"/>
  <c r="E99" i="3"/>
  <c r="C98" i="3"/>
  <c r="D98" i="3"/>
  <c r="E95" i="3"/>
  <c r="F95" i="3"/>
  <c r="E96" i="3"/>
  <c r="F96" i="3"/>
  <c r="E97" i="3"/>
  <c r="F97" i="3"/>
  <c r="F94" i="3"/>
  <c r="E94" i="3"/>
  <c r="C93" i="3"/>
  <c r="D93" i="3"/>
  <c r="E91" i="3"/>
  <c r="F91" i="3"/>
  <c r="E92" i="3"/>
  <c r="F92" i="3"/>
  <c r="F90" i="3"/>
  <c r="E90" i="3"/>
  <c r="C89" i="3"/>
  <c r="D89" i="3"/>
  <c r="E86" i="3"/>
  <c r="F86" i="3"/>
  <c r="E87" i="3"/>
  <c r="F87" i="3"/>
  <c r="E88" i="3"/>
  <c r="F88" i="3"/>
  <c r="F85" i="3"/>
  <c r="E85" i="3"/>
  <c r="C84" i="3"/>
  <c r="D84" i="3"/>
  <c r="E82" i="3"/>
  <c r="F82" i="3"/>
  <c r="E83" i="3"/>
  <c r="F83" i="3"/>
  <c r="F81" i="3"/>
  <c r="E81" i="3"/>
  <c r="C80" i="3"/>
  <c r="D80" i="3"/>
  <c r="E78" i="3"/>
  <c r="F78" i="3"/>
  <c r="E79" i="3"/>
  <c r="F79" i="3"/>
  <c r="F77" i="3"/>
  <c r="E77" i="3"/>
  <c r="C76" i="3"/>
  <c r="D76" i="3"/>
  <c r="E74" i="3"/>
  <c r="F74" i="3"/>
  <c r="E75" i="3"/>
  <c r="F75" i="3"/>
  <c r="F73" i="3"/>
  <c r="E73" i="3"/>
  <c r="C72" i="3"/>
  <c r="D72" i="3"/>
  <c r="F67" i="3"/>
  <c r="F66" i="3"/>
  <c r="E67" i="3"/>
  <c r="E66" i="3"/>
  <c r="C65" i="3"/>
  <c r="D65" i="3"/>
  <c r="E63" i="3"/>
  <c r="F63" i="3"/>
  <c r="E64" i="3"/>
  <c r="F64" i="3"/>
  <c r="F62" i="3"/>
  <c r="E62" i="3"/>
  <c r="C61" i="3"/>
  <c r="F44" i="3"/>
  <c r="E44" i="3"/>
  <c r="D44" i="3"/>
  <c r="C43" i="3"/>
  <c r="D43" i="3"/>
  <c r="E36" i="3"/>
  <c r="F36" i="3"/>
  <c r="E37" i="3"/>
  <c r="F37" i="3"/>
  <c r="F35" i="3"/>
  <c r="E35" i="3"/>
  <c r="C34" i="3"/>
  <c r="D34" i="3"/>
  <c r="E33" i="3"/>
  <c r="F33" i="3"/>
  <c r="F32" i="3"/>
  <c r="E32" i="3"/>
  <c r="C31" i="3"/>
  <c r="D31" i="3"/>
  <c r="E29" i="3"/>
  <c r="F29" i="3"/>
  <c r="E30" i="3"/>
  <c r="F30" i="3"/>
  <c r="F28" i="3"/>
  <c r="E28" i="3"/>
  <c r="C27" i="3"/>
  <c r="D27" i="3"/>
  <c r="E25" i="3"/>
  <c r="F25" i="3"/>
  <c r="E26" i="3"/>
  <c r="F26" i="3"/>
  <c r="F24" i="3"/>
  <c r="E24" i="3"/>
  <c r="C23" i="3"/>
  <c r="D23" i="3"/>
  <c r="E20" i="3"/>
  <c r="F20" i="3"/>
  <c r="E21" i="3"/>
  <c r="F21" i="3"/>
  <c r="E22" i="3"/>
  <c r="F22" i="3"/>
  <c r="F19" i="3"/>
  <c r="E19" i="3"/>
  <c r="C18" i="3"/>
  <c r="D18" i="3"/>
  <c r="F13" i="3"/>
  <c r="E13" i="3"/>
  <c r="C12" i="3"/>
  <c r="D12" i="3"/>
  <c r="F7" i="3"/>
  <c r="F10" i="3" s="1"/>
  <c r="F6" i="3"/>
  <c r="F9" i="3" s="1"/>
  <c r="E7" i="3"/>
  <c r="E10" i="3" s="1"/>
  <c r="E6" i="3"/>
  <c r="E9" i="3" s="1"/>
  <c r="C5" i="3"/>
  <c r="D5" i="3"/>
  <c r="A1" i="3"/>
  <c r="I165" i="1" l="1"/>
  <c r="I166" i="1"/>
  <c r="I191" i="1" l="1"/>
  <c r="L97" i="1" l="1"/>
  <c r="E97" i="1"/>
  <c r="B27" i="2" l="1"/>
  <c r="D126" i="3" s="1"/>
  <c r="D143" i="3" s="1"/>
  <c r="C126" i="3"/>
  <c r="C143" i="3" s="1"/>
  <c r="C25" i="2"/>
  <c r="B25" i="2"/>
  <c r="D122" i="3" s="1"/>
  <c r="D139" i="3" s="1"/>
  <c r="C23" i="2"/>
  <c r="B23" i="2"/>
  <c r="G13" i="1"/>
  <c r="G193" i="1" s="1"/>
  <c r="C122" i="3" l="1"/>
  <c r="C139" i="3" s="1"/>
  <c r="E17" i="1"/>
  <c r="E132" i="3" s="1"/>
  <c r="G118" i="1"/>
  <c r="I117" i="1"/>
  <c r="M117" i="1" s="1"/>
  <c r="I116" i="1"/>
  <c r="I115" i="1"/>
  <c r="I112" i="1"/>
  <c r="G112" i="1"/>
  <c r="I111" i="1"/>
  <c r="G111" i="1"/>
  <c r="I110" i="1"/>
  <c r="G110" i="1"/>
  <c r="I46" i="1"/>
  <c r="G46" i="1"/>
  <c r="I47" i="1"/>
  <c r="G47" i="1"/>
  <c r="M115" i="1" l="1"/>
  <c r="N115" i="1" s="1"/>
  <c r="G113" i="1"/>
  <c r="I118" i="1"/>
  <c r="M114" i="1"/>
  <c r="M116" i="1"/>
  <c r="N116" i="1" s="1"/>
  <c r="I113" i="1"/>
  <c r="J112" i="1" l="1"/>
  <c r="K113" i="1"/>
  <c r="J111" i="1"/>
  <c r="G119" i="1"/>
  <c r="D25" i="2"/>
  <c r="J110" i="1"/>
  <c r="E25" i="2"/>
  <c r="G25" i="2" s="1"/>
  <c r="N114" i="1"/>
  <c r="M118" i="1"/>
  <c r="I119" i="1"/>
  <c r="G120" i="1" l="1"/>
  <c r="I120" i="1"/>
  <c r="N118" i="1"/>
  <c r="O118" i="1" s="1"/>
  <c r="L39" i="2" l="1"/>
  <c r="C24" i="2"/>
  <c r="C125" i="3" s="1"/>
  <c r="C142" i="3" s="1"/>
  <c r="B24" i="2"/>
  <c r="D125" i="3" s="1"/>
  <c r="D142" i="3" s="1"/>
  <c r="G172" i="1"/>
  <c r="I171" i="1"/>
  <c r="M171" i="1" s="1"/>
  <c r="I170" i="1"/>
  <c r="M170" i="1" s="1"/>
  <c r="N170" i="1" s="1"/>
  <c r="I169" i="1"/>
  <c r="M169" i="1" s="1"/>
  <c r="N169" i="1" s="1"/>
  <c r="M168" i="1"/>
  <c r="G166" i="1"/>
  <c r="G165" i="1"/>
  <c r="I164" i="1"/>
  <c r="G164" i="1"/>
  <c r="G167" i="1" l="1"/>
  <c r="I167" i="1"/>
  <c r="N168" i="1"/>
  <c r="M172" i="1"/>
  <c r="I172" i="1"/>
  <c r="G173" i="1" l="1"/>
  <c r="G174" i="1" s="1"/>
  <c r="D24" i="2"/>
  <c r="K167" i="1"/>
  <c r="E24" i="2"/>
  <c r="G24" i="2" s="1"/>
  <c r="J166" i="1"/>
  <c r="J165" i="1"/>
  <c r="J164" i="1"/>
  <c r="I173" i="1"/>
  <c r="I174" i="1" s="1"/>
  <c r="N172" i="1"/>
  <c r="O172" i="1" s="1"/>
  <c r="M166" i="1" l="1"/>
  <c r="N166" i="1" s="1"/>
  <c r="G64" i="3"/>
  <c r="H64" i="3" s="1"/>
  <c r="I64" i="3" s="1"/>
  <c r="T166" i="1"/>
  <c r="G62" i="3"/>
  <c r="H62" i="3" s="1"/>
  <c r="I62" i="3" s="1"/>
  <c r="J167" i="1"/>
  <c r="M165" i="1" l="1"/>
  <c r="N165" i="1" s="1"/>
  <c r="G63" i="3"/>
  <c r="H63" i="3" s="1"/>
  <c r="I63" i="3" s="1"/>
  <c r="T164" i="1"/>
  <c r="M164" i="1"/>
  <c r="O166" i="1"/>
  <c r="N164" i="1" l="1"/>
  <c r="O164" i="1" s="1"/>
  <c r="C18" i="2" l="1"/>
  <c r="B18" i="2"/>
  <c r="D120" i="3" s="1"/>
  <c r="D137" i="3" s="1"/>
  <c r="C16" i="2"/>
  <c r="I178" i="1"/>
  <c r="G178" i="1"/>
  <c r="I86" i="1"/>
  <c r="G86" i="1"/>
  <c r="I74" i="1"/>
  <c r="G74" i="1"/>
  <c r="I73" i="1"/>
  <c r="G73" i="1"/>
  <c r="C118" i="3" l="1"/>
  <c r="C135" i="3" s="1"/>
  <c r="C120" i="3"/>
  <c r="C137" i="3" s="1"/>
  <c r="I60" i="1"/>
  <c r="G60" i="1"/>
  <c r="I21" i="1"/>
  <c r="G21" i="1"/>
  <c r="G80" i="1" l="1"/>
  <c r="I79" i="1"/>
  <c r="M79" i="1" s="1"/>
  <c r="I78" i="1"/>
  <c r="M78" i="1" s="1"/>
  <c r="N78" i="1" s="1"/>
  <c r="I77" i="1"/>
  <c r="M77" i="1" s="1"/>
  <c r="N77" i="1" s="1"/>
  <c r="M76" i="1"/>
  <c r="I72" i="1"/>
  <c r="G72" i="1"/>
  <c r="I48" i="1"/>
  <c r="G48" i="1"/>
  <c r="I75" i="1" l="1"/>
  <c r="G75" i="1"/>
  <c r="N76" i="1"/>
  <c r="M80" i="1"/>
  <c r="I80" i="1"/>
  <c r="G81" i="1" l="1"/>
  <c r="G82" i="1" s="1"/>
  <c r="D18" i="2"/>
  <c r="E18" i="2"/>
  <c r="J73" i="1"/>
  <c r="J74" i="1"/>
  <c r="I81" i="1"/>
  <c r="I82" i="1" s="1"/>
  <c r="J72" i="1"/>
  <c r="N80" i="1"/>
  <c r="O80" i="1" s="1"/>
  <c r="A8" i="1"/>
  <c r="G18" i="2" l="1"/>
  <c r="J75" i="1"/>
  <c r="I66" i="1"/>
  <c r="M66" i="1" s="1"/>
  <c r="I65" i="1"/>
  <c r="M65" i="1" s="1"/>
  <c r="I64" i="1"/>
  <c r="M64" i="1" s="1"/>
  <c r="I183" i="1"/>
  <c r="M183" i="1" s="1"/>
  <c r="I104" i="1"/>
  <c r="M104" i="1" s="1"/>
  <c r="I103" i="1"/>
  <c r="I102" i="1"/>
  <c r="I91" i="1"/>
  <c r="M91" i="1" s="1"/>
  <c r="I90" i="1"/>
  <c r="I89" i="1"/>
  <c r="M89" i="1" s="1"/>
  <c r="I53" i="1"/>
  <c r="M53" i="1" s="1"/>
  <c r="I52" i="1"/>
  <c r="M52" i="1" s="1"/>
  <c r="I51" i="1"/>
  <c r="M51" i="1" s="1"/>
  <c r="I26" i="1"/>
  <c r="M26" i="1" s="1"/>
  <c r="I25" i="1"/>
  <c r="I24" i="1"/>
  <c r="M24" i="1" s="1"/>
  <c r="I14" i="1"/>
  <c r="I12" i="1"/>
  <c r="B35" i="2"/>
  <c r="I192" i="1" l="1"/>
  <c r="I194" i="1"/>
  <c r="E35" i="2"/>
  <c r="M25" i="1"/>
  <c r="M13" i="1"/>
  <c r="M12" i="1"/>
  <c r="M103" i="1"/>
  <c r="M14" i="1"/>
  <c r="M194" i="1" s="1"/>
  <c r="M102" i="1"/>
  <c r="M90" i="1"/>
  <c r="I27" i="1"/>
  <c r="I54" i="1"/>
  <c r="G184" i="1"/>
  <c r="I182" i="1"/>
  <c r="I193" i="1" s="1"/>
  <c r="G15" i="1"/>
  <c r="G67" i="1"/>
  <c r="D35" i="2"/>
  <c r="G105" i="1"/>
  <c r="G92" i="1"/>
  <c r="G54" i="1"/>
  <c r="G27" i="1"/>
  <c r="J35" i="2" l="1"/>
  <c r="I105" i="1"/>
  <c r="I15" i="1"/>
  <c r="I67" i="1"/>
  <c r="I92" i="1"/>
  <c r="I184" i="1"/>
  <c r="M182" i="1"/>
  <c r="I154" i="1"/>
  <c r="G154" i="1"/>
  <c r="I153" i="1"/>
  <c r="G153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E34" i="2" l="1"/>
  <c r="E33" i="2"/>
  <c r="D34" i="2"/>
  <c r="D33" i="2"/>
  <c r="C19" i="2"/>
  <c r="C17" i="2"/>
  <c r="C20" i="2"/>
  <c r="B20" i="2"/>
  <c r="D124" i="3" s="1"/>
  <c r="D141" i="3" s="1"/>
  <c r="B17" i="2"/>
  <c r="D119" i="3" s="1"/>
  <c r="D136" i="3" s="1"/>
  <c r="B19" i="2"/>
  <c r="D121" i="3" s="1"/>
  <c r="D138" i="3" s="1"/>
  <c r="B16" i="2"/>
  <c r="D118" i="3" s="1"/>
  <c r="D135" i="3" s="1"/>
  <c r="C14" i="2"/>
  <c r="C13" i="2"/>
  <c r="B14" i="2"/>
  <c r="D116" i="3" s="1"/>
  <c r="D133" i="3" s="1"/>
  <c r="B13" i="2"/>
  <c r="D115" i="3" s="1"/>
  <c r="D132" i="3" s="1"/>
  <c r="I99" i="1"/>
  <c r="G99" i="1"/>
  <c r="N90" i="1"/>
  <c r="N89" i="1"/>
  <c r="M88" i="1"/>
  <c r="I85" i="1"/>
  <c r="G85" i="1"/>
  <c r="N52" i="1"/>
  <c r="N51" i="1"/>
  <c r="M50" i="1"/>
  <c r="I45" i="1"/>
  <c r="G45" i="1"/>
  <c r="N25" i="1"/>
  <c r="N24" i="1"/>
  <c r="M23" i="1"/>
  <c r="N103" i="1"/>
  <c r="N102" i="1"/>
  <c r="M101" i="1"/>
  <c r="I98" i="1"/>
  <c r="G98" i="1"/>
  <c r="I97" i="1"/>
  <c r="G97" i="1"/>
  <c r="N182" i="1"/>
  <c r="N181" i="1"/>
  <c r="I177" i="1"/>
  <c r="G177" i="1"/>
  <c r="N65" i="1"/>
  <c r="N64" i="1"/>
  <c r="M63" i="1"/>
  <c r="I61" i="1"/>
  <c r="G61" i="1"/>
  <c r="I59" i="1"/>
  <c r="G59" i="1"/>
  <c r="C124" i="3" l="1"/>
  <c r="C141" i="3" s="1"/>
  <c r="C119" i="3"/>
  <c r="C136" i="3" s="1"/>
  <c r="C115" i="3"/>
  <c r="C132" i="3" s="1"/>
  <c r="C121" i="3"/>
  <c r="C138" i="3" s="1"/>
  <c r="C116" i="3"/>
  <c r="C133" i="3" s="1"/>
  <c r="N23" i="1"/>
  <c r="M27" i="1"/>
  <c r="N63" i="1"/>
  <c r="M67" i="1"/>
  <c r="N180" i="1"/>
  <c r="M184" i="1"/>
  <c r="N101" i="1"/>
  <c r="M105" i="1"/>
  <c r="N88" i="1"/>
  <c r="M92" i="1"/>
  <c r="N50" i="1"/>
  <c r="M54" i="1"/>
  <c r="E32" i="2"/>
  <c r="E36" i="2" s="1"/>
  <c r="G49" i="1"/>
  <c r="D16" i="2" s="1"/>
  <c r="D32" i="2"/>
  <c r="D36" i="2" s="1"/>
  <c r="G22" i="1"/>
  <c r="G87" i="1"/>
  <c r="I87" i="1"/>
  <c r="I49" i="1"/>
  <c r="I22" i="1"/>
  <c r="G100" i="1"/>
  <c r="D23" i="2" s="1"/>
  <c r="I62" i="1"/>
  <c r="G179" i="1"/>
  <c r="I100" i="1"/>
  <c r="K100" i="1" s="1"/>
  <c r="I179" i="1"/>
  <c r="G62" i="1"/>
  <c r="G138" i="1"/>
  <c r="I138" i="1"/>
  <c r="G160" i="1"/>
  <c r="G195" i="1" s="1"/>
  <c r="M158" i="1"/>
  <c r="M193" i="1" s="1"/>
  <c r="M157" i="1"/>
  <c r="M192" i="1" s="1"/>
  <c r="M156" i="1"/>
  <c r="N156" i="1" s="1"/>
  <c r="B33" i="2"/>
  <c r="B34" i="2"/>
  <c r="B32" i="2"/>
  <c r="M11" i="1"/>
  <c r="I9" i="1"/>
  <c r="I8" i="1"/>
  <c r="G9" i="1"/>
  <c r="G8" i="1"/>
  <c r="A2" i="1"/>
  <c r="A1" i="1"/>
  <c r="A13" i="2"/>
  <c r="A14" i="2" s="1"/>
  <c r="A16" i="2" s="1"/>
  <c r="A17" i="2" s="1"/>
  <c r="A18" i="2" s="1"/>
  <c r="A19" i="2" s="1"/>
  <c r="M191" i="1" l="1"/>
  <c r="K179" i="1"/>
  <c r="D27" i="2"/>
  <c r="E27" i="2"/>
  <c r="G27" i="2" s="1"/>
  <c r="J98" i="1"/>
  <c r="J99" i="1"/>
  <c r="J97" i="1"/>
  <c r="M15" i="1"/>
  <c r="E23" i="2"/>
  <c r="J46" i="1"/>
  <c r="J47" i="1"/>
  <c r="J48" i="1"/>
  <c r="J45" i="1"/>
  <c r="D14" i="2"/>
  <c r="J178" i="1"/>
  <c r="J21" i="1"/>
  <c r="E16" i="2"/>
  <c r="N157" i="1"/>
  <c r="J86" i="1"/>
  <c r="N158" i="1"/>
  <c r="J34" i="2"/>
  <c r="J61" i="1"/>
  <c r="J60" i="1"/>
  <c r="J177" i="1"/>
  <c r="J59" i="1"/>
  <c r="J85" i="1"/>
  <c r="G55" i="1"/>
  <c r="G56" i="1" s="1"/>
  <c r="G28" i="1"/>
  <c r="G29" i="1" s="1"/>
  <c r="N12" i="1"/>
  <c r="N192" i="1" s="1"/>
  <c r="J33" i="2"/>
  <c r="N13" i="1"/>
  <c r="G93" i="1"/>
  <c r="G94" i="1" s="1"/>
  <c r="D19" i="2"/>
  <c r="I55" i="1"/>
  <c r="G68" i="1"/>
  <c r="G69" i="1" s="1"/>
  <c r="D17" i="2"/>
  <c r="I68" i="1"/>
  <c r="I69" i="1" s="1"/>
  <c r="E17" i="2"/>
  <c r="I106" i="1"/>
  <c r="I107" i="1" s="1"/>
  <c r="I185" i="1"/>
  <c r="G185" i="1"/>
  <c r="G106" i="1"/>
  <c r="G107" i="1" s="1"/>
  <c r="I28" i="1"/>
  <c r="I29" i="1" s="1"/>
  <c r="E14" i="2"/>
  <c r="I93" i="1"/>
  <c r="I94" i="1" s="1"/>
  <c r="E19" i="2"/>
  <c r="N54" i="1"/>
  <c r="O54" i="1" s="1"/>
  <c r="N92" i="1"/>
  <c r="O92" i="1" s="1"/>
  <c r="N27" i="1"/>
  <c r="O27" i="1" s="1"/>
  <c r="N105" i="1"/>
  <c r="O105" i="1" s="1"/>
  <c r="N184" i="1"/>
  <c r="O184" i="1" s="1"/>
  <c r="N67" i="1"/>
  <c r="O67" i="1" s="1"/>
  <c r="G10" i="1"/>
  <c r="G190" i="1" s="1"/>
  <c r="I10" i="1"/>
  <c r="I190" i="1" s="1"/>
  <c r="I160" i="1"/>
  <c r="I195" i="1" s="1"/>
  <c r="I155" i="1"/>
  <c r="G155" i="1"/>
  <c r="D20" i="2" s="1"/>
  <c r="N11" i="1"/>
  <c r="N191" i="1" s="1"/>
  <c r="I198" i="1" l="1"/>
  <c r="N193" i="1"/>
  <c r="G186" i="1"/>
  <c r="I186" i="1"/>
  <c r="A32" i="2"/>
  <c r="A33" i="2" s="1"/>
  <c r="A34" i="2" s="1"/>
  <c r="A35" i="2" s="1"/>
  <c r="A36" i="2" s="1"/>
  <c r="A37" i="2" s="1"/>
  <c r="A38" i="2" s="1"/>
  <c r="A39" i="2" s="1"/>
  <c r="A40" i="2" s="1"/>
  <c r="A41" i="2" s="1"/>
  <c r="J152" i="1"/>
  <c r="I56" i="1"/>
  <c r="G19" i="2"/>
  <c r="G17" i="2"/>
  <c r="G16" i="2"/>
  <c r="G14" i="2"/>
  <c r="J113" i="1"/>
  <c r="J62" i="1"/>
  <c r="J179" i="1"/>
  <c r="J49" i="1"/>
  <c r="J32" i="2"/>
  <c r="J36" i="2" s="1"/>
  <c r="E20" i="2"/>
  <c r="J22" i="1"/>
  <c r="J100" i="1"/>
  <c r="J153" i="1"/>
  <c r="J145" i="1"/>
  <c r="J149" i="1"/>
  <c r="J146" i="1"/>
  <c r="J154" i="1"/>
  <c r="J143" i="1"/>
  <c r="J144" i="1"/>
  <c r="J150" i="1"/>
  <c r="J147" i="1"/>
  <c r="J151" i="1"/>
  <c r="J148" i="1"/>
  <c r="J142" i="1"/>
  <c r="J140" i="1"/>
  <c r="J141" i="1"/>
  <c r="J139" i="1"/>
  <c r="J9" i="1"/>
  <c r="J8" i="1"/>
  <c r="J87" i="1"/>
  <c r="L99" i="1"/>
  <c r="G161" i="1"/>
  <c r="E13" i="2"/>
  <c r="G16" i="1"/>
  <c r="D13" i="2"/>
  <c r="D21" i="2" s="1"/>
  <c r="D29" i="2" s="1"/>
  <c r="J138" i="1"/>
  <c r="I161" i="1"/>
  <c r="M160" i="1"/>
  <c r="M195" i="1" s="1"/>
  <c r="I16" i="1"/>
  <c r="I18" i="1" s="1"/>
  <c r="N15" i="1"/>
  <c r="G196" i="1" l="1"/>
  <c r="G265" i="1" s="1"/>
  <c r="G266" i="1" s="1"/>
  <c r="G267" i="1" s="1"/>
  <c r="I196" i="1"/>
  <c r="I17" i="1"/>
  <c r="G20" i="2"/>
  <c r="G13" i="2"/>
  <c r="D38" i="2"/>
  <c r="M97" i="1"/>
  <c r="T97" i="1"/>
  <c r="M98" i="1"/>
  <c r="T98" i="1"/>
  <c r="M99" i="1"/>
  <c r="T99" i="1"/>
  <c r="E21" i="2"/>
  <c r="G17" i="1"/>
  <c r="J155" i="1"/>
  <c r="N160" i="1"/>
  <c r="O160" i="1" s="1"/>
  <c r="J10" i="1"/>
  <c r="F15" i="2" l="1"/>
  <c r="E29" i="2"/>
  <c r="N195" i="1"/>
  <c r="D40" i="2"/>
  <c r="D41" i="2" s="1"/>
  <c r="G21" i="2"/>
  <c r="G29" i="2" s="1"/>
  <c r="N97" i="1"/>
  <c r="F23" i="2"/>
  <c r="F18" i="2"/>
  <c r="F13" i="2"/>
  <c r="F16" i="2"/>
  <c r="N99" i="1"/>
  <c r="O99" i="1" s="1"/>
  <c r="N98" i="1"/>
  <c r="O98" i="1" s="1"/>
  <c r="M100" i="1"/>
  <c r="J23" i="2" s="1"/>
  <c r="F14" i="2"/>
  <c r="F20" i="2"/>
  <c r="F21" i="2"/>
  <c r="F17" i="2"/>
  <c r="F19" i="2"/>
  <c r="H15" i="2" l="1"/>
  <c r="I15" i="2" s="1"/>
  <c r="S128" i="1"/>
  <c r="H17" i="2"/>
  <c r="I17" i="2" s="1"/>
  <c r="K62" i="1" s="1"/>
  <c r="S62" i="1" s="1"/>
  <c r="H23" i="2"/>
  <c r="I23" i="2" s="1"/>
  <c r="O23" i="2" s="1"/>
  <c r="H13" i="2"/>
  <c r="I13" i="2" s="1"/>
  <c r="K10" i="1" s="1"/>
  <c r="S10" i="1" s="1"/>
  <c r="H20" i="2"/>
  <c r="I20" i="2" s="1"/>
  <c r="K155" i="1" s="1"/>
  <c r="S155" i="1" s="1"/>
  <c r="H16" i="2"/>
  <c r="I16" i="2" s="1"/>
  <c r="K49" i="1" s="1"/>
  <c r="S49" i="1" s="1"/>
  <c r="M127" i="1" s="1"/>
  <c r="S113" i="1"/>
  <c r="S248" i="1" s="1"/>
  <c r="H19" i="2"/>
  <c r="I19" i="2" s="1"/>
  <c r="K87" i="1" s="1"/>
  <c r="S87" i="1" s="1"/>
  <c r="H14" i="2"/>
  <c r="I14" i="2" s="1"/>
  <c r="K22" i="1" s="1"/>
  <c r="S22" i="1" s="1"/>
  <c r="H18" i="2"/>
  <c r="I18" i="2" s="1"/>
  <c r="K75" i="1" s="1"/>
  <c r="S75" i="1" s="1"/>
  <c r="S179" i="1"/>
  <c r="E38" i="2"/>
  <c r="O97" i="1"/>
  <c r="R100" i="1"/>
  <c r="P98" i="1"/>
  <c r="Q98" i="1" s="1"/>
  <c r="P99" i="1"/>
  <c r="Q99" i="1" s="1"/>
  <c r="P97" i="1"/>
  <c r="N100" i="1"/>
  <c r="M106" i="1"/>
  <c r="M107" i="1" s="1"/>
  <c r="L140" i="1" l="1"/>
  <c r="M140" i="1" s="1"/>
  <c r="N140" i="1" s="1"/>
  <c r="O140" i="1" s="1"/>
  <c r="L152" i="1"/>
  <c r="G58" i="3" s="1"/>
  <c r="K35" i="1"/>
  <c r="S35" i="1" s="1"/>
  <c r="N127" i="1"/>
  <c r="O127" i="1" s="1"/>
  <c r="G41" i="3"/>
  <c r="H41" i="3" s="1"/>
  <c r="I41" i="3" s="1"/>
  <c r="G40" i="3"/>
  <c r="H40" i="3" s="1"/>
  <c r="I40" i="3" s="1"/>
  <c r="G42" i="3"/>
  <c r="H42" i="3" s="1"/>
  <c r="I42" i="3" s="1"/>
  <c r="G39" i="3"/>
  <c r="H39" i="3" s="1"/>
  <c r="I39" i="3" s="1"/>
  <c r="L21" i="1"/>
  <c r="G13" i="3" s="1"/>
  <c r="H13" i="3" s="1"/>
  <c r="I13" i="3" s="1"/>
  <c r="L220" i="1"/>
  <c r="L226" i="1" s="1"/>
  <c r="L111" i="1"/>
  <c r="L48" i="1"/>
  <c r="G22" i="3" s="1"/>
  <c r="H22" i="3" s="1"/>
  <c r="I22" i="3" s="1"/>
  <c r="L47" i="1"/>
  <c r="T47" i="1" s="1"/>
  <c r="L46" i="1"/>
  <c r="G20" i="3" s="1"/>
  <c r="H20" i="3" s="1"/>
  <c r="I20" i="3" s="1"/>
  <c r="L8" i="1"/>
  <c r="G6" i="3" s="1"/>
  <c r="H6" i="3" s="1"/>
  <c r="I6" i="3" s="1"/>
  <c r="L9" i="1"/>
  <c r="G7" i="3" s="1"/>
  <c r="H7" i="3" s="1"/>
  <c r="I7" i="3" s="1"/>
  <c r="L59" i="1"/>
  <c r="G24" i="3" s="1"/>
  <c r="H24" i="3" s="1"/>
  <c r="I24" i="3" s="1"/>
  <c r="L61" i="1"/>
  <c r="G26" i="3" s="1"/>
  <c r="H26" i="3" s="1"/>
  <c r="I26" i="3" s="1"/>
  <c r="L60" i="1"/>
  <c r="G25" i="3" s="1"/>
  <c r="H25" i="3" s="1"/>
  <c r="I25" i="3" s="1"/>
  <c r="L73" i="1"/>
  <c r="M73" i="1" s="1"/>
  <c r="L86" i="1"/>
  <c r="G33" i="3" s="1"/>
  <c r="H33" i="3" s="1"/>
  <c r="I33" i="3" s="1"/>
  <c r="S222" i="1"/>
  <c r="S242" i="1"/>
  <c r="S216" i="1"/>
  <c r="S235" i="1"/>
  <c r="L144" i="1"/>
  <c r="L85" i="1"/>
  <c r="G32" i="3" s="1"/>
  <c r="H32" i="3" s="1"/>
  <c r="I32" i="3" s="1"/>
  <c r="L142" i="1"/>
  <c r="L148" i="1"/>
  <c r="L138" i="1"/>
  <c r="T138" i="1" s="1"/>
  <c r="L141" i="1"/>
  <c r="L150" i="1"/>
  <c r="L149" i="1"/>
  <c r="L139" i="1"/>
  <c r="L145" i="1"/>
  <c r="L154" i="1"/>
  <c r="L146" i="1"/>
  <c r="L72" i="1"/>
  <c r="G28" i="3" s="1"/>
  <c r="H28" i="3" s="1"/>
  <c r="I28" i="3" s="1"/>
  <c r="L151" i="1"/>
  <c r="L143" i="1"/>
  <c r="I21" i="2"/>
  <c r="I29" i="2" s="1"/>
  <c r="L74" i="1"/>
  <c r="G30" i="3" s="1"/>
  <c r="H30" i="3" s="1"/>
  <c r="I30" i="3" s="1"/>
  <c r="L45" i="1"/>
  <c r="M45" i="1" s="1"/>
  <c r="N45" i="1" s="1"/>
  <c r="O45" i="1" s="1"/>
  <c r="L147" i="1"/>
  <c r="L153" i="1"/>
  <c r="L112" i="1"/>
  <c r="L110" i="1"/>
  <c r="O100" i="1"/>
  <c r="L23" i="2"/>
  <c r="T165" i="1"/>
  <c r="P100" i="1"/>
  <c r="Q100" i="1" s="1"/>
  <c r="N106" i="1"/>
  <c r="Q97" i="1"/>
  <c r="L214" i="1" l="1"/>
  <c r="G78" i="3" s="1"/>
  <c r="H78" i="3" s="1"/>
  <c r="I78" i="3" s="1"/>
  <c r="L205" i="1"/>
  <c r="T205" i="1" s="1"/>
  <c r="L204" i="1"/>
  <c r="G70" i="3" s="1"/>
  <c r="L203" i="1"/>
  <c r="S210" i="1"/>
  <c r="S205" i="1" s="1"/>
  <c r="G51" i="3"/>
  <c r="H51" i="3" s="1"/>
  <c r="I51" i="3" s="1"/>
  <c r="G50" i="3"/>
  <c r="H50" i="3" s="1"/>
  <c r="I50" i="3" s="1"/>
  <c r="G55" i="3"/>
  <c r="H55" i="3" s="1"/>
  <c r="I55" i="3" s="1"/>
  <c r="G52" i="3"/>
  <c r="H52" i="3" s="1"/>
  <c r="I52" i="3" s="1"/>
  <c r="M143" i="1"/>
  <c r="N143" i="1" s="1"/>
  <c r="O143" i="1" s="1"/>
  <c r="G49" i="3"/>
  <c r="H49" i="3" s="1"/>
  <c r="I49" i="3" s="1"/>
  <c r="G54" i="3"/>
  <c r="H54" i="3" s="1"/>
  <c r="I54" i="3" s="1"/>
  <c r="T154" i="1"/>
  <c r="G60" i="3"/>
  <c r="H60" i="3" s="1"/>
  <c r="I60" i="3" s="1"/>
  <c r="G57" i="3"/>
  <c r="H57" i="3" s="1"/>
  <c r="I57" i="3" s="1"/>
  <c r="G47" i="3"/>
  <c r="H47" i="3" s="1"/>
  <c r="I47" i="3" s="1"/>
  <c r="G48" i="3"/>
  <c r="H48" i="3" s="1"/>
  <c r="I48" i="3" s="1"/>
  <c r="G45" i="3"/>
  <c r="H45" i="3" s="1"/>
  <c r="I45" i="3" s="1"/>
  <c r="H58" i="3"/>
  <c r="I58" i="3" s="1"/>
  <c r="G59" i="3"/>
  <c r="H59" i="3" s="1"/>
  <c r="I59" i="3" s="1"/>
  <c r="G53" i="3"/>
  <c r="H53" i="3" s="1"/>
  <c r="I53" i="3" s="1"/>
  <c r="G56" i="3"/>
  <c r="H56" i="3" s="1"/>
  <c r="I56" i="3" s="1"/>
  <c r="T140" i="1"/>
  <c r="G46" i="3"/>
  <c r="H46" i="3" s="1"/>
  <c r="I46" i="3" s="1"/>
  <c r="T152" i="1"/>
  <c r="M152" i="1"/>
  <c r="L32" i="1"/>
  <c r="G15" i="3" s="1"/>
  <c r="H15" i="3" s="1"/>
  <c r="I15" i="3" s="1"/>
  <c r="L33" i="1"/>
  <c r="G16" i="3" s="1"/>
  <c r="H16" i="3" s="1"/>
  <c r="I16" i="3" s="1"/>
  <c r="L34" i="1"/>
  <c r="G17" i="3" s="1"/>
  <c r="H17" i="3" s="1"/>
  <c r="I17" i="3" s="1"/>
  <c r="M123" i="1"/>
  <c r="N123" i="1" s="1"/>
  <c r="O123" i="1" s="1"/>
  <c r="T123" i="1"/>
  <c r="M126" i="1"/>
  <c r="T126" i="1"/>
  <c r="T124" i="1"/>
  <c r="M124" i="1"/>
  <c r="T125" i="1"/>
  <c r="M125" i="1"/>
  <c r="M59" i="1"/>
  <c r="N59" i="1" s="1"/>
  <c r="O59" i="1" s="1"/>
  <c r="T21" i="1"/>
  <c r="M21" i="1"/>
  <c r="N21" i="1" s="1"/>
  <c r="O21" i="1" s="1"/>
  <c r="T59" i="1"/>
  <c r="T73" i="1"/>
  <c r="M8" i="1"/>
  <c r="N8" i="1" s="1"/>
  <c r="O8" i="1" s="1"/>
  <c r="G10" i="3"/>
  <c r="H10" i="3" s="1"/>
  <c r="I10" i="3" s="1"/>
  <c r="G9" i="3"/>
  <c r="H9" i="3" s="1"/>
  <c r="I9" i="3" s="1"/>
  <c r="T8" i="1"/>
  <c r="M138" i="1"/>
  <c r="N138" i="1" s="1"/>
  <c r="O138" i="1" s="1"/>
  <c r="M148" i="1"/>
  <c r="N148" i="1" s="1"/>
  <c r="O148" i="1" s="1"/>
  <c r="M154" i="1"/>
  <c r="N154" i="1" s="1"/>
  <c r="O154" i="1" s="1"/>
  <c r="T48" i="1"/>
  <c r="T86" i="1"/>
  <c r="T148" i="1"/>
  <c r="M86" i="1"/>
  <c r="N86" i="1" s="1"/>
  <c r="O86" i="1" s="1"/>
  <c r="G19" i="3"/>
  <c r="H19" i="3" s="1"/>
  <c r="I19" i="3" s="1"/>
  <c r="L233" i="1"/>
  <c r="G29" i="3"/>
  <c r="H29" i="3" s="1"/>
  <c r="I29" i="3" s="1"/>
  <c r="G21" i="3"/>
  <c r="H21" i="3" s="1"/>
  <c r="I21" i="3" s="1"/>
  <c r="M47" i="1"/>
  <c r="N47" i="1" s="1"/>
  <c r="O47" i="1" s="1"/>
  <c r="M23" i="2"/>
  <c r="O106" i="1"/>
  <c r="N107" i="1"/>
  <c r="T143" i="1"/>
  <c r="M139" i="1"/>
  <c r="N139" i="1" s="1"/>
  <c r="O139" i="1" s="1"/>
  <c r="T139" i="1"/>
  <c r="T145" i="1"/>
  <c r="M85" i="1"/>
  <c r="T85" i="1"/>
  <c r="G36" i="3"/>
  <c r="H36" i="3" s="1"/>
  <c r="I36" i="3" s="1"/>
  <c r="L246" i="1"/>
  <c r="L251" i="1" s="1"/>
  <c r="G37" i="3"/>
  <c r="H37" i="3" s="1"/>
  <c r="I37" i="3" s="1"/>
  <c r="L247" i="1"/>
  <c r="T252" i="1" s="1"/>
  <c r="L234" i="1"/>
  <c r="G92" i="3" s="1"/>
  <c r="H92" i="3" s="1"/>
  <c r="I92" i="3" s="1"/>
  <c r="L221" i="1"/>
  <c r="L227" i="1" s="1"/>
  <c r="L213" i="1"/>
  <c r="G77" i="3" s="1"/>
  <c r="H77" i="3" s="1"/>
  <c r="I77" i="3" s="1"/>
  <c r="L215" i="1"/>
  <c r="G79" i="3" s="1"/>
  <c r="H79" i="3" s="1"/>
  <c r="I79" i="3" s="1"/>
  <c r="M48" i="1"/>
  <c r="N48" i="1" s="1"/>
  <c r="O48" i="1" s="1"/>
  <c r="M72" i="1"/>
  <c r="N72" i="1" s="1"/>
  <c r="O72" i="1" s="1"/>
  <c r="T46" i="1"/>
  <c r="G35" i="3"/>
  <c r="H35" i="3" s="1"/>
  <c r="I35" i="3" s="1"/>
  <c r="L207" i="1"/>
  <c r="L245" i="1"/>
  <c r="L232" i="1"/>
  <c r="M153" i="1"/>
  <c r="N153" i="1" s="1"/>
  <c r="O153" i="1" s="1"/>
  <c r="G82" i="3"/>
  <c r="H82" i="3" s="1"/>
  <c r="I82" i="3" s="1"/>
  <c r="M61" i="1"/>
  <c r="N61" i="1" s="1"/>
  <c r="O61" i="1" s="1"/>
  <c r="M145" i="1"/>
  <c r="N145" i="1" s="1"/>
  <c r="O145" i="1" s="1"/>
  <c r="G44" i="3"/>
  <c r="H44" i="3" s="1"/>
  <c r="I44" i="3" s="1"/>
  <c r="M142" i="1"/>
  <c r="N142" i="1" s="1"/>
  <c r="O142" i="1" s="1"/>
  <c r="T61" i="1"/>
  <c r="M141" i="1"/>
  <c r="N141" i="1" s="1"/>
  <c r="O141" i="1" s="1"/>
  <c r="T151" i="1"/>
  <c r="T141" i="1"/>
  <c r="M151" i="1"/>
  <c r="N151" i="1" s="1"/>
  <c r="O151" i="1" s="1"/>
  <c r="M150" i="1"/>
  <c r="N150" i="1" s="1"/>
  <c r="O150" i="1" s="1"/>
  <c r="M9" i="1"/>
  <c r="N9" i="1" s="1"/>
  <c r="O9" i="1" s="1"/>
  <c r="T150" i="1"/>
  <c r="T9" i="1"/>
  <c r="T142" i="1"/>
  <c r="T144" i="1"/>
  <c r="M144" i="1"/>
  <c r="N144" i="1" s="1"/>
  <c r="O144" i="1" s="1"/>
  <c r="T153" i="1"/>
  <c r="T60" i="1"/>
  <c r="M146" i="1"/>
  <c r="N146" i="1" s="1"/>
  <c r="O146" i="1" s="1"/>
  <c r="M46" i="1"/>
  <c r="N46" i="1" s="1"/>
  <c r="O46" i="1" s="1"/>
  <c r="T149" i="1"/>
  <c r="T72" i="1"/>
  <c r="M60" i="1"/>
  <c r="N60" i="1" s="1"/>
  <c r="O60" i="1" s="1"/>
  <c r="T146" i="1"/>
  <c r="T74" i="1"/>
  <c r="M149" i="1"/>
  <c r="N149" i="1" s="1"/>
  <c r="O149" i="1" s="1"/>
  <c r="M74" i="1"/>
  <c r="N74" i="1" s="1"/>
  <c r="O74" i="1" s="1"/>
  <c r="M147" i="1"/>
  <c r="N147" i="1" s="1"/>
  <c r="O147" i="1" s="1"/>
  <c r="T220" i="1"/>
  <c r="M178" i="1"/>
  <c r="N178" i="1" s="1"/>
  <c r="O178" i="1" s="1"/>
  <c r="G67" i="3"/>
  <c r="H67" i="3" s="1"/>
  <c r="I67" i="3" s="1"/>
  <c r="T147" i="1"/>
  <c r="T177" i="1"/>
  <c r="G66" i="3"/>
  <c r="H66" i="3" s="1"/>
  <c r="I66" i="3" s="1"/>
  <c r="M177" i="1"/>
  <c r="T178" i="1"/>
  <c r="T204" i="1"/>
  <c r="M110" i="1"/>
  <c r="T110" i="1"/>
  <c r="M111" i="1"/>
  <c r="N111" i="1" s="1"/>
  <c r="O111" i="1" s="1"/>
  <c r="T111" i="1"/>
  <c r="M112" i="1"/>
  <c r="N112" i="1" s="1"/>
  <c r="O112" i="1" s="1"/>
  <c r="T112" i="1"/>
  <c r="O165" i="1"/>
  <c r="M167" i="1"/>
  <c r="N73" i="1"/>
  <c r="O73" i="1" s="1"/>
  <c r="T214" i="1" l="1"/>
  <c r="G91" i="3"/>
  <c r="H91" i="3" s="1"/>
  <c r="I91" i="3" s="1"/>
  <c r="L239" i="1"/>
  <c r="T239" i="1" s="1"/>
  <c r="G90" i="3"/>
  <c r="H90" i="3" s="1"/>
  <c r="I90" i="3" s="1"/>
  <c r="L238" i="1"/>
  <c r="T238" i="1" s="1"/>
  <c r="L250" i="1"/>
  <c r="G103" i="3" s="1"/>
  <c r="H103" i="3" s="1"/>
  <c r="I103" i="3" s="1"/>
  <c r="T251" i="1"/>
  <c r="G104" i="3"/>
  <c r="H104" i="3" s="1"/>
  <c r="I104" i="3" s="1"/>
  <c r="L219" i="1"/>
  <c r="L225" i="1" s="1"/>
  <c r="G69" i="3"/>
  <c r="H69" i="3" s="1"/>
  <c r="I69" i="3" s="1"/>
  <c r="L209" i="1"/>
  <c r="G75" i="3" s="1"/>
  <c r="H75" i="3" s="1"/>
  <c r="I75" i="3" s="1"/>
  <c r="G71" i="3"/>
  <c r="H71" i="3" s="1"/>
  <c r="I71" i="3" s="1"/>
  <c r="G73" i="3"/>
  <c r="H73" i="3" s="1"/>
  <c r="I73" i="3" s="1"/>
  <c r="L208" i="1"/>
  <c r="T208" i="1" s="1"/>
  <c r="T203" i="1"/>
  <c r="T219" i="1"/>
  <c r="N152" i="1"/>
  <c r="O152" i="1" s="1"/>
  <c r="M34" i="1"/>
  <c r="T34" i="1"/>
  <c r="T33" i="1"/>
  <c r="M33" i="1"/>
  <c r="T32" i="1"/>
  <c r="M32" i="1"/>
  <c r="M128" i="1"/>
  <c r="N124" i="1"/>
  <c r="O124" i="1" s="1"/>
  <c r="N126" i="1"/>
  <c r="O126" i="1" s="1"/>
  <c r="N125" i="1"/>
  <c r="O125" i="1" s="1"/>
  <c r="M87" i="1"/>
  <c r="P86" i="1" s="1"/>
  <c r="Q86" i="1" s="1"/>
  <c r="N85" i="1"/>
  <c r="O85" i="1" s="1"/>
  <c r="M22" i="1"/>
  <c r="M28" i="1" s="1"/>
  <c r="M29" i="1" s="1"/>
  <c r="T213" i="1"/>
  <c r="T232" i="1"/>
  <c r="T233" i="1"/>
  <c r="G99" i="3"/>
  <c r="H99" i="3" s="1"/>
  <c r="I99" i="3" s="1"/>
  <c r="G100" i="3"/>
  <c r="H100" i="3" s="1"/>
  <c r="I100" i="3" s="1"/>
  <c r="G101" i="3"/>
  <c r="H101" i="3" s="1"/>
  <c r="I101" i="3" s="1"/>
  <c r="T246" i="1"/>
  <c r="N23" i="2"/>
  <c r="O107" i="1"/>
  <c r="T234" i="1"/>
  <c r="T221" i="1"/>
  <c r="T240" i="1"/>
  <c r="M49" i="1"/>
  <c r="T207" i="1"/>
  <c r="M62" i="1"/>
  <c r="T215" i="1"/>
  <c r="G96" i="3"/>
  <c r="H96" i="3" s="1"/>
  <c r="I96" i="3" s="1"/>
  <c r="T247" i="1"/>
  <c r="T245" i="1"/>
  <c r="G83" i="3"/>
  <c r="H83" i="3" s="1"/>
  <c r="I83" i="3" s="1"/>
  <c r="M155" i="1"/>
  <c r="P145" i="1" s="1"/>
  <c r="Q145" i="1" s="1"/>
  <c r="M10" i="1"/>
  <c r="M179" i="1"/>
  <c r="J27" i="2" s="1"/>
  <c r="N177" i="1"/>
  <c r="O177" i="1" s="1"/>
  <c r="M113" i="1"/>
  <c r="N110" i="1"/>
  <c r="O110" i="1" s="1"/>
  <c r="P164" i="1"/>
  <c r="P166" i="1"/>
  <c r="Q166" i="1" s="1"/>
  <c r="P165" i="1"/>
  <c r="Q165" i="1" s="1"/>
  <c r="J24" i="2"/>
  <c r="R167" i="1"/>
  <c r="N167" i="1"/>
  <c r="M173" i="1"/>
  <c r="M174" i="1" s="1"/>
  <c r="M75" i="1"/>
  <c r="G94" i="3" l="1"/>
  <c r="H94" i="3" s="1"/>
  <c r="I94" i="3" s="1"/>
  <c r="T209" i="1"/>
  <c r="G95" i="3"/>
  <c r="H95" i="3" s="1"/>
  <c r="I95" i="3" s="1"/>
  <c r="T250" i="1"/>
  <c r="G74" i="3"/>
  <c r="H74" i="3" s="1"/>
  <c r="I74" i="3" s="1"/>
  <c r="G81" i="3"/>
  <c r="H81" i="3" s="1"/>
  <c r="I81" i="3" s="1"/>
  <c r="H70" i="3"/>
  <c r="I70" i="3" s="1"/>
  <c r="P152" i="1"/>
  <c r="Q152" i="1" s="1"/>
  <c r="N33" i="1"/>
  <c r="O33" i="1" s="1"/>
  <c r="N34" i="1"/>
  <c r="O34" i="1" s="1"/>
  <c r="N32" i="1"/>
  <c r="O32" i="1" s="1"/>
  <c r="M35" i="1"/>
  <c r="P32" i="1" s="1"/>
  <c r="P59" i="1"/>
  <c r="Q59" i="1" s="1"/>
  <c r="R10" i="1"/>
  <c r="N22" i="1"/>
  <c r="L14" i="2" s="1"/>
  <c r="P124" i="1"/>
  <c r="Q124" i="1" s="1"/>
  <c r="J26" i="2"/>
  <c r="O26" i="2" s="1"/>
  <c r="P125" i="1"/>
  <c r="Q125" i="1" s="1"/>
  <c r="P127" i="1"/>
  <c r="Q127" i="1" s="1"/>
  <c r="P123" i="1"/>
  <c r="P126" i="1"/>
  <c r="Q126" i="1" s="1"/>
  <c r="R128" i="1"/>
  <c r="M134" i="1"/>
  <c r="N128" i="1"/>
  <c r="P48" i="1"/>
  <c r="Q48" i="1" s="1"/>
  <c r="R87" i="1"/>
  <c r="M93" i="1"/>
  <c r="M94" i="1" s="1"/>
  <c r="N94" i="1" s="1"/>
  <c r="N87" i="1"/>
  <c r="L19" i="2" s="1"/>
  <c r="P21" i="1"/>
  <c r="Q21" i="1" s="1"/>
  <c r="J19" i="2"/>
  <c r="O19" i="2" s="1"/>
  <c r="R22" i="1"/>
  <c r="P85" i="1"/>
  <c r="Q85" i="1" s="1"/>
  <c r="J14" i="2"/>
  <c r="O14" i="2" s="1"/>
  <c r="P47" i="1"/>
  <c r="Q47" i="1" s="1"/>
  <c r="N49" i="1"/>
  <c r="O49" i="1" s="1"/>
  <c r="J16" i="2"/>
  <c r="O16" i="2" s="1"/>
  <c r="P45" i="1"/>
  <c r="Q45" i="1" s="1"/>
  <c r="M55" i="1"/>
  <c r="N55" i="1" s="1"/>
  <c r="O55" i="1" s="1"/>
  <c r="N16" i="2" s="1"/>
  <c r="P46" i="1"/>
  <c r="Q46" i="1" s="1"/>
  <c r="R49" i="1"/>
  <c r="P146" i="1"/>
  <c r="Q146" i="1" s="1"/>
  <c r="P177" i="1"/>
  <c r="Q177" i="1" s="1"/>
  <c r="M185" i="1"/>
  <c r="M186" i="1" s="1"/>
  <c r="N186" i="1" s="1"/>
  <c r="N179" i="1"/>
  <c r="L27" i="2" s="1"/>
  <c r="P178" i="1"/>
  <c r="Q178" i="1" s="1"/>
  <c r="J20" i="2"/>
  <c r="L20" i="2" s="1"/>
  <c r="M161" i="1"/>
  <c r="N161" i="1" s="1"/>
  <c r="O161" i="1" s="1"/>
  <c r="P9" i="1"/>
  <c r="Q9" i="1" s="1"/>
  <c r="P150" i="1"/>
  <c r="Q150" i="1" s="1"/>
  <c r="P153" i="1"/>
  <c r="Q153" i="1" s="1"/>
  <c r="M16" i="1"/>
  <c r="R62" i="1"/>
  <c r="M68" i="1"/>
  <c r="M69" i="1" s="1"/>
  <c r="N69" i="1" s="1"/>
  <c r="N62" i="1"/>
  <c r="O62" i="1" s="1"/>
  <c r="J17" i="2"/>
  <c r="O17" i="2" s="1"/>
  <c r="P149" i="1"/>
  <c r="Q149" i="1" s="1"/>
  <c r="P61" i="1"/>
  <c r="Q61" i="1" s="1"/>
  <c r="P151" i="1"/>
  <c r="Q151" i="1" s="1"/>
  <c r="P60" i="1"/>
  <c r="Q60" i="1" s="1"/>
  <c r="P139" i="1"/>
  <c r="Q139" i="1" s="1"/>
  <c r="P154" i="1"/>
  <c r="Q154" i="1" s="1"/>
  <c r="P138" i="1"/>
  <c r="Q138" i="1" s="1"/>
  <c r="N155" i="1"/>
  <c r="O155" i="1" s="1"/>
  <c r="R155" i="1"/>
  <c r="P141" i="1"/>
  <c r="Q141" i="1" s="1"/>
  <c r="P144" i="1"/>
  <c r="Q144" i="1" s="1"/>
  <c r="P143" i="1"/>
  <c r="Q143" i="1" s="1"/>
  <c r="G87" i="3"/>
  <c r="H87" i="3" s="1"/>
  <c r="I87" i="3" s="1"/>
  <c r="P140" i="1"/>
  <c r="Q140" i="1" s="1"/>
  <c r="P148" i="1"/>
  <c r="Q148" i="1" s="1"/>
  <c r="P142" i="1"/>
  <c r="Q142" i="1" s="1"/>
  <c r="P147" i="1"/>
  <c r="Q147" i="1" s="1"/>
  <c r="J13" i="2"/>
  <c r="O13" i="2" s="1"/>
  <c r="P8" i="1"/>
  <c r="Q8" i="1" s="1"/>
  <c r="N10" i="1"/>
  <c r="R179" i="1"/>
  <c r="O24" i="2"/>
  <c r="O27" i="2"/>
  <c r="K27" i="2"/>
  <c r="J25" i="2"/>
  <c r="P111" i="1"/>
  <c r="Q111" i="1" s="1"/>
  <c r="P112" i="1"/>
  <c r="Q112" i="1" s="1"/>
  <c r="P110" i="1"/>
  <c r="R113" i="1"/>
  <c r="N113" i="1"/>
  <c r="M119" i="1"/>
  <c r="M120" i="1" s="1"/>
  <c r="K24" i="2"/>
  <c r="O167" i="1"/>
  <c r="L24" i="2"/>
  <c r="F125" i="3" s="1"/>
  <c r="P167" i="1"/>
  <c r="Q167" i="1" s="1"/>
  <c r="Q164" i="1"/>
  <c r="N173" i="1"/>
  <c r="J18" i="2"/>
  <c r="O18" i="2" s="1"/>
  <c r="M81" i="1"/>
  <c r="N75" i="1"/>
  <c r="R75" i="1"/>
  <c r="P72" i="1"/>
  <c r="P74" i="1"/>
  <c r="Q74" i="1" s="1"/>
  <c r="P73" i="1"/>
  <c r="Q73" i="1" s="1"/>
  <c r="N28" i="1"/>
  <c r="O25" i="2" l="1"/>
  <c r="M190" i="1"/>
  <c r="P34" i="1"/>
  <c r="Q34" i="1" s="1"/>
  <c r="P33" i="1"/>
  <c r="Q33" i="1" s="1"/>
  <c r="J15" i="2"/>
  <c r="O15" i="2" s="1"/>
  <c r="M41" i="1"/>
  <c r="M196" i="1" s="1"/>
  <c r="R35" i="1"/>
  <c r="N35" i="1"/>
  <c r="N190" i="1" s="1"/>
  <c r="Q32" i="1"/>
  <c r="M17" i="1"/>
  <c r="N17" i="1" s="1"/>
  <c r="F132" i="3" s="1"/>
  <c r="L13" i="2"/>
  <c r="F115" i="3" s="1"/>
  <c r="O22" i="1"/>
  <c r="O128" i="1"/>
  <c r="T225" i="1" s="1"/>
  <c r="L26" i="2"/>
  <c r="P128" i="1"/>
  <c r="Q128" i="1" s="1"/>
  <c r="Q123" i="1"/>
  <c r="M135" i="1"/>
  <c r="N135" i="1" s="1"/>
  <c r="N134" i="1"/>
  <c r="O134" i="1" s="1"/>
  <c r="N26" i="2" s="1"/>
  <c r="G123" i="3" s="1"/>
  <c r="G140" i="3" s="1"/>
  <c r="O28" i="1"/>
  <c r="N29" i="1"/>
  <c r="O29" i="1" s="1"/>
  <c r="O87" i="1"/>
  <c r="N93" i="1"/>
  <c r="O93" i="1" s="1"/>
  <c r="N19" i="2" s="1"/>
  <c r="G121" i="3" s="1"/>
  <c r="G138" i="3" s="1"/>
  <c r="P87" i="1"/>
  <c r="Q87" i="1" s="1"/>
  <c r="P22" i="1"/>
  <c r="Q22" i="1" s="1"/>
  <c r="M56" i="1"/>
  <c r="N56" i="1" s="1"/>
  <c r="O56" i="1" s="1"/>
  <c r="G118" i="3"/>
  <c r="G135" i="3" s="1"/>
  <c r="N185" i="1"/>
  <c r="O185" i="1" s="1"/>
  <c r="N27" i="2" s="1"/>
  <c r="G126" i="3" s="1"/>
  <c r="G143" i="3" s="1"/>
  <c r="O10" i="1"/>
  <c r="L16" i="2"/>
  <c r="M16" i="2" s="1"/>
  <c r="P10" i="1"/>
  <c r="Q10" i="1" s="1"/>
  <c r="O179" i="1"/>
  <c r="P179" i="1"/>
  <c r="Q179" i="1" s="1"/>
  <c r="M27" i="2"/>
  <c r="F126" i="3"/>
  <c r="O186" i="1"/>
  <c r="F143" i="3"/>
  <c r="O173" i="1"/>
  <c r="N174" i="1"/>
  <c r="F142" i="3" s="1"/>
  <c r="L17" i="2"/>
  <c r="M17" i="2" s="1"/>
  <c r="P49" i="1"/>
  <c r="Q49" i="1" s="1"/>
  <c r="M20" i="2"/>
  <c r="F124" i="3"/>
  <c r="N119" i="1"/>
  <c r="N120" i="1" s="1"/>
  <c r="M19" i="2"/>
  <c r="F121" i="3"/>
  <c r="O69" i="1"/>
  <c r="F136" i="3"/>
  <c r="N20" i="2"/>
  <c r="M14" i="2"/>
  <c r="F116" i="3"/>
  <c r="O94" i="1"/>
  <c r="F138" i="3"/>
  <c r="O20" i="2"/>
  <c r="P62" i="1"/>
  <c r="Q62" i="1" s="1"/>
  <c r="N16" i="1"/>
  <c r="N68" i="1"/>
  <c r="O68" i="1" s="1"/>
  <c r="N17" i="2" s="1"/>
  <c r="P155" i="1"/>
  <c r="Q155" i="1" s="1"/>
  <c r="G88" i="3"/>
  <c r="H88" i="3" s="1"/>
  <c r="I88" i="3" s="1"/>
  <c r="P113" i="1"/>
  <c r="Q113" i="1" s="1"/>
  <c r="Q110" i="1"/>
  <c r="O113" i="1"/>
  <c r="L25" i="2"/>
  <c r="M24" i="2"/>
  <c r="P75" i="1"/>
  <c r="Q75" i="1" s="1"/>
  <c r="Q72" i="1"/>
  <c r="O75" i="1"/>
  <c r="L18" i="2"/>
  <c r="M82" i="1"/>
  <c r="N82" i="1" s="1"/>
  <c r="N81" i="1"/>
  <c r="O81" i="1" s="1"/>
  <c r="N18" i="2" s="1"/>
  <c r="M26" i="2" l="1"/>
  <c r="F123" i="3"/>
  <c r="G85" i="3"/>
  <c r="H85" i="3" s="1"/>
  <c r="I85" i="3" s="1"/>
  <c r="T226" i="1"/>
  <c r="O135" i="1"/>
  <c r="F140" i="3"/>
  <c r="M25" i="2"/>
  <c r="J21" i="2"/>
  <c r="O21" i="2" s="1"/>
  <c r="P35" i="1"/>
  <c r="Q35" i="1" s="1"/>
  <c r="O35" i="1"/>
  <c r="L15" i="2"/>
  <c r="O17" i="1"/>
  <c r="N41" i="1"/>
  <c r="O41" i="1" s="1"/>
  <c r="N15" i="2" s="1"/>
  <c r="G117" i="3" s="1"/>
  <c r="G134" i="3" s="1"/>
  <c r="M42" i="1"/>
  <c r="N42" i="1" s="1"/>
  <c r="M13" i="2"/>
  <c r="O16" i="1"/>
  <c r="N13" i="2" s="1"/>
  <c r="G115" i="3" s="1"/>
  <c r="G132" i="3" s="1"/>
  <c r="N14" i="2"/>
  <c r="G116" i="3" s="1"/>
  <c r="G133" i="3" s="1"/>
  <c r="F135" i="3"/>
  <c r="F118" i="3"/>
  <c r="G124" i="3"/>
  <c r="G141" i="3" s="1"/>
  <c r="G120" i="3"/>
  <c r="G137" i="3" s="1"/>
  <c r="G119" i="3"/>
  <c r="G136" i="3" s="1"/>
  <c r="O190" i="1"/>
  <c r="F119" i="3"/>
  <c r="N24" i="2"/>
  <c r="G125" i="3" s="1"/>
  <c r="G142" i="3" s="1"/>
  <c r="O174" i="1"/>
  <c r="F122" i="3"/>
  <c r="O82" i="1"/>
  <c r="F137" i="3"/>
  <c r="O119" i="1"/>
  <c r="F139" i="3"/>
  <c r="M18" i="2"/>
  <c r="F120" i="3"/>
  <c r="G97" i="3"/>
  <c r="H97" i="3" s="1"/>
  <c r="I97" i="3" s="1"/>
  <c r="T241" i="1"/>
  <c r="K13" i="2" l="1"/>
  <c r="O42" i="1"/>
  <c r="F134" i="3"/>
  <c r="M15" i="2"/>
  <c r="F117" i="3"/>
  <c r="K20" i="2"/>
  <c r="K18" i="2"/>
  <c r="K23" i="2"/>
  <c r="K14" i="2"/>
  <c r="K17" i="2"/>
  <c r="K16" i="2"/>
  <c r="K19" i="2"/>
  <c r="G86" i="3"/>
  <c r="H86" i="3" s="1"/>
  <c r="I86" i="3" s="1"/>
  <c r="T227" i="1"/>
  <c r="K15" i="2"/>
  <c r="J29" i="2"/>
  <c r="O29" i="2" s="1"/>
  <c r="L21" i="2"/>
  <c r="K21" i="2"/>
  <c r="N196" i="1"/>
  <c r="N198" i="1" s="1"/>
  <c r="N25" i="2"/>
  <c r="O120" i="1"/>
  <c r="L29" i="2" l="1"/>
  <c r="M29" i="2" s="1"/>
  <c r="T228" i="1"/>
  <c r="S229" i="1"/>
  <c r="J38" i="2"/>
  <c r="L38" i="2" s="1"/>
  <c r="F127" i="3" s="1"/>
  <c r="M21" i="2"/>
  <c r="O196" i="1"/>
  <c r="G122" i="3"/>
  <c r="G139" i="3" s="1"/>
  <c r="L40" i="2" l="1"/>
  <c r="L41" i="2" s="1"/>
  <c r="N38" i="2"/>
  <c r="G127" i="3" s="1"/>
</calcChain>
</file>

<file path=xl/sharedStrings.xml><?xml version="1.0" encoding="utf-8"?>
<sst xmlns="http://schemas.openxmlformats.org/spreadsheetml/2006/main" count="379" uniqueCount="172">
  <si>
    <t>Billing Analysis for Pass-Through Rate Increase</t>
  </si>
  <si>
    <t>#</t>
  </si>
  <si>
    <t>Item</t>
  </si>
  <si>
    <t>Present Revenue</t>
  </si>
  <si>
    <t>Proposed Revenue</t>
  </si>
  <si>
    <t>Increase ($)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</si>
  <si>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</si>
  <si>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</si>
  <si>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</si>
  <si>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</si>
  <si>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</si>
  <si>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</si>
  <si>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</si>
  <si>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</si>
  <si>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</si>
  <si>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</si>
  <si>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</si>
  <si>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</si>
  <si>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</si>
  <si>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</si>
  <si>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</si>
  <si>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</si>
  <si>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</si>
  <si>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</si>
  <si>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</si>
  <si>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</si>
  <si>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</si>
  <si>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</si>
  <si>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</si>
  <si>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</si>
  <si>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</si>
  <si>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</si>
  <si>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</si>
  <si>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</si>
  <si>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</si>
  <si>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</si>
  <si>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</si>
  <si>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</si>
  <si>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</si>
  <si>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</si>
  <si>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</si>
  <si>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</si>
  <si>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Special</t>
  </si>
  <si>
    <t>TOTAL Base Rates</t>
  </si>
  <si>
    <t>SubTotal Base Rates</t>
  </si>
  <si>
    <t xml:space="preserve">Total Rate G Revenue Increase Allocated by East Kentucky Power Cooperative:   </t>
  </si>
  <si>
    <t xml:space="preserve">Remaining Revenue Increase Allocated by East Kentucky Power Cooperative:   </t>
  </si>
  <si>
    <t>Fleming-Mason RECC</t>
  </si>
  <si>
    <t>RSP</t>
  </si>
  <si>
    <t>SGS</t>
  </si>
  <si>
    <t>LGS</t>
  </si>
  <si>
    <t>LIS7</t>
  </si>
  <si>
    <t>Contract</t>
  </si>
  <si>
    <t>OL</t>
  </si>
  <si>
    <t>RSP-IB</t>
  </si>
  <si>
    <t>AES</t>
  </si>
  <si>
    <t>20,000 Lumens Standard Service</t>
  </si>
  <si>
    <t>9500 Lumens Standard</t>
  </si>
  <si>
    <t>9500 Lumens Ornamental</t>
  </si>
  <si>
    <t>9500 Lumens Directional</t>
  </si>
  <si>
    <t>22,000 Lumens Standard</t>
  </si>
  <si>
    <t>22,000 Lumens Directional</t>
  </si>
  <si>
    <t>50,000 Lumens Standard</t>
  </si>
  <si>
    <t>50,000 Lumens Ornamental</t>
  </si>
  <si>
    <t>50,000 Lumens Directional</t>
  </si>
  <si>
    <t>MV</t>
  </si>
  <si>
    <t>HPS</t>
  </si>
  <si>
    <t>LED</t>
  </si>
  <si>
    <t>Residential &amp; Small Power (1)</t>
  </si>
  <si>
    <t>Residential &amp; Small Power ETS (11)</t>
  </si>
  <si>
    <t>Inclining Block Rate (8)</t>
  </si>
  <si>
    <t>Small General Service (2)</t>
  </si>
  <si>
    <t>Large General Service (3)</t>
  </si>
  <si>
    <t>All Electric School (4)</t>
  </si>
  <si>
    <t>Large Industrial Service (7)</t>
  </si>
  <si>
    <t>22,000 Lumens Ornamental</t>
  </si>
  <si>
    <t>20,000 Lumens Ornamental Service</t>
  </si>
  <si>
    <t>LIS1</t>
  </si>
  <si>
    <t>Large Industrial Service (1)</t>
  </si>
  <si>
    <t xml:space="preserve">Total Steam Revenue Increase Allocated by East Kentucky Power Cooperative:   </t>
  </si>
  <si>
    <t>Base %</t>
  </si>
  <si>
    <t>Total %</t>
  </si>
  <si>
    <t>Present</t>
  </si>
  <si>
    <t>Rate</t>
  </si>
  <si>
    <t>Proposed</t>
  </si>
  <si>
    <t>Energy Charge per kWh</t>
  </si>
  <si>
    <t>Energy Charge - Off Peak per kWh</t>
  </si>
  <si>
    <t>Energy Charge 0-300 per kWh</t>
  </si>
  <si>
    <t>Energy Charge 301-500 per kWh</t>
  </si>
  <si>
    <t>Energy Charge Over 500 per kWh</t>
  </si>
  <si>
    <t>Demand Charge per kW</t>
  </si>
  <si>
    <t>Demand Charge - Contract per kW</t>
  </si>
  <si>
    <t>7000 Lumens Standard Service</t>
  </si>
  <si>
    <t>Demand Charge per MMBTU</t>
  </si>
  <si>
    <t>Energy Charge per MMBTU</t>
  </si>
  <si>
    <t>Large Industrial Service (2)</t>
  </si>
  <si>
    <t>LIS2</t>
  </si>
  <si>
    <t>LIS3</t>
  </si>
  <si>
    <t>LIS4</t>
  </si>
  <si>
    <t>LIS4B</t>
  </si>
  <si>
    <t>LIS5</t>
  </si>
  <si>
    <t>LIS5B</t>
  </si>
  <si>
    <t>LIS6</t>
  </si>
  <si>
    <t>LIS6B</t>
  </si>
  <si>
    <t>Large Industrial Service (3)</t>
  </si>
  <si>
    <t>Large Industrial Service (4)</t>
  </si>
  <si>
    <t>Large Industrial Service (4B)</t>
  </si>
  <si>
    <t>Large Industrial Service (5)</t>
  </si>
  <si>
    <t>Large Industrial Service (5B)</t>
  </si>
  <si>
    <t>Large Industrial Service (6)</t>
  </si>
  <si>
    <t>Large Industrial Service (6B)</t>
  </si>
  <si>
    <t>Demand Charge - Excess per kW</t>
  </si>
  <si>
    <t>&lt; Set same as LIS-1</t>
  </si>
  <si>
    <t>&lt; Set same as LIS-7</t>
  </si>
  <si>
    <t>&lt; Set at same $ as LIS-1</t>
  </si>
  <si>
    <t>&lt; Set same % as LIS-7</t>
  </si>
  <si>
    <t>&lt;Set same as LIS-7</t>
  </si>
  <si>
    <t>&lt;Set same % as LIS-7</t>
  </si>
  <si>
    <t>OTHER RATES WITH NO CURRENT MEMBERS</t>
  </si>
  <si>
    <t>Tennessee Gas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</si>
  <si>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</si>
  <si>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</si>
  <si>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</si>
  <si>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</si>
  <si>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</si>
  <si>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</si>
  <si>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</si>
  <si>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</si>
  <si>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</si>
  <si>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 xml:space="preserve">    Green Power &amp; Solar</t>
  </si>
  <si>
    <t>RSP-TOD</t>
  </si>
  <si>
    <t>Prepay Service</t>
  </si>
  <si>
    <t>Prepay Fee</t>
  </si>
  <si>
    <t>Special Contract - EKPC Rate G</t>
  </si>
  <si>
    <t>Steam</t>
  </si>
  <si>
    <t>Present &amp; Proposed Rates</t>
  </si>
  <si>
    <t>Incr</t>
  </si>
  <si>
    <t>2023 Rate</t>
  </si>
  <si>
    <t xml:space="preserve">          2023 Revenue</t>
  </si>
  <si>
    <t>FAC Roll In &gt;</t>
  </si>
  <si>
    <t>RSP-ETS</t>
  </si>
  <si>
    <t>2023 Revenue</t>
  </si>
  <si>
    <t>Mastronardi (70)</t>
  </si>
  <si>
    <t xml:space="preserve">    EDR</t>
  </si>
  <si>
    <t>Interruptible kW</t>
  </si>
  <si>
    <t xml:space="preserve">DRAVO </t>
  </si>
  <si>
    <t>GUARDIAN</t>
  </si>
  <si>
    <t>Residential &amp; Small Power TOD (110)</t>
  </si>
  <si>
    <t>Energy Charge per kWh - On Pk</t>
  </si>
  <si>
    <t>Energy Charge per kWh - Off Pk</t>
  </si>
  <si>
    <t>5000-7500 Lumens</t>
  </si>
  <si>
    <t>8000-12500 Lumens</t>
  </si>
  <si>
    <t>19000-23000 Lumens Floodlight</t>
  </si>
  <si>
    <t>5000-7500 Lumens Directional</t>
  </si>
  <si>
    <t>&lt;excluding Steam</t>
  </si>
  <si>
    <t>RSP(1) + RSP Prepay(80)+NM(100)</t>
  </si>
  <si>
    <t xml:space="preserve">Note variance is </t>
  </si>
  <si>
    <t>due to mid-yr rate</t>
  </si>
  <si>
    <t>increase</t>
  </si>
  <si>
    <t xml:space="preserve">Total Rate B Revenue Increase Allocated by East Kentucky Power Cooperative:   </t>
  </si>
  <si>
    <t xml:space="preserve">Total Rate C Revenue Increase Allocated by East Kentucky Power Cooperative:   </t>
  </si>
  <si>
    <t>7000 Lumens Ornamental Service</t>
  </si>
  <si>
    <t>&lt; Set same as LIS4</t>
  </si>
  <si>
    <t>&lt; Set same as Large Industrial Special</t>
  </si>
  <si>
    <t xml:space="preserve">&lt;Set same as Special </t>
  </si>
  <si>
    <t>Special Contract LIS6B - EKPC Rate B</t>
  </si>
  <si>
    <t>&lt;Set same as LIS-5</t>
  </si>
  <si>
    <t>&lt;Set same as LIS-6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</si>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</sst>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_);_(* \(#,##0.000\);_(* &quot;-&quot;??_);_(@_)"/>
    <numFmt numFmtId="171" formatCode="_(* #,##0.0000_);_(* \(#,##0.0000\);_(* &quot;-&quot;??_);_(@_)"/>
    <numFmt numFmtId="172" formatCode="_(&quot;$&quot;* #,##0.00000_);_(&quot;$&quot;* \(#,##0.00000\);_(&quot;$&quot;* &quot;-&quot;??_);_(@_)"/>
    <numFmt numFmtId="173" formatCode="&quot;$&quot;#,##0.00"/>
    <numFmt numFmtId="174" formatCode="0.00000000"/>
    <numFmt numFmtId="175" formatCode="0.000"/>
    <numFmt numFmtId="176" formatCode="_(&quot;$&quot;* #,##0.0000_);_(&quot;$&quot;* \(#,##0.0000\);_(&quot;$&quot;* &quot;-&quot;??_);_(@_)"/>
    <numFmt numFmtId="177" formatCode="_(&quot;$&quot;* #,##0.000000_);_(&quot;$&quot;* \(#,##0.00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9" fontId="3" fillId="0" borderId="0" xfId="3" applyFont="1"/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6" fontId="3" fillId="0" borderId="0" xfId="0" applyNumberFormat="1" applyFont="1" applyAlignment="1">
      <alignment vertical="center"/>
    </xf>
    <xf numFmtId="167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5" fontId="3" fillId="0" borderId="5" xfId="0" applyNumberFormat="1" applyFont="1" applyBorder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3" fillId="0" borderId="0" xfId="1" applyNumberFormat="1" applyFont="1" applyFill="1" applyAlignment="1">
      <alignment vertical="center"/>
    </xf>
    <xf numFmtId="0" fontId="3" fillId="3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2" fontId="3" fillId="0" borderId="0" xfId="2" applyNumberFormat="1" applyFont="1"/>
    <xf numFmtId="0" fontId="3" fillId="2" borderId="0" xfId="0" applyFont="1" applyFill="1"/>
    <xf numFmtId="0" fontId="8" fillId="0" borderId="0" xfId="0" applyFont="1" applyAlignment="1">
      <alignment vertical="center"/>
    </xf>
    <xf numFmtId="171" fontId="8" fillId="0" borderId="0" xfId="1" applyNumberFormat="1" applyFont="1" applyFill="1" applyAlignment="1">
      <alignment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3" fillId="0" borderId="0" xfId="2" applyNumberFormat="1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/>
    <xf numFmtId="10" fontId="3" fillId="0" borderId="2" xfId="3" applyNumberFormat="1" applyFont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173" fontId="3" fillId="0" borderId="0" xfId="0" applyNumberFormat="1" applyFont="1"/>
    <xf numFmtId="164" fontId="7" fillId="0" borderId="0" xfId="1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174" fontId="3" fillId="0" borderId="0" xfId="0" applyNumberFormat="1" applyFont="1"/>
    <xf numFmtId="164" fontId="7" fillId="0" borderId="0" xfId="1" applyNumberFormat="1" applyFont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Alignment="1"/>
    <xf numFmtId="0" fontId="7" fillId="0" borderId="6" xfId="0" applyFont="1" applyBorder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3" fillId="0" borderId="0" xfId="1" applyNumberFormat="1" applyFont="1"/>
    <xf numFmtId="0" fontId="2" fillId="0" borderId="0" xfId="0" applyFont="1" applyAlignment="1">
      <alignment horizontal="right" wrapText="1"/>
    </xf>
    <xf numFmtId="10" fontId="3" fillId="0" borderId="0" xfId="3" applyNumberFormat="1" applyFont="1" applyBorder="1"/>
    <xf numFmtId="164" fontId="4" fillId="0" borderId="0" xfId="0" applyNumberFormat="1" applyFont="1" applyAlignment="1">
      <alignment vertical="center"/>
    </xf>
    <xf numFmtId="0" fontId="10" fillId="0" borderId="0" xfId="0" applyFont="1" applyAlignment="1">
      <alignment vertical="top" wrapText="1"/>
    </xf>
    <xf numFmtId="175" fontId="3" fillId="0" borderId="0" xfId="0" applyNumberFormat="1" applyFont="1"/>
    <xf numFmtId="171" fontId="3" fillId="0" borderId="0" xfId="0" applyNumberFormat="1" applyFont="1"/>
    <xf numFmtId="176" fontId="3" fillId="0" borderId="0" xfId="0" applyNumberFormat="1" applyFont="1" applyAlignment="1">
      <alignment vertical="center"/>
    </xf>
    <xf numFmtId="0" fontId="13" fillId="0" borderId="0" xfId="0" applyFont="1"/>
    <xf numFmtId="174" fontId="7" fillId="0" borderId="0" xfId="0" applyNumberFormat="1" applyFont="1"/>
    <xf numFmtId="167" fontId="3" fillId="0" borderId="0" xfId="1" applyNumberFormat="1" applyFont="1" applyAlignment="1">
      <alignment vertical="center"/>
    </xf>
    <xf numFmtId="6" fontId="3" fillId="0" borderId="1" xfId="0" applyNumberFormat="1" applyFont="1" applyBorder="1"/>
    <xf numFmtId="43" fontId="3" fillId="0" borderId="0" xfId="1" applyFont="1" applyFill="1"/>
    <xf numFmtId="168" fontId="3" fillId="0" borderId="0" xfId="1" applyNumberFormat="1" applyFont="1" applyFill="1"/>
    <xf numFmtId="0" fontId="2" fillId="0" borderId="0" xfId="0" applyFont="1" applyAlignment="1">
      <alignment horizontal="right"/>
    </xf>
    <xf numFmtId="164" fontId="3" fillId="0" borderId="0" xfId="1" applyNumberFormat="1" applyFont="1" applyFill="1"/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7" fontId="3" fillId="0" borderId="0" xfId="1" applyNumberFormat="1" applyFont="1" applyFill="1"/>
    <xf numFmtId="166" fontId="3" fillId="0" borderId="0" xfId="0" applyNumberFormat="1" applyFont="1"/>
    <xf numFmtId="168" fontId="3" fillId="0" borderId="5" xfId="0" applyNumberFormat="1" applyFont="1" applyBorder="1" applyAlignment="1">
      <alignment vertical="center"/>
    </xf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165" fontId="3" fillId="0" borderId="0" xfId="2" applyNumberFormat="1" applyFont="1" applyBorder="1"/>
    <xf numFmtId="170" fontId="3" fillId="0" borderId="0" xfId="1" applyNumberFormat="1" applyFont="1" applyFill="1"/>
    <xf numFmtId="16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5" xfId="0" applyNumberFormat="1" applyFont="1" applyBorder="1" applyAlignment="1">
      <alignment vertical="center"/>
    </xf>
    <xf numFmtId="165" fontId="3" fillId="0" borderId="0" xfId="2" applyNumberFormat="1" applyFont="1"/>
    <xf numFmtId="9" fontId="3" fillId="0" borderId="0" xfId="0" applyNumberFormat="1" applyFont="1"/>
    <xf numFmtId="169" fontId="3" fillId="0" borderId="0" xfId="0" applyNumberFormat="1" applyFont="1"/>
    <xf numFmtId="0" fontId="5" fillId="0" borderId="2" xfId="0" applyFont="1" applyBorder="1"/>
    <xf numFmtId="0" fontId="14" fillId="0" borderId="5" xfId="0" applyFont="1" applyBorder="1"/>
    <xf numFmtId="0" fontId="15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0" xfId="0" applyNumberFormat="1" applyFont="1"/>
    <xf numFmtId="6" fontId="4" fillId="2" borderId="1" xfId="0" applyNumberFormat="1" applyFont="1" applyFill="1" applyBorder="1"/>
    <xf numFmtId="43" fontId="4" fillId="0" borderId="0" xfId="1" applyFont="1" applyFill="1"/>
    <xf numFmtId="165" fontId="3" fillId="0" borderId="0" xfId="2" applyNumberFormat="1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6" fontId="7" fillId="0" borderId="0" xfId="0" applyNumberFormat="1" applyFont="1"/>
    <xf numFmtId="177" fontId="3" fillId="0" borderId="0" xfId="2" applyNumberFormat="1" applyFont="1"/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65" fontId="7" fillId="0" borderId="0" xfId="0" applyNumberFormat="1" applyFont="1"/>
    <xf numFmtId="172" fontId="4" fillId="0" borderId="0" xfId="2" applyNumberFormat="1" applyFont="1"/>
    <xf numFmtId="43" fontId="7" fillId="0" borderId="0" xfId="1" applyFont="1"/>
    <xf numFmtId="43" fontId="4" fillId="0" borderId="0" xfId="1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7635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44"/>
  <sheetViews>
    <sheetView view="pageBreakPreview" zoomScaleNormal="100" zoomScaleSheetLayoutView="100" workbookViewId="0">
      <selection activeCell="N13" sqref="N13"/>
    </sheetView>
  </sheetViews>
  <sheetFormatPr defaultColWidth="8.85546875" defaultRowHeight="12.75" x14ac:dyDescent="0.2"/>
  <cols>
    <col min="1" max="1" width="9" style="2" bestFit="1" customWidth="1"/>
    <col min="2" max="2" width="34" style="2" customWidth="1"/>
    <col min="3" max="3" width="10.42578125" style="15" customWidth="1"/>
    <col min="4" max="4" width="15.42578125" style="2" hidden="1" customWidth="1"/>
    <col min="5" max="5" width="13.85546875" style="2" bestFit="1" customWidth="1"/>
    <col min="6" max="6" width="11.5703125" style="2" customWidth="1"/>
    <col min="7" max="7" width="13.42578125" style="2" bestFit="1" customWidth="1"/>
    <col min="8" max="8" width="10.42578125" style="2" bestFit="1" customWidth="1"/>
    <col min="9" max="9" width="12.7109375" style="2" bestFit="1" customWidth="1"/>
    <col min="10" max="10" width="13.85546875" style="2" bestFit="1" customWidth="1"/>
    <col min="11" max="11" width="11" style="2" customWidth="1"/>
    <col min="12" max="12" width="12.7109375" style="2" bestFit="1" customWidth="1"/>
    <col min="13" max="14" width="7.7109375" style="2" bestFit="1" customWidth="1"/>
    <col min="15" max="15" width="12.85546875" style="2" bestFit="1" customWidth="1"/>
    <col min="16" max="16" width="6.140625" style="2" customWidth="1"/>
    <col min="17" max="17" width="3.85546875" style="2" customWidth="1"/>
    <col min="18" max="18" width="14.5703125" style="2" customWidth="1"/>
    <col min="19" max="19" width="8.85546875" style="58"/>
    <col min="20" max="20" width="12.7109375" style="2" bestFit="1" customWidth="1"/>
    <col min="21" max="16384" width="8.85546875" style="2"/>
  </cols>
  <sheetData>
    <row r="1" spans="1:23" x14ac:dyDescent="0.2">
      <c r="A1" s="1" t="s">
        <v>47</v>
      </c>
    </row>
    <row r="2" spans="1:23" x14ac:dyDescent="0.2">
      <c r="A2" s="1" t="s">
        <v>0</v>
      </c>
    </row>
    <row r="3" spans="1:23" x14ac:dyDescent="0.2">
      <c r="A3" s="1"/>
      <c r="M3" s="5"/>
    </row>
    <row r="4" spans="1:23" x14ac:dyDescent="0.2">
      <c r="A4" s="1"/>
      <c r="K4" s="25" t="s">
        <v>37</v>
      </c>
      <c r="L4" s="114">
        <f>L9+L8+L7+L6+L5</f>
        <v>5490747.0605518064</v>
      </c>
      <c r="M4" s="6"/>
    </row>
    <row r="5" spans="1:23" x14ac:dyDescent="0.2">
      <c r="K5" s="25" t="s">
        <v>159</v>
      </c>
      <c r="L5" s="154">
        <v>205257.10668400023</v>
      </c>
      <c r="M5" s="6"/>
    </row>
    <row r="6" spans="1:23" x14ac:dyDescent="0.2">
      <c r="K6" s="25" t="s">
        <v>160</v>
      </c>
      <c r="L6" s="154">
        <v>689790.01411600038</v>
      </c>
      <c r="M6" s="6"/>
    </row>
    <row r="7" spans="1:23" x14ac:dyDescent="0.2">
      <c r="K7" s="25" t="s">
        <v>45</v>
      </c>
      <c r="L7" s="154">
        <v>1465762.5856240019</v>
      </c>
      <c r="M7" s="6"/>
    </row>
    <row r="8" spans="1:23" x14ac:dyDescent="0.2">
      <c r="K8" s="25" t="s">
        <v>79</v>
      </c>
      <c r="L8" s="154">
        <v>1344423.4782798011</v>
      </c>
      <c r="M8" s="6"/>
      <c r="Q8" s="5"/>
    </row>
    <row r="9" spans="1:23" x14ac:dyDescent="0.2">
      <c r="B9" s="3"/>
      <c r="C9" s="59"/>
      <c r="K9" s="25" t="s">
        <v>46</v>
      </c>
      <c r="L9" s="154">
        <v>1785513.8758480027</v>
      </c>
      <c r="M9" s="6"/>
      <c r="Q9" s="5"/>
    </row>
    <row r="10" spans="1:23" x14ac:dyDescent="0.2">
      <c r="M10" s="6"/>
      <c r="N10" s="6"/>
      <c r="Q10" s="170"/>
      <c r="R10" s="170"/>
      <c r="T10" s="170"/>
      <c r="U10" s="170"/>
    </row>
    <row r="11" spans="1:23" s="11" customFormat="1" ht="31.9" customHeight="1" x14ac:dyDescent="0.2">
      <c r="A11" s="9" t="s">
        <v>1</v>
      </c>
      <c r="B11" s="9" t="s">
        <v>2</v>
      </c>
      <c r="C11" s="10" t="s">
        <v>12</v>
      </c>
      <c r="D11" s="12" t="s">
        <v>141</v>
      </c>
      <c r="E11" s="12" t="s">
        <v>3</v>
      </c>
      <c r="F11" s="12" t="s">
        <v>21</v>
      </c>
      <c r="G11" s="12" t="s">
        <v>32</v>
      </c>
      <c r="H11" s="12" t="s">
        <v>33</v>
      </c>
      <c r="I11" s="12" t="s">
        <v>34</v>
      </c>
      <c r="J11" s="12" t="s">
        <v>4</v>
      </c>
      <c r="K11" s="12" t="s">
        <v>23</v>
      </c>
      <c r="L11" s="12" t="s">
        <v>5</v>
      </c>
      <c r="M11" s="12" t="s">
        <v>80</v>
      </c>
      <c r="N11" s="12" t="s">
        <v>81</v>
      </c>
      <c r="O11" s="12" t="s">
        <v>36</v>
      </c>
      <c r="Q11" s="104"/>
      <c r="R11" s="104"/>
      <c r="S11" s="58"/>
      <c r="T11" s="104"/>
      <c r="U11" s="104"/>
      <c r="V11" s="2"/>
      <c r="W11" s="2"/>
    </row>
    <row r="12" spans="1:23" x14ac:dyDescent="0.2">
      <c r="A12" s="4">
        <v>1</v>
      </c>
      <c r="B12" s="32" t="s">
        <v>6</v>
      </c>
      <c r="C12" s="60"/>
      <c r="D12" s="32"/>
      <c r="E12" s="33"/>
      <c r="F12" s="34"/>
      <c r="G12" s="34"/>
      <c r="H12" s="11"/>
      <c r="I12" s="11"/>
      <c r="J12" s="33"/>
      <c r="K12" s="34"/>
      <c r="L12" s="33"/>
      <c r="M12" s="35"/>
      <c r="N12" s="35"/>
      <c r="R12" s="104"/>
    </row>
    <row r="13" spans="1:23" x14ac:dyDescent="0.2">
      <c r="A13" s="4">
        <f>A12+1</f>
        <v>2</v>
      </c>
      <c r="B13" s="2" t="str">
        <f>'Billing Detail'!B7</f>
        <v>Residential &amp; Small Power (1)</v>
      </c>
      <c r="C13" s="15" t="str">
        <f>'Billing Detail'!C7</f>
        <v>RSP</v>
      </c>
      <c r="D13" s="36">
        <f>'Billing Detail'!G10</f>
        <v>30387609.140590001</v>
      </c>
      <c r="E13" s="36">
        <f>'Billing Detail'!I10</f>
        <v>33755351.302500002</v>
      </c>
      <c r="F13" s="95">
        <f t="shared" ref="F13:F21" si="0">E13/E$21</f>
        <v>0.73326310747112722</v>
      </c>
      <c r="G13" s="96">
        <f>E13</f>
        <v>33755351.302500002</v>
      </c>
      <c r="H13" s="95">
        <f t="shared" ref="H13:H20" si="1">G13/G$21</f>
        <v>0.73326310747112722</v>
      </c>
      <c r="I13" s="96">
        <f>ROUND(L$9*H13,2)</f>
        <v>1309251.45</v>
      </c>
      <c r="J13" s="36">
        <f>'Billing Detail'!M10</f>
        <v>35065029.781920001</v>
      </c>
      <c r="K13" s="35">
        <f t="shared" ref="K13:K21" si="2">J13/J$21</f>
        <v>0.73325864794227957</v>
      </c>
      <c r="L13" s="36">
        <f>'Billing Detail'!N10</f>
        <v>1309678.4794199988</v>
      </c>
      <c r="M13" s="35">
        <f>IF(E13=0,0,L13/E13)</f>
        <v>3.8799136400129865E-2</v>
      </c>
      <c r="N13" s="35">
        <f>'Billing Detail'!O16</f>
        <v>3.4577221866571216E-2</v>
      </c>
      <c r="O13" s="38">
        <f>J13-I13-E13</f>
        <v>427.02941999584436</v>
      </c>
      <c r="Q13" s="44"/>
      <c r="R13" s="104"/>
      <c r="T13" s="105"/>
      <c r="U13" s="6"/>
    </row>
    <row r="14" spans="1:23" x14ac:dyDescent="0.2">
      <c r="A14" s="4">
        <f t="shared" ref="A14:A41" si="3">A13+1</f>
        <v>3</v>
      </c>
      <c r="B14" s="2" t="str">
        <f>'Billing Detail'!B19</f>
        <v>Residential &amp; Small Power ETS (11)</v>
      </c>
      <c r="C14" s="15" t="str">
        <f>'Billing Detail'!C19</f>
        <v>RSP-ETS</v>
      </c>
      <c r="D14" s="36">
        <f>'Billing Detail'!G22</f>
        <v>35002.224310000005</v>
      </c>
      <c r="E14" s="36">
        <f>'Billing Detail'!I22</f>
        <v>43743.433499999999</v>
      </c>
      <c r="F14" s="95">
        <f t="shared" si="0"/>
        <v>9.5023291839629062E-4</v>
      </c>
      <c r="G14" s="96">
        <f t="shared" ref="G14:G20" si="4">E14</f>
        <v>43743.433499999999</v>
      </c>
      <c r="H14" s="95">
        <f t="shared" si="1"/>
        <v>9.5023291839629062E-4</v>
      </c>
      <c r="I14" s="96">
        <f t="shared" ref="I14:I20" si="5">ROUND(L$9*H14,2)</f>
        <v>1696.65</v>
      </c>
      <c r="J14" s="36">
        <f>'Billing Detail'!M22</f>
        <v>45440.828269999998</v>
      </c>
      <c r="K14" s="35">
        <f t="shared" si="2"/>
        <v>9.502310565787025E-4</v>
      </c>
      <c r="L14" s="36">
        <f>'Billing Detail'!N22</f>
        <v>1697.394769999999</v>
      </c>
      <c r="M14" s="35">
        <f t="shared" ref="M14:M20" si="6">IF(E14=0,0,L14/E14)</f>
        <v>3.8803418803418782E-2</v>
      </c>
      <c r="N14" s="35">
        <f>'Billing Detail'!O28</f>
        <v>3.2037847434828931E-2</v>
      </c>
      <c r="O14" s="38">
        <f t="shared" ref="O14:O21" si="7">J14-I14-E14</f>
        <v>0.7447699999975157</v>
      </c>
      <c r="Q14" s="44"/>
      <c r="R14" s="104"/>
      <c r="T14" s="105"/>
      <c r="U14" s="6"/>
    </row>
    <row r="15" spans="1:23" x14ac:dyDescent="0.2">
      <c r="A15" s="4"/>
      <c r="B15" s="2" t="str">
        <f>'Billing Detail'!B31</f>
        <v>Residential &amp; Small Power TOD (110)</v>
      </c>
      <c r="C15" s="15" t="str">
        <f>'Billing Detail'!C31</f>
        <v>RSP-TOD</v>
      </c>
      <c r="D15" s="36">
        <f>'Billing Detail'!G35</f>
        <v>45490.524579999998</v>
      </c>
      <c r="E15" s="36">
        <f>'Billing Detail'!I35</f>
        <v>49114.389510000001</v>
      </c>
      <c r="F15" s="95">
        <f t="shared" si="0"/>
        <v>1.0669054974694536E-3</v>
      </c>
      <c r="G15" s="96">
        <f t="shared" ref="G15" si="8">E15</f>
        <v>49114.389510000001</v>
      </c>
      <c r="H15" s="95">
        <f t="shared" si="1"/>
        <v>1.0669054974694536E-3</v>
      </c>
      <c r="I15" s="96">
        <f t="shared" ref="I15" si="9">ROUND(L$9*H15,2)</f>
        <v>1904.97</v>
      </c>
      <c r="J15" s="36">
        <f>'Billing Detail'!M35</f>
        <v>51019.823579999997</v>
      </c>
      <c r="K15" s="35">
        <f t="shared" si="2"/>
        <v>1.0668956247632763E-3</v>
      </c>
      <c r="L15" s="36">
        <f>'Billing Detail'!N35</f>
        <v>1905.4340699999957</v>
      </c>
      <c r="M15" s="35">
        <f t="shared" ref="M15" si="10">IF(E15=0,0,L15/E15)</f>
        <v>3.8795841483727236E-2</v>
      </c>
      <c r="N15" s="35">
        <f>'Billing Detail'!O41</f>
        <v>2.6794049999996541E-2</v>
      </c>
      <c r="O15" s="38">
        <f t="shared" ref="O15" si="11">J15-I15-E15</f>
        <v>0.46406999999453546</v>
      </c>
      <c r="Q15" s="44"/>
      <c r="R15" s="104"/>
      <c r="T15" s="105"/>
      <c r="U15" s="6"/>
    </row>
    <row r="16" spans="1:23" x14ac:dyDescent="0.2">
      <c r="A16" s="4">
        <f>A14+1</f>
        <v>4</v>
      </c>
      <c r="B16" s="2" t="str">
        <f>'Billing Detail'!B44</f>
        <v>Inclining Block Rate (8)</v>
      </c>
      <c r="C16" s="15" t="str">
        <f>'Billing Detail'!C44</f>
        <v>RSP-IB</v>
      </c>
      <c r="D16" s="36">
        <f>'Billing Detail'!G49</f>
        <v>136336.26653999998</v>
      </c>
      <c r="E16" s="36">
        <f>'Billing Detail'!I49</f>
        <v>146898.55562</v>
      </c>
      <c r="F16" s="95">
        <f t="shared" si="0"/>
        <v>3.1910582239730321E-3</v>
      </c>
      <c r="G16" s="96">
        <f t="shared" si="4"/>
        <v>146898.55562</v>
      </c>
      <c r="H16" s="95">
        <f t="shared" si="1"/>
        <v>3.1910582239730321E-3</v>
      </c>
      <c r="I16" s="96">
        <f t="shared" si="5"/>
        <v>5697.68</v>
      </c>
      <c r="J16" s="36">
        <f>'Billing Detail'!M49</f>
        <v>152607.74093999999</v>
      </c>
      <c r="K16" s="35">
        <f t="shared" si="2"/>
        <v>3.1912405745306879E-3</v>
      </c>
      <c r="L16" s="36">
        <f>'Billing Detail'!N49</f>
        <v>5709.1853199999896</v>
      </c>
      <c r="M16" s="35">
        <f t="shared" si="6"/>
        <v>3.8864815898997804E-2</v>
      </c>
      <c r="N16" s="35">
        <f>'Billing Detail'!O55</f>
        <v>3.4669056318504608E-2</v>
      </c>
      <c r="O16" s="38">
        <f t="shared" si="7"/>
        <v>11.505319999996573</v>
      </c>
      <c r="Q16" s="44"/>
      <c r="R16" s="104"/>
      <c r="T16" s="105"/>
      <c r="U16" s="6"/>
    </row>
    <row r="17" spans="1:21" x14ac:dyDescent="0.2">
      <c r="A17" s="4">
        <f t="shared" si="3"/>
        <v>5</v>
      </c>
      <c r="B17" s="2" t="str">
        <f>'Billing Detail'!B58</f>
        <v>Small General Service (2)</v>
      </c>
      <c r="C17" s="15" t="str">
        <f>'Billing Detail'!C58</f>
        <v>SGS</v>
      </c>
      <c r="D17" s="36">
        <f>'Billing Detail'!G62</f>
        <v>1790026.9342800002</v>
      </c>
      <c r="E17" s="36">
        <f>'Billing Detail'!I62</f>
        <v>1990784.3777399999</v>
      </c>
      <c r="F17" s="95">
        <f t="shared" si="0"/>
        <v>4.3245550195725346E-2</v>
      </c>
      <c r="G17" s="96">
        <f t="shared" si="4"/>
        <v>1990784.3777399999</v>
      </c>
      <c r="H17" s="95">
        <f t="shared" si="1"/>
        <v>4.3245550195725346E-2</v>
      </c>
      <c r="I17" s="96">
        <f>ROUND(L$9*H17,2)</f>
        <v>77215.53</v>
      </c>
      <c r="J17" s="36">
        <f>'Billing Detail'!M62</f>
        <v>2068061.0506800003</v>
      </c>
      <c r="K17" s="35">
        <f t="shared" si="2"/>
        <v>4.3246039125442171E-2</v>
      </c>
      <c r="L17" s="36">
        <f>'Billing Detail'!N62</f>
        <v>77276.672940000426</v>
      </c>
      <c r="M17" s="35">
        <f>IF(E17=0,0,L17/E17)</f>
        <v>3.8817198790623071E-2</v>
      </c>
      <c r="N17" s="35">
        <f>'Billing Detail'!O68</f>
        <v>3.4451535049841969E-2</v>
      </c>
      <c r="O17" s="38">
        <f>J17-I17-E17</f>
        <v>61.142940000398085</v>
      </c>
      <c r="Q17" s="44"/>
      <c r="R17" s="104"/>
      <c r="T17" s="105"/>
      <c r="U17" s="6"/>
    </row>
    <row r="18" spans="1:21" x14ac:dyDescent="0.2">
      <c r="A18" s="4">
        <f t="shared" si="3"/>
        <v>6</v>
      </c>
      <c r="B18" s="2" t="str">
        <f>'Billing Detail'!B71</f>
        <v>Large General Service (3)</v>
      </c>
      <c r="C18" s="15" t="str">
        <f>'Billing Detail'!C71</f>
        <v>LGS</v>
      </c>
      <c r="D18" s="36">
        <f>'Billing Detail'!G75</f>
        <v>7617727.7464400008</v>
      </c>
      <c r="E18" s="36">
        <f>'Billing Detail'!I75</f>
        <v>8817493.7339299992</v>
      </c>
      <c r="F18" s="95">
        <f t="shared" si="0"/>
        <v>0.19154126993102424</v>
      </c>
      <c r="G18" s="96">
        <f t="shared" si="4"/>
        <v>8817493.7339299992</v>
      </c>
      <c r="H18" s="95">
        <f t="shared" si="1"/>
        <v>0.19154126993102424</v>
      </c>
      <c r="I18" s="96">
        <f t="shared" ref="I18" si="12">ROUND(L$9*H18,2)</f>
        <v>341999.6</v>
      </c>
      <c r="J18" s="36">
        <f>'Billing Detail'!M75</f>
        <v>9160215.0935899988</v>
      </c>
      <c r="K18" s="35">
        <f t="shared" si="2"/>
        <v>0.19155286552328954</v>
      </c>
      <c r="L18" s="36">
        <f>'Billing Detail'!N75</f>
        <v>342721.35965999961</v>
      </c>
      <c r="M18" s="35">
        <f t="shared" ref="M18" si="13">IF(E18=0,0,L18/E18)</f>
        <v>3.8868341730847716E-2</v>
      </c>
      <c r="N18" s="35">
        <f>'Billing Detail'!O81</f>
        <v>3.4555935130880212E-2</v>
      </c>
      <c r="O18" s="38">
        <f t="shared" ref="O18" si="14">J18-I18-E18</f>
        <v>721.75965999998152</v>
      </c>
      <c r="Q18" s="44"/>
      <c r="R18" s="104"/>
      <c r="T18" s="105"/>
      <c r="U18" s="6"/>
    </row>
    <row r="19" spans="1:21" x14ac:dyDescent="0.2">
      <c r="A19" s="4">
        <f t="shared" si="3"/>
        <v>7</v>
      </c>
      <c r="B19" s="2" t="str">
        <f>'Billing Detail'!B84</f>
        <v>All Electric School (4)</v>
      </c>
      <c r="C19" s="15" t="str">
        <f>'Billing Detail'!C84</f>
        <v>AES</v>
      </c>
      <c r="D19" s="36">
        <f>'Billing Detail'!G87</f>
        <v>56467.800399999993</v>
      </c>
      <c r="E19" s="36">
        <f>'Billing Detail'!I87</f>
        <v>64192.084799999997</v>
      </c>
      <c r="F19" s="95">
        <f t="shared" si="0"/>
        <v>1.394436311851153E-3</v>
      </c>
      <c r="G19" s="96">
        <f t="shared" si="4"/>
        <v>64192.084799999997</v>
      </c>
      <c r="H19" s="95">
        <f t="shared" si="1"/>
        <v>1.394436311851153E-3</v>
      </c>
      <c r="I19" s="96">
        <f t="shared" si="5"/>
        <v>2489.79</v>
      </c>
      <c r="J19" s="36">
        <f>'Billing Detail'!M87</f>
        <v>66684.603600000002</v>
      </c>
      <c r="K19" s="35">
        <f t="shared" si="2"/>
        <v>1.3944680092504828E-3</v>
      </c>
      <c r="L19" s="36">
        <f>'Billing Detail'!N87</f>
        <v>2492.5188000000053</v>
      </c>
      <c r="M19" s="35">
        <f t="shared" si="6"/>
        <v>3.8829067598689447E-2</v>
      </c>
      <c r="N19" s="35">
        <f>'Billing Detail'!O93</f>
        <v>3.4521937936757813E-2</v>
      </c>
      <c r="O19" s="38">
        <f t="shared" si="7"/>
        <v>2.7288000000044121</v>
      </c>
      <c r="Q19" s="44"/>
      <c r="R19" s="104"/>
      <c r="T19" s="105"/>
      <c r="U19" s="6"/>
    </row>
    <row r="20" spans="1:21" x14ac:dyDescent="0.2">
      <c r="A20" s="4">
        <f t="shared" si="3"/>
        <v>8</v>
      </c>
      <c r="B20" s="2" t="str">
        <f>'Billing Detail'!B137</f>
        <v>Lighting</v>
      </c>
      <c r="C20" s="15" t="str">
        <f>'Billing Detail'!C137</f>
        <v>OL</v>
      </c>
      <c r="D20" s="36">
        <f>'Billing Detail'!G155</f>
        <v>1121703.8999999999</v>
      </c>
      <c r="E20" s="36">
        <f>'Billing Detail'!I155</f>
        <v>1166854.9999999998</v>
      </c>
      <c r="F20" s="95">
        <f t="shared" si="0"/>
        <v>2.5347439450433253E-2</v>
      </c>
      <c r="G20" s="96">
        <f t="shared" si="4"/>
        <v>1166854.9999999998</v>
      </c>
      <c r="H20" s="95">
        <f t="shared" si="1"/>
        <v>2.5347439450433253E-2</v>
      </c>
      <c r="I20" s="96">
        <f t="shared" si="5"/>
        <v>45258.2</v>
      </c>
      <c r="J20" s="36">
        <f>'Billing Detail'!M155</f>
        <v>1211761.0299999998</v>
      </c>
      <c r="K20" s="35">
        <f t="shared" si="2"/>
        <v>2.5339612143865455E-2</v>
      </c>
      <c r="L20" s="36">
        <f t="shared" ref="L20" si="15">J20-E20</f>
        <v>44906.030000000028</v>
      </c>
      <c r="M20" s="35">
        <f t="shared" si="6"/>
        <v>3.8484670331789331E-2</v>
      </c>
      <c r="N20" s="35">
        <f>'Billing Detail'!O161</f>
        <v>3.8484670331789331E-2</v>
      </c>
      <c r="O20" s="38">
        <f t="shared" si="7"/>
        <v>-352.16999999992549</v>
      </c>
      <c r="Q20" s="44"/>
      <c r="R20" s="104"/>
      <c r="T20" s="105"/>
      <c r="U20" s="6"/>
    </row>
    <row r="21" spans="1:21" ht="16.149999999999999" customHeight="1" x14ac:dyDescent="0.2">
      <c r="A21" s="4">
        <f t="shared" si="3"/>
        <v>9</v>
      </c>
      <c r="B21" s="39" t="s">
        <v>44</v>
      </c>
      <c r="C21" s="61"/>
      <c r="D21" s="40">
        <f>SUM(D13:D20)</f>
        <v>41190364.537139997</v>
      </c>
      <c r="E21" s="40">
        <f>SUM(E13:E20)</f>
        <v>46034432.877599999</v>
      </c>
      <c r="F21" s="41">
        <f t="shared" si="0"/>
        <v>1</v>
      </c>
      <c r="G21" s="40">
        <f>SUM(G13:G20)</f>
        <v>46034432.877599999</v>
      </c>
      <c r="H21" s="41">
        <v>1</v>
      </c>
      <c r="I21" s="40">
        <f>SUM(I13:I20)</f>
        <v>1785513.8699999999</v>
      </c>
      <c r="J21" s="40">
        <f>SUM(J13:J20)</f>
        <v>47820819.952580005</v>
      </c>
      <c r="K21" s="41">
        <f t="shared" si="2"/>
        <v>1</v>
      </c>
      <c r="L21" s="40">
        <f>SUM(L13:L20)</f>
        <v>1786387.0749799986</v>
      </c>
      <c r="M21" s="41">
        <f t="shared" ref="M21" si="16">L21/E21</f>
        <v>3.8805454163621092E-2</v>
      </c>
      <c r="N21" s="41"/>
      <c r="O21" s="42">
        <f t="shared" si="7"/>
        <v>873.20498000830412</v>
      </c>
      <c r="Q21" s="44"/>
      <c r="R21" s="104"/>
      <c r="T21" s="105"/>
      <c r="U21" s="6"/>
    </row>
    <row r="22" spans="1:21" ht="16.149999999999999" customHeight="1" x14ac:dyDescent="0.2">
      <c r="A22" s="4">
        <f t="shared" si="3"/>
        <v>10</v>
      </c>
      <c r="D22" s="43"/>
      <c r="E22" s="43"/>
      <c r="F22" s="44"/>
      <c r="G22" s="43"/>
      <c r="H22" s="44"/>
      <c r="I22" s="43"/>
      <c r="J22" s="43"/>
      <c r="K22" s="44"/>
      <c r="L22" s="43"/>
      <c r="M22" s="44"/>
      <c r="N22" s="44"/>
      <c r="O22" s="38"/>
      <c r="Q22" s="44"/>
      <c r="R22" s="104"/>
      <c r="T22" s="105"/>
      <c r="U22" s="6"/>
    </row>
    <row r="23" spans="1:21" x14ac:dyDescent="0.2">
      <c r="A23" s="4">
        <f t="shared" si="3"/>
        <v>11</v>
      </c>
      <c r="B23" s="2" t="str">
        <f>'Billing Detail'!B96</f>
        <v>Tennessee Gas</v>
      </c>
      <c r="C23" s="15" t="str">
        <f>'Billing Detail'!C96</f>
        <v>Contract</v>
      </c>
      <c r="D23" s="36">
        <f>'Billing Detail'!G100</f>
        <v>8261625.9960000012</v>
      </c>
      <c r="E23" s="36">
        <f>'Billing Detail'!I100</f>
        <v>5742466.9292400004</v>
      </c>
      <c r="F23" s="95">
        <f>E23/E$21</f>
        <v>0.12474286246793845</v>
      </c>
      <c r="G23" s="96">
        <v>0</v>
      </c>
      <c r="H23" s="95">
        <f>G23/G$21</f>
        <v>0</v>
      </c>
      <c r="I23" s="96">
        <f>ROUND(L$9*H23,2)</f>
        <v>0</v>
      </c>
      <c r="J23" s="36">
        <f>'Billing Detail'!M100</f>
        <v>5742466.9292400004</v>
      </c>
      <c r="K23" s="35">
        <f>J23/J$21</f>
        <v>0.12008298759691563</v>
      </c>
      <c r="L23" s="36">
        <f>'Billing Detail'!N100</f>
        <v>0</v>
      </c>
      <c r="M23" s="35">
        <f>IF(E23=0,0,L23/E23)</f>
        <v>0</v>
      </c>
      <c r="N23" s="35">
        <f>'Billing Detail'!O106</f>
        <v>0</v>
      </c>
      <c r="O23" s="38">
        <f t="shared" ref="O23" si="17">J23-I23-E23</f>
        <v>0</v>
      </c>
      <c r="Q23" s="44"/>
      <c r="R23" s="104"/>
      <c r="T23" s="105"/>
      <c r="U23" s="6"/>
    </row>
    <row r="24" spans="1:21" ht="16.149999999999999" customHeight="1" x14ac:dyDescent="0.2">
      <c r="A24" s="4">
        <f t="shared" si="3"/>
        <v>12</v>
      </c>
      <c r="B24" s="2" t="str">
        <f>'Billing Detail'!B163</f>
        <v>Special Contract - EKPC Rate G</v>
      </c>
      <c r="C24" s="15" t="str">
        <f>'Billing Detail'!C163</f>
        <v>Special</v>
      </c>
      <c r="D24" s="43">
        <f>'Billing Detail'!G167</f>
        <v>13501720.923439998</v>
      </c>
      <c r="E24" s="43">
        <f>'Billing Detail'!I167</f>
        <v>16599092.98948</v>
      </c>
      <c r="F24" s="44">
        <v>1</v>
      </c>
      <c r="G24" s="97">
        <f>E24</f>
        <v>16599092.98948</v>
      </c>
      <c r="H24" s="44">
        <v>1</v>
      </c>
      <c r="I24" s="96">
        <f>ROUND(L$7*H24,2)</f>
        <v>1465762.59</v>
      </c>
      <c r="J24" s="43">
        <f>'Billing Detail'!M167</f>
        <v>18065116.934220001</v>
      </c>
      <c r="K24" s="44">
        <f>J24/J24</f>
        <v>1</v>
      </c>
      <c r="L24" s="43">
        <f>'Billing Detail'!N167</f>
        <v>1466023.9447400011</v>
      </c>
      <c r="M24" s="35">
        <f t="shared" ref="M24:M29" si="18">IF(E24=0,0,L24/E24)</f>
        <v>8.8319521173182328E-2</v>
      </c>
      <c r="N24" s="35">
        <f>'Billing Detail'!O173</f>
        <v>6.8574009503462777E-2</v>
      </c>
      <c r="O24" s="38">
        <f>J24-I24-E24</f>
        <v>261.35474000126123</v>
      </c>
      <c r="Q24" s="44"/>
      <c r="R24" s="104"/>
      <c r="S24" s="2"/>
      <c r="T24" s="105"/>
      <c r="U24" s="6"/>
    </row>
    <row r="25" spans="1:21" ht="16.149999999999999" customHeight="1" x14ac:dyDescent="0.2">
      <c r="A25" s="4">
        <f t="shared" si="3"/>
        <v>13</v>
      </c>
      <c r="B25" s="2" t="str">
        <f>'Billing Detail'!B109</f>
        <v>Large Industrial Service (7)</v>
      </c>
      <c r="C25" s="15" t="str">
        <f>'Billing Detail'!C109</f>
        <v>LIS7</v>
      </c>
      <c r="D25" s="36">
        <f>'Billing Detail'!G113</f>
        <v>5815015.3553100005</v>
      </c>
      <c r="E25" s="36">
        <f>'Billing Detail'!I113</f>
        <v>7000674.4353</v>
      </c>
      <c r="F25" s="44">
        <v>1</v>
      </c>
      <c r="G25" s="97">
        <f>E25</f>
        <v>7000674.4353</v>
      </c>
      <c r="H25" s="44">
        <v>1</v>
      </c>
      <c r="I25" s="96">
        <f>ROUND(L$6*H25,2)</f>
        <v>689790.01</v>
      </c>
      <c r="J25" s="36">
        <f>'Billing Detail'!M113</f>
        <v>7689824.2651499994</v>
      </c>
      <c r="K25" s="44">
        <v>1</v>
      </c>
      <c r="L25" s="36">
        <f>'Billing Detail'!N113</f>
        <v>689149.8298499994</v>
      </c>
      <c r="M25" s="35">
        <f t="shared" si="18"/>
        <v>9.8440491158258994E-2</v>
      </c>
      <c r="N25" s="35">
        <f>'Billing Detail'!O119</f>
        <v>8.6655215415483183E-2</v>
      </c>
      <c r="O25" s="38">
        <f t="shared" ref="O25:O26" si="19">J25-I25-E25</f>
        <v>-640.18015000037849</v>
      </c>
      <c r="Q25" s="44"/>
      <c r="R25" s="104"/>
      <c r="S25" s="2"/>
      <c r="T25" s="105"/>
      <c r="U25" s="6"/>
    </row>
    <row r="26" spans="1:21" ht="16.149999999999999" customHeight="1" x14ac:dyDescent="0.2">
      <c r="A26" s="4">
        <f t="shared" si="3"/>
        <v>14</v>
      </c>
      <c r="B26" s="2" t="str">
        <f>'Billing Detail'!B122</f>
        <v>Special Contract LIS6B - EKPC Rate B</v>
      </c>
      <c r="C26" s="15" t="str">
        <f>'Billing Detail'!C122</f>
        <v>Contract</v>
      </c>
      <c r="D26" s="36">
        <f>'Billing Detail'!G128</f>
        <v>2150060.57278</v>
      </c>
      <c r="E26" s="36">
        <f>'Billing Detail'!I128</f>
        <v>2627512.1332399999</v>
      </c>
      <c r="F26" s="44">
        <v>1</v>
      </c>
      <c r="G26" s="97">
        <f>E26</f>
        <v>2627512.1332399999</v>
      </c>
      <c r="H26" s="44">
        <v>1</v>
      </c>
      <c r="I26" s="96">
        <f>ROUND(L$5*H26,2)</f>
        <v>205257.11</v>
      </c>
      <c r="J26" s="36">
        <f>'Billing Detail'!M128</f>
        <v>2832317.7791399998</v>
      </c>
      <c r="K26" s="44">
        <v>1</v>
      </c>
      <c r="L26" s="36">
        <f>'Billing Detail'!N128</f>
        <v>204805.64589999989</v>
      </c>
      <c r="M26" s="35">
        <f t="shared" si="18"/>
        <v>7.7946603294064679E-2</v>
      </c>
      <c r="N26" s="35">
        <f>'Billing Detail'!O134</f>
        <v>7.1155648420076559E-2</v>
      </c>
      <c r="O26" s="38">
        <f t="shared" si="19"/>
        <v>-451.46409999998286</v>
      </c>
      <c r="Q26" s="44"/>
      <c r="R26" s="104"/>
      <c r="S26" s="2"/>
      <c r="T26" s="105"/>
      <c r="U26" s="6"/>
    </row>
    <row r="27" spans="1:21" x14ac:dyDescent="0.2">
      <c r="A27" s="4">
        <f t="shared" si="3"/>
        <v>15</v>
      </c>
      <c r="B27" s="2" t="str">
        <f>'Billing Detail'!B176</f>
        <v>Steam</v>
      </c>
      <c r="C27" s="15" t="str">
        <f>'Billing Detail'!C176</f>
        <v>Contract</v>
      </c>
      <c r="D27" s="36">
        <f>'Billing Detail'!G179</f>
        <v>9985515.3673950005</v>
      </c>
      <c r="E27" s="36">
        <f>'Billing Detail'!I179</f>
        <v>12070635.367394999</v>
      </c>
      <c r="F27" s="35">
        <v>1</v>
      </c>
      <c r="G27" s="97">
        <f>E27</f>
        <v>12070635.367394999</v>
      </c>
      <c r="H27" s="35">
        <v>1</v>
      </c>
      <c r="I27" s="96">
        <f>ROUND(L$8*H27,2)</f>
        <v>1344423.48</v>
      </c>
      <c r="J27" s="36">
        <f>'Billing Detail'!M179</f>
        <v>13415058.8456748</v>
      </c>
      <c r="K27" s="35">
        <f>J27/J27</f>
        <v>1</v>
      </c>
      <c r="L27" s="36">
        <f>'Billing Detail'!N179</f>
        <v>1344423.4782798011</v>
      </c>
      <c r="M27" s="35">
        <f>IF(E27=0,0,L27/E27)</f>
        <v>0.11137967781806546</v>
      </c>
      <c r="N27" s="35">
        <f>'Billing Detail'!O185</f>
        <v>9.6400185412681277E-2</v>
      </c>
      <c r="O27" s="38">
        <f>J27-I27-E27</f>
        <v>-1.7201993614435196E-3</v>
      </c>
      <c r="Q27" s="44"/>
      <c r="R27" s="104"/>
      <c r="S27" s="2"/>
      <c r="T27" s="105"/>
      <c r="U27" s="6"/>
    </row>
    <row r="28" spans="1:21" ht="16.149999999999999" customHeight="1" x14ac:dyDescent="0.2">
      <c r="A28" s="4">
        <f t="shared" si="3"/>
        <v>16</v>
      </c>
      <c r="D28" s="43"/>
      <c r="E28" s="43"/>
      <c r="F28" s="44"/>
      <c r="G28" s="37"/>
      <c r="H28" s="44"/>
      <c r="I28" s="43"/>
      <c r="J28" s="43"/>
      <c r="K28" s="44"/>
      <c r="L28" s="43"/>
      <c r="M28" s="35"/>
      <c r="N28" s="35"/>
      <c r="O28" s="38"/>
      <c r="Q28" s="44"/>
      <c r="R28" s="104"/>
      <c r="T28" s="105"/>
      <c r="U28" s="6"/>
    </row>
    <row r="29" spans="1:21" ht="16.149999999999999" customHeight="1" x14ac:dyDescent="0.2">
      <c r="A29" s="4">
        <f t="shared" si="3"/>
        <v>17</v>
      </c>
      <c r="B29" s="14" t="s">
        <v>43</v>
      </c>
      <c r="C29" s="62"/>
      <c r="D29" s="45">
        <f>D24+D21+D23+D27+D25+D26</f>
        <v>80904302.752064988</v>
      </c>
      <c r="E29" s="45">
        <f>E24+E21+E23+E27+E25+E26</f>
        <v>90074814.732254997</v>
      </c>
      <c r="F29" s="45"/>
      <c r="G29" s="45">
        <f>G24+G21+G23+G27+G25+G26</f>
        <v>84332347.803015009</v>
      </c>
      <c r="H29" s="45"/>
      <c r="I29" s="45">
        <f>I24+I21+I23+I27+I25+I26</f>
        <v>5490747.0599999996</v>
      </c>
      <c r="J29" s="45">
        <f>J24+J21+J23+J27+J25+J26</f>
        <v>95565604.706004798</v>
      </c>
      <c r="K29" s="45"/>
      <c r="L29" s="45">
        <f>L24+L21+L23+L27+L25+L26</f>
        <v>5490789.9737497997</v>
      </c>
      <c r="M29" s="46">
        <f t="shared" si="18"/>
        <v>6.0958104549768181E-2</v>
      </c>
      <c r="N29" s="46"/>
      <c r="O29" s="47">
        <f t="shared" ref="O29" si="20">J29-I29-E29</f>
        <v>42.913749799132347</v>
      </c>
      <c r="Q29" s="44"/>
      <c r="R29" s="104"/>
      <c r="T29" s="105"/>
      <c r="U29" s="6"/>
    </row>
    <row r="30" spans="1:21" ht="12.6" customHeight="1" x14ac:dyDescent="0.2">
      <c r="A30" s="4">
        <f t="shared" si="3"/>
        <v>18</v>
      </c>
      <c r="R30" s="104"/>
      <c r="T30" s="105"/>
      <c r="U30" s="6"/>
    </row>
    <row r="31" spans="1:21" x14ac:dyDescent="0.2">
      <c r="A31" s="4">
        <f t="shared" si="3"/>
        <v>19</v>
      </c>
      <c r="B31" s="32" t="s">
        <v>8</v>
      </c>
      <c r="C31" s="60"/>
      <c r="D31" s="32"/>
      <c r="R31" s="104"/>
      <c r="T31" s="44"/>
      <c r="U31" s="6"/>
    </row>
    <row r="32" spans="1:21" x14ac:dyDescent="0.2">
      <c r="A32" s="4">
        <f t="shared" si="3"/>
        <v>20</v>
      </c>
      <c r="B32" s="2" t="str">
        <f>'Billing Detail'!D11</f>
        <v xml:space="preserve">    FAC</v>
      </c>
      <c r="D32" s="36">
        <f>'Billing Detail'!G191</f>
        <v>8253248.9100000001</v>
      </c>
      <c r="E32" s="36">
        <f>'Billing Detail'!I191</f>
        <v>2192734.1067899992</v>
      </c>
      <c r="F32" s="48"/>
      <c r="G32" s="49"/>
      <c r="H32" s="49"/>
      <c r="I32" s="49"/>
      <c r="J32" s="36">
        <f>'Billing Detail'!M191</f>
        <v>2192734.1067899992</v>
      </c>
      <c r="K32" s="50"/>
      <c r="L32" s="50"/>
      <c r="M32" s="49"/>
      <c r="N32" s="49"/>
      <c r="R32" s="104"/>
      <c r="T32" s="44"/>
      <c r="U32" s="6"/>
    </row>
    <row r="33" spans="1:21" x14ac:dyDescent="0.2">
      <c r="A33" s="4">
        <f t="shared" si="3"/>
        <v>21</v>
      </c>
      <c r="B33" s="2" t="str">
        <f>'Billing Detail'!D12</f>
        <v xml:space="preserve">    ES</v>
      </c>
      <c r="D33" s="36">
        <f>'Billing Detail'!G192</f>
        <v>11698225.98</v>
      </c>
      <c r="E33" s="36">
        <f>'Billing Detail'!I192</f>
        <v>12085438.070692088</v>
      </c>
      <c r="F33" s="49"/>
      <c r="G33" s="49"/>
      <c r="H33" s="49"/>
      <c r="I33" s="49"/>
      <c r="J33" s="36">
        <f>'Billing Detail'!M192</f>
        <v>12085438.070692088</v>
      </c>
      <c r="K33" s="50"/>
      <c r="L33" s="50"/>
      <c r="M33" s="49"/>
      <c r="N33" s="49"/>
      <c r="R33" s="104"/>
      <c r="T33" s="44"/>
      <c r="U33" s="6"/>
    </row>
    <row r="34" spans="1:21" x14ac:dyDescent="0.2">
      <c r="A34" s="4">
        <f t="shared" si="3"/>
        <v>22</v>
      </c>
      <c r="B34" s="2" t="str">
        <f>'Billing Detail'!D13</f>
        <v xml:space="preserve">    Prepay Daily Charges</v>
      </c>
      <c r="D34" s="36">
        <f>'Billing Detail'!G193</f>
        <v>-62014.860000000015</v>
      </c>
      <c r="E34" s="36">
        <f>'Billing Detail'!I193</f>
        <v>-62014.860000000015</v>
      </c>
      <c r="F34" s="49"/>
      <c r="G34" s="49"/>
      <c r="H34" s="49"/>
      <c r="I34" s="49"/>
      <c r="J34" s="36">
        <f>'Billing Detail'!M193</f>
        <v>-62014.860000000015</v>
      </c>
      <c r="K34" s="50"/>
      <c r="L34" s="50"/>
      <c r="M34" s="49"/>
      <c r="N34" s="49"/>
      <c r="R34" s="104"/>
      <c r="T34" s="44"/>
      <c r="U34" s="6"/>
    </row>
    <row r="35" spans="1:21" x14ac:dyDescent="0.2">
      <c r="A35" s="4">
        <f t="shared" si="3"/>
        <v>23</v>
      </c>
      <c r="B35" s="2" t="str">
        <f>'Billing Detail'!D14</f>
        <v xml:space="preserve">    Green Power &amp; Solar</v>
      </c>
      <c r="D35" s="36">
        <f>'Billing Detail'!G194</f>
        <v>-1625.4099999999999</v>
      </c>
      <c r="E35" s="36">
        <f>'Billing Detail'!I194</f>
        <v>-1625.4099999999999</v>
      </c>
      <c r="F35" s="49"/>
      <c r="G35" s="49"/>
      <c r="H35" s="49"/>
      <c r="I35" s="49"/>
      <c r="J35" s="36">
        <f>'Billing Detail'!M194</f>
        <v>-1625.4099999999999</v>
      </c>
      <c r="K35" s="50"/>
      <c r="L35" s="50"/>
      <c r="M35" s="49"/>
      <c r="N35" s="65"/>
      <c r="R35" s="104"/>
      <c r="T35" s="44"/>
      <c r="U35" s="6"/>
    </row>
    <row r="36" spans="1:21" x14ac:dyDescent="0.2">
      <c r="A36" s="4">
        <f t="shared" si="3"/>
        <v>24</v>
      </c>
      <c r="B36" s="39" t="s">
        <v>9</v>
      </c>
      <c r="C36" s="61"/>
      <c r="D36" s="40">
        <f>SUM(D32:D35)</f>
        <v>19887834.620000001</v>
      </c>
      <c r="E36" s="40">
        <f>SUM(E32:E35)</f>
        <v>14214531.907482088</v>
      </c>
      <c r="F36" s="51"/>
      <c r="G36" s="51"/>
      <c r="H36" s="51"/>
      <c r="I36" s="51"/>
      <c r="J36" s="40">
        <f>SUM(J32:J35)</f>
        <v>14214531.907482088</v>
      </c>
      <c r="K36" s="52"/>
      <c r="L36" s="52"/>
      <c r="M36" s="51"/>
      <c r="N36" s="49"/>
      <c r="R36" s="104"/>
      <c r="T36" s="44"/>
      <c r="U36" s="6"/>
    </row>
    <row r="37" spans="1:21" x14ac:dyDescent="0.2">
      <c r="A37" s="4">
        <f t="shared" si="3"/>
        <v>25</v>
      </c>
      <c r="R37" s="104"/>
      <c r="T37" s="44"/>
      <c r="U37" s="6"/>
    </row>
    <row r="38" spans="1:21" ht="18" customHeight="1" thickBot="1" x14ac:dyDescent="0.25">
      <c r="A38" s="4">
        <f t="shared" si="3"/>
        <v>26</v>
      </c>
      <c r="B38" s="53" t="s">
        <v>10</v>
      </c>
      <c r="C38" s="63"/>
      <c r="D38" s="54">
        <f>D29+D36</f>
        <v>100792137.37206499</v>
      </c>
      <c r="E38" s="54">
        <f>E29+E36</f>
        <v>104289346.63973708</v>
      </c>
      <c r="F38" s="55"/>
      <c r="G38" s="55"/>
      <c r="H38" s="55"/>
      <c r="I38" s="55"/>
      <c r="J38" s="54">
        <f>J29+J36</f>
        <v>109780136.61348689</v>
      </c>
      <c r="K38" s="56"/>
      <c r="L38" s="55">
        <f t="shared" ref="L38" si="21">J38-E38</f>
        <v>5490789.9737498015</v>
      </c>
      <c r="M38" s="53"/>
      <c r="N38" s="57">
        <f>L38/E38</f>
        <v>5.2649576880728688E-2</v>
      </c>
      <c r="R38" s="104"/>
      <c r="T38" s="44"/>
      <c r="U38" s="6"/>
    </row>
    <row r="39" spans="1:21" ht="18" customHeight="1" thickTop="1" x14ac:dyDescent="0.2">
      <c r="A39" s="4">
        <f t="shared" si="3"/>
        <v>27</v>
      </c>
      <c r="B39" s="2" t="s">
        <v>11</v>
      </c>
      <c r="D39" s="43">
        <v>88198041</v>
      </c>
      <c r="L39" s="43">
        <f>L4</f>
        <v>5490747.0605518064</v>
      </c>
    </row>
    <row r="40" spans="1:21" ht="15" customHeight="1" x14ac:dyDescent="0.2">
      <c r="A40" s="4">
        <f t="shared" si="3"/>
        <v>28</v>
      </c>
      <c r="B40" s="39" t="s">
        <v>38</v>
      </c>
      <c r="C40" s="61"/>
      <c r="D40" s="40">
        <f>D38-D39-D27</f>
        <v>2608581.0046699923</v>
      </c>
      <c r="E40" s="149" t="s">
        <v>154</v>
      </c>
      <c r="F40" s="39"/>
      <c r="G40" s="39"/>
      <c r="H40" s="39"/>
      <c r="I40" s="39"/>
      <c r="J40" s="39"/>
      <c r="K40" s="39"/>
      <c r="L40" s="40">
        <f>L38-L39</f>
        <v>42.9131979951635</v>
      </c>
      <c r="P40" s="58"/>
    </row>
    <row r="41" spans="1:21" ht="15" customHeight="1" x14ac:dyDescent="0.2">
      <c r="A41" s="4">
        <f t="shared" si="3"/>
        <v>29</v>
      </c>
      <c r="B41" s="2" t="s">
        <v>38</v>
      </c>
      <c r="D41" s="35">
        <f>D40/D39</f>
        <v>2.9576405270384545E-2</v>
      </c>
      <c r="L41" s="35">
        <f>L40/L39</f>
        <v>7.8155481434343888E-6</v>
      </c>
    </row>
    <row r="42" spans="1:21" x14ac:dyDescent="0.2">
      <c r="A42" s="4"/>
      <c r="D42" s="2" t="s">
        <v>156</v>
      </c>
    </row>
    <row r="43" spans="1:21" x14ac:dyDescent="0.2">
      <c r="D43" s="2" t="s">
        <v>157</v>
      </c>
    </row>
    <row r="44" spans="1:21" x14ac:dyDescent="0.2">
      <c r="D44" s="2" t="s">
        <v>158</v>
      </c>
    </row>
  </sheetData>
  <mergeCells count="2">
    <mergeCell ref="Q10:R10"/>
    <mergeCell ref="T10:U10"/>
  </mergeCells>
  <printOptions horizontalCentered="1"/>
  <pageMargins left="0.7" right="0.7" top="0.75" bottom="0.75" header="0.3" footer="0.3"/>
  <pageSetup scale="68" orientation="landscape" r:id="rId1"/>
  <headerFooter>
    <oddHeader>&amp;R&amp;"Arial,Bold"&amp;10Exhibit 4
 Page &amp;P of &amp;N</oddHeader>
  </headerFooter>
  <ignoredErrors>
    <ignoredError sqref="J21:K21 F21 J19 J16 G20 G16:G19 G13:G14 J13: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W269"/>
  <sheetViews>
    <sheetView tabSelected="1" view="pageBreakPreview" zoomScale="75" zoomScaleNormal="65" zoomScaleSheetLayoutView="75" workbookViewId="0">
      <pane xSplit="4" ySplit="5" topLeftCell="E229" activePane="bottomRight" state="frozen"/>
      <selection activeCell="H22" sqref="H22"/>
      <selection pane="topRight" activeCell="H22" sqref="H22"/>
      <selection pane="bottomLeft" activeCell="H22" sqref="H22"/>
      <selection pane="bottomRight" activeCell="H243" sqref="H243"/>
    </sheetView>
  </sheetViews>
  <sheetFormatPr defaultColWidth="8.85546875" defaultRowHeight="12.75" x14ac:dyDescent="0.2"/>
  <cols>
    <col min="1" max="1" width="9.7109375" style="7" customWidth="1"/>
    <col min="2" max="2" width="37.5703125" style="2" customWidth="1"/>
    <col min="3" max="3" width="11.85546875" style="15" customWidth="1"/>
    <col min="4" max="4" width="31.5703125" style="2" bestFit="1" customWidth="1"/>
    <col min="5" max="5" width="16.5703125" style="2" customWidth="1"/>
    <col min="6" max="6" width="10" style="2" customWidth="1"/>
    <col min="7" max="7" width="14.42578125" style="2" customWidth="1"/>
    <col min="8" max="8" width="12.28515625" style="2" bestFit="1" customWidth="1"/>
    <col min="9" max="9" width="15.28515625" style="2" bestFit="1" customWidth="1"/>
    <col min="10" max="10" width="10.42578125" style="2" bestFit="1" customWidth="1"/>
    <col min="11" max="11" width="13.85546875" style="2" bestFit="1" customWidth="1"/>
    <col min="12" max="12" width="11.85546875" style="2" customWidth="1"/>
    <col min="13" max="13" width="16.7109375" style="2" customWidth="1"/>
    <col min="14" max="14" width="13.85546875" style="2" customWidth="1"/>
    <col min="15" max="15" width="8.7109375" style="2" customWidth="1"/>
    <col min="16" max="16" width="11.42578125" style="2" customWidth="1"/>
    <col min="17" max="17" width="10.5703125" style="2" customWidth="1"/>
    <col min="18" max="18" width="15.140625" style="2" customWidth="1"/>
    <col min="19" max="19" width="10.5703125" style="2" bestFit="1" customWidth="1"/>
    <col min="20" max="20" width="14.140625" style="2" customWidth="1"/>
    <col min="21" max="21" width="8.85546875" style="2"/>
    <col min="22" max="22" width="12.7109375" style="2" bestFit="1" customWidth="1"/>
    <col min="23" max="23" width="15.28515625" style="2" customWidth="1"/>
    <col min="24" max="16384" width="8.85546875" style="2"/>
  </cols>
  <sheetData>
    <row r="1" spans="1:20" x14ac:dyDescent="0.2">
      <c r="A1" s="27" t="str">
        <f>Summary!A1</f>
        <v>Fleming-Mason RECC</v>
      </c>
      <c r="F1" s="115"/>
    </row>
    <row r="2" spans="1:20" ht="14.45" customHeight="1" x14ac:dyDescent="0.2">
      <c r="A2" s="27" t="str">
        <f>Summary!A2</f>
        <v>Billing Analysis for Pass-Through Rate Increase</v>
      </c>
      <c r="F2" s="116"/>
      <c r="G2" s="116"/>
      <c r="H2" s="116"/>
      <c r="I2" s="116"/>
      <c r="P2" s="117"/>
    </row>
    <row r="5" spans="1:20" ht="38.450000000000003" customHeight="1" x14ac:dyDescent="0.2">
      <c r="A5" s="17" t="s">
        <v>1</v>
      </c>
      <c r="B5" s="17" t="s">
        <v>13</v>
      </c>
      <c r="C5" s="10" t="s">
        <v>12</v>
      </c>
      <c r="D5" s="17" t="s">
        <v>14</v>
      </c>
      <c r="E5" s="12" t="s">
        <v>15</v>
      </c>
      <c r="F5" s="12" t="s">
        <v>137</v>
      </c>
      <c r="G5" s="12" t="s">
        <v>138</v>
      </c>
      <c r="H5" s="12" t="s">
        <v>24</v>
      </c>
      <c r="I5" s="12" t="s">
        <v>25</v>
      </c>
      <c r="J5" s="12" t="s">
        <v>120</v>
      </c>
      <c r="K5" s="12" t="s">
        <v>11</v>
      </c>
      <c r="L5" s="12" t="s">
        <v>22</v>
      </c>
      <c r="M5" s="12" t="s">
        <v>4</v>
      </c>
      <c r="N5" s="12" t="s">
        <v>16</v>
      </c>
      <c r="O5" s="10" t="s">
        <v>17</v>
      </c>
      <c r="P5" s="12" t="s">
        <v>23</v>
      </c>
      <c r="Q5" s="12" t="s">
        <v>26</v>
      </c>
      <c r="R5" s="12" t="s">
        <v>39</v>
      </c>
      <c r="T5" s="12" t="s">
        <v>35</v>
      </c>
    </row>
    <row r="6" spans="1:20" ht="30.6" customHeight="1" thickBot="1" x14ac:dyDescent="0.25">
      <c r="A6" s="28"/>
      <c r="B6" s="21"/>
      <c r="C6" s="22"/>
      <c r="D6" s="21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22"/>
      <c r="P6" s="104"/>
      <c r="Q6" s="104"/>
      <c r="R6" s="104"/>
    </row>
    <row r="7" spans="1:20" x14ac:dyDescent="0.2">
      <c r="A7" s="29">
        <v>1</v>
      </c>
      <c r="B7" s="23" t="s">
        <v>68</v>
      </c>
      <c r="C7" s="24" t="s">
        <v>48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0" x14ac:dyDescent="0.2">
      <c r="A8" s="29">
        <f>A7+1</f>
        <v>2</v>
      </c>
      <c r="D8" s="2" t="s">
        <v>18</v>
      </c>
      <c r="E8" s="118">
        <f>290879+6483+892</f>
        <v>298254</v>
      </c>
      <c r="F8" s="115">
        <f>H8</f>
        <v>19</v>
      </c>
      <c r="G8" s="119">
        <f>F8*E8</f>
        <v>5666826</v>
      </c>
      <c r="H8" s="115">
        <v>19</v>
      </c>
      <c r="I8" s="119">
        <f>H8*E8</f>
        <v>5666826</v>
      </c>
      <c r="J8" s="120">
        <f>I8/I10</f>
        <v>0.16787933709285086</v>
      </c>
      <c r="K8" s="120"/>
      <c r="L8" s="115">
        <f>ROUND(H8*S10,2)</f>
        <v>19.739999999999998</v>
      </c>
      <c r="M8" s="119">
        <f>L8*E8</f>
        <v>5887533.96</v>
      </c>
      <c r="N8" s="119">
        <f t="shared" ref="N8:N13" si="0">M8-I8</f>
        <v>220707.95999999996</v>
      </c>
      <c r="O8" s="120">
        <f>IF(I8=0,0,N8/I8)</f>
        <v>3.8947368421052626E-2</v>
      </c>
      <c r="P8" s="120">
        <f>M8/M10</f>
        <v>0.16790329272829227</v>
      </c>
      <c r="Q8" s="121">
        <f>P8-J8</f>
        <v>2.3955635441413881E-5</v>
      </c>
      <c r="R8" s="121"/>
      <c r="T8" s="6">
        <f>L8/H8-1</f>
        <v>3.8947368421052619E-2</v>
      </c>
    </row>
    <row r="9" spans="1:20" x14ac:dyDescent="0.2">
      <c r="A9" s="29">
        <f t="shared" ref="A9:A72" si="1">A8+1</f>
        <v>3</v>
      </c>
      <c r="B9" s="13" t="s">
        <v>155</v>
      </c>
      <c r="D9" s="2" t="s">
        <v>85</v>
      </c>
      <c r="E9" s="118">
        <f>279770391+7386709+930339</f>
        <v>288087439</v>
      </c>
      <c r="F9" s="122">
        <f>H9-H$261</f>
        <v>8.5809999999999997E-2</v>
      </c>
      <c r="G9" s="119">
        <f t="shared" ref="G9" si="2">F9*E9</f>
        <v>24720783.140590001</v>
      </c>
      <c r="H9" s="123">
        <v>9.7500000000000003E-2</v>
      </c>
      <c r="I9" s="119">
        <f t="shared" ref="I9" si="3">H9*E9</f>
        <v>28088525.302500002</v>
      </c>
      <c r="J9" s="120">
        <f>I9/I10</f>
        <v>0.83212066290714914</v>
      </c>
      <c r="K9" s="120"/>
      <c r="L9" s="123">
        <f>ROUND(H9*S10,5)</f>
        <v>0.10128</v>
      </c>
      <c r="M9" s="119">
        <f t="shared" ref="M9" si="4">L9*E9</f>
        <v>29177495.82192</v>
      </c>
      <c r="N9" s="119">
        <f t="shared" si="0"/>
        <v>1088970.5194199979</v>
      </c>
      <c r="O9" s="120">
        <f t="shared" ref="O9" si="5">IF(I9=0,0,N9/I9)</f>
        <v>3.8769230769230695E-2</v>
      </c>
      <c r="P9" s="120">
        <f>M9/M10</f>
        <v>0.8320967072717077</v>
      </c>
      <c r="Q9" s="121">
        <f t="shared" ref="Q9:Q10" si="6">P9-J9</f>
        <v>-2.3955635441441636E-5</v>
      </c>
      <c r="R9" s="121"/>
      <c r="T9" s="6">
        <f>L9/H9-1</f>
        <v>3.8769230769230667E-2</v>
      </c>
    </row>
    <row r="10" spans="1:20" s="7" customFormat="1" ht="20.45" customHeight="1" x14ac:dyDescent="0.25">
      <c r="A10" s="29">
        <f t="shared" si="1"/>
        <v>4</v>
      </c>
      <c r="C10" s="16"/>
      <c r="D10" s="18" t="s">
        <v>7</v>
      </c>
      <c r="E10" s="18"/>
      <c r="F10" s="124"/>
      <c r="G10" s="125">
        <f>SUM(G8:G9)</f>
        <v>30387609.140590001</v>
      </c>
      <c r="H10" s="18"/>
      <c r="I10" s="125">
        <f>SUM(I8:I9)</f>
        <v>33755351.302500002</v>
      </c>
      <c r="J10" s="126">
        <f>SUM(J8:J9)</f>
        <v>1</v>
      </c>
      <c r="K10" s="127">
        <f>I10+Summary!I13</f>
        <v>35064602.752500005</v>
      </c>
      <c r="L10" s="18"/>
      <c r="M10" s="125">
        <f>SUM(M8:M9)</f>
        <v>35065029.781920001</v>
      </c>
      <c r="N10" s="125">
        <f t="shared" si="0"/>
        <v>1309678.4794199988</v>
      </c>
      <c r="O10" s="126">
        <f t="shared" ref="O10" si="7">N10/I10</f>
        <v>3.8799136400129865E-2</v>
      </c>
      <c r="P10" s="126">
        <f>SUM(P8:P9)</f>
        <v>1</v>
      </c>
      <c r="Q10" s="128">
        <f t="shared" si="6"/>
        <v>0</v>
      </c>
      <c r="R10" s="129">
        <f>M10-K10</f>
        <v>427.02941999584436</v>
      </c>
      <c r="S10" s="7">
        <f>K10/I10</f>
        <v>1.0387864856824356</v>
      </c>
    </row>
    <row r="11" spans="1:20" x14ac:dyDescent="0.2">
      <c r="A11" s="29">
        <f t="shared" si="1"/>
        <v>5</v>
      </c>
      <c r="D11" s="2" t="s">
        <v>27</v>
      </c>
      <c r="G11" s="119">
        <f>3274334.85+85977+7527.62</f>
        <v>3367839.47</v>
      </c>
      <c r="I11" s="38">
        <f>G11-($H$261*E9)</f>
        <v>97.308089999947697</v>
      </c>
      <c r="M11" s="119">
        <f>I11</f>
        <v>97.308089999947697</v>
      </c>
      <c r="N11" s="119">
        <f t="shared" si="0"/>
        <v>0</v>
      </c>
      <c r="O11" s="115">
        <v>0</v>
      </c>
      <c r="R11" s="130"/>
    </row>
    <row r="12" spans="1:20" x14ac:dyDescent="0.2">
      <c r="A12" s="29">
        <f t="shared" si="1"/>
        <v>6</v>
      </c>
      <c r="D12" s="2" t="s">
        <v>28</v>
      </c>
      <c r="G12" s="119">
        <f>3976071.2+105122+9483.19</f>
        <v>4090676.39</v>
      </c>
      <c r="I12" s="38">
        <f>G12</f>
        <v>4090676.39</v>
      </c>
      <c r="M12" s="119">
        <f t="shared" ref="M12:M14" si="8">I12</f>
        <v>4090676.39</v>
      </c>
      <c r="N12" s="119">
        <f t="shared" si="0"/>
        <v>0</v>
      </c>
      <c r="O12" s="115">
        <v>0</v>
      </c>
    </row>
    <row r="13" spans="1:20" x14ac:dyDescent="0.2">
      <c r="A13" s="29">
        <f t="shared" si="1"/>
        <v>7</v>
      </c>
      <c r="D13" s="2" t="s">
        <v>41</v>
      </c>
      <c r="E13" s="118">
        <v>6483</v>
      </c>
      <c r="F13" s="115">
        <v>5</v>
      </c>
      <c r="G13" s="119">
        <f>E13*F13</f>
        <v>32415</v>
      </c>
      <c r="H13" s="13">
        <v>5</v>
      </c>
      <c r="I13" s="38">
        <f>H13*E13</f>
        <v>32415</v>
      </c>
      <c r="M13" s="119">
        <f t="shared" si="8"/>
        <v>32415</v>
      </c>
      <c r="N13" s="119">
        <f t="shared" si="0"/>
        <v>0</v>
      </c>
      <c r="O13" s="115">
        <v>0</v>
      </c>
    </row>
    <row r="14" spans="1:20" x14ac:dyDescent="0.2">
      <c r="A14" s="29">
        <f t="shared" si="1"/>
        <v>8</v>
      </c>
      <c r="B14" s="58"/>
      <c r="D14" s="2" t="s">
        <v>129</v>
      </c>
      <c r="G14" s="119">
        <f>-2087.41+462</f>
        <v>-1625.4099999999999</v>
      </c>
      <c r="I14" s="38">
        <f>G14</f>
        <v>-1625.4099999999999</v>
      </c>
      <c r="M14" s="119">
        <f t="shared" si="8"/>
        <v>-1625.4099999999999</v>
      </c>
      <c r="N14" s="119"/>
      <c r="O14" s="115">
        <v>0</v>
      </c>
    </row>
    <row r="15" spans="1:20" x14ac:dyDescent="0.2">
      <c r="A15" s="29">
        <f t="shared" si="1"/>
        <v>9</v>
      </c>
      <c r="D15" s="14" t="s">
        <v>9</v>
      </c>
      <c r="E15" s="14"/>
      <c r="F15" s="14"/>
      <c r="G15" s="131">
        <f>SUM(G11:G14)</f>
        <v>7489305.4500000002</v>
      </c>
      <c r="H15" s="14"/>
      <c r="I15" s="131">
        <f>SUM(I11:I14)</f>
        <v>4121563.2880899999</v>
      </c>
      <c r="J15" s="14"/>
      <c r="K15" s="14"/>
      <c r="L15" s="14"/>
      <c r="M15" s="131">
        <f>SUM(M11:M14)</f>
        <v>4121563.2880899999</v>
      </c>
      <c r="N15" s="131">
        <f>M15-I15</f>
        <v>0</v>
      </c>
      <c r="O15" s="132">
        <v>0</v>
      </c>
    </row>
    <row r="16" spans="1:20" s="7" customFormat="1" ht="26.45" customHeight="1" thickBot="1" x14ac:dyDescent="0.25">
      <c r="A16" s="29">
        <f t="shared" si="1"/>
        <v>10</v>
      </c>
      <c r="C16" s="16"/>
      <c r="D16" s="8" t="s">
        <v>20</v>
      </c>
      <c r="E16" s="8"/>
      <c r="F16" s="8"/>
      <c r="G16" s="133">
        <f>G10+G15</f>
        <v>37876914.59059</v>
      </c>
      <c r="H16" s="8"/>
      <c r="I16" s="134">
        <f>I15+I10</f>
        <v>37876914.59059</v>
      </c>
      <c r="J16" s="8"/>
      <c r="K16" s="8"/>
      <c r="L16" s="8"/>
      <c r="M16" s="133">
        <f>M15+M10</f>
        <v>39186593.070009999</v>
      </c>
      <c r="N16" s="133">
        <f>M16-I16</f>
        <v>1309678.4794199988</v>
      </c>
      <c r="O16" s="135">
        <f>N16/I16</f>
        <v>3.4577221866571216E-2</v>
      </c>
      <c r="P16" s="2"/>
      <c r="Q16" s="2"/>
      <c r="R16" s="2"/>
    </row>
    <row r="17" spans="1:20" ht="13.5" thickTop="1" x14ac:dyDescent="0.2">
      <c r="A17" s="29">
        <f t="shared" si="1"/>
        <v>11</v>
      </c>
      <c r="D17" s="2" t="s">
        <v>19</v>
      </c>
      <c r="E17" s="115">
        <f>E9/E8</f>
        <v>965.91307744405776</v>
      </c>
      <c r="G17" s="136">
        <f>G16/E8</f>
        <v>126.99549575392116</v>
      </c>
      <c r="I17" s="136">
        <f>I16/E8</f>
        <v>126.99549575392116</v>
      </c>
      <c r="M17" s="136">
        <f>M16/E8</f>
        <v>131.3866471866597</v>
      </c>
      <c r="N17" s="136">
        <f>M17-I17</f>
        <v>4.391151432738539</v>
      </c>
      <c r="O17" s="120">
        <f>N17/I17</f>
        <v>3.4577221866571251E-2</v>
      </c>
    </row>
    <row r="18" spans="1:20" ht="13.5" thickBot="1" x14ac:dyDescent="0.25">
      <c r="A18" s="29">
        <f t="shared" si="1"/>
        <v>12</v>
      </c>
      <c r="I18" s="5">
        <f>I15/I16</f>
        <v>0.10881465221335493</v>
      </c>
    </row>
    <row r="19" spans="1:20" x14ac:dyDescent="0.2">
      <c r="A19" s="29">
        <f t="shared" si="1"/>
        <v>13</v>
      </c>
      <c r="B19" s="23" t="s">
        <v>69</v>
      </c>
      <c r="C19" s="24" t="s">
        <v>140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0" x14ac:dyDescent="0.2">
      <c r="A20" s="29">
        <f t="shared" si="1"/>
        <v>14</v>
      </c>
      <c r="D20" s="2" t="s">
        <v>18</v>
      </c>
      <c r="E20" s="2">
        <v>567</v>
      </c>
      <c r="G20" s="137">
        <f>E20*F20</f>
        <v>0</v>
      </c>
      <c r="I20" s="137">
        <f>H20*E20</f>
        <v>0</v>
      </c>
      <c r="M20" s="137">
        <f>L20*E20</f>
        <v>0</v>
      </c>
      <c r="N20" s="119">
        <f t="shared" ref="N20:N21" si="9">M20-I20</f>
        <v>0</v>
      </c>
    </row>
    <row r="21" spans="1:20" x14ac:dyDescent="0.2">
      <c r="A21" s="29">
        <f t="shared" si="1"/>
        <v>15</v>
      </c>
      <c r="D21" s="2" t="s">
        <v>86</v>
      </c>
      <c r="E21" s="118">
        <v>747751</v>
      </c>
      <c r="F21" s="122">
        <f>H21-H$261</f>
        <v>4.6810000000000004E-2</v>
      </c>
      <c r="G21" s="119">
        <f t="shared" ref="G21" si="10">F21*E21</f>
        <v>35002.224310000005</v>
      </c>
      <c r="H21" s="123">
        <v>5.8500000000000003E-2</v>
      </c>
      <c r="I21" s="119">
        <f t="shared" ref="I21" si="11">H21*E21</f>
        <v>43743.433499999999</v>
      </c>
      <c r="J21" s="120">
        <f>I21/I22</f>
        <v>1</v>
      </c>
      <c r="K21" s="120"/>
      <c r="L21" s="123">
        <f>ROUND(H21*S22,5)</f>
        <v>6.0769999999999998E-2</v>
      </c>
      <c r="M21" s="119">
        <f t="shared" ref="M21" si="12">L21*E21</f>
        <v>45440.828269999998</v>
      </c>
      <c r="N21" s="119">
        <f t="shared" si="9"/>
        <v>1697.394769999999</v>
      </c>
      <c r="O21" s="120">
        <f t="shared" ref="O21" si="13">IF(I21=0,0,N21/I21)</f>
        <v>3.8803418803418782E-2</v>
      </c>
      <c r="P21" s="120">
        <f>M21/M$22</f>
        <v>1</v>
      </c>
      <c r="Q21" s="121">
        <f t="shared" ref="Q21" si="14">P21-J21</f>
        <v>0</v>
      </c>
      <c r="R21" s="121"/>
      <c r="T21" s="6">
        <f>L21/H21-1</f>
        <v>3.8803418803418754E-2</v>
      </c>
    </row>
    <row r="22" spans="1:20" s="7" customFormat="1" ht="20.45" customHeight="1" x14ac:dyDescent="0.25">
      <c r="A22" s="29">
        <f t="shared" si="1"/>
        <v>16</v>
      </c>
      <c r="C22" s="16">
        <v>567</v>
      </c>
      <c r="D22" s="18" t="s">
        <v>7</v>
      </c>
      <c r="E22" s="18"/>
      <c r="F22" s="18"/>
      <c r="G22" s="125">
        <f>SUM(G21:G21)</f>
        <v>35002.224310000005</v>
      </c>
      <c r="H22" s="18"/>
      <c r="I22" s="125">
        <f>SUM(I21:I21)</f>
        <v>43743.433499999999</v>
      </c>
      <c r="J22" s="126">
        <f>SUM(J21:J21)</f>
        <v>1</v>
      </c>
      <c r="K22" s="127">
        <f>I22+Summary!I14</f>
        <v>45440.083500000001</v>
      </c>
      <c r="L22" s="18"/>
      <c r="M22" s="125">
        <f>SUM(M21:M21)</f>
        <v>45440.828269999998</v>
      </c>
      <c r="N22" s="125">
        <f t="shared" ref="N22:N28" si="15">M22-I22</f>
        <v>1697.394769999999</v>
      </c>
      <c r="O22" s="126">
        <f t="shared" ref="O22" si="16">N22/I22</f>
        <v>3.8803418803418782E-2</v>
      </c>
      <c r="P22" s="126">
        <f>SUM(P21:P21)</f>
        <v>1</v>
      </c>
      <c r="Q22" s="128">
        <f t="shared" ref="Q22" si="17">P22-J22</f>
        <v>0</v>
      </c>
      <c r="R22" s="129">
        <f>M22-K22</f>
        <v>0.7447699999975157</v>
      </c>
      <c r="S22" s="7">
        <f>K22/I22</f>
        <v>1.038786392933696</v>
      </c>
    </row>
    <row r="23" spans="1:20" x14ac:dyDescent="0.2">
      <c r="A23" s="29">
        <f t="shared" si="1"/>
        <v>17</v>
      </c>
      <c r="D23" s="2" t="s">
        <v>27</v>
      </c>
      <c r="G23" s="119">
        <v>9140.6799999999985</v>
      </c>
      <c r="I23" s="38">
        <f>G23-($H$261*E21)</f>
        <v>399.47080999999707</v>
      </c>
      <c r="M23" s="119">
        <f>I23</f>
        <v>399.47080999999707</v>
      </c>
      <c r="N23" s="119">
        <f t="shared" si="15"/>
        <v>0</v>
      </c>
      <c r="O23" s="115">
        <v>0</v>
      </c>
    </row>
    <row r="24" spans="1:20" x14ac:dyDescent="0.2">
      <c r="A24" s="29">
        <f t="shared" si="1"/>
        <v>18</v>
      </c>
      <c r="D24" s="2" t="s">
        <v>28</v>
      </c>
      <c r="G24" s="119">
        <v>8838.02</v>
      </c>
      <c r="I24" s="38">
        <f t="shared" ref="I24:I26" si="18">G24</f>
        <v>8838.02</v>
      </c>
      <c r="M24" s="119">
        <f t="shared" ref="M24:M26" si="19">I24</f>
        <v>8838.02</v>
      </c>
      <c r="N24" s="119">
        <f t="shared" si="15"/>
        <v>0</v>
      </c>
      <c r="O24" s="115">
        <v>0</v>
      </c>
    </row>
    <row r="25" spans="1:20" x14ac:dyDescent="0.2">
      <c r="A25" s="29">
        <f t="shared" si="1"/>
        <v>19</v>
      </c>
      <c r="D25" s="2" t="s">
        <v>30</v>
      </c>
      <c r="G25" s="119">
        <v>0</v>
      </c>
      <c r="I25" s="38">
        <f t="shared" si="18"/>
        <v>0</v>
      </c>
      <c r="M25" s="119">
        <f t="shared" si="19"/>
        <v>0</v>
      </c>
      <c r="N25" s="119">
        <f t="shared" si="15"/>
        <v>0</v>
      </c>
      <c r="O25" s="115">
        <v>0</v>
      </c>
    </row>
    <row r="26" spans="1:20" x14ac:dyDescent="0.2">
      <c r="A26" s="29">
        <f t="shared" si="1"/>
        <v>20</v>
      </c>
      <c r="D26" s="2" t="s">
        <v>40</v>
      </c>
      <c r="G26" s="119">
        <v>0</v>
      </c>
      <c r="I26" s="38">
        <f t="shared" si="18"/>
        <v>0</v>
      </c>
      <c r="M26" s="119">
        <f t="shared" si="19"/>
        <v>0</v>
      </c>
      <c r="N26" s="119"/>
      <c r="O26" s="115"/>
    </row>
    <row r="27" spans="1:20" x14ac:dyDescent="0.2">
      <c r="A27" s="29">
        <f t="shared" si="1"/>
        <v>21</v>
      </c>
      <c r="D27" s="14" t="s">
        <v>9</v>
      </c>
      <c r="E27" s="14"/>
      <c r="F27" s="14"/>
      <c r="G27" s="131">
        <f>SUM(G23:G26)</f>
        <v>17978.699999999997</v>
      </c>
      <c r="H27" s="14"/>
      <c r="I27" s="131">
        <f>SUM(I23:I26)</f>
        <v>9237.4908099999975</v>
      </c>
      <c r="J27" s="14"/>
      <c r="K27" s="14"/>
      <c r="L27" s="14"/>
      <c r="M27" s="131">
        <f>SUM(M23:M26)</f>
        <v>9237.4908099999975</v>
      </c>
      <c r="N27" s="131">
        <f t="shared" si="15"/>
        <v>0</v>
      </c>
      <c r="O27" s="132">
        <f t="shared" ref="O27" si="20">N27-J27</f>
        <v>0</v>
      </c>
    </row>
    <row r="28" spans="1:20" s="7" customFormat="1" ht="26.45" customHeight="1" thickBot="1" x14ac:dyDescent="0.25">
      <c r="A28" s="29">
        <f t="shared" si="1"/>
        <v>22</v>
      </c>
      <c r="C28" s="16"/>
      <c r="D28" s="8" t="s">
        <v>20</v>
      </c>
      <c r="E28" s="8"/>
      <c r="F28" s="8"/>
      <c r="G28" s="133">
        <f>G22+G27</f>
        <v>52980.924310000002</v>
      </c>
      <c r="H28" s="8"/>
      <c r="I28" s="134">
        <f>I27+I22</f>
        <v>52980.924309999995</v>
      </c>
      <c r="J28" s="8"/>
      <c r="K28" s="8"/>
      <c r="L28" s="8"/>
      <c r="M28" s="133">
        <f>M27+M22</f>
        <v>54678.319079999994</v>
      </c>
      <c r="N28" s="133">
        <f t="shared" si="15"/>
        <v>1697.394769999999</v>
      </c>
      <c r="O28" s="135">
        <f>N28/I28</f>
        <v>3.2037847434828931E-2</v>
      </c>
      <c r="P28" s="2"/>
      <c r="Q28" s="2"/>
      <c r="R28" s="2"/>
    </row>
    <row r="29" spans="1:20" ht="13.5" thickTop="1" x14ac:dyDescent="0.2">
      <c r="A29" s="29">
        <f t="shared" si="1"/>
        <v>23</v>
      </c>
      <c r="E29" s="66">
        <f>E21/E20</f>
        <v>1318.7848324514991</v>
      </c>
      <c r="G29" s="136">
        <f>G28/E20</f>
        <v>93.440783615520289</v>
      </c>
      <c r="I29" s="136">
        <f>I28/E20</f>
        <v>93.440783615520274</v>
      </c>
      <c r="M29" s="136">
        <f>M28/E20</f>
        <v>96.434425185185177</v>
      </c>
      <c r="N29" s="136">
        <f>N28/E20</f>
        <v>2.9936415696649012</v>
      </c>
      <c r="O29" s="120">
        <f>N29/I29</f>
        <v>3.2037847434828931E-2</v>
      </c>
    </row>
    <row r="30" spans="1:20" ht="13.5" thickBot="1" x14ac:dyDescent="0.25">
      <c r="A30" s="29">
        <f t="shared" si="1"/>
        <v>24</v>
      </c>
    </row>
    <row r="31" spans="1:20" x14ac:dyDescent="0.2">
      <c r="A31" s="29">
        <f t="shared" si="1"/>
        <v>25</v>
      </c>
      <c r="B31" s="23" t="s">
        <v>147</v>
      </c>
      <c r="C31" s="24" t="s">
        <v>130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20" x14ac:dyDescent="0.2">
      <c r="A32" s="29">
        <f t="shared" si="1"/>
        <v>26</v>
      </c>
      <c r="D32" s="2" t="s">
        <v>18</v>
      </c>
      <c r="E32" s="118">
        <v>285</v>
      </c>
      <c r="F32" s="115">
        <f>H32</f>
        <v>23.5</v>
      </c>
      <c r="G32" s="119">
        <f>F32*E32</f>
        <v>6697.5</v>
      </c>
      <c r="H32" s="115">
        <v>23.5</v>
      </c>
      <c r="I32" s="119">
        <f>H32*E32</f>
        <v>6697.5</v>
      </c>
      <c r="J32" s="120">
        <f>I32/I35</f>
        <v>0.13636533135846771</v>
      </c>
      <c r="K32" s="120"/>
      <c r="L32" s="115">
        <f>ROUND(H32*S35,2)</f>
        <v>24.41</v>
      </c>
      <c r="M32" s="119">
        <f>L32*E32</f>
        <v>6956.85</v>
      </c>
      <c r="N32" s="119">
        <f>M32-I32</f>
        <v>259.35000000000036</v>
      </c>
      <c r="O32" s="120">
        <f>IF(I32=0,0,N32/I32)</f>
        <v>3.8723404255319206E-2</v>
      </c>
      <c r="P32" s="120">
        <f>M32/M$35</f>
        <v>0.13635582234210464</v>
      </c>
      <c r="Q32" s="121">
        <f>P32-J32</f>
        <v>-9.5090163630684454E-6</v>
      </c>
      <c r="R32" s="121"/>
      <c r="T32" s="6">
        <f>L32/H32-1</f>
        <v>3.872340425531906E-2</v>
      </c>
    </row>
    <row r="33" spans="1:20" x14ac:dyDescent="0.2">
      <c r="A33" s="29">
        <f t="shared" si="1"/>
        <v>27</v>
      </c>
      <c r="D33" s="2" t="s">
        <v>148</v>
      </c>
      <c r="E33" s="118">
        <f>309997</f>
        <v>309997</v>
      </c>
      <c r="F33" s="122">
        <f>H33-H$261</f>
        <v>0.12514</v>
      </c>
      <c r="G33" s="119">
        <f t="shared" ref="G33:G34" si="21">F33*E33</f>
        <v>38793.024579999998</v>
      </c>
      <c r="H33" s="123">
        <v>0.13683000000000001</v>
      </c>
      <c r="I33" s="119">
        <f t="shared" ref="I33:I34" si="22">H33*E33</f>
        <v>42416.889510000001</v>
      </c>
      <c r="J33" s="120">
        <f>I33/I35</f>
        <v>0.86363466864153227</v>
      </c>
      <c r="K33" s="120"/>
      <c r="L33" s="123">
        <f>ROUND(H33*S35,5)</f>
        <v>0.14213999999999999</v>
      </c>
      <c r="M33" s="119">
        <f t="shared" ref="M33:M34" si="23">L33*E33</f>
        <v>44062.973579999998</v>
      </c>
      <c r="N33" s="119">
        <f t="shared" ref="N33:N38" si="24">M33-I33</f>
        <v>1646.0840699999972</v>
      </c>
      <c r="O33" s="120">
        <f t="shared" ref="O33:O34" si="25">IF(I33=0,0,N33/I33)</f>
        <v>3.8807279105459259E-2</v>
      </c>
      <c r="P33" s="120">
        <f t="shared" ref="P33:P34" si="26">M33/M$35</f>
        <v>0.86364417765789536</v>
      </c>
      <c r="Q33" s="121">
        <f t="shared" ref="Q33:Q35" si="27">P33-J33</f>
        <v>9.509016363096201E-6</v>
      </c>
      <c r="R33" s="121"/>
      <c r="T33" s="6">
        <f>L33/H33-1</f>
        <v>3.8807279105459225E-2</v>
      </c>
    </row>
    <row r="34" spans="1:20" x14ac:dyDescent="0.2">
      <c r="A34" s="29">
        <f t="shared" si="1"/>
        <v>28</v>
      </c>
      <c r="D34" s="2" t="s">
        <v>149</v>
      </c>
      <c r="E34" s="118">
        <v>0</v>
      </c>
      <c r="F34" s="122">
        <f>H34-H$261</f>
        <v>5.7790000000000001E-2</v>
      </c>
      <c r="G34" s="119">
        <f t="shared" si="21"/>
        <v>0</v>
      </c>
      <c r="H34" s="122">
        <v>6.948E-2</v>
      </c>
      <c r="I34" s="119">
        <f t="shared" si="22"/>
        <v>0</v>
      </c>
      <c r="J34" s="120">
        <f>I34/I35</f>
        <v>0</v>
      </c>
      <c r="K34" s="120"/>
      <c r="L34" s="122">
        <f>ROUND(H34*S35,2)</f>
        <v>7.0000000000000007E-2</v>
      </c>
      <c r="M34" s="119">
        <f t="shared" si="23"/>
        <v>0</v>
      </c>
      <c r="N34" s="119">
        <f t="shared" si="24"/>
        <v>0</v>
      </c>
      <c r="O34" s="120">
        <f t="shared" si="25"/>
        <v>0</v>
      </c>
      <c r="P34" s="120">
        <f t="shared" si="26"/>
        <v>0</v>
      </c>
      <c r="Q34" s="121">
        <f t="shared" si="27"/>
        <v>0</v>
      </c>
      <c r="R34" s="121"/>
      <c r="T34" s="6">
        <f>L34/H34-1</f>
        <v>7.4841681059298892E-3</v>
      </c>
    </row>
    <row r="35" spans="1:20" s="7" customFormat="1" ht="20.45" customHeight="1" x14ac:dyDescent="0.25">
      <c r="A35" s="29">
        <f t="shared" si="1"/>
        <v>29</v>
      </c>
      <c r="C35" s="16"/>
      <c r="D35" s="18" t="s">
        <v>7</v>
      </c>
      <c r="E35" s="18"/>
      <c r="F35" s="18"/>
      <c r="G35" s="125">
        <f>SUM(G32:G34)</f>
        <v>45490.524579999998</v>
      </c>
      <c r="H35" s="18"/>
      <c r="I35" s="125">
        <f>SUM(I32:I34)</f>
        <v>49114.389510000001</v>
      </c>
      <c r="J35" s="126">
        <f>SUM(J32:J34)</f>
        <v>1</v>
      </c>
      <c r="K35" s="127">
        <f>I35+Summary!I15</f>
        <v>51019.359510000002</v>
      </c>
      <c r="L35" s="18"/>
      <c r="M35" s="125">
        <f>SUM(M32:M34)</f>
        <v>51019.823579999997</v>
      </c>
      <c r="N35" s="125">
        <f t="shared" si="24"/>
        <v>1905.4340699999957</v>
      </c>
      <c r="O35" s="126">
        <f t="shared" ref="O35" si="28">N35/I35</f>
        <v>3.8795841483727236E-2</v>
      </c>
      <c r="P35" s="126">
        <f>SUM(P32:P34)</f>
        <v>1</v>
      </c>
      <c r="Q35" s="128">
        <f t="shared" si="27"/>
        <v>0</v>
      </c>
      <c r="R35" s="129">
        <f>M35-K35</f>
        <v>0.46406999999453546</v>
      </c>
      <c r="S35" s="7">
        <f>K35/I35</f>
        <v>1.0387863927253365</v>
      </c>
    </row>
    <row r="36" spans="1:20" x14ac:dyDescent="0.2">
      <c r="A36" s="29">
        <f t="shared" si="1"/>
        <v>30</v>
      </c>
      <c r="D36" s="2" t="s">
        <v>27</v>
      </c>
      <c r="G36" s="119">
        <v>12644.55</v>
      </c>
      <c r="I36" s="38">
        <f>G36-($H$261*E33)</f>
        <v>9020.6850699999995</v>
      </c>
      <c r="M36" s="119">
        <f>I36</f>
        <v>9020.6850699999995</v>
      </c>
      <c r="N36" s="119">
        <f t="shared" si="24"/>
        <v>0</v>
      </c>
      <c r="O36" s="115">
        <v>0</v>
      </c>
    </row>
    <row r="37" spans="1:20" x14ac:dyDescent="0.2">
      <c r="A37" s="29">
        <f t="shared" si="1"/>
        <v>31</v>
      </c>
      <c r="D37" s="2" t="s">
        <v>28</v>
      </c>
      <c r="G37" s="119">
        <v>12979</v>
      </c>
      <c r="I37" s="38">
        <f t="shared" ref="I37:I39" si="29">G37</f>
        <v>12979</v>
      </c>
      <c r="M37" s="119">
        <f t="shared" ref="M37:M39" si="30">I37</f>
        <v>12979</v>
      </c>
      <c r="N37" s="119">
        <f t="shared" si="24"/>
        <v>0</v>
      </c>
      <c r="O37" s="115">
        <v>0</v>
      </c>
    </row>
    <row r="38" spans="1:20" x14ac:dyDescent="0.2">
      <c r="A38" s="29">
        <f t="shared" si="1"/>
        <v>32</v>
      </c>
      <c r="D38" s="2" t="s">
        <v>30</v>
      </c>
      <c r="G38" s="119">
        <v>0</v>
      </c>
      <c r="I38" s="38">
        <f t="shared" si="29"/>
        <v>0</v>
      </c>
      <c r="M38" s="119">
        <f t="shared" si="30"/>
        <v>0</v>
      </c>
      <c r="N38" s="119">
        <f t="shared" si="24"/>
        <v>0</v>
      </c>
      <c r="O38" s="115">
        <v>0</v>
      </c>
    </row>
    <row r="39" spans="1:20" x14ac:dyDescent="0.2">
      <c r="A39" s="29">
        <f t="shared" si="1"/>
        <v>33</v>
      </c>
      <c r="D39" s="2" t="s">
        <v>40</v>
      </c>
      <c r="G39" s="119">
        <v>0</v>
      </c>
      <c r="I39" s="38">
        <f t="shared" si="29"/>
        <v>0</v>
      </c>
      <c r="M39" s="119">
        <f t="shared" si="30"/>
        <v>0</v>
      </c>
      <c r="N39" s="119"/>
      <c r="O39" s="115"/>
    </row>
    <row r="40" spans="1:20" x14ac:dyDescent="0.2">
      <c r="A40" s="29">
        <f t="shared" si="1"/>
        <v>34</v>
      </c>
      <c r="D40" s="14" t="s">
        <v>9</v>
      </c>
      <c r="E40" s="150"/>
      <c r="F40" s="14"/>
      <c r="G40" s="131">
        <f>SUM(G36:G39)</f>
        <v>25623.55</v>
      </c>
      <c r="H40" s="14"/>
      <c r="I40" s="131">
        <f>SUM(I36:I39)</f>
        <v>21999.68507</v>
      </c>
      <c r="J40" s="14"/>
      <c r="K40" s="14"/>
      <c r="L40" s="14"/>
      <c r="M40" s="131">
        <f>SUM(M36:M39)</f>
        <v>21999.68507</v>
      </c>
      <c r="N40" s="131">
        <f t="shared" ref="N40:N42" si="31">M40-I40</f>
        <v>0</v>
      </c>
      <c r="O40" s="132">
        <f t="shared" ref="O40" si="32">N40-J40</f>
        <v>0</v>
      </c>
    </row>
    <row r="41" spans="1:20" s="7" customFormat="1" ht="26.45" customHeight="1" thickBot="1" x14ac:dyDescent="0.25">
      <c r="A41" s="29">
        <f t="shared" si="1"/>
        <v>35</v>
      </c>
      <c r="C41" s="16"/>
      <c r="D41" s="8" t="s">
        <v>20</v>
      </c>
      <c r="E41" s="8"/>
      <c r="F41" s="8"/>
      <c r="G41" s="133">
        <f>G35+G40</f>
        <v>71114.07458</v>
      </c>
      <c r="H41" s="8"/>
      <c r="I41" s="134">
        <f>I40+I35</f>
        <v>71114.07458</v>
      </c>
      <c r="J41" s="8"/>
      <c r="K41" s="8"/>
      <c r="L41" s="8"/>
      <c r="M41" s="133">
        <f>M40+M35</f>
        <v>73019.508650000003</v>
      </c>
      <c r="N41" s="133">
        <f t="shared" si="31"/>
        <v>1905.434070000003</v>
      </c>
      <c r="O41" s="135">
        <f>N41/I41</f>
        <v>2.6794049999996541E-2</v>
      </c>
      <c r="P41" s="2"/>
      <c r="Q41" s="2"/>
      <c r="R41" s="2"/>
    </row>
    <row r="42" spans="1:20" ht="13.5" thickTop="1" x14ac:dyDescent="0.2">
      <c r="A42" s="29">
        <f t="shared" si="1"/>
        <v>36</v>
      </c>
      <c r="D42" s="2" t="s">
        <v>19</v>
      </c>
      <c r="E42" s="115">
        <f>E33/E32</f>
        <v>1087.7087719298245</v>
      </c>
      <c r="G42" s="136">
        <f>G41/E32</f>
        <v>249.5230687017544</v>
      </c>
      <c r="I42" s="136">
        <f>I41/E32</f>
        <v>249.5230687017544</v>
      </c>
      <c r="M42" s="136">
        <f>M41/E32</f>
        <v>256.20880228070178</v>
      </c>
      <c r="N42" s="136">
        <f t="shared" si="31"/>
        <v>6.685733578947378</v>
      </c>
      <c r="O42" s="120">
        <f>N42/I42</f>
        <v>2.6794049999996537E-2</v>
      </c>
    </row>
    <row r="43" spans="1:20" ht="13.5" thickBot="1" x14ac:dyDescent="0.25">
      <c r="A43" s="29">
        <f t="shared" si="1"/>
        <v>37</v>
      </c>
    </row>
    <row r="44" spans="1:20" x14ac:dyDescent="0.2">
      <c r="A44" s="29">
        <f t="shared" si="1"/>
        <v>38</v>
      </c>
      <c r="B44" s="23" t="s">
        <v>70</v>
      </c>
      <c r="C44" s="24" t="s">
        <v>54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20" x14ac:dyDescent="0.2">
      <c r="A45" s="29">
        <f t="shared" si="1"/>
        <v>39</v>
      </c>
      <c r="D45" s="2" t="s">
        <v>18</v>
      </c>
      <c r="E45" s="118">
        <v>3774</v>
      </c>
      <c r="F45" s="115">
        <f>H45</f>
        <v>19</v>
      </c>
      <c r="G45" s="119">
        <f>F45*E45</f>
        <v>71706</v>
      </c>
      <c r="H45" s="115">
        <v>19</v>
      </c>
      <c r="I45" s="119">
        <f>H45*E45</f>
        <v>71706</v>
      </c>
      <c r="J45" s="120">
        <f>I45/I$49</f>
        <v>0.48813277773465968</v>
      </c>
      <c r="K45" s="120"/>
      <c r="L45" s="115">
        <f>ROUND(H45*S$49,2)</f>
        <v>19.739999999999998</v>
      </c>
      <c r="M45" s="119">
        <f>L45*E45</f>
        <v>74498.759999999995</v>
      </c>
      <c r="N45" s="119">
        <f>M45-I45</f>
        <v>2792.7599999999948</v>
      </c>
      <c r="O45" s="120">
        <f>IF(I45=0,0,N45/I45)</f>
        <v>3.8947368421052557E-2</v>
      </c>
      <c r="P45" s="120">
        <f>M45/M$49</f>
        <v>0.48817156679680024</v>
      </c>
      <c r="Q45" s="121">
        <f>P45-J45</f>
        <v>3.8789062140553998E-5</v>
      </c>
      <c r="R45" s="121"/>
    </row>
    <row r="46" spans="1:20" x14ac:dyDescent="0.2">
      <c r="A46" s="29">
        <f t="shared" si="1"/>
        <v>40</v>
      </c>
      <c r="D46" s="2" t="s">
        <v>87</v>
      </c>
      <c r="E46" s="118">
        <v>658249</v>
      </c>
      <c r="F46" s="122">
        <f>H46-H$261</f>
        <v>6.5129999999999993E-2</v>
      </c>
      <c r="G46" s="119">
        <f t="shared" ref="G46" si="33">F46*E46</f>
        <v>42871.757369999992</v>
      </c>
      <c r="H46" s="123">
        <v>7.6819999999999999E-2</v>
      </c>
      <c r="I46" s="119">
        <f t="shared" ref="I46" si="34">H46*E46</f>
        <v>50566.688179999997</v>
      </c>
      <c r="J46" s="120">
        <f>I46/I$49</f>
        <v>0.3442286274809051</v>
      </c>
      <c r="K46" s="120"/>
      <c r="L46" s="122">
        <f>ROUND(H46*S$49,5)</f>
        <v>7.9799999999999996E-2</v>
      </c>
      <c r="M46" s="119">
        <f t="shared" ref="M46" si="35">L46*E46</f>
        <v>52528.270199999999</v>
      </c>
      <c r="N46" s="119">
        <f t="shared" ref="N46" si="36">M46-I46</f>
        <v>1961.5820200000016</v>
      </c>
      <c r="O46" s="120">
        <f t="shared" ref="O46" si="37">IF(I46=0,0,N46/I46)</f>
        <v>3.8791981254881577E-2</v>
      </c>
      <c r="P46" s="120">
        <f>M46/M$49</f>
        <v>0.34420449366754124</v>
      </c>
      <c r="Q46" s="121">
        <f t="shared" ref="Q46" si="38">P46-J46</f>
        <v>-2.4133813363858003E-5</v>
      </c>
      <c r="R46" s="121"/>
      <c r="T46" s="6">
        <f>L46/H46-1</f>
        <v>3.8791981254881591E-2</v>
      </c>
    </row>
    <row r="47" spans="1:20" x14ac:dyDescent="0.2">
      <c r="A47" s="29">
        <f t="shared" si="1"/>
        <v>41</v>
      </c>
      <c r="D47" s="2" t="s">
        <v>88</v>
      </c>
      <c r="E47" s="118">
        <v>141327</v>
      </c>
      <c r="F47" s="122">
        <f>H47-H$261</f>
        <v>7.5509999999999994E-2</v>
      </c>
      <c r="G47" s="119">
        <f t="shared" ref="G47" si="39">F47*E47</f>
        <v>10671.601769999999</v>
      </c>
      <c r="H47" s="123">
        <v>8.72E-2</v>
      </c>
      <c r="I47" s="119">
        <f t="shared" ref="I47" si="40">H47*E47</f>
        <v>12323.714400000001</v>
      </c>
      <c r="J47" s="120">
        <f>I47/I$49</f>
        <v>8.3892685996717495E-2</v>
      </c>
      <c r="K47" s="120"/>
      <c r="L47" s="122">
        <f>ROUND(H47*S$49,5)</f>
        <v>9.0579999999999994E-2</v>
      </c>
      <c r="M47" s="119">
        <f t="shared" ref="M47" si="41">L47*E47</f>
        <v>12801.399659999999</v>
      </c>
      <c r="N47" s="119">
        <f t="shared" ref="N47" si="42">M47-I47</f>
        <v>477.68525999999838</v>
      </c>
      <c r="O47" s="120">
        <f t="shared" ref="O47" si="43">IF(I47=0,0,N47/I47)</f>
        <v>3.876146788990812E-2</v>
      </c>
      <c r="P47" s="120">
        <f>M47/M$49</f>
        <v>8.3884340212028036E-2</v>
      </c>
      <c r="Q47" s="121">
        <f t="shared" ref="Q47" si="44">P47-J47</f>
        <v>-8.3457846894591237E-6</v>
      </c>
      <c r="R47" s="121"/>
      <c r="T47" s="6">
        <f>L47/H47-1</f>
        <v>3.8761467889908197E-2</v>
      </c>
    </row>
    <row r="48" spans="1:20" x14ac:dyDescent="0.2">
      <c r="A48" s="29">
        <f t="shared" si="1"/>
        <v>42</v>
      </c>
      <c r="D48" s="2" t="s">
        <v>89</v>
      </c>
      <c r="E48" s="118">
        <v>103956</v>
      </c>
      <c r="F48" s="122">
        <f>H48-H$261</f>
        <v>0.10664999999999999</v>
      </c>
      <c r="G48" s="119">
        <f t="shared" ref="G48" si="45">F48*E48</f>
        <v>11086.9074</v>
      </c>
      <c r="H48" s="123">
        <v>0.11834</v>
      </c>
      <c r="I48" s="119">
        <f t="shared" ref="I48" si="46">H48*E48</f>
        <v>12302.153039999999</v>
      </c>
      <c r="J48" s="120">
        <f>I48/I$49</f>
        <v>8.3745908787717732E-2</v>
      </c>
      <c r="K48" s="120"/>
      <c r="L48" s="122">
        <f>ROUND(H48*S$49,5)</f>
        <v>0.12293</v>
      </c>
      <c r="M48" s="119">
        <f t="shared" ref="M48" si="47">L48*E48</f>
        <v>12779.311079999999</v>
      </c>
      <c r="N48" s="119">
        <f t="shared" ref="N48" si="48">M48-I48</f>
        <v>477.15804000000026</v>
      </c>
      <c r="O48" s="120">
        <f t="shared" ref="O48" si="49">IF(I48=0,0,N48/I48)</f>
        <v>3.8786547236775416E-2</v>
      </c>
      <c r="P48" s="120">
        <f>M48/M$49</f>
        <v>8.3739599323630481E-2</v>
      </c>
      <c r="Q48" s="121">
        <f t="shared" ref="Q48" si="50">P48-J48</f>
        <v>-6.309464087250749E-6</v>
      </c>
      <c r="R48" s="121"/>
      <c r="T48" s="6">
        <f>L48/H48-1</f>
        <v>3.8786547236775437E-2</v>
      </c>
    </row>
    <row r="49" spans="1:20" s="7" customFormat="1" ht="20.45" customHeight="1" x14ac:dyDescent="0.25">
      <c r="A49" s="29">
        <f t="shared" si="1"/>
        <v>43</v>
      </c>
      <c r="B49" s="106">
        <f>E46+E47+E48</f>
        <v>903532</v>
      </c>
      <c r="C49" s="16"/>
      <c r="D49" s="18" t="s">
        <v>7</v>
      </c>
      <c r="E49" s="18"/>
      <c r="F49" s="18"/>
      <c r="G49" s="125">
        <f>SUM(G45:G48)</f>
        <v>136336.26653999998</v>
      </c>
      <c r="H49" s="18"/>
      <c r="I49" s="125">
        <f>SUM(I45:I48)</f>
        <v>146898.55562</v>
      </c>
      <c r="J49" s="126">
        <f>SUM(J45:J48)</f>
        <v>1</v>
      </c>
      <c r="K49" s="127">
        <f>I49+Summary!I16</f>
        <v>152596.23561999999</v>
      </c>
      <c r="L49" s="18"/>
      <c r="M49" s="125">
        <f>SUM(M45:M48)</f>
        <v>152607.74093999999</v>
      </c>
      <c r="N49" s="125">
        <f t="shared" ref="N49:N56" si="51">M49-I49</f>
        <v>5709.1853199999896</v>
      </c>
      <c r="O49" s="126">
        <f t="shared" ref="O49" si="52">N49/I49</f>
        <v>3.8864815898997804E-2</v>
      </c>
      <c r="P49" s="126">
        <f>SUM(P45:P48)</f>
        <v>1</v>
      </c>
      <c r="Q49" s="128">
        <f t="shared" ref="Q49" si="53">P49-J49</f>
        <v>0</v>
      </c>
      <c r="R49" s="129">
        <f>M49-K49</f>
        <v>11.505319999996573</v>
      </c>
      <c r="S49" s="7">
        <f>K49/I49</f>
        <v>1.0387864943664855</v>
      </c>
    </row>
    <row r="50" spans="1:20" x14ac:dyDescent="0.2">
      <c r="A50" s="29">
        <f t="shared" si="1"/>
        <v>44</v>
      </c>
      <c r="D50" s="2" t="s">
        <v>27</v>
      </c>
      <c r="G50" s="119">
        <v>10704.5</v>
      </c>
      <c r="I50" s="38">
        <f>G50-($H$261*(E46+E47+E48))</f>
        <v>142.21091999999953</v>
      </c>
      <c r="M50" s="119">
        <f>I50</f>
        <v>142.21091999999953</v>
      </c>
      <c r="N50" s="119">
        <f t="shared" si="51"/>
        <v>0</v>
      </c>
      <c r="O50" s="115">
        <v>0</v>
      </c>
    </row>
    <row r="51" spans="1:20" x14ac:dyDescent="0.2">
      <c r="A51" s="29">
        <f t="shared" si="1"/>
        <v>45</v>
      </c>
      <c r="D51" s="2" t="s">
        <v>28</v>
      </c>
      <c r="G51" s="119">
        <v>17635.919999999998</v>
      </c>
      <c r="I51" s="38">
        <f t="shared" ref="I51:I53" si="54">G51</f>
        <v>17635.919999999998</v>
      </c>
      <c r="M51" s="119">
        <f t="shared" ref="M51:M53" si="55">I51</f>
        <v>17635.919999999998</v>
      </c>
      <c r="N51" s="119">
        <f t="shared" si="51"/>
        <v>0</v>
      </c>
      <c r="O51" s="115">
        <v>0</v>
      </c>
    </row>
    <row r="52" spans="1:20" x14ac:dyDescent="0.2">
      <c r="A52" s="29">
        <f t="shared" si="1"/>
        <v>46</v>
      </c>
      <c r="D52" s="2" t="s">
        <v>30</v>
      </c>
      <c r="G52" s="119">
        <v>0</v>
      </c>
      <c r="I52" s="38">
        <f t="shared" si="54"/>
        <v>0</v>
      </c>
      <c r="M52" s="119">
        <f t="shared" si="55"/>
        <v>0</v>
      </c>
      <c r="N52" s="119">
        <f t="shared" si="51"/>
        <v>0</v>
      </c>
      <c r="O52" s="115">
        <v>0</v>
      </c>
    </row>
    <row r="53" spans="1:20" x14ac:dyDescent="0.2">
      <c r="A53" s="29">
        <f t="shared" si="1"/>
        <v>47</v>
      </c>
      <c r="D53" s="2" t="s">
        <v>40</v>
      </c>
      <c r="G53" s="119">
        <v>0</v>
      </c>
      <c r="I53" s="38">
        <f t="shared" si="54"/>
        <v>0</v>
      </c>
      <c r="M53" s="119">
        <f t="shared" si="55"/>
        <v>0</v>
      </c>
      <c r="N53" s="119"/>
      <c r="O53" s="115"/>
    </row>
    <row r="54" spans="1:20" x14ac:dyDescent="0.2">
      <c r="A54" s="29">
        <f t="shared" si="1"/>
        <v>48</v>
      </c>
      <c r="D54" s="14" t="s">
        <v>9</v>
      </c>
      <c r="E54" s="14"/>
      <c r="F54" s="14"/>
      <c r="G54" s="131">
        <f>SUM(G50:G53)</f>
        <v>28340.42</v>
      </c>
      <c r="H54" s="14"/>
      <c r="I54" s="131">
        <f>SUM(I50:I53)</f>
        <v>17778.130919999996</v>
      </c>
      <c r="J54" s="14"/>
      <c r="K54" s="14"/>
      <c r="L54" s="14"/>
      <c r="M54" s="131">
        <f>SUM(M50:M53)</f>
        <v>17778.130919999996</v>
      </c>
      <c r="N54" s="131">
        <f t="shared" si="51"/>
        <v>0</v>
      </c>
      <c r="O54" s="132">
        <f t="shared" ref="O54" si="56">N54-J54</f>
        <v>0</v>
      </c>
    </row>
    <row r="55" spans="1:20" s="7" customFormat="1" ht="26.45" customHeight="1" thickBot="1" x14ac:dyDescent="0.25">
      <c r="A55" s="29">
        <f t="shared" si="1"/>
        <v>49</v>
      </c>
      <c r="C55" s="16"/>
      <c r="D55" s="8" t="s">
        <v>20</v>
      </c>
      <c r="E55" s="8"/>
      <c r="F55" s="8"/>
      <c r="G55" s="133">
        <f>G49+G54</f>
        <v>164676.68653999997</v>
      </c>
      <c r="H55" s="8"/>
      <c r="I55" s="134">
        <f>I54+I49</f>
        <v>164676.68654</v>
      </c>
      <c r="J55" s="8"/>
      <c r="K55" s="8"/>
      <c r="L55" s="8"/>
      <c r="M55" s="133">
        <f>M54+M49</f>
        <v>170385.87185999998</v>
      </c>
      <c r="N55" s="133">
        <f t="shared" si="51"/>
        <v>5709.1853199999896</v>
      </c>
      <c r="O55" s="135">
        <f>N55/I55</f>
        <v>3.4669056318504608E-2</v>
      </c>
      <c r="P55" s="2"/>
      <c r="Q55" s="2"/>
      <c r="R55" s="2"/>
    </row>
    <row r="56" spans="1:20" ht="13.5" thickTop="1" x14ac:dyDescent="0.2">
      <c r="A56" s="29">
        <f t="shared" si="1"/>
        <v>50</v>
      </c>
      <c r="D56" s="2" t="s">
        <v>19</v>
      </c>
      <c r="E56" s="115">
        <f>(E46+E47+E48)/E45</f>
        <v>239.4096449390567</v>
      </c>
      <c r="G56" s="136">
        <f>G55/E45</f>
        <v>43.634522135665065</v>
      </c>
      <c r="I56" s="136">
        <f>I55/E45</f>
        <v>43.634522135665073</v>
      </c>
      <c r="M56" s="136">
        <f>M55/E45</f>
        <v>45.147289841017482</v>
      </c>
      <c r="N56" s="136">
        <f t="shared" si="51"/>
        <v>1.5127677053524096</v>
      </c>
      <c r="O56" s="120">
        <f>N56/I56</f>
        <v>3.4669056318504636E-2</v>
      </c>
    </row>
    <row r="57" spans="1:20" ht="13.5" thickBot="1" x14ac:dyDescent="0.25">
      <c r="A57" s="29">
        <f t="shared" si="1"/>
        <v>51</v>
      </c>
    </row>
    <row r="58" spans="1:20" x14ac:dyDescent="0.2">
      <c r="A58" s="29">
        <f t="shared" si="1"/>
        <v>52</v>
      </c>
      <c r="B58" s="23" t="s">
        <v>71</v>
      </c>
      <c r="C58" s="24" t="s">
        <v>49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20" x14ac:dyDescent="0.2">
      <c r="A59" s="29">
        <f t="shared" si="1"/>
        <v>53</v>
      </c>
      <c r="D59" s="2" t="s">
        <v>18</v>
      </c>
      <c r="E59" s="118">
        <v>3026</v>
      </c>
      <c r="F59" s="115">
        <f>H59</f>
        <v>51.1</v>
      </c>
      <c r="G59" s="119">
        <f>F59*E59</f>
        <v>154628.6</v>
      </c>
      <c r="H59" s="115">
        <v>51.1</v>
      </c>
      <c r="I59" s="119">
        <f>H59*E59</f>
        <v>154628.6</v>
      </c>
      <c r="J59" s="120">
        <f>I59/I62</f>
        <v>7.767219882222462E-2</v>
      </c>
      <c r="K59" s="120"/>
      <c r="L59" s="115">
        <f>ROUND(H59*S62,2)</f>
        <v>53.08</v>
      </c>
      <c r="M59" s="119">
        <f>L59*E59</f>
        <v>160620.07999999999</v>
      </c>
      <c r="N59" s="119">
        <f>M59-I59</f>
        <v>5991.4799999999814</v>
      </c>
      <c r="O59" s="120">
        <f>IF(I59=0,0,N59/I59)</f>
        <v>3.8747553816046845E-2</v>
      </c>
      <c r="P59" s="120">
        <f>M59/M$62</f>
        <v>7.7666991478412301E-2</v>
      </c>
      <c r="Q59" s="121">
        <f>P59-J59</f>
        <v>-5.2073438123190208E-6</v>
      </c>
      <c r="R59" s="121"/>
      <c r="T59" s="6">
        <f>L59/H59-1</f>
        <v>3.8747553816046887E-2</v>
      </c>
    </row>
    <row r="60" spans="1:20" x14ac:dyDescent="0.2">
      <c r="A60" s="29">
        <f t="shared" si="1"/>
        <v>54</v>
      </c>
      <c r="D60" s="2" t="s">
        <v>85</v>
      </c>
      <c r="E60" s="118">
        <v>17173434</v>
      </c>
      <c r="F60" s="122">
        <f>H60-H$261</f>
        <v>6.341999999999999E-2</v>
      </c>
      <c r="G60" s="119">
        <f t="shared" ref="G60" si="57">F60*E60</f>
        <v>1089139.1842799999</v>
      </c>
      <c r="H60" s="123">
        <v>7.5109999999999996E-2</v>
      </c>
      <c r="I60" s="119">
        <f t="shared" ref="I60" si="58">H60*E60</f>
        <v>1289896.6277399999</v>
      </c>
      <c r="J60" s="120">
        <f>I60/I62</f>
        <v>0.64793387077124365</v>
      </c>
      <c r="K60" s="120"/>
      <c r="L60" s="123">
        <f>ROUND(H60*S62,5)</f>
        <v>7.8020000000000006E-2</v>
      </c>
      <c r="M60" s="119">
        <f t="shared" ref="M60" si="59">L60*E60</f>
        <v>1339871.3206800001</v>
      </c>
      <c r="N60" s="119">
        <f t="shared" ref="N60" si="60">M60-I60</f>
        <v>49974.692940000212</v>
      </c>
      <c r="O60" s="120">
        <f t="shared" ref="O60" si="61">IF(I60=0,0,N60/I60)</f>
        <v>3.8743176674211323E-2</v>
      </c>
      <c r="P60" s="120">
        <f t="shared" ref="P60:P61" si="62">M60/M$62</f>
        <v>0.6478877014967408</v>
      </c>
      <c r="Q60" s="121">
        <f t="shared" ref="Q60" si="63">P60-J60</f>
        <v>-4.6169274502849689E-5</v>
      </c>
      <c r="R60" s="121"/>
      <c r="T60" s="6">
        <f>L60/H60-1</f>
        <v>3.8743176674211233E-2</v>
      </c>
    </row>
    <row r="61" spans="1:20" x14ac:dyDescent="0.2">
      <c r="A61" s="29">
        <f t="shared" si="1"/>
        <v>55</v>
      </c>
      <c r="D61" s="2" t="s">
        <v>90</v>
      </c>
      <c r="E61" s="118">
        <v>71035</v>
      </c>
      <c r="F61" s="115">
        <f>H61</f>
        <v>7.69</v>
      </c>
      <c r="G61" s="119">
        <f t="shared" ref="G61" si="64">F61*E61</f>
        <v>546259.15</v>
      </c>
      <c r="H61" s="115">
        <v>7.69</v>
      </c>
      <c r="I61" s="119">
        <f t="shared" ref="I61" si="65">H61*E61</f>
        <v>546259.15</v>
      </c>
      <c r="J61" s="120">
        <f>I61/I62</f>
        <v>0.27439393040653171</v>
      </c>
      <c r="K61" s="120"/>
      <c r="L61" s="115">
        <f>ROUND(H61*S62,2)</f>
        <v>7.99</v>
      </c>
      <c r="M61" s="119">
        <f t="shared" ref="M61" si="66">L61*E61</f>
        <v>567569.65</v>
      </c>
      <c r="N61" s="119">
        <f t="shared" ref="N61:N69" si="67">M61-I61</f>
        <v>21310.5</v>
      </c>
      <c r="O61" s="120">
        <f t="shared" ref="O61" si="68">IF(I61=0,0,N61/I61)</f>
        <v>3.9011703511053313E-2</v>
      </c>
      <c r="P61" s="120">
        <f t="shared" si="62"/>
        <v>0.27444530702484682</v>
      </c>
      <c r="Q61" s="121">
        <f t="shared" ref="Q61:Q62" si="69">P61-J61</f>
        <v>5.1376618315113198E-5</v>
      </c>
      <c r="R61" s="121"/>
      <c r="T61" s="6">
        <f>L61/H61-1</f>
        <v>3.9011703511053319E-2</v>
      </c>
    </row>
    <row r="62" spans="1:20" s="7" customFormat="1" ht="20.45" customHeight="1" x14ac:dyDescent="0.25">
      <c r="A62" s="29">
        <f t="shared" si="1"/>
        <v>56</v>
      </c>
      <c r="C62" s="16"/>
      <c r="D62" s="18" t="s">
        <v>7</v>
      </c>
      <c r="E62" s="18"/>
      <c r="F62" s="18"/>
      <c r="G62" s="125">
        <f>SUM(G59:G61)</f>
        <v>1790026.9342800002</v>
      </c>
      <c r="H62" s="18"/>
      <c r="I62" s="125">
        <f>SUM(I59:I61)</f>
        <v>1990784.3777399999</v>
      </c>
      <c r="J62" s="126">
        <f>SUM(J59:J61)</f>
        <v>1</v>
      </c>
      <c r="K62" s="127">
        <f>I62+Summary!I17</f>
        <v>2067999.9077399999</v>
      </c>
      <c r="L62" s="18"/>
      <c r="M62" s="125">
        <f>SUM(M59:M61)</f>
        <v>2068061.0506800003</v>
      </c>
      <c r="N62" s="125">
        <f t="shared" si="67"/>
        <v>77276.672940000426</v>
      </c>
      <c r="O62" s="126">
        <f t="shared" ref="O62" si="70">N62/I62</f>
        <v>3.8817198790623071E-2</v>
      </c>
      <c r="P62" s="126">
        <f>SUM(P59:P61)</f>
        <v>0.99999999999999989</v>
      </c>
      <c r="Q62" s="128">
        <f t="shared" si="69"/>
        <v>0</v>
      </c>
      <c r="R62" s="129">
        <f>M62-K62</f>
        <v>61.142940000398085</v>
      </c>
      <c r="S62" s="7">
        <f>K62/I62</f>
        <v>1.0387864858009672</v>
      </c>
    </row>
    <row r="63" spans="1:20" x14ac:dyDescent="0.2">
      <c r="A63" s="29">
        <f t="shared" si="1"/>
        <v>57</v>
      </c>
      <c r="D63" s="2" t="s">
        <v>27</v>
      </c>
      <c r="G63" s="119">
        <v>196310.31</v>
      </c>
      <c r="I63" s="38">
        <f>G63-($H$261*E60)</f>
        <v>-4447.1334600000118</v>
      </c>
      <c r="M63" s="119">
        <f>I63</f>
        <v>-4447.1334600000118</v>
      </c>
      <c r="N63" s="119">
        <f t="shared" si="67"/>
        <v>0</v>
      </c>
      <c r="O63" s="115">
        <v>0</v>
      </c>
    </row>
    <row r="64" spans="1:20" x14ac:dyDescent="0.2">
      <c r="A64" s="29">
        <f t="shared" si="1"/>
        <v>58</v>
      </c>
      <c r="D64" s="2" t="s">
        <v>28</v>
      </c>
      <c r="G64" s="119">
        <v>256717.32</v>
      </c>
      <c r="I64" s="38">
        <f t="shared" ref="I64:I66" si="71">G64</f>
        <v>256717.32</v>
      </c>
      <c r="M64" s="119">
        <f t="shared" ref="M64:M66" si="72">I64</f>
        <v>256717.32</v>
      </c>
      <c r="N64" s="119">
        <f t="shared" si="67"/>
        <v>0</v>
      </c>
      <c r="O64" s="115">
        <v>0</v>
      </c>
    </row>
    <row r="65" spans="1:20" x14ac:dyDescent="0.2">
      <c r="A65" s="29">
        <f t="shared" si="1"/>
        <v>59</v>
      </c>
      <c r="D65" s="2" t="s">
        <v>30</v>
      </c>
      <c r="G65" s="119">
        <v>0</v>
      </c>
      <c r="I65" s="38">
        <f t="shared" si="71"/>
        <v>0</v>
      </c>
      <c r="M65" s="119">
        <f t="shared" si="72"/>
        <v>0</v>
      </c>
      <c r="N65" s="119">
        <f t="shared" si="67"/>
        <v>0</v>
      </c>
      <c r="O65" s="115">
        <v>0</v>
      </c>
    </row>
    <row r="66" spans="1:20" x14ac:dyDescent="0.2">
      <c r="A66" s="29">
        <f t="shared" si="1"/>
        <v>60</v>
      </c>
      <c r="D66" s="2" t="s">
        <v>40</v>
      </c>
      <c r="G66" s="119">
        <v>0</v>
      </c>
      <c r="I66" s="38">
        <f t="shared" si="71"/>
        <v>0</v>
      </c>
      <c r="M66" s="119">
        <f t="shared" si="72"/>
        <v>0</v>
      </c>
      <c r="N66" s="119"/>
      <c r="O66" s="115"/>
    </row>
    <row r="67" spans="1:20" x14ac:dyDescent="0.2">
      <c r="A67" s="29">
        <f t="shared" si="1"/>
        <v>61</v>
      </c>
      <c r="D67" s="14" t="s">
        <v>9</v>
      </c>
      <c r="E67" s="14"/>
      <c r="F67" s="14"/>
      <c r="G67" s="131">
        <f>SUM(G63:G66)</f>
        <v>453027.63</v>
      </c>
      <c r="H67" s="14"/>
      <c r="I67" s="131">
        <f>SUM(I63:I66)</f>
        <v>252270.18654</v>
      </c>
      <c r="J67" s="14"/>
      <c r="K67" s="14"/>
      <c r="L67" s="14"/>
      <c r="M67" s="131">
        <f>SUM(M63:M66)</f>
        <v>252270.18654</v>
      </c>
      <c r="N67" s="131">
        <f t="shared" si="67"/>
        <v>0</v>
      </c>
      <c r="O67" s="132">
        <f t="shared" ref="O67" si="73">N67-J67</f>
        <v>0</v>
      </c>
    </row>
    <row r="68" spans="1:20" s="7" customFormat="1" ht="26.45" customHeight="1" thickBot="1" x14ac:dyDescent="0.25">
      <c r="A68" s="29">
        <f t="shared" si="1"/>
        <v>62</v>
      </c>
      <c r="C68" s="16"/>
      <c r="D68" s="8" t="s">
        <v>20</v>
      </c>
      <c r="E68" s="8"/>
      <c r="F68" s="8"/>
      <c r="G68" s="133">
        <f>G62+G67</f>
        <v>2243054.56428</v>
      </c>
      <c r="H68" s="8"/>
      <c r="I68" s="134">
        <f>I67+I62</f>
        <v>2243054.56428</v>
      </c>
      <c r="J68" s="8"/>
      <c r="K68" s="8"/>
      <c r="L68" s="8"/>
      <c r="M68" s="133">
        <f>M67+M62</f>
        <v>2320331.2372200005</v>
      </c>
      <c r="N68" s="133">
        <f t="shared" si="67"/>
        <v>77276.672940000426</v>
      </c>
      <c r="O68" s="135">
        <f>N68/I68</f>
        <v>3.4451535049841969E-2</v>
      </c>
      <c r="P68" s="2"/>
      <c r="Q68" s="2"/>
      <c r="R68" s="2"/>
    </row>
    <row r="69" spans="1:20" ht="13.5" thickTop="1" x14ac:dyDescent="0.2">
      <c r="A69" s="29">
        <f t="shared" si="1"/>
        <v>63</v>
      </c>
      <c r="D69" s="2" t="s">
        <v>19</v>
      </c>
      <c r="E69" s="115">
        <f>E60/E59</f>
        <v>5675.2921348314603</v>
      </c>
      <c r="G69" s="136">
        <f>G68/E59</f>
        <v>741.26059625908795</v>
      </c>
      <c r="I69" s="136">
        <f>I68/E59</f>
        <v>741.26059625908795</v>
      </c>
      <c r="M69" s="136">
        <f>M68/E59</f>
        <v>766.79816167217461</v>
      </c>
      <c r="N69" s="136">
        <f t="shared" si="67"/>
        <v>25.537565413086668</v>
      </c>
      <c r="O69" s="120">
        <f>N69/I69</f>
        <v>3.4451535049841893E-2</v>
      </c>
    </row>
    <row r="70" spans="1:20" ht="13.5" thickBot="1" x14ac:dyDescent="0.25">
      <c r="A70" s="29">
        <f t="shared" si="1"/>
        <v>64</v>
      </c>
    </row>
    <row r="71" spans="1:20" x14ac:dyDescent="0.2">
      <c r="A71" s="29">
        <f t="shared" si="1"/>
        <v>65</v>
      </c>
      <c r="B71" s="23" t="s">
        <v>72</v>
      </c>
      <c r="C71" s="24" t="s">
        <v>50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20" x14ac:dyDescent="0.2">
      <c r="A72" s="29">
        <f t="shared" si="1"/>
        <v>66</v>
      </c>
      <c r="D72" s="2" t="s">
        <v>18</v>
      </c>
      <c r="E72" s="118">
        <f>1735+204</f>
        <v>1939</v>
      </c>
      <c r="F72" s="115">
        <f>H72</f>
        <v>68</v>
      </c>
      <c r="G72" s="119">
        <f>F72*E72</f>
        <v>131852</v>
      </c>
      <c r="H72" s="115">
        <v>68</v>
      </c>
      <c r="I72" s="119">
        <f>H72*E72</f>
        <v>131852</v>
      </c>
      <c r="J72" s="120">
        <f>I72/I75</f>
        <v>1.4953455480510212E-2</v>
      </c>
      <c r="K72" s="120"/>
      <c r="L72" s="115">
        <f>ROUND(H72*S75,2)</f>
        <v>70.64</v>
      </c>
      <c r="M72" s="119">
        <f>L72*E72</f>
        <v>136970.96</v>
      </c>
      <c r="N72" s="119">
        <f>M72-I72</f>
        <v>5118.9599999999919</v>
      </c>
      <c r="O72" s="120">
        <f>IF(I72=0,0,N72/I72)</f>
        <v>3.8823529411764646E-2</v>
      </c>
      <c r="P72" s="120">
        <f>M72/M$75</f>
        <v>1.495281045265493E-2</v>
      </c>
      <c r="Q72" s="121">
        <f>P72-J72</f>
        <v>-6.4502785528282314E-7</v>
      </c>
      <c r="R72" s="121"/>
      <c r="T72" s="6">
        <f>L72/H72-1</f>
        <v>3.8823529411764701E-2</v>
      </c>
    </row>
    <row r="73" spans="1:20" x14ac:dyDescent="0.2">
      <c r="A73" s="29">
        <f t="shared" ref="A73:A136" si="74">A72+1</f>
        <v>67</v>
      </c>
      <c r="D73" s="2" t="s">
        <v>85</v>
      </c>
      <c r="E73" s="118">
        <f>69102101+33529720</f>
        <v>102631821</v>
      </c>
      <c r="F73" s="122">
        <f>H73-H$261</f>
        <v>5.1639999999999998E-2</v>
      </c>
      <c r="G73" s="119">
        <f t="shared" ref="G73" si="75">F73*E73</f>
        <v>5299907.2364400001</v>
      </c>
      <c r="H73" s="123">
        <v>6.3329999999999997E-2</v>
      </c>
      <c r="I73" s="119">
        <f t="shared" ref="I73" si="76">H73*E73</f>
        <v>6499673.2239299994</v>
      </c>
      <c r="J73" s="120">
        <f>I73/I75</f>
        <v>0.7371338636645749</v>
      </c>
      <c r="K73" s="120"/>
      <c r="L73" s="123">
        <f>ROUND(H73*S75,5)</f>
        <v>6.5790000000000001E-2</v>
      </c>
      <c r="M73" s="119">
        <f t="shared" ref="M73" si="77">L73*E73</f>
        <v>6752147.5035899999</v>
      </c>
      <c r="N73" s="119">
        <f t="shared" ref="N73" si="78">M73-I73</f>
        <v>252474.27966000047</v>
      </c>
      <c r="O73" s="120">
        <f t="shared" ref="O73" si="79">IF(I73=0,0,N73/I73)</f>
        <v>3.884414969208913E-2</v>
      </c>
      <c r="P73" s="120">
        <f>M73/M$75</f>
        <v>0.73711669809095626</v>
      </c>
      <c r="Q73" s="121">
        <f t="shared" ref="Q73" si="80">P73-J73</f>
        <v>-1.7165573618638241E-5</v>
      </c>
      <c r="R73" s="121"/>
      <c r="T73" s="6">
        <f>L73/H73-1</f>
        <v>3.8844149692089047E-2</v>
      </c>
    </row>
    <row r="74" spans="1:20" x14ac:dyDescent="0.2">
      <c r="A74" s="29">
        <f t="shared" si="74"/>
        <v>68</v>
      </c>
      <c r="D74" s="2" t="s">
        <v>90</v>
      </c>
      <c r="E74" s="118">
        <f>230270+73759</f>
        <v>304029</v>
      </c>
      <c r="F74" s="115">
        <f>H74</f>
        <v>7.19</v>
      </c>
      <c r="G74" s="119">
        <f t="shared" ref="G74" si="81">F74*E74</f>
        <v>2185968.5100000002</v>
      </c>
      <c r="H74" s="115">
        <v>7.19</v>
      </c>
      <c r="I74" s="119">
        <f t="shared" ref="I74" si="82">H74*E74</f>
        <v>2185968.5100000002</v>
      </c>
      <c r="J74" s="120">
        <f>I74/I75</f>
        <v>0.24791268085491494</v>
      </c>
      <c r="K74" s="120"/>
      <c r="L74" s="115">
        <f>ROUND(H74*S75,2)</f>
        <v>7.47</v>
      </c>
      <c r="M74" s="119">
        <f t="shared" ref="M74" si="83">L74*E74</f>
        <v>2271096.63</v>
      </c>
      <c r="N74" s="119">
        <f t="shared" ref="N74" si="84">M74-I74</f>
        <v>85128.119999999646</v>
      </c>
      <c r="O74" s="120">
        <f t="shared" ref="O74" si="85">IF(I74=0,0,N74/I74)</f>
        <v>3.8942976356049902E-2</v>
      </c>
      <c r="P74" s="120">
        <f>M74/M$75</f>
        <v>0.2479304914563889</v>
      </c>
      <c r="Q74" s="121">
        <f t="shared" ref="Q74" si="86">P74-J74</f>
        <v>1.7810601473960963E-5</v>
      </c>
      <c r="R74" s="121"/>
      <c r="T74" s="6">
        <f>L74/H74-1</f>
        <v>3.8942976356050041E-2</v>
      </c>
    </row>
    <row r="75" spans="1:20" s="7" customFormat="1" ht="20.45" customHeight="1" x14ac:dyDescent="0.25">
      <c r="A75" s="29">
        <f t="shared" si="74"/>
        <v>69</v>
      </c>
      <c r="C75" s="16"/>
      <c r="D75" s="18" t="s">
        <v>7</v>
      </c>
      <c r="E75" s="18"/>
      <c r="F75" s="18"/>
      <c r="G75" s="125">
        <f>SUM(G72:G74)</f>
        <v>7617727.7464400008</v>
      </c>
      <c r="H75" s="18"/>
      <c r="I75" s="125">
        <f>SUM(I72:I74)</f>
        <v>8817493.7339299992</v>
      </c>
      <c r="J75" s="126">
        <f>SUM(J72:J74)</f>
        <v>1</v>
      </c>
      <c r="K75" s="127">
        <f>I75+Summary!I18</f>
        <v>9159493.3339299988</v>
      </c>
      <c r="L75" s="18"/>
      <c r="M75" s="125">
        <f>SUM(M72:M74)</f>
        <v>9160215.0935899988</v>
      </c>
      <c r="N75" s="125">
        <f t="shared" ref="N75:N78" si="87">M75-I75</f>
        <v>342721.35965999961</v>
      </c>
      <c r="O75" s="126">
        <f t="shared" ref="O75" si="88">N75/I75</f>
        <v>3.8868341730847716E-2</v>
      </c>
      <c r="P75" s="126">
        <f>SUM(P72:P74)</f>
        <v>1</v>
      </c>
      <c r="Q75" s="128">
        <f t="shared" ref="Q75" si="89">P75-J75</f>
        <v>0</v>
      </c>
      <c r="R75" s="129">
        <f>M75-K75</f>
        <v>721.75965999998152</v>
      </c>
      <c r="S75" s="7">
        <f>K75/I75</f>
        <v>1.0387864863100469</v>
      </c>
    </row>
    <row r="76" spans="1:20" x14ac:dyDescent="0.2">
      <c r="A76" s="29">
        <f t="shared" si="74"/>
        <v>70</v>
      </c>
      <c r="D76" s="2" t="s">
        <v>27</v>
      </c>
      <c r="G76" s="119">
        <f>791969.97+385075</f>
        <v>1177044.97</v>
      </c>
      <c r="I76" s="38">
        <f>G76-($H$261*E73)</f>
        <v>-22721.017489999998</v>
      </c>
      <c r="M76" s="119">
        <f>I76</f>
        <v>-22721.017489999998</v>
      </c>
      <c r="N76" s="119">
        <f t="shared" si="87"/>
        <v>0</v>
      </c>
      <c r="O76" s="115">
        <v>0</v>
      </c>
    </row>
    <row r="77" spans="1:20" x14ac:dyDescent="0.2">
      <c r="A77" s="29">
        <f t="shared" si="74"/>
        <v>71</v>
      </c>
      <c r="D77" s="2" t="s">
        <v>28</v>
      </c>
      <c r="F77" s="115">
        <f>H77</f>
        <v>0</v>
      </c>
      <c r="G77" s="119">
        <f>783806.81+339293</f>
        <v>1123099.81</v>
      </c>
      <c r="I77" s="38">
        <f t="shared" ref="I77:I79" si="90">G77</f>
        <v>1123099.81</v>
      </c>
      <c r="M77" s="119">
        <f t="shared" ref="M77:M79" si="91">I77</f>
        <v>1123099.81</v>
      </c>
      <c r="N77" s="119">
        <f t="shared" si="87"/>
        <v>0</v>
      </c>
      <c r="O77" s="115">
        <v>0</v>
      </c>
    </row>
    <row r="78" spans="1:20" x14ac:dyDescent="0.2">
      <c r="A78" s="29">
        <f t="shared" si="74"/>
        <v>72</v>
      </c>
      <c r="D78" s="2" t="s">
        <v>30</v>
      </c>
      <c r="F78" s="115">
        <f>H78</f>
        <v>0</v>
      </c>
      <c r="G78" s="119">
        <v>0</v>
      </c>
      <c r="I78" s="38">
        <f t="shared" si="90"/>
        <v>0</v>
      </c>
      <c r="M78" s="119">
        <f t="shared" si="91"/>
        <v>0</v>
      </c>
      <c r="N78" s="119">
        <f t="shared" si="87"/>
        <v>0</v>
      </c>
      <c r="O78" s="115">
        <v>0</v>
      </c>
    </row>
    <row r="79" spans="1:20" x14ac:dyDescent="0.2">
      <c r="A79" s="29">
        <f t="shared" si="74"/>
        <v>73</v>
      </c>
      <c r="D79" s="2" t="s">
        <v>40</v>
      </c>
      <c r="F79" s="115">
        <f>H79</f>
        <v>0</v>
      </c>
      <c r="G79" s="119">
        <v>0</v>
      </c>
      <c r="I79" s="38">
        <f t="shared" si="90"/>
        <v>0</v>
      </c>
      <c r="M79" s="119">
        <f t="shared" si="91"/>
        <v>0</v>
      </c>
      <c r="N79" s="119"/>
      <c r="O79" s="115"/>
    </row>
    <row r="80" spans="1:20" x14ac:dyDescent="0.2">
      <c r="A80" s="29">
        <f t="shared" si="74"/>
        <v>74</v>
      </c>
      <c r="D80" s="14" t="s">
        <v>9</v>
      </c>
      <c r="E80" s="14"/>
      <c r="F80" s="115">
        <f>H80</f>
        <v>0</v>
      </c>
      <c r="G80" s="131">
        <f>SUM(G76:G79)</f>
        <v>2300144.7800000003</v>
      </c>
      <c r="H80" s="14"/>
      <c r="I80" s="131">
        <f>SUM(I76:I79)</f>
        <v>1100378.7925100001</v>
      </c>
      <c r="J80" s="14"/>
      <c r="K80" s="14"/>
      <c r="L80" s="14"/>
      <c r="M80" s="131">
        <f>SUM(M76:M79)</f>
        <v>1100378.7925100001</v>
      </c>
      <c r="N80" s="131">
        <f t="shared" ref="N80:N82" si="92">M80-I80</f>
        <v>0</v>
      </c>
      <c r="O80" s="132">
        <f t="shared" ref="O80" si="93">N80-J80</f>
        <v>0</v>
      </c>
    </row>
    <row r="81" spans="1:20" s="7" customFormat="1" ht="26.45" customHeight="1" thickBot="1" x14ac:dyDescent="0.25">
      <c r="A81" s="29">
        <f t="shared" si="74"/>
        <v>75</v>
      </c>
      <c r="C81" s="16"/>
      <c r="D81" s="8" t="s">
        <v>20</v>
      </c>
      <c r="E81" s="8"/>
      <c r="F81" s="8"/>
      <c r="G81" s="133">
        <f>G75+G80</f>
        <v>9917872.526440002</v>
      </c>
      <c r="H81" s="8"/>
      <c r="I81" s="134">
        <f>I80+I75</f>
        <v>9917872.5264399983</v>
      </c>
      <c r="J81" s="8"/>
      <c r="K81" s="8"/>
      <c r="L81" s="8"/>
      <c r="M81" s="133">
        <f>M80+M75</f>
        <v>10260593.886099998</v>
      </c>
      <c r="N81" s="133">
        <f t="shared" si="92"/>
        <v>342721.35965999961</v>
      </c>
      <c r="O81" s="135">
        <f>N81/I81</f>
        <v>3.4555935130880212E-2</v>
      </c>
      <c r="P81" s="2"/>
      <c r="Q81" s="2"/>
      <c r="R81" s="2"/>
    </row>
    <row r="82" spans="1:20" ht="13.5" thickTop="1" x14ac:dyDescent="0.2">
      <c r="A82" s="29">
        <f t="shared" si="74"/>
        <v>76</v>
      </c>
      <c r="D82" s="2" t="s">
        <v>19</v>
      </c>
      <c r="E82" s="115">
        <f>E73/E72</f>
        <v>52930.284167096441</v>
      </c>
      <c r="G82" s="136">
        <f>G81/E72</f>
        <v>5114.9419940381649</v>
      </c>
      <c r="I82" s="136">
        <f>I81/E72</f>
        <v>5114.9419940381631</v>
      </c>
      <c r="M82" s="136">
        <f>M81/E72</f>
        <v>5291.6935977823614</v>
      </c>
      <c r="N82" s="136">
        <f t="shared" si="92"/>
        <v>176.75160374419829</v>
      </c>
      <c r="O82" s="120">
        <f>N82/I82</f>
        <v>3.4555935130880303E-2</v>
      </c>
    </row>
    <row r="83" spans="1:20" ht="13.5" thickBot="1" x14ac:dyDescent="0.25">
      <c r="A83" s="29">
        <f t="shared" si="74"/>
        <v>77</v>
      </c>
    </row>
    <row r="84" spans="1:20" x14ac:dyDescent="0.2">
      <c r="A84" s="29">
        <f t="shared" si="74"/>
        <v>78</v>
      </c>
      <c r="B84" s="23" t="s">
        <v>73</v>
      </c>
      <c r="C84" s="24" t="s">
        <v>55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20" x14ac:dyDescent="0.2">
      <c r="A85" s="29">
        <f t="shared" si="74"/>
        <v>79</v>
      </c>
      <c r="D85" s="2" t="s">
        <v>18</v>
      </c>
      <c r="E85" s="118">
        <v>36</v>
      </c>
      <c r="F85" s="115">
        <f>H85</f>
        <v>67.34</v>
      </c>
      <c r="G85" s="119">
        <f>F85*E85</f>
        <v>2424.2400000000002</v>
      </c>
      <c r="H85" s="115">
        <v>67.34</v>
      </c>
      <c r="I85" s="119">
        <f>H85*E85</f>
        <v>2424.2400000000002</v>
      </c>
      <c r="J85" s="120">
        <f>I85/I87</f>
        <v>3.776540374959126E-2</v>
      </c>
      <c r="K85" s="120"/>
      <c r="L85" s="115">
        <f>ROUND(H85*S87,2)</f>
        <v>69.95</v>
      </c>
      <c r="M85" s="119">
        <f>L85*E85</f>
        <v>2518.2000000000003</v>
      </c>
      <c r="N85" s="119">
        <f>M85-I85</f>
        <v>93.960000000000036</v>
      </c>
      <c r="O85" s="120">
        <f>IF(I85=0,0,N85/I85)</f>
        <v>3.8758538758538769E-2</v>
      </c>
      <c r="P85" s="120">
        <f>M85/M$87</f>
        <v>3.7762839756912046E-2</v>
      </c>
      <c r="Q85" s="121">
        <f>P85-J85</f>
        <v>-2.5639926792137002E-6</v>
      </c>
      <c r="R85" s="121"/>
      <c r="T85" s="6">
        <f>L85/H85-1</f>
        <v>3.8758538758538741E-2</v>
      </c>
    </row>
    <row r="86" spans="1:20" x14ac:dyDescent="0.2">
      <c r="A86" s="29">
        <f t="shared" si="74"/>
        <v>80</v>
      </c>
      <c r="D86" s="2" t="s">
        <v>85</v>
      </c>
      <c r="E86" s="118">
        <v>660760</v>
      </c>
      <c r="F86" s="122">
        <f>H86-H$261</f>
        <v>8.1789999999999988E-2</v>
      </c>
      <c r="G86" s="119">
        <f t="shared" ref="G86" si="94">F86*E86</f>
        <v>54043.560399999995</v>
      </c>
      <c r="H86" s="123">
        <v>9.3479999999999994E-2</v>
      </c>
      <c r="I86" s="119">
        <f t="shared" ref="I86" si="95">H86*E86</f>
        <v>61767.844799999999</v>
      </c>
      <c r="J86" s="120">
        <f>I86/I87</f>
        <v>0.96223459625040875</v>
      </c>
      <c r="K86" s="120"/>
      <c r="L86" s="123">
        <f>ROUND(H86*S87,5)</f>
        <v>9.7110000000000002E-2</v>
      </c>
      <c r="M86" s="119">
        <f t="shared" ref="M86" si="96">L86*E86</f>
        <v>64166.403599999998</v>
      </c>
      <c r="N86" s="119">
        <f t="shared" ref="N86" si="97">M86-I86</f>
        <v>2398.5587999999989</v>
      </c>
      <c r="O86" s="120">
        <f t="shared" ref="O86" si="98">IF(I86=0,0,N86/I86)</f>
        <v>3.88318356867779E-2</v>
      </c>
      <c r="P86" s="120">
        <f>M86/M$87</f>
        <v>0.96223716024308792</v>
      </c>
      <c r="Q86" s="121">
        <f t="shared" ref="Q86" si="99">P86-J86</f>
        <v>2.5639926791720669E-6</v>
      </c>
      <c r="R86" s="121"/>
      <c r="T86" s="6">
        <f>L86/H86-1</f>
        <v>3.883183568677806E-2</v>
      </c>
    </row>
    <row r="87" spans="1:20" s="7" customFormat="1" ht="20.45" customHeight="1" x14ac:dyDescent="0.25">
      <c r="A87" s="29">
        <f t="shared" si="74"/>
        <v>81</v>
      </c>
      <c r="C87" s="16"/>
      <c r="D87" s="18" t="s">
        <v>7</v>
      </c>
      <c r="E87" s="18"/>
      <c r="F87" s="18"/>
      <c r="G87" s="125">
        <f>SUM(G85:G86)</f>
        <v>56467.800399999993</v>
      </c>
      <c r="H87" s="18"/>
      <c r="I87" s="125">
        <f>SUM(I85:I86)</f>
        <v>64192.084799999997</v>
      </c>
      <c r="J87" s="126">
        <f>SUM(J85:J86)</f>
        <v>1</v>
      </c>
      <c r="K87" s="127">
        <f>I87+Summary!I19</f>
        <v>66681.874799999991</v>
      </c>
      <c r="L87" s="18"/>
      <c r="M87" s="125">
        <f>SUM(M85:M86)</f>
        <v>66684.603600000002</v>
      </c>
      <c r="N87" s="125">
        <f t="shared" ref="N87:N94" si="100">M87-I87</f>
        <v>2492.5188000000053</v>
      </c>
      <c r="O87" s="126">
        <f t="shared" ref="O87" si="101">N87/I87</f>
        <v>3.8829067598689447E-2</v>
      </c>
      <c r="P87" s="126">
        <f>SUM(P85:P86)</f>
        <v>1</v>
      </c>
      <c r="Q87" s="128">
        <f t="shared" ref="Q87" si="102">P87-J87</f>
        <v>0</v>
      </c>
      <c r="R87" s="129">
        <f>M87-K87</f>
        <v>2.7288000000116881</v>
      </c>
      <c r="S87" s="7">
        <f>K87/I87</f>
        <v>1.0387865576847568</v>
      </c>
    </row>
    <row r="88" spans="1:20" x14ac:dyDescent="0.2">
      <c r="A88" s="29">
        <f t="shared" si="74"/>
        <v>82</v>
      </c>
      <c r="D88" s="2" t="s">
        <v>27</v>
      </c>
      <c r="G88" s="119">
        <v>7856.69</v>
      </c>
      <c r="I88" s="38">
        <f>G88-($H$261*E86)</f>
        <v>132.40559999999914</v>
      </c>
      <c r="M88" s="119">
        <f>I88</f>
        <v>132.40559999999914</v>
      </c>
      <c r="N88" s="119">
        <f t="shared" si="100"/>
        <v>0</v>
      </c>
      <c r="O88" s="115">
        <v>0</v>
      </c>
    </row>
    <row r="89" spans="1:20" x14ac:dyDescent="0.2">
      <c r="A89" s="29">
        <f t="shared" si="74"/>
        <v>83</v>
      </c>
      <c r="D89" s="2" t="s">
        <v>28</v>
      </c>
      <c r="G89" s="119">
        <v>7876.5199999999995</v>
      </c>
      <c r="I89" s="38">
        <f t="shared" ref="I89:I91" si="103">G89</f>
        <v>7876.5199999999995</v>
      </c>
      <c r="M89" s="119">
        <f t="shared" ref="M89:M91" si="104">I89</f>
        <v>7876.5199999999995</v>
      </c>
      <c r="N89" s="119">
        <f t="shared" si="100"/>
        <v>0</v>
      </c>
      <c r="O89" s="115">
        <v>0</v>
      </c>
    </row>
    <row r="90" spans="1:20" x14ac:dyDescent="0.2">
      <c r="A90" s="29">
        <f t="shared" si="74"/>
        <v>84</v>
      </c>
      <c r="D90" s="2" t="s">
        <v>30</v>
      </c>
      <c r="F90" s="115"/>
      <c r="G90" s="119">
        <v>0</v>
      </c>
      <c r="I90" s="38">
        <f t="shared" si="103"/>
        <v>0</v>
      </c>
      <c r="M90" s="119">
        <f t="shared" si="104"/>
        <v>0</v>
      </c>
      <c r="N90" s="119">
        <f t="shared" si="100"/>
        <v>0</v>
      </c>
      <c r="O90" s="115">
        <v>0</v>
      </c>
    </row>
    <row r="91" spans="1:20" x14ac:dyDescent="0.2">
      <c r="A91" s="29">
        <f t="shared" si="74"/>
        <v>85</v>
      </c>
      <c r="D91" s="2" t="s">
        <v>40</v>
      </c>
      <c r="G91" s="119">
        <v>0</v>
      </c>
      <c r="I91" s="38">
        <f t="shared" si="103"/>
        <v>0</v>
      </c>
      <c r="M91" s="119">
        <f t="shared" si="104"/>
        <v>0</v>
      </c>
      <c r="N91" s="119"/>
      <c r="O91" s="115"/>
    </row>
    <row r="92" spans="1:20" x14ac:dyDescent="0.2">
      <c r="A92" s="29">
        <f t="shared" si="74"/>
        <v>86</v>
      </c>
      <c r="D92" s="14" t="s">
        <v>9</v>
      </c>
      <c r="E92" s="14"/>
      <c r="F92" s="14"/>
      <c r="G92" s="131">
        <f>SUM(G88:G91)</f>
        <v>15733.21</v>
      </c>
      <c r="H92" s="14"/>
      <c r="I92" s="131">
        <f>SUM(I88:I91)</f>
        <v>8008.9255999999987</v>
      </c>
      <c r="J92" s="14"/>
      <c r="K92" s="14"/>
      <c r="L92" s="14"/>
      <c r="M92" s="131">
        <f>SUM(M88:M91)</f>
        <v>8008.9255999999987</v>
      </c>
      <c r="N92" s="131">
        <f t="shared" si="100"/>
        <v>0</v>
      </c>
      <c r="O92" s="132">
        <f t="shared" ref="O92" si="105">N92-J92</f>
        <v>0</v>
      </c>
    </row>
    <row r="93" spans="1:20" s="7" customFormat="1" ht="26.45" customHeight="1" thickBot="1" x14ac:dyDescent="0.25">
      <c r="A93" s="29">
        <f t="shared" si="74"/>
        <v>87</v>
      </c>
      <c r="C93" s="16"/>
      <c r="D93" s="8" t="s">
        <v>20</v>
      </c>
      <c r="E93" s="8"/>
      <c r="F93" s="8"/>
      <c r="G93" s="133">
        <f>G87+G92</f>
        <v>72201.010399999999</v>
      </c>
      <c r="H93" s="8"/>
      <c r="I93" s="134">
        <f>I92+I87</f>
        <v>72201.010399999999</v>
      </c>
      <c r="J93" s="8"/>
      <c r="K93" s="8"/>
      <c r="L93" s="8"/>
      <c r="M93" s="133">
        <f>M92+M87</f>
        <v>74693.529200000004</v>
      </c>
      <c r="N93" s="133">
        <f t="shared" si="100"/>
        <v>2492.5188000000053</v>
      </c>
      <c r="O93" s="135">
        <f>N93/I93</f>
        <v>3.4521937936757813E-2</v>
      </c>
      <c r="P93" s="2"/>
      <c r="Q93" s="2"/>
      <c r="R93" s="2"/>
    </row>
    <row r="94" spans="1:20" ht="13.5" thickTop="1" x14ac:dyDescent="0.2">
      <c r="A94" s="29">
        <f t="shared" si="74"/>
        <v>88</v>
      </c>
      <c r="D94" s="2" t="s">
        <v>19</v>
      </c>
      <c r="E94" s="115">
        <f>E86/E85</f>
        <v>18354.444444444445</v>
      </c>
      <c r="G94" s="136">
        <f>G93/E85</f>
        <v>2005.5836222222222</v>
      </c>
      <c r="I94" s="136">
        <f>I93/E85</f>
        <v>2005.5836222222222</v>
      </c>
      <c r="M94" s="136">
        <f>M93/E85</f>
        <v>2074.8202555555558</v>
      </c>
      <c r="N94" s="136">
        <f t="shared" si="100"/>
        <v>69.236633333333657</v>
      </c>
      <c r="O94" s="120">
        <f>N94/I94</f>
        <v>3.4521937936757903E-2</v>
      </c>
    </row>
    <row r="95" spans="1:20" ht="13.5" thickBot="1" x14ac:dyDescent="0.25">
      <c r="A95" s="29">
        <f t="shared" si="74"/>
        <v>89</v>
      </c>
    </row>
    <row r="96" spans="1:20" x14ac:dyDescent="0.2">
      <c r="A96" s="29">
        <f t="shared" si="74"/>
        <v>90</v>
      </c>
      <c r="B96" s="23" t="s">
        <v>119</v>
      </c>
      <c r="C96" s="24" t="s">
        <v>52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20" x14ac:dyDescent="0.2">
      <c r="A97" s="29">
        <f t="shared" si="74"/>
        <v>91</v>
      </c>
      <c r="D97" s="2" t="s">
        <v>18</v>
      </c>
      <c r="E97" s="118">
        <f>E98</f>
        <v>183041708</v>
      </c>
      <c r="F97" s="2">
        <v>2E-3</v>
      </c>
      <c r="G97" s="119">
        <f>F97*E97</f>
        <v>366083.41600000003</v>
      </c>
      <c r="H97" s="138">
        <v>2E-3</v>
      </c>
      <c r="I97" s="119">
        <f>H97*E97</f>
        <v>366083.41600000003</v>
      </c>
      <c r="J97" s="120">
        <f>IF(I$100=0,0,I97/I$100)</f>
        <v>6.3750200133664531E-2</v>
      </c>
      <c r="K97" s="120"/>
      <c r="L97" s="138">
        <f>ROUND(H97*S$100,3)</f>
        <v>2E-3</v>
      </c>
      <c r="M97" s="119">
        <f>L97*E97</f>
        <v>366083.41600000003</v>
      </c>
      <c r="N97" s="119">
        <f>M97-I97</f>
        <v>0</v>
      </c>
      <c r="O97" s="120">
        <f>IF(I97=0,0,N97/I97)</f>
        <v>0</v>
      </c>
      <c r="P97" s="120">
        <f>IF(M$100=0,0,M97/M$100)</f>
        <v>6.3750200133664531E-2</v>
      </c>
      <c r="Q97" s="121">
        <f>P97-J97</f>
        <v>0</v>
      </c>
      <c r="R97" s="121"/>
      <c r="T97" s="6">
        <f t="shared" ref="T97:T99" si="106">L97/H97-1</f>
        <v>0</v>
      </c>
    </row>
    <row r="98" spans="1:20" x14ac:dyDescent="0.2">
      <c r="A98" s="29">
        <f t="shared" si="74"/>
        <v>92</v>
      </c>
      <c r="D98" s="2" t="s">
        <v>85</v>
      </c>
      <c r="E98" s="118">
        <v>183041708</v>
      </c>
      <c r="F98" s="123">
        <v>3.9819018078655607E-2</v>
      </c>
      <c r="G98" s="119">
        <f t="shared" ref="G98" si="107">F98*E98</f>
        <v>7288541.080000001</v>
      </c>
      <c r="H98" s="123">
        <v>2.6530000000000001E-2</v>
      </c>
      <c r="I98" s="119">
        <f t="shared" ref="I98" si="108">H98*E98</f>
        <v>4856096.5132400002</v>
      </c>
      <c r="J98" s="120">
        <f>IF(I$100=0,0,I98/I$100)</f>
        <v>0.84564640477305997</v>
      </c>
      <c r="K98" s="120"/>
      <c r="L98" s="122">
        <f>ROUND(H98*S$100,5)</f>
        <v>2.6530000000000001E-2</v>
      </c>
      <c r="M98" s="119">
        <f t="shared" ref="M98" si="109">L98*E98</f>
        <v>4856096.5132400002</v>
      </c>
      <c r="N98" s="119">
        <f t="shared" ref="N98:N106" si="110">M98-I98</f>
        <v>0</v>
      </c>
      <c r="O98" s="120">
        <f t="shared" ref="O98" si="111">IF(I98=0,0,N98/I98)</f>
        <v>0</v>
      </c>
      <c r="P98" s="120">
        <f>IF(M$100=0,0,M98/M$100)</f>
        <v>0.84564640477305997</v>
      </c>
      <c r="Q98" s="121">
        <f t="shared" ref="Q98:Q100" si="112">P98-J98</f>
        <v>0</v>
      </c>
      <c r="R98" s="121"/>
      <c r="T98" s="6">
        <f t="shared" si="106"/>
        <v>0</v>
      </c>
    </row>
    <row r="99" spans="1:20" x14ac:dyDescent="0.2">
      <c r="A99" s="29">
        <f t="shared" si="74"/>
        <v>93</v>
      </c>
      <c r="D99" s="2" t="s">
        <v>90</v>
      </c>
      <c r="E99" s="118">
        <v>346858</v>
      </c>
      <c r="F99" s="115">
        <v>1.75</v>
      </c>
      <c r="G99" s="119">
        <f t="shared" ref="G99" si="113">F99*E99</f>
        <v>607001.5</v>
      </c>
      <c r="H99" s="115">
        <v>1.5</v>
      </c>
      <c r="I99" s="119">
        <f t="shared" ref="I99" si="114">H99*E99</f>
        <v>520287</v>
      </c>
      <c r="J99" s="120">
        <f>IF(I$100=0,0,I99/I$100)</f>
        <v>9.0603395093275446E-2</v>
      </c>
      <c r="K99" s="120"/>
      <c r="L99" s="115">
        <f>ROUND(H99*S$100,2)</f>
        <v>1.5</v>
      </c>
      <c r="M99" s="119">
        <f t="shared" ref="M99" si="115">L99*E99</f>
        <v>520287</v>
      </c>
      <c r="N99" s="119">
        <f t="shared" ref="N99" si="116">M99-I99</f>
        <v>0</v>
      </c>
      <c r="O99" s="120">
        <f t="shared" ref="O99" si="117">IF(I99=0,0,N99/I99)</f>
        <v>0</v>
      </c>
      <c r="P99" s="120">
        <f>IF(M$100=0,0,M99/M$100)</f>
        <v>9.0603395093275446E-2</v>
      </c>
      <c r="Q99" s="121">
        <f t="shared" ref="Q99" si="118">P99-J99</f>
        <v>0</v>
      </c>
      <c r="R99" s="121"/>
      <c r="T99" s="6">
        <f t="shared" si="106"/>
        <v>0</v>
      </c>
    </row>
    <row r="100" spans="1:20" s="7" customFormat="1" ht="20.45" customHeight="1" x14ac:dyDescent="0.25">
      <c r="A100" s="29">
        <f t="shared" si="74"/>
        <v>94</v>
      </c>
      <c r="C100" s="16"/>
      <c r="D100" s="18" t="s">
        <v>7</v>
      </c>
      <c r="E100" s="18"/>
      <c r="F100" s="18"/>
      <c r="G100" s="125">
        <f>SUM(G97:G99)</f>
        <v>8261625.9960000012</v>
      </c>
      <c r="H100" s="18"/>
      <c r="I100" s="125">
        <f>SUM(I97:I99)</f>
        <v>5742466.9292400004</v>
      </c>
      <c r="J100" s="126">
        <f>SUM(J97:J99)</f>
        <v>0.99999999999999989</v>
      </c>
      <c r="K100" s="127">
        <f>I100</f>
        <v>5742466.9292400004</v>
      </c>
      <c r="L100" s="18"/>
      <c r="M100" s="125">
        <f>SUM(M97:M99)</f>
        <v>5742466.9292400004</v>
      </c>
      <c r="N100" s="125">
        <f t="shared" si="110"/>
        <v>0</v>
      </c>
      <c r="O100" s="126">
        <f>IF(I100=0,0,N100/I100)</f>
        <v>0</v>
      </c>
      <c r="P100" s="126">
        <f>SUM(P97:P99)</f>
        <v>0.99999999999999989</v>
      </c>
      <c r="Q100" s="128">
        <f t="shared" si="112"/>
        <v>0</v>
      </c>
      <c r="R100" s="129">
        <f>M100-K100</f>
        <v>0</v>
      </c>
      <c r="S100" s="64">
        <v>1</v>
      </c>
    </row>
    <row r="101" spans="1:20" x14ac:dyDescent="0.2">
      <c r="A101" s="29">
        <f t="shared" si="74"/>
        <v>95</v>
      </c>
      <c r="D101" s="2" t="s">
        <v>27</v>
      </c>
      <c r="G101" s="119">
        <v>0</v>
      </c>
      <c r="I101" s="38">
        <v>0</v>
      </c>
      <c r="M101" s="119">
        <f>I101</f>
        <v>0</v>
      </c>
      <c r="N101" s="119">
        <f t="shared" si="110"/>
        <v>0</v>
      </c>
      <c r="O101" s="115">
        <v>0</v>
      </c>
    </row>
    <row r="102" spans="1:20" x14ac:dyDescent="0.2">
      <c r="A102" s="29">
        <f t="shared" si="74"/>
        <v>96</v>
      </c>
      <c r="D102" s="2" t="s">
        <v>28</v>
      </c>
      <c r="G102" s="119">
        <v>825168</v>
      </c>
      <c r="I102" s="38">
        <f t="shared" ref="I102:I104" si="119">G102</f>
        <v>825168</v>
      </c>
      <c r="M102" s="119">
        <f t="shared" ref="M102:M104" si="120">I102</f>
        <v>825168</v>
      </c>
      <c r="N102" s="119">
        <f t="shared" si="110"/>
        <v>0</v>
      </c>
      <c r="O102" s="115">
        <v>0</v>
      </c>
    </row>
    <row r="103" spans="1:20" x14ac:dyDescent="0.2">
      <c r="A103" s="29">
        <f t="shared" si="74"/>
        <v>97</v>
      </c>
      <c r="D103" s="2" t="s">
        <v>30</v>
      </c>
      <c r="G103" s="119">
        <v>0</v>
      </c>
      <c r="I103" s="38">
        <f t="shared" si="119"/>
        <v>0</v>
      </c>
      <c r="M103" s="119">
        <f t="shared" si="120"/>
        <v>0</v>
      </c>
      <c r="N103" s="119">
        <f t="shared" si="110"/>
        <v>0</v>
      </c>
      <c r="O103" s="115">
        <v>0</v>
      </c>
    </row>
    <row r="104" spans="1:20" x14ac:dyDescent="0.2">
      <c r="A104" s="29">
        <f t="shared" si="74"/>
        <v>98</v>
      </c>
      <c r="D104" s="2" t="s">
        <v>40</v>
      </c>
      <c r="G104" s="119">
        <v>0</v>
      </c>
      <c r="I104" s="38">
        <f t="shared" si="119"/>
        <v>0</v>
      </c>
      <c r="M104" s="119">
        <f t="shared" si="120"/>
        <v>0</v>
      </c>
      <c r="N104" s="119"/>
      <c r="O104" s="115"/>
    </row>
    <row r="105" spans="1:20" x14ac:dyDescent="0.2">
      <c r="A105" s="29">
        <f t="shared" si="74"/>
        <v>99</v>
      </c>
      <c r="D105" s="14" t="s">
        <v>9</v>
      </c>
      <c r="E105" s="14"/>
      <c r="F105" s="14"/>
      <c r="G105" s="131">
        <f>SUM(G101:G104)</f>
        <v>825168</v>
      </c>
      <c r="H105" s="14"/>
      <c r="I105" s="131">
        <f>SUM(I101:I104)</f>
        <v>825168</v>
      </c>
      <c r="J105" s="14"/>
      <c r="K105" s="14"/>
      <c r="L105" s="14"/>
      <c r="M105" s="131">
        <f>SUM(M101:M104)</f>
        <v>825168</v>
      </c>
      <c r="N105" s="131">
        <f t="shared" si="110"/>
        <v>0</v>
      </c>
      <c r="O105" s="132">
        <f t="shared" ref="O105" si="121">N105-J105</f>
        <v>0</v>
      </c>
    </row>
    <row r="106" spans="1:20" s="7" customFormat="1" ht="26.45" customHeight="1" thickBot="1" x14ac:dyDescent="0.25">
      <c r="A106" s="29">
        <f t="shared" si="74"/>
        <v>100</v>
      </c>
      <c r="C106" s="16"/>
      <c r="D106" s="8" t="s">
        <v>20</v>
      </c>
      <c r="E106" s="8"/>
      <c r="F106" s="8"/>
      <c r="G106" s="133">
        <f>G100+G105</f>
        <v>9086793.9960000012</v>
      </c>
      <c r="H106" s="8"/>
      <c r="I106" s="134">
        <f>I105+I100</f>
        <v>6567634.9292400004</v>
      </c>
      <c r="J106" s="8"/>
      <c r="K106" s="8"/>
      <c r="L106" s="8"/>
      <c r="M106" s="133">
        <f>M105+M100</f>
        <v>6567634.9292400004</v>
      </c>
      <c r="N106" s="133">
        <f t="shared" si="110"/>
        <v>0</v>
      </c>
      <c r="O106" s="135">
        <f>IF(I106=0,0,N106/I106)</f>
        <v>0</v>
      </c>
      <c r="P106" s="2"/>
      <c r="Q106" s="2"/>
      <c r="R106" s="2"/>
    </row>
    <row r="107" spans="1:20" ht="13.5" thickTop="1" x14ac:dyDescent="0.2">
      <c r="A107" s="29">
        <f t="shared" si="74"/>
        <v>101</v>
      </c>
      <c r="D107" s="15"/>
      <c r="E107" s="139">
        <f>E98/12</f>
        <v>15253475.666666666</v>
      </c>
      <c r="F107" s="15"/>
      <c r="G107" s="140">
        <f>G106/12</f>
        <v>757232.8330000001</v>
      </c>
      <c r="H107" s="15"/>
      <c r="I107" s="140">
        <f>I106/12</f>
        <v>547302.91077000007</v>
      </c>
      <c r="J107" s="15"/>
      <c r="K107" s="15"/>
      <c r="L107" s="15"/>
      <c r="M107" s="140">
        <f>M106/12</f>
        <v>547302.91077000007</v>
      </c>
      <c r="N107" s="141">
        <f>N106/12</f>
        <v>0</v>
      </c>
      <c r="O107" s="142">
        <f>O106</f>
        <v>0</v>
      </c>
      <c r="P107" s="15"/>
      <c r="Q107" s="15"/>
    </row>
    <row r="108" spans="1:20" ht="13.5" thickBot="1" x14ac:dyDescent="0.25">
      <c r="A108" s="29">
        <f t="shared" si="74"/>
        <v>102</v>
      </c>
    </row>
    <row r="109" spans="1:20" x14ac:dyDescent="0.2">
      <c r="A109" s="29">
        <f t="shared" si="74"/>
        <v>103</v>
      </c>
      <c r="B109" s="23" t="s">
        <v>74</v>
      </c>
      <c r="C109" s="24" t="s">
        <v>51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20" x14ac:dyDescent="0.2">
      <c r="A110" s="29">
        <f t="shared" si="74"/>
        <v>104</v>
      </c>
      <c r="B110" s="2" t="s">
        <v>146</v>
      </c>
      <c r="D110" s="2" t="s">
        <v>18</v>
      </c>
      <c r="E110" s="118">
        <v>12</v>
      </c>
      <c r="F110" s="115">
        <v>1268.17</v>
      </c>
      <c r="G110" s="119">
        <f>F110*E110</f>
        <v>15218.04</v>
      </c>
      <c r="H110" s="115">
        <v>1268.17</v>
      </c>
      <c r="I110" s="119">
        <f>H110*E110</f>
        <v>15218.04</v>
      </c>
      <c r="J110" s="120">
        <f>IF(I113=0,0,I110/I$113)</f>
        <v>2.173796273579727E-3</v>
      </c>
      <c r="K110" s="120"/>
      <c r="L110" s="115">
        <f>ROUND(H110*S$113,2)</f>
        <v>1393.13</v>
      </c>
      <c r="M110" s="119">
        <f>L110*E110</f>
        <v>16717.560000000001</v>
      </c>
      <c r="N110" s="119">
        <f>M110-I110</f>
        <v>1499.5200000000004</v>
      </c>
      <c r="O110" s="120">
        <f>IF(I110=0,0,N110/I110)</f>
        <v>9.8535685278787574E-2</v>
      </c>
      <c r="P110" s="120">
        <f>IF(M$113=0,0,M110/M$113)</f>
        <v>2.1739846612312545E-3</v>
      </c>
      <c r="Q110" s="121">
        <f>P110-J110</f>
        <v>1.8838765152755579E-7</v>
      </c>
      <c r="R110" s="121"/>
      <c r="T110" s="6">
        <f t="shared" ref="T110:T112" si="122">L110/H110-1</f>
        <v>9.8535685278787533E-2</v>
      </c>
    </row>
    <row r="111" spans="1:20" x14ac:dyDescent="0.2">
      <c r="A111" s="29">
        <f t="shared" si="74"/>
        <v>105</v>
      </c>
      <c r="B111" s="2" t="s">
        <v>145</v>
      </c>
      <c r="D111" s="2" t="s">
        <v>85</v>
      </c>
      <c r="E111" s="118">
        <f>53233269+48191802</f>
        <v>101425071</v>
      </c>
      <c r="F111" s="122">
        <f>H111-H$261</f>
        <v>4.2610000000000002E-2</v>
      </c>
      <c r="G111" s="119">
        <f t="shared" ref="G111:G112" si="123">F111*E111</f>
        <v>4321722.2753100004</v>
      </c>
      <c r="H111" s="123">
        <v>5.4300000000000001E-2</v>
      </c>
      <c r="I111" s="119">
        <f t="shared" ref="I111:I112" si="124">H111*E111</f>
        <v>5507381.3552999999</v>
      </c>
      <c r="J111" s="120">
        <f>IF(I114=0,0,I111/I$113)</f>
        <v>0.78669296882736583</v>
      </c>
      <c r="K111" s="120"/>
      <c r="L111" s="122">
        <f>ROUND(H111*S$113,5)</f>
        <v>5.9650000000000002E-2</v>
      </c>
      <c r="M111" s="119">
        <f t="shared" ref="M111:M112" si="125">L111*E111</f>
        <v>6050005.4851500001</v>
      </c>
      <c r="N111" s="119">
        <f t="shared" ref="N111:N116" si="126">M111-I111</f>
        <v>542624.12985000014</v>
      </c>
      <c r="O111" s="120">
        <f t="shared" ref="O111:O112" si="127">IF(I111=0,0,N111/I111)</f>
        <v>9.8526703499079216E-2</v>
      </c>
      <c r="P111" s="120">
        <f>IF(M$113=0,0,M111/M$113)</f>
        <v>0.78675471331229274</v>
      </c>
      <c r="Q111" s="121">
        <f t="shared" ref="Q111:Q113" si="128">P111-J111</f>
        <v>6.1744484926906651E-5</v>
      </c>
      <c r="R111" s="121"/>
      <c r="T111" s="6">
        <f t="shared" si="122"/>
        <v>9.8526703499079105E-2</v>
      </c>
    </row>
    <row r="112" spans="1:20" x14ac:dyDescent="0.2">
      <c r="A112" s="29">
        <f t="shared" si="74"/>
        <v>106</v>
      </c>
      <c r="D112" s="2" t="s">
        <v>91</v>
      </c>
      <c r="E112" s="118">
        <f>90552+108114</f>
        <v>198666</v>
      </c>
      <c r="F112" s="115">
        <v>7.44</v>
      </c>
      <c r="G112" s="119">
        <f t="shared" si="123"/>
        <v>1478075.04</v>
      </c>
      <c r="H112" s="115">
        <v>7.44</v>
      </c>
      <c r="I112" s="119">
        <f t="shared" si="124"/>
        <v>1478075.04</v>
      </c>
      <c r="J112" s="120">
        <f>IF(I115=0,0,I112/I$113)</f>
        <v>0.21113323489905442</v>
      </c>
      <c r="K112" s="120"/>
      <c r="L112" s="115">
        <f>ROUND(H112*S$113,2)</f>
        <v>8.17</v>
      </c>
      <c r="M112" s="119">
        <f t="shared" si="125"/>
        <v>1623101.22</v>
      </c>
      <c r="N112" s="119">
        <f t="shared" si="126"/>
        <v>145026.17999999993</v>
      </c>
      <c r="O112" s="120">
        <f t="shared" si="127"/>
        <v>9.8118279569892428E-2</v>
      </c>
      <c r="P112" s="120">
        <f>IF(M$113=0,0,M112/M$113)</f>
        <v>0.21107130202647609</v>
      </c>
      <c r="Q112" s="121">
        <f t="shared" si="128"/>
        <v>-6.193287257832969E-5</v>
      </c>
      <c r="R112" s="121"/>
      <c r="T112" s="6">
        <f t="shared" si="122"/>
        <v>9.8118279569892497E-2</v>
      </c>
    </row>
    <row r="113" spans="1:22" s="7" customFormat="1" ht="20.45" customHeight="1" x14ac:dyDescent="0.25">
      <c r="A113" s="29">
        <f t="shared" si="74"/>
        <v>107</v>
      </c>
      <c r="C113" s="16"/>
      <c r="D113" s="18" t="s">
        <v>7</v>
      </c>
      <c r="E113" s="18"/>
      <c r="F113" s="18"/>
      <c r="G113" s="125">
        <f>SUM(G110:G112)</f>
        <v>5815015.3553100005</v>
      </c>
      <c r="H113" s="18"/>
      <c r="I113" s="125">
        <f>SUM(I110:I112)</f>
        <v>7000674.4353</v>
      </c>
      <c r="J113" s="126">
        <f>SUM(J110:J112)</f>
        <v>1</v>
      </c>
      <c r="K113" s="127">
        <f>I113+Summary!I25</f>
        <v>7690464.4452999998</v>
      </c>
      <c r="L113" s="18"/>
      <c r="M113" s="125">
        <f>SUM(M110:M112)</f>
        <v>7689824.2651499994</v>
      </c>
      <c r="N113" s="125">
        <f t="shared" si="126"/>
        <v>689149.8298499994</v>
      </c>
      <c r="O113" s="126">
        <f>IF(I113=0,0,N113/I113)</f>
        <v>9.8440491158258994E-2</v>
      </c>
      <c r="P113" s="126">
        <f>SUM(P110:P112)</f>
        <v>1.0000000000000002</v>
      </c>
      <c r="Q113" s="128">
        <f t="shared" si="128"/>
        <v>0</v>
      </c>
      <c r="R113" s="129">
        <f>M113-K113</f>
        <v>-640.18015000037849</v>
      </c>
      <c r="S113" s="7">
        <f>IF(I113=0,0,K113/I113)</f>
        <v>1.0985319366548203</v>
      </c>
    </row>
    <row r="114" spans="1:22" x14ac:dyDescent="0.2">
      <c r="A114" s="29">
        <f t="shared" si="74"/>
        <v>108</v>
      </c>
      <c r="D114" s="2" t="s">
        <v>27</v>
      </c>
      <c r="G114" s="119">
        <f>622546.03+510933.22</f>
        <v>1133479.25</v>
      </c>
      <c r="I114" s="38">
        <f>G114-($H$261*E111)</f>
        <v>-52179.829989999998</v>
      </c>
      <c r="K114" s="38"/>
      <c r="M114" s="119">
        <f>I114</f>
        <v>-52179.829989999998</v>
      </c>
      <c r="N114" s="119">
        <f t="shared" si="126"/>
        <v>0</v>
      </c>
      <c r="O114" s="115">
        <v>0</v>
      </c>
    </row>
    <row r="115" spans="1:22" x14ac:dyDescent="0.2">
      <c r="A115" s="29">
        <f t="shared" si="74"/>
        <v>109</v>
      </c>
      <c r="D115" s="2" t="s">
        <v>28</v>
      </c>
      <c r="G115" s="119">
        <f>526346+477939</f>
        <v>1004285</v>
      </c>
      <c r="I115" s="38">
        <f t="shared" ref="I115:I117" si="129">G115</f>
        <v>1004285</v>
      </c>
      <c r="M115" s="119">
        <f t="shared" ref="M115:M117" si="130">I115</f>
        <v>1004285</v>
      </c>
      <c r="N115" s="119">
        <f t="shared" si="126"/>
        <v>0</v>
      </c>
      <c r="O115" s="115">
        <v>0</v>
      </c>
    </row>
    <row r="116" spans="1:22" x14ac:dyDescent="0.2">
      <c r="A116" s="29">
        <f t="shared" si="74"/>
        <v>110</v>
      </c>
      <c r="D116" s="2" t="s">
        <v>30</v>
      </c>
      <c r="G116" s="119">
        <v>0</v>
      </c>
      <c r="I116" s="38">
        <f t="shared" si="129"/>
        <v>0</v>
      </c>
      <c r="M116" s="119">
        <f t="shared" si="130"/>
        <v>0</v>
      </c>
      <c r="N116" s="119">
        <f t="shared" si="126"/>
        <v>0</v>
      </c>
      <c r="O116" s="115">
        <v>0</v>
      </c>
    </row>
    <row r="117" spans="1:22" x14ac:dyDescent="0.2">
      <c r="A117" s="29">
        <f t="shared" si="74"/>
        <v>111</v>
      </c>
      <c r="D117" s="2" t="s">
        <v>40</v>
      </c>
      <c r="G117" s="119">
        <v>0</v>
      </c>
      <c r="I117" s="38">
        <f t="shared" si="129"/>
        <v>0</v>
      </c>
      <c r="M117" s="119">
        <f t="shared" si="130"/>
        <v>0</v>
      </c>
      <c r="N117" s="119"/>
      <c r="O117" s="115"/>
    </row>
    <row r="118" spans="1:22" x14ac:dyDescent="0.2">
      <c r="A118" s="29">
        <f t="shared" si="74"/>
        <v>112</v>
      </c>
      <c r="D118" s="14" t="s">
        <v>9</v>
      </c>
      <c r="E118" s="14"/>
      <c r="F118" s="14"/>
      <c r="G118" s="131">
        <f>SUM(G114:G117)</f>
        <v>2137764.25</v>
      </c>
      <c r="H118" s="14"/>
      <c r="I118" s="131">
        <f>SUM(I114:I117)</f>
        <v>952105.17001</v>
      </c>
      <c r="J118" s="14"/>
      <c r="K118" s="14"/>
      <c r="L118" s="14"/>
      <c r="M118" s="131">
        <f>SUM(M114:M117)</f>
        <v>952105.17001</v>
      </c>
      <c r="N118" s="131">
        <f t="shared" ref="N118:N119" si="131">M118-I118</f>
        <v>0</v>
      </c>
      <c r="O118" s="132">
        <f t="shared" ref="O118" si="132">N118-J118</f>
        <v>0</v>
      </c>
    </row>
    <row r="119" spans="1:22" s="7" customFormat="1" ht="26.45" customHeight="1" thickBot="1" x14ac:dyDescent="0.25">
      <c r="A119" s="29">
        <f t="shared" si="74"/>
        <v>113</v>
      </c>
      <c r="C119" s="16"/>
      <c r="D119" s="8" t="s">
        <v>20</v>
      </c>
      <c r="E119" s="8"/>
      <c r="F119" s="8"/>
      <c r="G119" s="133">
        <f>G113+G118</f>
        <v>7952779.6053100005</v>
      </c>
      <c r="H119" s="8"/>
      <c r="I119" s="134">
        <f>I118+I113</f>
        <v>7952779.6053100005</v>
      </c>
      <c r="J119" s="8"/>
      <c r="K119" s="8"/>
      <c r="L119" s="8"/>
      <c r="M119" s="133">
        <f>M118+M113</f>
        <v>8641929.4351599999</v>
      </c>
      <c r="N119" s="133">
        <f t="shared" si="131"/>
        <v>689149.8298499994</v>
      </c>
      <c r="O119" s="135">
        <f>IF(I119=0,0,N119/I119)</f>
        <v>8.6655215415483183E-2</v>
      </c>
      <c r="P119" s="2"/>
      <c r="Q119" s="2"/>
      <c r="R119" s="2"/>
    </row>
    <row r="120" spans="1:22" ht="13.5" thickTop="1" x14ac:dyDescent="0.2">
      <c r="A120" s="29">
        <f t="shared" si="74"/>
        <v>114</v>
      </c>
      <c r="D120" s="15"/>
      <c r="E120" s="143">
        <f>E111/(E110+12)</f>
        <v>4226044.625</v>
      </c>
      <c r="F120" s="144"/>
      <c r="G120" s="144">
        <f>G119/(E110+1)</f>
        <v>611752.2773315385</v>
      </c>
      <c r="H120" s="144"/>
      <c r="I120" s="144">
        <f>I119/(E110+1)</f>
        <v>611752.2773315385</v>
      </c>
      <c r="J120" s="144"/>
      <c r="K120" s="144"/>
      <c r="L120" s="144"/>
      <c r="M120" s="144">
        <f>M119/(E110+1)</f>
        <v>664763.8027046154</v>
      </c>
      <c r="N120" s="144">
        <f>N119/(E110+1)</f>
        <v>53011.525373076875</v>
      </c>
      <c r="O120" s="142">
        <f>O119</f>
        <v>8.6655215415483183E-2</v>
      </c>
      <c r="P120" s="15"/>
      <c r="Q120" s="15"/>
    </row>
    <row r="121" spans="1:22" ht="13.5" thickBot="1" x14ac:dyDescent="0.25">
      <c r="A121" s="29">
        <f t="shared" si="74"/>
        <v>115</v>
      </c>
    </row>
    <row r="122" spans="1:22" x14ac:dyDescent="0.2">
      <c r="A122" s="29">
        <f t="shared" si="74"/>
        <v>116</v>
      </c>
      <c r="B122" s="23" t="s">
        <v>165</v>
      </c>
      <c r="C122" s="24" t="s">
        <v>52</v>
      </c>
      <c r="D122" s="98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1:22" x14ac:dyDescent="0.2">
      <c r="A123" s="29">
        <f t="shared" si="74"/>
        <v>117</v>
      </c>
      <c r="B123" s="86" t="s">
        <v>142</v>
      </c>
      <c r="D123" s="2" t="s">
        <v>18</v>
      </c>
      <c r="E123" s="118">
        <v>12</v>
      </c>
      <c r="F123" s="115">
        <f>H123</f>
        <v>5727</v>
      </c>
      <c r="G123" s="119">
        <f>F123*E123</f>
        <v>68724</v>
      </c>
      <c r="H123" s="115">
        <v>5727</v>
      </c>
      <c r="I123" s="119">
        <f>H123*E123</f>
        <v>68724</v>
      </c>
      <c r="J123" s="120">
        <f>I123/I$128</f>
        <v>2.6155540494214979E-2</v>
      </c>
      <c r="K123" s="120"/>
      <c r="L123" s="115">
        <v>6127.6</v>
      </c>
      <c r="M123" s="119">
        <f>L123*E123</f>
        <v>73531.200000000012</v>
      </c>
      <c r="N123" s="119">
        <f>M123-I123</f>
        <v>4807.2000000000116</v>
      </c>
      <c r="O123" s="120">
        <f>IF(I123=0,0,N123/I123)</f>
        <v>6.994936266806373E-2</v>
      </c>
      <c r="P123" s="120">
        <f>M123/M$128</f>
        <v>2.5961493636609836E-2</v>
      </c>
      <c r="Q123" s="121">
        <f>P123-J123</f>
        <v>-1.9404685760514295E-4</v>
      </c>
      <c r="R123" s="121"/>
      <c r="T123" s="6">
        <f>L123/H123-1</f>
        <v>6.9949362668063619E-2</v>
      </c>
      <c r="V123" s="38">
        <f>I123+I124+I125+I126</f>
        <v>2868138.5332399998</v>
      </c>
    </row>
    <row r="124" spans="1:22" x14ac:dyDescent="0.2">
      <c r="A124" s="29">
        <f t="shared" si="74"/>
        <v>118</v>
      </c>
      <c r="D124" s="2" t="s">
        <v>85</v>
      </c>
      <c r="E124" s="118">
        <v>40842734</v>
      </c>
      <c r="F124" s="122">
        <f>H124-H$261</f>
        <v>4.2169999999999999E-2</v>
      </c>
      <c r="G124" s="119">
        <f t="shared" ref="G124:G126" si="133">F124*E124</f>
        <v>1722338.0927800001</v>
      </c>
      <c r="H124" s="123">
        <v>5.3859999999999998E-2</v>
      </c>
      <c r="I124" s="119">
        <f t="shared" ref="I124:I127" si="134">H124*E124</f>
        <v>2199789.6532399999</v>
      </c>
      <c r="J124" s="120">
        <f>I124/I$128</f>
        <v>0.83721388967571653</v>
      </c>
      <c r="K124" s="120"/>
      <c r="L124" s="122">
        <f>ROUND(H124*V126,5)</f>
        <v>5.7709999999999997E-2</v>
      </c>
      <c r="M124" s="119">
        <f t="shared" ref="M124:M126" si="135">L124*E124</f>
        <v>2357034.1791399997</v>
      </c>
      <c r="N124" s="119">
        <f t="shared" ref="N124:N131" si="136">M124-I124</f>
        <v>157244.52589999977</v>
      </c>
      <c r="O124" s="120">
        <f t="shared" ref="O124:O126" si="137">IF(I124=0,0,N124/I124)</f>
        <v>7.1481619012253889E-2</v>
      </c>
      <c r="P124" s="120">
        <f>M124/M$128</f>
        <v>0.83219269973854615</v>
      </c>
      <c r="Q124" s="121">
        <f t="shared" ref="Q124:Q128" si="138">P124-J124</f>
        <v>-5.0211899371703783E-3</v>
      </c>
      <c r="R124" s="121"/>
      <c r="T124" s="6">
        <f>L124/H124-1</f>
        <v>7.1481619012254027E-2</v>
      </c>
      <c r="V124" s="38">
        <f>(K128-I128)</f>
        <v>205257.10999999987</v>
      </c>
    </row>
    <row r="125" spans="1:22" x14ac:dyDescent="0.2">
      <c r="A125" s="29">
        <f t="shared" si="74"/>
        <v>119</v>
      </c>
      <c r="B125" s="112"/>
      <c r="D125" s="2" t="s">
        <v>91</v>
      </c>
      <c r="E125" s="118">
        <v>53500</v>
      </c>
      <c r="F125" s="115">
        <v>7.44</v>
      </c>
      <c r="G125" s="119">
        <f t="shared" si="133"/>
        <v>398040</v>
      </c>
      <c r="H125" s="115">
        <v>7.44</v>
      </c>
      <c r="I125" s="119">
        <f t="shared" si="134"/>
        <v>398040</v>
      </c>
      <c r="J125" s="120">
        <f>I125/I$128</f>
        <v>0.15148930996911311</v>
      </c>
      <c r="K125" s="120"/>
      <c r="L125" s="115">
        <f>ROUND(H125*V126,2)</f>
        <v>7.97</v>
      </c>
      <c r="M125" s="119">
        <f t="shared" si="135"/>
        <v>426395</v>
      </c>
      <c r="N125" s="119">
        <f t="shared" si="136"/>
        <v>28355</v>
      </c>
      <c r="O125" s="120">
        <f t="shared" si="137"/>
        <v>7.1236559139784952E-2</v>
      </c>
      <c r="P125" s="120">
        <f>M125/M$128</f>
        <v>0.15054631339053695</v>
      </c>
      <c r="Q125" s="121">
        <f t="shared" si="138"/>
        <v>-9.429965785761607E-4</v>
      </c>
      <c r="R125" s="121"/>
      <c r="T125" s="6">
        <f>L125/H125-1</f>
        <v>7.1236559139784772E-2</v>
      </c>
      <c r="V125" s="2">
        <f>V124/V123</f>
        <v>7.1564573196584991E-2</v>
      </c>
    </row>
    <row r="126" spans="1:22" x14ac:dyDescent="0.2">
      <c r="A126" s="29">
        <f t="shared" si="74"/>
        <v>120</v>
      </c>
      <c r="B126" s="112"/>
      <c r="D126" s="2" t="s">
        <v>111</v>
      </c>
      <c r="E126" s="118">
        <f>72958-E125</f>
        <v>19458</v>
      </c>
      <c r="F126" s="115">
        <v>10.36</v>
      </c>
      <c r="G126" s="119">
        <f t="shared" si="133"/>
        <v>201584.87999999998</v>
      </c>
      <c r="H126" s="115">
        <v>10.36</v>
      </c>
      <c r="I126" s="119">
        <f t="shared" si="134"/>
        <v>201584.87999999998</v>
      </c>
      <c r="J126" s="120">
        <f>I126/I$128</f>
        <v>7.6720817936404548E-2</v>
      </c>
      <c r="K126" s="120"/>
      <c r="L126" s="115">
        <f>ROUND(H126*V126,2)</f>
        <v>11.1</v>
      </c>
      <c r="M126" s="119">
        <f t="shared" si="135"/>
        <v>215983.8</v>
      </c>
      <c r="N126" s="119">
        <f t="shared" si="136"/>
        <v>14398.920000000013</v>
      </c>
      <c r="O126" s="120">
        <f t="shared" si="137"/>
        <v>7.1428571428571494E-2</v>
      </c>
      <c r="P126" s="120">
        <f>M126/M$128</f>
        <v>7.6256909302592782E-2</v>
      </c>
      <c r="Q126" s="121">
        <f t="shared" si="138"/>
        <v>-4.6390863381176595E-4</v>
      </c>
      <c r="R126" s="121"/>
      <c r="T126" s="6">
        <f>L126/H126-1</f>
        <v>7.1428571428571397E-2</v>
      </c>
      <c r="V126" s="2">
        <f>V125+1</f>
        <v>1.071564573196585</v>
      </c>
    </row>
    <row r="127" spans="1:22" x14ac:dyDescent="0.2">
      <c r="A127" s="29">
        <f t="shared" si="74"/>
        <v>121</v>
      </c>
      <c r="B127" s="112"/>
      <c r="D127" s="2" t="s">
        <v>144</v>
      </c>
      <c r="E127" s="118">
        <f>G127/F127</f>
        <v>42969</v>
      </c>
      <c r="F127" s="115">
        <v>-5.6</v>
      </c>
      <c r="G127" s="119">
        <v>-240626.4</v>
      </c>
      <c r="H127" s="115">
        <v>-5.6</v>
      </c>
      <c r="I127" s="119">
        <f t="shared" si="134"/>
        <v>-240626.4</v>
      </c>
      <c r="J127" s="120">
        <f>I127/I$128</f>
        <v>-9.1579558075449208E-2</v>
      </c>
      <c r="K127" s="120"/>
      <c r="L127" s="115">
        <f>H127</f>
        <v>-5.6</v>
      </c>
      <c r="M127" s="119">
        <f t="shared" ref="M127" si="139">L127*E127</f>
        <v>-240626.4</v>
      </c>
      <c r="N127" s="119">
        <f t="shared" ref="N127" si="140">M127-I127</f>
        <v>0</v>
      </c>
      <c r="O127" s="120">
        <f t="shared" ref="O127" si="141">IF(I127=0,0,N127/I127)</f>
        <v>0</v>
      </c>
      <c r="P127" s="120">
        <f>M127/M$128</f>
        <v>-8.4957416068285732E-2</v>
      </c>
      <c r="Q127" s="121">
        <f t="shared" si="138"/>
        <v>6.6221420071634757E-3</v>
      </c>
      <c r="R127" s="121"/>
      <c r="T127" s="6"/>
    </row>
    <row r="128" spans="1:22" ht="21" customHeight="1" x14ac:dyDescent="0.2">
      <c r="A128" s="29">
        <f t="shared" si="74"/>
        <v>122</v>
      </c>
      <c r="B128" s="112"/>
      <c r="C128" s="16"/>
      <c r="D128" s="101" t="s">
        <v>7</v>
      </c>
      <c r="E128" s="18"/>
      <c r="F128" s="18"/>
      <c r="G128" s="125">
        <f>SUM(G123:G127)</f>
        <v>2150060.57278</v>
      </c>
      <c r="H128" s="18"/>
      <c r="I128" s="125">
        <f>SUM(I123:I127)</f>
        <v>2627512.1332399999</v>
      </c>
      <c r="J128" s="126">
        <f>SUM(J123:J127)</f>
        <v>0.99999999999999978</v>
      </c>
      <c r="K128" s="127">
        <f>I128+Summary!I26</f>
        <v>2832769.2432399997</v>
      </c>
      <c r="L128" s="18"/>
      <c r="M128" s="125">
        <f>SUM(M123:M127)</f>
        <v>2832317.7791399998</v>
      </c>
      <c r="N128" s="125">
        <f t="shared" si="136"/>
        <v>204805.64589999989</v>
      </c>
      <c r="O128" s="126">
        <f t="shared" ref="O128" si="142">N128/I128</f>
        <v>7.7946603294064679E-2</v>
      </c>
      <c r="P128" s="126">
        <f>SUM(P123:P126)</f>
        <v>1.0849574160682858</v>
      </c>
      <c r="Q128" s="128">
        <f t="shared" si="138"/>
        <v>8.4957416068285996E-2</v>
      </c>
      <c r="R128" s="129">
        <f>M128-K128</f>
        <v>-451.46409999998286</v>
      </c>
      <c r="S128" s="113">
        <f>K128/I128</f>
        <v>1.0781184251837863</v>
      </c>
      <c r="T128" s="7"/>
    </row>
    <row r="129" spans="1:20" x14ac:dyDescent="0.2">
      <c r="A129" s="29">
        <f t="shared" si="74"/>
        <v>123</v>
      </c>
      <c r="B129" s="112"/>
      <c r="D129" s="86" t="s">
        <v>27</v>
      </c>
      <c r="G129" s="119">
        <v>467138.87999999995</v>
      </c>
      <c r="I129" s="38">
        <f>G129-($H$261*(E124+E125+E126))</f>
        <v>-11165.559480000113</v>
      </c>
      <c r="K129" s="38"/>
      <c r="M129" s="119">
        <f>I129</f>
        <v>-11165.559480000113</v>
      </c>
      <c r="N129" s="119">
        <f t="shared" si="136"/>
        <v>0</v>
      </c>
      <c r="O129" s="115">
        <v>0</v>
      </c>
    </row>
    <row r="130" spans="1:20" x14ac:dyDescent="0.2">
      <c r="A130" s="29">
        <f t="shared" si="74"/>
        <v>124</v>
      </c>
      <c r="B130" s="112"/>
      <c r="D130" s="86" t="s">
        <v>28</v>
      </c>
      <c r="G130" s="119">
        <v>356360</v>
      </c>
      <c r="I130" s="38">
        <f t="shared" ref="I130:I132" si="143">G130</f>
        <v>356360</v>
      </c>
      <c r="M130" s="119">
        <f t="shared" ref="M130:M132" si="144">I130</f>
        <v>356360</v>
      </c>
      <c r="N130" s="119">
        <f t="shared" si="136"/>
        <v>0</v>
      </c>
      <c r="O130" s="115">
        <v>0</v>
      </c>
    </row>
    <row r="131" spans="1:20" x14ac:dyDescent="0.2">
      <c r="A131" s="29">
        <f t="shared" si="74"/>
        <v>125</v>
      </c>
      <c r="B131" s="86"/>
      <c r="D131" s="86" t="s">
        <v>143</v>
      </c>
      <c r="G131" s="119">
        <v>-94429.860000000015</v>
      </c>
      <c r="I131" s="38">
        <f t="shared" si="143"/>
        <v>-94429.860000000015</v>
      </c>
      <c r="M131" s="119">
        <f t="shared" si="144"/>
        <v>-94429.860000000015</v>
      </c>
      <c r="N131" s="119">
        <f t="shared" si="136"/>
        <v>0</v>
      </c>
      <c r="O131" s="115">
        <v>0</v>
      </c>
    </row>
    <row r="132" spans="1:20" x14ac:dyDescent="0.2">
      <c r="A132" s="29">
        <f t="shared" si="74"/>
        <v>126</v>
      </c>
      <c r="B132" s="86"/>
      <c r="D132" s="86" t="s">
        <v>40</v>
      </c>
      <c r="G132" s="119">
        <v>0</v>
      </c>
      <c r="I132" s="38">
        <f t="shared" si="143"/>
        <v>0</v>
      </c>
      <c r="M132" s="119">
        <f t="shared" si="144"/>
        <v>0</v>
      </c>
      <c r="N132" s="119"/>
      <c r="O132" s="115"/>
    </row>
    <row r="133" spans="1:20" x14ac:dyDescent="0.2">
      <c r="A133" s="29">
        <f t="shared" si="74"/>
        <v>127</v>
      </c>
      <c r="B133" s="86"/>
      <c r="D133" s="99" t="s">
        <v>9</v>
      </c>
      <c r="E133" s="14"/>
      <c r="F133" s="14"/>
      <c r="G133" s="131">
        <f>SUM(G129:G132)</f>
        <v>729069.0199999999</v>
      </c>
      <c r="H133" s="14"/>
      <c r="I133" s="131">
        <f>SUM(I129:I132)</f>
        <v>250764.58051999987</v>
      </c>
      <c r="J133" s="14"/>
      <c r="K133" s="14"/>
      <c r="L133" s="14"/>
      <c r="M133" s="131">
        <f>SUM(M129:M132)</f>
        <v>250764.58051999987</v>
      </c>
      <c r="N133" s="131">
        <f t="shared" ref="N133:N135" si="145">M133-I133</f>
        <v>0</v>
      </c>
      <c r="O133" s="132">
        <f t="shared" ref="O133" si="146">N133-J133</f>
        <v>0</v>
      </c>
    </row>
    <row r="134" spans="1:20" ht="24.75" customHeight="1" thickBot="1" x14ac:dyDescent="0.25">
      <c r="A134" s="29">
        <f t="shared" si="74"/>
        <v>128</v>
      </c>
      <c r="B134" s="102"/>
      <c r="C134" s="16"/>
      <c r="D134" s="100" t="s">
        <v>20</v>
      </c>
      <c r="E134" s="8"/>
      <c r="F134" s="8"/>
      <c r="G134" s="133">
        <f>G128+G133</f>
        <v>2879129.5927800001</v>
      </c>
      <c r="H134" s="8"/>
      <c r="I134" s="134">
        <f>I133+I128</f>
        <v>2878276.7137599997</v>
      </c>
      <c r="J134" s="8"/>
      <c r="K134" s="8"/>
      <c r="L134" s="8"/>
      <c r="M134" s="133">
        <f>M133+M128</f>
        <v>3083082.3596599996</v>
      </c>
      <c r="N134" s="133">
        <f t="shared" si="145"/>
        <v>204805.64589999989</v>
      </c>
      <c r="O134" s="135">
        <f>N134/I134</f>
        <v>7.1155648420076559E-2</v>
      </c>
      <c r="S134" s="7"/>
      <c r="T134" s="7"/>
    </row>
    <row r="135" spans="1:20" ht="13.5" thickTop="1" x14ac:dyDescent="0.2">
      <c r="A135" s="29">
        <f t="shared" si="74"/>
        <v>129</v>
      </c>
      <c r="B135" s="86"/>
      <c r="D135" s="86" t="s">
        <v>19</v>
      </c>
      <c r="E135" s="115">
        <f>(E124+E125+E126)/E123</f>
        <v>3409641</v>
      </c>
      <c r="G135" s="136">
        <f>G134/E123</f>
        <v>239927.46606500002</v>
      </c>
      <c r="I135" s="136">
        <f>I134/E123</f>
        <v>239856.39281333331</v>
      </c>
      <c r="M135" s="136">
        <f>M134/E123</f>
        <v>256923.52997166663</v>
      </c>
      <c r="N135" s="136">
        <f t="shared" si="145"/>
        <v>17067.137158333324</v>
      </c>
      <c r="O135" s="120">
        <f>N135/I135</f>
        <v>7.1155648420076559E-2</v>
      </c>
    </row>
    <row r="136" spans="1:20" ht="13.5" thickBot="1" x14ac:dyDescent="0.25">
      <c r="A136" s="29">
        <f t="shared" si="74"/>
        <v>130</v>
      </c>
      <c r="B136" s="86"/>
      <c r="D136" s="86"/>
      <c r="G136" s="136"/>
      <c r="I136" s="136"/>
      <c r="M136" s="136"/>
      <c r="N136" s="136"/>
      <c r="O136" s="120"/>
    </row>
    <row r="137" spans="1:20" x14ac:dyDescent="0.2">
      <c r="A137" s="29">
        <f t="shared" ref="A137:A200" si="147">A136+1</f>
        <v>131</v>
      </c>
      <c r="B137" s="23" t="s">
        <v>31</v>
      </c>
      <c r="C137" s="24" t="s">
        <v>53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1:20" ht="14.25" x14ac:dyDescent="0.2">
      <c r="A138" s="29">
        <f t="shared" si="147"/>
        <v>132</v>
      </c>
      <c r="B138" s="26" t="s">
        <v>65</v>
      </c>
      <c r="C138" s="151" t="s">
        <v>92</v>
      </c>
      <c r="E138" s="118">
        <v>8077</v>
      </c>
      <c r="F138" s="115">
        <v>8.98</v>
      </c>
      <c r="G138" s="119">
        <f t="shared" ref="G138" si="148">F138*E138</f>
        <v>72531.460000000006</v>
      </c>
      <c r="H138" s="115">
        <v>9.7899999999999991</v>
      </c>
      <c r="I138" s="119">
        <f t="shared" ref="I138" si="149">H138*E138</f>
        <v>79073.829999999987</v>
      </c>
      <c r="J138" s="120">
        <f t="shared" ref="J138:J154" si="150">I138/I$155</f>
        <v>6.7766629101302225E-2</v>
      </c>
      <c r="K138" s="120"/>
      <c r="L138" s="115">
        <f t="shared" ref="L138:L154" si="151">ROUND(H138*S$155,2)</f>
        <v>10.17</v>
      </c>
      <c r="M138" s="119">
        <f t="shared" ref="M138" si="152">L138*E138</f>
        <v>82143.09</v>
      </c>
      <c r="N138" s="119">
        <f t="shared" ref="N138" si="153">M138-I138</f>
        <v>3069.2600000000093</v>
      </c>
      <c r="O138" s="120">
        <f t="shared" ref="O138" si="154">IF(I138=0,0,N138/I138)</f>
        <v>3.8815117466802981E-2</v>
      </c>
      <c r="P138" s="120">
        <f t="shared" ref="P138:P154" si="155">M138/M$155</f>
        <v>6.7788192528356855E-2</v>
      </c>
      <c r="Q138" s="121">
        <f t="shared" ref="Q138" si="156">P138-J138</f>
        <v>2.1563427054629991E-5</v>
      </c>
      <c r="R138" s="121"/>
      <c r="T138" s="6">
        <f>L138/H138-1</f>
        <v>3.8815117466802995E-2</v>
      </c>
    </row>
    <row r="139" spans="1:20" ht="14.25" x14ac:dyDescent="0.2">
      <c r="A139" s="29">
        <f t="shared" si="147"/>
        <v>133</v>
      </c>
      <c r="B139" s="26" t="s">
        <v>65</v>
      </c>
      <c r="C139" s="151" t="s">
        <v>161</v>
      </c>
      <c r="E139" s="118">
        <v>0</v>
      </c>
      <c r="F139" s="115">
        <v>20.48</v>
      </c>
      <c r="G139" s="119">
        <f t="shared" ref="G139:G142" si="157">F139*E139</f>
        <v>0</v>
      </c>
      <c r="H139" s="115">
        <v>21.29</v>
      </c>
      <c r="I139" s="119">
        <f t="shared" ref="I139:I142" si="158">H139*E139</f>
        <v>0</v>
      </c>
      <c r="J139" s="120">
        <f t="shared" si="150"/>
        <v>0</v>
      </c>
      <c r="K139" s="120"/>
      <c r="L139" s="115">
        <f t="shared" si="151"/>
        <v>22.12</v>
      </c>
      <c r="M139" s="119">
        <f t="shared" ref="M139:M142" si="159">L139*E139</f>
        <v>0</v>
      </c>
      <c r="N139" s="119">
        <f t="shared" ref="N139:N142" si="160">M139-I139</f>
        <v>0</v>
      </c>
      <c r="O139" s="120">
        <f t="shared" ref="O139:O142" si="161">IF(I139=0,0,N139/I139)</f>
        <v>0</v>
      </c>
      <c r="P139" s="120">
        <f t="shared" si="155"/>
        <v>0</v>
      </c>
      <c r="Q139" s="121">
        <f t="shared" ref="Q139:Q142" si="162">P139-J139</f>
        <v>0</v>
      </c>
      <c r="R139" s="121"/>
      <c r="T139" s="6">
        <f t="shared" ref="T139:T154" si="163">L139/H139-1</f>
        <v>3.8985439173320868E-2</v>
      </c>
    </row>
    <row r="140" spans="1:20" ht="14.25" x14ac:dyDescent="0.2">
      <c r="A140" s="29">
        <f t="shared" si="147"/>
        <v>134</v>
      </c>
      <c r="B140" s="26" t="s">
        <v>65</v>
      </c>
      <c r="C140" s="151" t="s">
        <v>56</v>
      </c>
      <c r="E140" s="118">
        <v>108</v>
      </c>
      <c r="F140" s="115">
        <v>17.260000000000002</v>
      </c>
      <c r="G140" s="119">
        <f t="shared" si="157"/>
        <v>1864.0800000000002</v>
      </c>
      <c r="H140" s="115">
        <v>19.03</v>
      </c>
      <c r="I140" s="119">
        <f t="shared" si="158"/>
        <v>2055.2400000000002</v>
      </c>
      <c r="J140" s="120">
        <f t="shared" si="150"/>
        <v>1.7613499535075058E-3</v>
      </c>
      <c r="K140" s="120"/>
      <c r="L140" s="115">
        <f t="shared" si="151"/>
        <v>19.77</v>
      </c>
      <c r="M140" s="119">
        <f t="shared" si="159"/>
        <v>2135.16</v>
      </c>
      <c r="N140" s="119">
        <f t="shared" si="160"/>
        <v>79.919999999999618</v>
      </c>
      <c r="O140" s="120">
        <f t="shared" si="161"/>
        <v>3.8885969521807479E-2</v>
      </c>
      <c r="P140" s="120">
        <f t="shared" si="155"/>
        <v>1.7620305878296813E-3</v>
      </c>
      <c r="Q140" s="121">
        <f t="shared" si="162"/>
        <v>6.8063432217559637E-7</v>
      </c>
      <c r="R140" s="121"/>
      <c r="T140" s="6">
        <f t="shared" si="163"/>
        <v>3.8885969521807562E-2</v>
      </c>
    </row>
    <row r="141" spans="1:20" ht="14.25" x14ac:dyDescent="0.2">
      <c r="A141" s="29">
        <f t="shared" si="147"/>
        <v>135</v>
      </c>
      <c r="B141" s="26" t="s">
        <v>65</v>
      </c>
      <c r="C141" s="151" t="s">
        <v>76</v>
      </c>
      <c r="E141" s="118">
        <v>0</v>
      </c>
      <c r="F141" s="115">
        <v>27.24</v>
      </c>
      <c r="G141" s="119">
        <f t="shared" si="157"/>
        <v>0</v>
      </c>
      <c r="H141" s="115">
        <v>29.01</v>
      </c>
      <c r="I141" s="119">
        <f t="shared" si="158"/>
        <v>0</v>
      </c>
      <c r="J141" s="120">
        <f t="shared" si="150"/>
        <v>0</v>
      </c>
      <c r="K141" s="120"/>
      <c r="L141" s="115">
        <f t="shared" si="151"/>
        <v>30.14</v>
      </c>
      <c r="M141" s="119">
        <f t="shared" si="159"/>
        <v>0</v>
      </c>
      <c r="N141" s="119">
        <f t="shared" si="160"/>
        <v>0</v>
      </c>
      <c r="O141" s="120">
        <f t="shared" si="161"/>
        <v>0</v>
      </c>
      <c r="P141" s="120">
        <f t="shared" si="155"/>
        <v>0</v>
      </c>
      <c r="Q141" s="121">
        <f t="shared" si="162"/>
        <v>0</v>
      </c>
      <c r="R141" s="121"/>
      <c r="T141" s="6">
        <f t="shared" si="163"/>
        <v>3.8952085487762744E-2</v>
      </c>
    </row>
    <row r="142" spans="1:20" ht="14.25" x14ac:dyDescent="0.2">
      <c r="A142" s="29">
        <f t="shared" si="147"/>
        <v>136</v>
      </c>
      <c r="B142" s="26" t="s">
        <v>66</v>
      </c>
      <c r="C142" s="151" t="s">
        <v>57</v>
      </c>
      <c r="E142" s="118">
        <v>21279</v>
      </c>
      <c r="F142" s="115">
        <v>8.7799999999999994</v>
      </c>
      <c r="G142" s="119">
        <f t="shared" si="157"/>
        <v>186829.62</v>
      </c>
      <c r="H142" s="115">
        <v>9.24</v>
      </c>
      <c r="I142" s="119">
        <f t="shared" si="158"/>
        <v>196617.96</v>
      </c>
      <c r="J142" s="120">
        <f t="shared" si="150"/>
        <v>0.16850247888555137</v>
      </c>
      <c r="K142" s="120"/>
      <c r="L142" s="115">
        <f t="shared" si="151"/>
        <v>9.6</v>
      </c>
      <c r="M142" s="119">
        <f t="shared" si="159"/>
        <v>204278.39999999999</v>
      </c>
      <c r="N142" s="119">
        <f t="shared" si="160"/>
        <v>7660.4400000000023</v>
      </c>
      <c r="O142" s="120">
        <f t="shared" si="161"/>
        <v>3.8961038961038974E-2</v>
      </c>
      <c r="P142" s="120">
        <f t="shared" si="155"/>
        <v>0.16857977352184697</v>
      </c>
      <c r="Q142" s="121">
        <f t="shared" si="162"/>
        <v>7.7294636295605068E-5</v>
      </c>
      <c r="R142" s="121"/>
      <c r="T142" s="6">
        <f t="shared" si="163"/>
        <v>3.8961038961038863E-2</v>
      </c>
    </row>
    <row r="143" spans="1:20" ht="14.25" x14ac:dyDescent="0.2">
      <c r="A143" s="29">
        <f t="shared" si="147"/>
        <v>137</v>
      </c>
      <c r="B143" s="26" t="s">
        <v>66</v>
      </c>
      <c r="C143" s="151" t="s">
        <v>58</v>
      </c>
      <c r="E143" s="118">
        <v>168</v>
      </c>
      <c r="F143" s="115">
        <v>18.73</v>
      </c>
      <c r="G143" s="119">
        <f t="shared" ref="G143:G154" si="164">F143*E143</f>
        <v>3146.64</v>
      </c>
      <c r="H143" s="115">
        <v>19.190000000000001</v>
      </c>
      <c r="I143" s="119">
        <f t="shared" ref="I143:I154" si="165">H143*E143</f>
        <v>3223.92</v>
      </c>
      <c r="J143" s="120">
        <f t="shared" si="150"/>
        <v>2.7629139867421408E-3</v>
      </c>
      <c r="K143" s="120"/>
      <c r="L143" s="115">
        <f t="shared" si="151"/>
        <v>19.93</v>
      </c>
      <c r="M143" s="119">
        <f t="shared" ref="M143:M154" si="166">L143*E143</f>
        <v>3348.24</v>
      </c>
      <c r="N143" s="119">
        <f t="shared" ref="N143:N154" si="167">M143-I143</f>
        <v>124.31999999999971</v>
      </c>
      <c r="O143" s="120">
        <f t="shared" ref="O143:O154" si="168">IF(I143=0,0,N143/I143)</f>
        <v>3.8561750911933208E-2</v>
      </c>
      <c r="P143" s="120">
        <f t="shared" si="155"/>
        <v>2.7631190615199108E-3</v>
      </c>
      <c r="Q143" s="121">
        <f t="shared" ref="Q143:Q154" si="169">P143-J143</f>
        <v>2.0507477776999725E-7</v>
      </c>
      <c r="R143" s="121"/>
      <c r="T143" s="6">
        <f t="shared" si="163"/>
        <v>3.8561750911933146E-2</v>
      </c>
    </row>
    <row r="144" spans="1:20" ht="14.25" x14ac:dyDescent="0.2">
      <c r="A144" s="29">
        <f t="shared" si="147"/>
        <v>138</v>
      </c>
      <c r="B144" s="26" t="s">
        <v>66</v>
      </c>
      <c r="C144" s="151" t="s">
        <v>59</v>
      </c>
      <c r="E144" s="118">
        <v>2526</v>
      </c>
      <c r="F144" s="115">
        <v>8.8699999999999992</v>
      </c>
      <c r="G144" s="119">
        <f t="shared" si="164"/>
        <v>22405.62</v>
      </c>
      <c r="H144" s="115">
        <v>9.33</v>
      </c>
      <c r="I144" s="119">
        <f t="shared" si="165"/>
        <v>23567.58</v>
      </c>
      <c r="J144" s="120">
        <f t="shared" si="150"/>
        <v>2.0197522399955443E-2</v>
      </c>
      <c r="K144" s="120"/>
      <c r="L144" s="115">
        <f t="shared" si="151"/>
        <v>9.69</v>
      </c>
      <c r="M144" s="119">
        <f t="shared" si="166"/>
        <v>24476.94</v>
      </c>
      <c r="N144" s="119">
        <f t="shared" si="167"/>
        <v>909.35999999999694</v>
      </c>
      <c r="O144" s="120">
        <f t="shared" si="168"/>
        <v>3.8585209003215298E-2</v>
      </c>
      <c r="P144" s="120">
        <f t="shared" si="155"/>
        <v>2.019947777987216E-2</v>
      </c>
      <c r="Q144" s="121">
        <f t="shared" si="169"/>
        <v>1.9553799167175423E-6</v>
      </c>
      <c r="R144" s="121"/>
      <c r="T144" s="6">
        <f t="shared" si="163"/>
        <v>3.8585209003215271E-2</v>
      </c>
    </row>
    <row r="145" spans="1:23" ht="14.25" x14ac:dyDescent="0.2">
      <c r="A145" s="29">
        <f t="shared" si="147"/>
        <v>139</v>
      </c>
      <c r="B145" s="26" t="s">
        <v>66</v>
      </c>
      <c r="C145" s="151" t="s">
        <v>60</v>
      </c>
      <c r="E145" s="118">
        <v>1184</v>
      </c>
      <c r="F145" s="115">
        <v>12.46</v>
      </c>
      <c r="G145" s="119">
        <f t="shared" si="164"/>
        <v>14752.640000000001</v>
      </c>
      <c r="H145" s="115">
        <v>13.41</v>
      </c>
      <c r="I145" s="119">
        <f t="shared" si="165"/>
        <v>15877.44</v>
      </c>
      <c r="J145" s="120">
        <f t="shared" si="150"/>
        <v>1.3607037721053605E-2</v>
      </c>
      <c r="K145" s="120"/>
      <c r="L145" s="115">
        <f t="shared" si="151"/>
        <v>13.93</v>
      </c>
      <c r="M145" s="119">
        <f t="shared" si="166"/>
        <v>16493.12</v>
      </c>
      <c r="N145" s="119">
        <f t="shared" si="167"/>
        <v>615.67999999999847</v>
      </c>
      <c r="O145" s="120">
        <f t="shared" si="168"/>
        <v>3.8777032065622573E-2</v>
      </c>
      <c r="P145" s="120">
        <f t="shared" si="155"/>
        <v>1.3610868472969462E-2</v>
      </c>
      <c r="Q145" s="121">
        <f t="shared" si="169"/>
        <v>3.8307519158575082E-6</v>
      </c>
      <c r="R145" s="121"/>
      <c r="T145" s="6">
        <f t="shared" si="163"/>
        <v>3.8777032065622663E-2</v>
      </c>
    </row>
    <row r="146" spans="1:23" ht="14.25" x14ac:dyDescent="0.2">
      <c r="A146" s="29">
        <f t="shared" si="147"/>
        <v>140</v>
      </c>
      <c r="B146" s="26" t="s">
        <v>66</v>
      </c>
      <c r="C146" s="151" t="s">
        <v>75</v>
      </c>
      <c r="E146" s="118">
        <v>144</v>
      </c>
      <c r="F146" s="115">
        <v>22.41</v>
      </c>
      <c r="G146" s="119">
        <f t="shared" si="164"/>
        <v>3227.04</v>
      </c>
      <c r="H146" s="115">
        <v>23.36</v>
      </c>
      <c r="I146" s="119">
        <f t="shared" si="165"/>
        <v>3363.84</v>
      </c>
      <c r="J146" s="120">
        <f t="shared" si="150"/>
        <v>2.8828260580791966E-3</v>
      </c>
      <c r="K146" s="120"/>
      <c r="L146" s="115">
        <f t="shared" si="151"/>
        <v>24.27</v>
      </c>
      <c r="M146" s="119">
        <f t="shared" si="166"/>
        <v>3494.88</v>
      </c>
      <c r="N146" s="119">
        <f t="shared" si="167"/>
        <v>131.03999999999996</v>
      </c>
      <c r="O146" s="120">
        <f t="shared" si="168"/>
        <v>3.8955479452054784E-2</v>
      </c>
      <c r="P146" s="120">
        <f t="shared" si="155"/>
        <v>2.8841330208481787E-3</v>
      </c>
      <c r="Q146" s="121">
        <f t="shared" si="169"/>
        <v>1.3069627689821228E-6</v>
      </c>
      <c r="R146" s="121"/>
      <c r="T146" s="6">
        <f t="shared" si="163"/>
        <v>3.8955479452054798E-2</v>
      </c>
    </row>
    <row r="147" spans="1:23" ht="14.25" x14ac:dyDescent="0.2">
      <c r="A147" s="29">
        <f t="shared" si="147"/>
        <v>141</v>
      </c>
      <c r="B147" s="26" t="s">
        <v>66</v>
      </c>
      <c r="C147" s="151" t="s">
        <v>61</v>
      </c>
      <c r="E147" s="118">
        <v>1119</v>
      </c>
      <c r="F147" s="115">
        <v>12.22</v>
      </c>
      <c r="G147" s="119">
        <f t="shared" si="164"/>
        <v>13674.18</v>
      </c>
      <c r="H147" s="115">
        <v>13.17</v>
      </c>
      <c r="I147" s="119">
        <f t="shared" si="165"/>
        <v>14737.23</v>
      </c>
      <c r="J147" s="120">
        <f t="shared" si="150"/>
        <v>1.2629872606279274E-2</v>
      </c>
      <c r="K147" s="120"/>
      <c r="L147" s="115">
        <f t="shared" si="151"/>
        <v>13.68</v>
      </c>
      <c r="M147" s="119">
        <f t="shared" si="166"/>
        <v>15307.92</v>
      </c>
      <c r="N147" s="119">
        <f t="shared" si="167"/>
        <v>570.69000000000051</v>
      </c>
      <c r="O147" s="120">
        <f t="shared" si="168"/>
        <v>3.8724373576309833E-2</v>
      </c>
      <c r="P147" s="120">
        <f t="shared" si="155"/>
        <v>1.2632787836063685E-2</v>
      </c>
      <c r="Q147" s="121">
        <f t="shared" si="169"/>
        <v>2.9152297844111524E-6</v>
      </c>
      <c r="R147" s="121"/>
      <c r="T147" s="6">
        <f t="shared" si="163"/>
        <v>3.8724373576309867E-2</v>
      </c>
    </row>
    <row r="148" spans="1:23" x14ac:dyDescent="0.2">
      <c r="A148" s="29">
        <f t="shared" si="147"/>
        <v>142</v>
      </c>
      <c r="B148" s="26" t="s">
        <v>66</v>
      </c>
      <c r="C148" s="152" t="s">
        <v>62</v>
      </c>
      <c r="E148" s="118">
        <v>0</v>
      </c>
      <c r="F148" s="115">
        <v>18.7</v>
      </c>
      <c r="G148" s="119">
        <f t="shared" si="164"/>
        <v>0</v>
      </c>
      <c r="H148" s="115">
        <v>20.59</v>
      </c>
      <c r="I148" s="119">
        <f t="shared" si="165"/>
        <v>0</v>
      </c>
      <c r="J148" s="120">
        <f t="shared" si="150"/>
        <v>0</v>
      </c>
      <c r="K148" s="120"/>
      <c r="L148" s="115">
        <f t="shared" si="151"/>
        <v>21.39</v>
      </c>
      <c r="M148" s="119">
        <f t="shared" si="166"/>
        <v>0</v>
      </c>
      <c r="N148" s="119">
        <f t="shared" si="167"/>
        <v>0</v>
      </c>
      <c r="O148" s="120">
        <f t="shared" si="168"/>
        <v>0</v>
      </c>
      <c r="P148" s="120">
        <f t="shared" si="155"/>
        <v>0</v>
      </c>
      <c r="Q148" s="121">
        <f t="shared" si="169"/>
        <v>0</v>
      </c>
      <c r="R148" s="121"/>
      <c r="T148" s="6">
        <f t="shared" si="163"/>
        <v>3.8853812530354581E-2</v>
      </c>
    </row>
    <row r="149" spans="1:23" x14ac:dyDescent="0.2">
      <c r="A149" s="29">
        <f t="shared" si="147"/>
        <v>143</v>
      </c>
      <c r="B149" s="26" t="s">
        <v>66</v>
      </c>
      <c r="C149" s="152" t="s">
        <v>63</v>
      </c>
      <c r="E149" s="118">
        <v>0</v>
      </c>
      <c r="F149" s="115">
        <v>28.14</v>
      </c>
      <c r="G149" s="119">
        <f t="shared" si="164"/>
        <v>0</v>
      </c>
      <c r="H149" s="115">
        <v>30.03</v>
      </c>
      <c r="I149" s="119">
        <f t="shared" si="165"/>
        <v>0</v>
      </c>
      <c r="J149" s="120">
        <f t="shared" si="150"/>
        <v>0</v>
      </c>
      <c r="K149" s="120"/>
      <c r="L149" s="115">
        <f t="shared" si="151"/>
        <v>31.19</v>
      </c>
      <c r="M149" s="119">
        <f t="shared" si="166"/>
        <v>0</v>
      </c>
      <c r="N149" s="119">
        <f t="shared" si="167"/>
        <v>0</v>
      </c>
      <c r="O149" s="120">
        <f t="shared" si="168"/>
        <v>0</v>
      </c>
      <c r="P149" s="120">
        <f t="shared" si="155"/>
        <v>0</v>
      </c>
      <c r="Q149" s="121">
        <f t="shared" si="169"/>
        <v>0</v>
      </c>
      <c r="R149" s="121"/>
      <c r="T149" s="6">
        <f t="shared" si="163"/>
        <v>3.8628038628038652E-2</v>
      </c>
    </row>
    <row r="150" spans="1:23" x14ac:dyDescent="0.2">
      <c r="A150" s="29">
        <f t="shared" si="147"/>
        <v>144</v>
      </c>
      <c r="B150" s="26" t="s">
        <v>66</v>
      </c>
      <c r="C150" s="152" t="s">
        <v>64</v>
      </c>
      <c r="E150" s="118">
        <v>654</v>
      </c>
      <c r="F150" s="115">
        <v>18.32</v>
      </c>
      <c r="G150" s="119">
        <f t="shared" si="164"/>
        <v>11981.28</v>
      </c>
      <c r="H150" s="115">
        <v>20.21</v>
      </c>
      <c r="I150" s="119">
        <f t="shared" si="165"/>
        <v>13217.34</v>
      </c>
      <c r="J150" s="120">
        <f t="shared" si="150"/>
        <v>1.1327320018339899E-2</v>
      </c>
      <c r="K150" s="120"/>
      <c r="L150" s="115">
        <f t="shared" si="151"/>
        <v>20.99</v>
      </c>
      <c r="M150" s="119">
        <f t="shared" si="166"/>
        <v>13727.46</v>
      </c>
      <c r="N150" s="119">
        <f t="shared" si="167"/>
        <v>510.11999999999898</v>
      </c>
      <c r="O150" s="120">
        <f t="shared" si="168"/>
        <v>3.8594755071746582E-2</v>
      </c>
      <c r="P150" s="120">
        <f t="shared" si="155"/>
        <v>1.1328520772779764E-2</v>
      </c>
      <c r="Q150" s="121">
        <f t="shared" si="169"/>
        <v>1.2007544398645598E-6</v>
      </c>
      <c r="R150" s="121"/>
      <c r="T150" s="6">
        <f t="shared" si="163"/>
        <v>3.8594755071746478E-2</v>
      </c>
    </row>
    <row r="151" spans="1:23" x14ac:dyDescent="0.2">
      <c r="A151" s="29">
        <f t="shared" si="147"/>
        <v>145</v>
      </c>
      <c r="B151" s="26" t="s">
        <v>67</v>
      </c>
      <c r="C151" s="152" t="s">
        <v>150</v>
      </c>
      <c r="E151" s="118">
        <v>75550</v>
      </c>
      <c r="F151" s="115">
        <v>9.1300000000000008</v>
      </c>
      <c r="G151" s="119">
        <f t="shared" si="164"/>
        <v>689771.50000000012</v>
      </c>
      <c r="H151" s="115">
        <v>9.41</v>
      </c>
      <c r="I151" s="119">
        <f t="shared" si="165"/>
        <v>710925.5</v>
      </c>
      <c r="J151" s="120">
        <f t="shared" si="150"/>
        <v>0.60926636128739231</v>
      </c>
      <c r="K151" s="120"/>
      <c r="L151" s="115">
        <f t="shared" si="151"/>
        <v>9.77</v>
      </c>
      <c r="M151" s="119">
        <f t="shared" si="166"/>
        <v>738123.5</v>
      </c>
      <c r="N151" s="119">
        <f t="shared" si="167"/>
        <v>27198</v>
      </c>
      <c r="O151" s="120">
        <f t="shared" si="168"/>
        <v>3.8257173219978749E-2</v>
      </c>
      <c r="P151" s="120">
        <f t="shared" si="155"/>
        <v>0.60913289149098993</v>
      </c>
      <c r="Q151" s="121">
        <f t="shared" si="169"/>
        <v>-1.3346979640238565E-4</v>
      </c>
      <c r="R151" s="121"/>
      <c r="T151" s="6">
        <f t="shared" si="163"/>
        <v>3.8257173219978791E-2</v>
      </c>
    </row>
    <row r="152" spans="1:23" x14ac:dyDescent="0.2">
      <c r="A152" s="29">
        <f t="shared" si="147"/>
        <v>146</v>
      </c>
      <c r="B152" s="26" t="s">
        <v>67</v>
      </c>
      <c r="C152" s="152" t="s">
        <v>151</v>
      </c>
      <c r="E152" s="118">
        <v>392</v>
      </c>
      <c r="F152" s="115">
        <v>12.52</v>
      </c>
      <c r="G152" s="119">
        <f t="shared" ref="G152" si="170">F152*E152</f>
        <v>4907.84</v>
      </c>
      <c r="H152" s="115">
        <v>13.01</v>
      </c>
      <c r="I152" s="119">
        <f t="shared" ref="I152" si="171">H152*E152</f>
        <v>5099.92</v>
      </c>
      <c r="J152" s="120">
        <f t="shared" si="150"/>
        <v>4.3706544514956879E-3</v>
      </c>
      <c r="K152" s="120"/>
      <c r="L152" s="115">
        <f t="shared" si="151"/>
        <v>13.51</v>
      </c>
      <c r="M152" s="119">
        <f t="shared" ref="M152" si="172">L152*E152</f>
        <v>5295.92</v>
      </c>
      <c r="N152" s="119">
        <f t="shared" ref="N152" si="173">M152-I152</f>
        <v>196</v>
      </c>
      <c r="O152" s="120">
        <f t="shared" ref="O152" si="174">IF(I152=0,0,N152/I152)</f>
        <v>3.843197540353574E-2</v>
      </c>
      <c r="P152" s="120">
        <f t="shared" si="155"/>
        <v>4.3704326751620335E-3</v>
      </c>
      <c r="Q152" s="121">
        <f t="shared" ref="Q152" si="175">P152-J152</f>
        <v>-2.2177633365438182E-7</v>
      </c>
      <c r="R152" s="121"/>
      <c r="T152" s="6">
        <f t="shared" ref="T152" si="176">L152/H152-1</f>
        <v>3.8431975403535823E-2</v>
      </c>
    </row>
    <row r="153" spans="1:23" x14ac:dyDescent="0.2">
      <c r="A153" s="29">
        <f t="shared" si="147"/>
        <v>147</v>
      </c>
      <c r="B153" s="26" t="s">
        <v>67</v>
      </c>
      <c r="C153" s="152" t="s">
        <v>153</v>
      </c>
      <c r="E153" s="118">
        <v>0</v>
      </c>
      <c r="F153" s="115">
        <v>14.67</v>
      </c>
      <c r="G153" s="119">
        <f t="shared" si="164"/>
        <v>0</v>
      </c>
      <c r="H153" s="115">
        <v>15.61</v>
      </c>
      <c r="I153" s="119">
        <f t="shared" si="165"/>
        <v>0</v>
      </c>
      <c r="J153" s="120">
        <f t="shared" si="150"/>
        <v>0</v>
      </c>
      <c r="K153" s="120"/>
      <c r="L153" s="115">
        <f t="shared" si="151"/>
        <v>16.22</v>
      </c>
      <c r="M153" s="119">
        <f t="shared" si="166"/>
        <v>0</v>
      </c>
      <c r="N153" s="119">
        <f t="shared" si="167"/>
        <v>0</v>
      </c>
      <c r="O153" s="120">
        <f t="shared" si="168"/>
        <v>0</v>
      </c>
      <c r="P153" s="120">
        <f t="shared" si="155"/>
        <v>0</v>
      </c>
      <c r="Q153" s="121">
        <f t="shared" si="169"/>
        <v>0</v>
      </c>
      <c r="R153" s="121"/>
      <c r="T153" s="6">
        <f t="shared" si="163"/>
        <v>3.9077514413837333E-2</v>
      </c>
    </row>
    <row r="154" spans="1:23" x14ac:dyDescent="0.2">
      <c r="A154" s="29">
        <f t="shared" si="147"/>
        <v>148</v>
      </c>
      <c r="B154" s="26" t="s">
        <v>67</v>
      </c>
      <c r="C154" s="152" t="s">
        <v>152</v>
      </c>
      <c r="E154" s="118">
        <v>3880</v>
      </c>
      <c r="F154" s="115">
        <v>24.9</v>
      </c>
      <c r="G154" s="119">
        <f t="shared" si="164"/>
        <v>96612</v>
      </c>
      <c r="H154" s="115">
        <v>25.54</v>
      </c>
      <c r="I154" s="119">
        <f t="shared" si="165"/>
        <v>99095.2</v>
      </c>
      <c r="J154" s="120">
        <f t="shared" si="150"/>
        <v>8.492503353030155E-2</v>
      </c>
      <c r="K154" s="120"/>
      <c r="L154" s="115">
        <f t="shared" si="151"/>
        <v>26.53</v>
      </c>
      <c r="M154" s="119">
        <f t="shared" si="166"/>
        <v>102936.40000000001</v>
      </c>
      <c r="N154" s="119">
        <f t="shared" si="167"/>
        <v>3841.2000000000116</v>
      </c>
      <c r="O154" s="120">
        <f t="shared" si="168"/>
        <v>3.8762725137040058E-2</v>
      </c>
      <c r="P154" s="120">
        <f t="shared" si="155"/>
        <v>8.4947772251761575E-2</v>
      </c>
      <c r="Q154" s="121">
        <f t="shared" si="169"/>
        <v>2.273872146002498E-5</v>
      </c>
      <c r="R154" s="121"/>
      <c r="T154" s="6">
        <f t="shared" si="163"/>
        <v>3.8762725137039933E-2</v>
      </c>
    </row>
    <row r="155" spans="1:23" s="7" customFormat="1" ht="24.6" customHeight="1" x14ac:dyDescent="0.25">
      <c r="A155" s="29">
        <f t="shared" si="147"/>
        <v>149</v>
      </c>
      <c r="C155" s="16"/>
      <c r="D155" s="18" t="s">
        <v>7</v>
      </c>
      <c r="E155" s="18"/>
      <c r="F155" s="18"/>
      <c r="G155" s="125">
        <f>SUM(G138:G154)</f>
        <v>1121703.8999999999</v>
      </c>
      <c r="H155" s="18"/>
      <c r="I155" s="125">
        <f>SUM(I138:I154)</f>
        <v>1166854.9999999998</v>
      </c>
      <c r="J155" s="126">
        <f>SUM(J138:J154)</f>
        <v>1.0000000000000002</v>
      </c>
      <c r="K155" s="127">
        <f>I155+Summary!I20</f>
        <v>1212113.1999999997</v>
      </c>
      <c r="L155" s="18"/>
      <c r="M155" s="125">
        <f>SUM(M138:M154)</f>
        <v>1211761.0299999998</v>
      </c>
      <c r="N155" s="125">
        <f>M155-I155</f>
        <v>44906.030000000028</v>
      </c>
      <c r="O155" s="126">
        <f t="shared" ref="O155" si="177">N155/I155</f>
        <v>3.8484670331789331E-2</v>
      </c>
      <c r="P155" s="126">
        <f>SUM(P138:P154)</f>
        <v>1.0000000000000002</v>
      </c>
      <c r="Q155" s="128">
        <f t="shared" ref="Q155" si="178">P155-J155</f>
        <v>0</v>
      </c>
      <c r="R155" s="129">
        <f>M155-K155</f>
        <v>-352.16999999992549</v>
      </c>
      <c r="S155" s="7">
        <f>K155/I155</f>
        <v>1.0387864816108257</v>
      </c>
    </row>
    <row r="156" spans="1:23" x14ac:dyDescent="0.2">
      <c r="A156" s="29">
        <f t="shared" si="147"/>
        <v>150</v>
      </c>
      <c r="D156" s="2" t="s">
        <v>27</v>
      </c>
      <c r="G156" s="119">
        <v>0</v>
      </c>
      <c r="I156" s="38">
        <v>0</v>
      </c>
      <c r="M156" s="119">
        <f>I156</f>
        <v>0</v>
      </c>
      <c r="N156" s="119">
        <f>M156-I156</f>
        <v>0</v>
      </c>
      <c r="O156" s="115">
        <v>0</v>
      </c>
    </row>
    <row r="157" spans="1:23" x14ac:dyDescent="0.2">
      <c r="A157" s="29">
        <f t="shared" si="147"/>
        <v>151</v>
      </c>
      <c r="D157" s="2" t="s">
        <v>28</v>
      </c>
      <c r="G157" s="119">
        <v>0</v>
      </c>
      <c r="I157" s="38">
        <v>0</v>
      </c>
      <c r="M157" s="119">
        <f t="shared" ref="M157:M158" si="179">I157</f>
        <v>0</v>
      </c>
      <c r="N157" s="119">
        <f>M157-I157</f>
        <v>0</v>
      </c>
      <c r="O157" s="115">
        <v>0</v>
      </c>
    </row>
    <row r="158" spans="1:23" x14ac:dyDescent="0.2">
      <c r="A158" s="29">
        <f t="shared" si="147"/>
        <v>152</v>
      </c>
      <c r="D158" s="2" t="s">
        <v>30</v>
      </c>
      <c r="G158" s="119">
        <v>0</v>
      </c>
      <c r="I158" s="38">
        <v>0</v>
      </c>
      <c r="M158" s="119">
        <f t="shared" si="179"/>
        <v>0</v>
      </c>
      <c r="N158" s="119">
        <f>M158-I158</f>
        <v>0</v>
      </c>
      <c r="O158" s="115">
        <v>0</v>
      </c>
      <c r="W158" s="2">
        <v>5575</v>
      </c>
    </row>
    <row r="159" spans="1:23" x14ac:dyDescent="0.2">
      <c r="A159" s="29">
        <f t="shared" si="147"/>
        <v>153</v>
      </c>
      <c r="D159" s="2" t="s">
        <v>40</v>
      </c>
      <c r="G159" s="119"/>
      <c r="I159" s="38"/>
      <c r="M159" s="119"/>
      <c r="N159" s="119"/>
      <c r="O159" s="115"/>
    </row>
    <row r="160" spans="1:23" x14ac:dyDescent="0.2">
      <c r="A160" s="29">
        <f t="shared" si="147"/>
        <v>154</v>
      </c>
      <c r="D160" s="14" t="s">
        <v>9</v>
      </c>
      <c r="E160" s="14"/>
      <c r="F160" s="14"/>
      <c r="G160" s="131">
        <f>SUM(G156:G158)</f>
        <v>0</v>
      </c>
      <c r="H160" s="14"/>
      <c r="I160" s="131">
        <f>SUM(I156:I158)</f>
        <v>0</v>
      </c>
      <c r="J160" s="14"/>
      <c r="K160" s="14"/>
      <c r="L160" s="14"/>
      <c r="M160" s="131">
        <f>SUM(M156:M158)</f>
        <v>0</v>
      </c>
      <c r="N160" s="131">
        <f>M160-I160</f>
        <v>0</v>
      </c>
      <c r="O160" s="132">
        <f>N160-J160</f>
        <v>0</v>
      </c>
    </row>
    <row r="161" spans="1:23" s="7" customFormat="1" ht="26.45" customHeight="1" thickBot="1" x14ac:dyDescent="0.25">
      <c r="A161" s="29">
        <f t="shared" si="147"/>
        <v>155</v>
      </c>
      <c r="C161" s="16"/>
      <c r="D161" s="8" t="s">
        <v>20</v>
      </c>
      <c r="E161" s="8"/>
      <c r="F161" s="8"/>
      <c r="G161" s="133">
        <f>G155+G160</f>
        <v>1121703.8999999999</v>
      </c>
      <c r="H161" s="8"/>
      <c r="I161" s="134">
        <f>I160+I155</f>
        <v>1166854.9999999998</v>
      </c>
      <c r="J161" s="8"/>
      <c r="K161" s="8"/>
      <c r="L161" s="8"/>
      <c r="M161" s="133">
        <f>M160+M155</f>
        <v>1211761.0299999998</v>
      </c>
      <c r="N161" s="133">
        <f>M161-I161</f>
        <v>44906.030000000028</v>
      </c>
      <c r="O161" s="135">
        <f>N161/I161</f>
        <v>3.8484670331789331E-2</v>
      </c>
      <c r="P161" s="2"/>
      <c r="Q161" s="2"/>
      <c r="R161" s="2"/>
    </row>
    <row r="162" spans="1:23" ht="14.25" thickTop="1" thickBot="1" x14ac:dyDescent="0.25">
      <c r="A162" s="29">
        <f t="shared" si="147"/>
        <v>156</v>
      </c>
      <c r="G162" s="136"/>
      <c r="I162" s="136"/>
      <c r="M162" s="136"/>
      <c r="N162" s="136"/>
      <c r="O162" s="120"/>
    </row>
    <row r="163" spans="1:23" x14ac:dyDescent="0.2">
      <c r="A163" s="29">
        <f t="shared" si="147"/>
        <v>157</v>
      </c>
      <c r="B163" s="23" t="s">
        <v>133</v>
      </c>
      <c r="C163" s="24" t="s">
        <v>42</v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1:23" x14ac:dyDescent="0.2">
      <c r="A164" s="29">
        <f t="shared" si="147"/>
        <v>158</v>
      </c>
      <c r="B164" s="111"/>
      <c r="D164" s="2" t="s">
        <v>18</v>
      </c>
      <c r="E164" s="118">
        <v>12</v>
      </c>
      <c r="F164" s="115">
        <f>H164</f>
        <v>5727</v>
      </c>
      <c r="G164" s="119">
        <f>F164*E164</f>
        <v>68724</v>
      </c>
      <c r="H164" s="115">
        <v>5727</v>
      </c>
      <c r="I164" s="119">
        <f>H164*E164</f>
        <v>68724</v>
      </c>
      <c r="J164" s="120">
        <f>I164/I167</f>
        <v>4.1402262185985207E-3</v>
      </c>
      <c r="K164" s="120"/>
      <c r="L164" s="155">
        <v>6013</v>
      </c>
      <c r="M164" s="119">
        <f>L164*E164</f>
        <v>72156</v>
      </c>
      <c r="N164" s="119">
        <f>M164-I164</f>
        <v>3432</v>
      </c>
      <c r="O164" s="120">
        <f>IF(I164=0,0,N164/I164)</f>
        <v>4.9938885978697396E-2</v>
      </c>
      <c r="P164" s="120">
        <f>M164/M$167</f>
        <v>3.9942171568963323E-3</v>
      </c>
      <c r="Q164" s="121">
        <f>P164-J164</f>
        <v>-1.4600906170218839E-4</v>
      </c>
      <c r="R164" s="121"/>
      <c r="T164" s="6">
        <f t="shared" ref="T164:T166" si="180">L164/H164-1</f>
        <v>4.9938885978697334E-2</v>
      </c>
      <c r="V164" s="31"/>
    </row>
    <row r="165" spans="1:23" x14ac:dyDescent="0.2">
      <c r="A165" s="29">
        <f t="shared" si="147"/>
        <v>159</v>
      </c>
      <c r="B165" s="93"/>
      <c r="D165" s="2" t="s">
        <v>90</v>
      </c>
      <c r="E165" s="118">
        <v>412261</v>
      </c>
      <c r="F165" s="115">
        <f>H165</f>
        <v>7.3</v>
      </c>
      <c r="G165" s="119">
        <f t="shared" ref="G165:G166" si="181">F165*E165</f>
        <v>3009505.3</v>
      </c>
      <c r="H165" s="115">
        <v>7.3</v>
      </c>
      <c r="I165" s="119">
        <f t="shared" ref="I165:I166" si="182">H165*E165</f>
        <v>3009505.3</v>
      </c>
      <c r="J165" s="120">
        <f>I165/I167</f>
        <v>0.18130540638017587</v>
      </c>
      <c r="K165" s="120"/>
      <c r="L165" s="155">
        <v>8.91</v>
      </c>
      <c r="M165" s="119">
        <f t="shared" ref="M165:M166" si="183">L165*E165</f>
        <v>3673245.5100000002</v>
      </c>
      <c r="N165" s="119">
        <f t="shared" ref="N165:N166" si="184">M165-I165</f>
        <v>663740.21000000043</v>
      </c>
      <c r="O165" s="120">
        <f t="shared" ref="O165:O166" si="185">IF(I165=0,0,N165/I165)</f>
        <v>0.2205479452054796</v>
      </c>
      <c r="P165" s="120">
        <f t="shared" ref="P165:P166" si="186">M165/M$167</f>
        <v>0.20333361380251702</v>
      </c>
      <c r="Q165" s="121">
        <f t="shared" ref="Q165:Q167" si="187">P165-J165</f>
        <v>2.2028207422341156E-2</v>
      </c>
      <c r="R165" s="121"/>
      <c r="T165" s="6">
        <f t="shared" si="180"/>
        <v>0.22054794520547949</v>
      </c>
      <c r="V165" s="31"/>
    </row>
    <row r="166" spans="1:23" x14ac:dyDescent="0.2">
      <c r="A166" s="29">
        <f t="shared" si="147"/>
        <v>160</v>
      </c>
      <c r="D166" s="2" t="s">
        <v>85</v>
      </c>
      <c r="E166" s="118">
        <v>264959116</v>
      </c>
      <c r="F166" s="122">
        <f>H166-H$261</f>
        <v>3.934E-2</v>
      </c>
      <c r="G166" s="119">
        <f t="shared" si="181"/>
        <v>10423491.623439999</v>
      </c>
      <c r="H166" s="123">
        <f>0.04903+0.002</f>
        <v>5.1029999999999999E-2</v>
      </c>
      <c r="I166" s="119">
        <f t="shared" si="182"/>
        <v>13520863.689479999</v>
      </c>
      <c r="J166" s="120">
        <f>I166/I167</f>
        <v>0.81455436740122555</v>
      </c>
      <c r="K166" s="120"/>
      <c r="L166" s="116">
        <f>0.052045+0.002</f>
        <v>5.4045000000000003E-2</v>
      </c>
      <c r="M166" s="119">
        <f t="shared" si="183"/>
        <v>14319715.424220001</v>
      </c>
      <c r="N166" s="119">
        <f t="shared" si="184"/>
        <v>798851.73474000208</v>
      </c>
      <c r="O166" s="120">
        <f t="shared" si="185"/>
        <v>5.9082892416225906E-2</v>
      </c>
      <c r="P166" s="120">
        <f t="shared" si="186"/>
        <v>0.79267216904058668</v>
      </c>
      <c r="Q166" s="121">
        <f t="shared" si="187"/>
        <v>-2.1882198360638871E-2</v>
      </c>
      <c r="R166" s="121"/>
      <c r="S166" s="108"/>
      <c r="T166" s="6">
        <f t="shared" si="180"/>
        <v>5.9082892416225885E-2</v>
      </c>
      <c r="V166" s="31"/>
    </row>
    <row r="167" spans="1:23" s="7" customFormat="1" ht="20.45" customHeight="1" x14ac:dyDescent="0.25">
      <c r="A167" s="29">
        <f t="shared" si="147"/>
        <v>161</v>
      </c>
      <c r="C167" s="16"/>
      <c r="D167" s="18" t="s">
        <v>7</v>
      </c>
      <c r="E167" s="18"/>
      <c r="F167" s="18"/>
      <c r="G167" s="125">
        <f>SUM(G164:G166)</f>
        <v>13501720.923439998</v>
      </c>
      <c r="H167" s="18"/>
      <c r="I167" s="125">
        <f>SUM(I164:I166)</f>
        <v>16599092.98948</v>
      </c>
      <c r="J167" s="126">
        <f>SUM(J164:J166)</f>
        <v>1</v>
      </c>
      <c r="K167" s="127">
        <f>I167+Summary!I24</f>
        <v>18064855.57948</v>
      </c>
      <c r="L167" s="18"/>
      <c r="M167" s="125">
        <f>SUM(M164:M166)</f>
        <v>18065116.934220001</v>
      </c>
      <c r="N167" s="125">
        <f t="shared" ref="N167:N170" si="188">M167-I167</f>
        <v>1466023.9447400011</v>
      </c>
      <c r="O167" s="126">
        <f t="shared" ref="O167" si="189">N167/I167</f>
        <v>8.8319521173182328E-2</v>
      </c>
      <c r="P167" s="126">
        <f>SUM(P164:P166)</f>
        <v>1</v>
      </c>
      <c r="Q167" s="128">
        <f t="shared" si="187"/>
        <v>0</v>
      </c>
      <c r="R167" s="129">
        <f>M167-K167</f>
        <v>261.35474000126123</v>
      </c>
      <c r="S167" s="7">
        <v>1.0552241582910316</v>
      </c>
      <c r="V167" s="30"/>
      <c r="W167" s="110"/>
    </row>
    <row r="168" spans="1:23" x14ac:dyDescent="0.2">
      <c r="A168" s="29">
        <f t="shared" si="147"/>
        <v>162</v>
      </c>
      <c r="D168" s="2" t="s">
        <v>27</v>
      </c>
      <c r="G168" s="119">
        <v>2703690.61</v>
      </c>
      <c r="I168" s="38">
        <f>G168+(-0.00158*E166)</f>
        <v>2285055.2067199997</v>
      </c>
      <c r="K168" s="38"/>
      <c r="M168" s="119">
        <f>I168</f>
        <v>2285055.2067199997</v>
      </c>
      <c r="N168" s="119">
        <f t="shared" si="188"/>
        <v>0</v>
      </c>
      <c r="O168" s="115">
        <v>0</v>
      </c>
      <c r="W168" s="109"/>
    </row>
    <row r="169" spans="1:23" x14ac:dyDescent="0.2">
      <c r="A169" s="29">
        <f t="shared" si="147"/>
        <v>163</v>
      </c>
      <c r="D169" s="2" t="s">
        <v>28</v>
      </c>
      <c r="G169" s="119">
        <v>2494563</v>
      </c>
      <c r="I169" s="38">
        <f t="shared" ref="I169:I171" si="190">G169</f>
        <v>2494563</v>
      </c>
      <c r="M169" s="119">
        <f t="shared" ref="M169:M171" si="191">I169</f>
        <v>2494563</v>
      </c>
      <c r="N169" s="119">
        <f t="shared" si="188"/>
        <v>0</v>
      </c>
      <c r="O169" s="115">
        <v>0</v>
      </c>
    </row>
    <row r="170" spans="1:23" x14ac:dyDescent="0.2">
      <c r="A170" s="29">
        <f t="shared" si="147"/>
        <v>164</v>
      </c>
      <c r="D170" s="2" t="s">
        <v>30</v>
      </c>
      <c r="G170" s="119">
        <v>0</v>
      </c>
      <c r="H170" s="123"/>
      <c r="I170" s="38">
        <f t="shared" si="190"/>
        <v>0</v>
      </c>
      <c r="M170" s="119">
        <f t="shared" si="191"/>
        <v>0</v>
      </c>
      <c r="N170" s="119">
        <f t="shared" si="188"/>
        <v>0</v>
      </c>
      <c r="O170" s="115">
        <v>0</v>
      </c>
    </row>
    <row r="171" spans="1:23" x14ac:dyDescent="0.2">
      <c r="A171" s="29">
        <f t="shared" si="147"/>
        <v>165</v>
      </c>
      <c r="D171" s="2" t="s">
        <v>40</v>
      </c>
      <c r="G171" s="119">
        <v>0</v>
      </c>
      <c r="I171" s="38">
        <f t="shared" si="190"/>
        <v>0</v>
      </c>
      <c r="M171" s="119">
        <f t="shared" si="191"/>
        <v>0</v>
      </c>
      <c r="N171" s="119"/>
      <c r="O171" s="115"/>
    </row>
    <row r="172" spans="1:23" x14ac:dyDescent="0.2">
      <c r="A172" s="29">
        <f t="shared" si="147"/>
        <v>166</v>
      </c>
      <c r="D172" s="14" t="s">
        <v>9</v>
      </c>
      <c r="E172" s="14"/>
      <c r="F172" s="14"/>
      <c r="G172" s="131">
        <f>SUM(G168:G171)</f>
        <v>5198253.6099999994</v>
      </c>
      <c r="H172" s="14"/>
      <c r="I172" s="131">
        <f>SUM(I168:I171)</f>
        <v>4779618.2067200001</v>
      </c>
      <c r="J172" s="14"/>
      <c r="K172" s="14"/>
      <c r="L172" s="14"/>
      <c r="M172" s="131">
        <f>SUM(M168:M171)</f>
        <v>4779618.2067200001</v>
      </c>
      <c r="N172" s="131">
        <f t="shared" ref="N172:N173" si="192">M172-I172</f>
        <v>0</v>
      </c>
      <c r="O172" s="132">
        <f t="shared" ref="O172" si="193">N172-J172</f>
        <v>0</v>
      </c>
    </row>
    <row r="173" spans="1:23" s="7" customFormat="1" ht="26.45" customHeight="1" thickBot="1" x14ac:dyDescent="0.25">
      <c r="A173" s="29">
        <f t="shared" si="147"/>
        <v>167</v>
      </c>
      <c r="C173" s="16"/>
      <c r="D173" s="8" t="s">
        <v>20</v>
      </c>
      <c r="E173" s="8"/>
      <c r="F173" s="8"/>
      <c r="G173" s="133">
        <f>G167+G172</f>
        <v>18699974.533439998</v>
      </c>
      <c r="H173" s="8"/>
      <c r="I173" s="134">
        <f>I172+I167</f>
        <v>21378711.196199998</v>
      </c>
      <c r="J173" s="8"/>
      <c r="K173" s="8"/>
      <c r="L173" s="8"/>
      <c r="M173" s="133">
        <f>M172+M167</f>
        <v>22844735.140940003</v>
      </c>
      <c r="N173" s="133">
        <f t="shared" si="192"/>
        <v>1466023.9447400048</v>
      </c>
      <c r="O173" s="135">
        <f>N173/I173</f>
        <v>6.8574009503462777E-2</v>
      </c>
      <c r="P173" s="2"/>
      <c r="Q173" s="2"/>
      <c r="R173" s="2"/>
    </row>
    <row r="174" spans="1:23" ht="13.5" thickTop="1" x14ac:dyDescent="0.2">
      <c r="A174" s="29">
        <f t="shared" si="147"/>
        <v>168</v>
      </c>
      <c r="D174" s="2" t="s">
        <v>19</v>
      </c>
      <c r="E174" s="115">
        <f>E166/E164</f>
        <v>22079926.333333332</v>
      </c>
      <c r="G174" s="136">
        <f>G173/E164</f>
        <v>1558331.2111199999</v>
      </c>
      <c r="I174" s="136">
        <f>I173/E164</f>
        <v>1781559.2663499999</v>
      </c>
      <c r="M174" s="136">
        <f>M173/E164</f>
        <v>1903727.928411667</v>
      </c>
      <c r="N174" s="136">
        <f>N173/E164</f>
        <v>122168.66206166707</v>
      </c>
      <c r="O174" s="120">
        <f>O173</f>
        <v>6.8574009503462777E-2</v>
      </c>
    </row>
    <row r="175" spans="1:23" ht="13.5" thickBot="1" x14ac:dyDescent="0.25">
      <c r="A175" s="29">
        <f t="shared" si="147"/>
        <v>169</v>
      </c>
    </row>
    <row r="176" spans="1:23" x14ac:dyDescent="0.2">
      <c r="A176" s="29">
        <f t="shared" si="147"/>
        <v>170</v>
      </c>
      <c r="B176" s="23" t="s">
        <v>134</v>
      </c>
      <c r="C176" s="24" t="s">
        <v>52</v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1:20" x14ac:dyDescent="0.2">
      <c r="A177" s="29">
        <f t="shared" si="147"/>
        <v>171</v>
      </c>
      <c r="D177" s="2" t="s">
        <v>93</v>
      </c>
      <c r="E177" s="118">
        <v>3437.3548199999996</v>
      </c>
      <c r="F177" s="115">
        <f>H177</f>
        <v>604.75</v>
      </c>
      <c r="G177" s="119">
        <f>F177*E177</f>
        <v>2078740.3273949998</v>
      </c>
      <c r="H177" s="115">
        <v>604.75</v>
      </c>
      <c r="I177" s="119">
        <f>H177*E177</f>
        <v>2078740.3273949998</v>
      </c>
      <c r="J177" s="120">
        <f>I177/I179</f>
        <v>0.17221465681997644</v>
      </c>
      <c r="K177" s="120"/>
      <c r="L177" s="115">
        <v>800.14</v>
      </c>
      <c r="M177" s="119">
        <f>L177*E177</f>
        <v>2750365.0856747995</v>
      </c>
      <c r="N177" s="119">
        <f>M177-I177</f>
        <v>671624.75827979972</v>
      </c>
      <c r="O177" s="120">
        <f>IF(I177=0,0,N177/I177)</f>
        <v>0.32309218685407182</v>
      </c>
      <c r="P177" s="120">
        <f>M177/M$179</f>
        <v>0.20502072464345211</v>
      </c>
      <c r="Q177" s="121">
        <f>P177-J177</f>
        <v>3.2806067823475671E-2</v>
      </c>
      <c r="R177" s="121"/>
      <c r="T177" s="6">
        <f t="shared" ref="T177" si="194">L177/H177-1</f>
        <v>0.32309218685407193</v>
      </c>
    </row>
    <row r="178" spans="1:20" x14ac:dyDescent="0.2">
      <c r="A178" s="29">
        <f t="shared" si="147"/>
        <v>172</v>
      </c>
      <c r="D178" s="2" t="s">
        <v>94</v>
      </c>
      <c r="E178" s="118">
        <v>1853440</v>
      </c>
      <c r="F178" s="138">
        <v>4.266</v>
      </c>
      <c r="G178" s="119">
        <f t="shared" ref="G178" si="195">F178*E178</f>
        <v>7906775.04</v>
      </c>
      <c r="H178" s="138">
        <v>5.391</v>
      </c>
      <c r="I178" s="119">
        <f t="shared" ref="I178" si="196">H178*E178</f>
        <v>9991895.0399999991</v>
      </c>
      <c r="J178" s="120">
        <f>I178/I179</f>
        <v>0.82778534318002361</v>
      </c>
      <c r="K178" s="120"/>
      <c r="L178" s="138">
        <v>5.7539999999999996</v>
      </c>
      <c r="M178" s="119">
        <f t="shared" ref="M178" si="197">L178*E178</f>
        <v>10664693.76</v>
      </c>
      <c r="N178" s="119">
        <f t="shared" ref="N178" si="198">M178-I178</f>
        <v>672798.72000000067</v>
      </c>
      <c r="O178" s="120">
        <f t="shared" ref="O178" si="199">IF(I178=0,0,N178/I178)</f>
        <v>6.7334446299387937E-2</v>
      </c>
      <c r="P178" s="120">
        <f>M178/M$179</f>
        <v>0.79497927535654789</v>
      </c>
      <c r="Q178" s="121">
        <f t="shared" ref="Q178" si="200">P178-J178</f>
        <v>-3.2806067823475726E-2</v>
      </c>
      <c r="R178" s="121"/>
      <c r="T178" s="6">
        <f t="shared" ref="T178" si="201">L178/H178-1</f>
        <v>6.7334446299387674E-2</v>
      </c>
    </row>
    <row r="179" spans="1:20" s="7" customFormat="1" ht="20.45" customHeight="1" x14ac:dyDescent="0.25">
      <c r="A179" s="29">
        <f t="shared" si="147"/>
        <v>173</v>
      </c>
      <c r="C179" s="16"/>
      <c r="D179" s="18" t="s">
        <v>7</v>
      </c>
      <c r="E179" s="18"/>
      <c r="F179" s="18"/>
      <c r="G179" s="125">
        <f>SUM(G177:G178)</f>
        <v>9985515.3673950005</v>
      </c>
      <c r="H179" s="18"/>
      <c r="I179" s="125">
        <f>SUM(I177:I178)</f>
        <v>12070635.367394999</v>
      </c>
      <c r="J179" s="126">
        <f>SUM(J177:J178)</f>
        <v>1</v>
      </c>
      <c r="K179" s="127">
        <f>I179+Summary!I27</f>
        <v>13415058.847394999</v>
      </c>
      <c r="L179" s="18"/>
      <c r="M179" s="125">
        <f>SUM(M177:M178)</f>
        <v>13415058.8456748</v>
      </c>
      <c r="N179" s="125">
        <f t="shared" ref="N179:N186" si="202">M179-I179</f>
        <v>1344423.4782798011</v>
      </c>
      <c r="O179" s="126">
        <f t="shared" ref="O179" si="203">N179/I179</f>
        <v>0.11137967781806546</v>
      </c>
      <c r="P179" s="126">
        <f>SUM(P177:P178)</f>
        <v>1</v>
      </c>
      <c r="Q179" s="128">
        <f t="shared" ref="Q179" si="204">P179-J179</f>
        <v>0</v>
      </c>
      <c r="R179" s="129">
        <f>M179-K179</f>
        <v>-1.7201993614435196E-3</v>
      </c>
      <c r="S179" s="7">
        <f>K179/I179</f>
        <v>1.1113796779605765</v>
      </c>
    </row>
    <row r="180" spans="1:20" x14ac:dyDescent="0.2">
      <c r="A180" s="29">
        <f t="shared" si="147"/>
        <v>174</v>
      </c>
      <c r="D180" s="2" t="s">
        <v>27</v>
      </c>
      <c r="G180" s="119">
        <v>-832601</v>
      </c>
      <c r="I180" s="38">
        <v>-11599.64</v>
      </c>
      <c r="M180" s="119">
        <f>I180</f>
        <v>-11599.64</v>
      </c>
      <c r="N180" s="119">
        <f t="shared" si="202"/>
        <v>0</v>
      </c>
      <c r="O180" s="115">
        <v>0</v>
      </c>
    </row>
    <row r="181" spans="1:20" x14ac:dyDescent="0.2">
      <c r="A181" s="29">
        <f t="shared" si="147"/>
        <v>175</v>
      </c>
      <c r="D181" s="2" t="s">
        <v>28</v>
      </c>
      <c r="G181" s="119">
        <v>1500027</v>
      </c>
      <c r="I181" s="38">
        <v>1887239.0906920882</v>
      </c>
      <c r="K181" s="38"/>
      <c r="M181" s="119">
        <f t="shared" ref="M181:M183" si="205">I181</f>
        <v>1887239.0906920882</v>
      </c>
      <c r="N181" s="119">
        <f t="shared" si="202"/>
        <v>0</v>
      </c>
      <c r="O181" s="115">
        <v>0</v>
      </c>
    </row>
    <row r="182" spans="1:20" x14ac:dyDescent="0.2">
      <c r="A182" s="29">
        <f t="shared" si="147"/>
        <v>176</v>
      </c>
      <c r="D182" s="2" t="s">
        <v>30</v>
      </c>
      <c r="G182" s="119">
        <v>0</v>
      </c>
      <c r="I182" s="38">
        <f t="shared" ref="I182:I183" si="206">G182</f>
        <v>0</v>
      </c>
      <c r="M182" s="119">
        <f t="shared" si="205"/>
        <v>0</v>
      </c>
      <c r="N182" s="119">
        <f t="shared" si="202"/>
        <v>0</v>
      </c>
      <c r="O182" s="115">
        <v>0</v>
      </c>
    </row>
    <row r="183" spans="1:20" x14ac:dyDescent="0.2">
      <c r="A183" s="29">
        <f t="shared" si="147"/>
        <v>177</v>
      </c>
      <c r="D183" s="2" t="s">
        <v>40</v>
      </c>
      <c r="G183" s="119">
        <v>0</v>
      </c>
      <c r="I183" s="38">
        <f t="shared" si="206"/>
        <v>0</v>
      </c>
      <c r="M183" s="119">
        <f t="shared" si="205"/>
        <v>0</v>
      </c>
      <c r="N183" s="119"/>
      <c r="O183" s="115"/>
    </row>
    <row r="184" spans="1:20" x14ac:dyDescent="0.2">
      <c r="A184" s="29">
        <f t="shared" si="147"/>
        <v>178</v>
      </c>
      <c r="D184" s="14" t="s">
        <v>9</v>
      </c>
      <c r="E184" s="14"/>
      <c r="F184" s="14"/>
      <c r="G184" s="131">
        <f>SUM(G180:G183)</f>
        <v>667426</v>
      </c>
      <c r="H184" s="14"/>
      <c r="I184" s="131">
        <f>SUM(I180:I183)</f>
        <v>1875639.4506920883</v>
      </c>
      <c r="J184" s="14"/>
      <c r="K184" s="14"/>
      <c r="L184" s="14"/>
      <c r="M184" s="131">
        <f>SUM(M180:M183)</f>
        <v>1875639.4506920883</v>
      </c>
      <c r="N184" s="131">
        <f t="shared" si="202"/>
        <v>0</v>
      </c>
      <c r="O184" s="132">
        <f t="shared" ref="O184" si="207">N184-J184</f>
        <v>0</v>
      </c>
    </row>
    <row r="185" spans="1:20" s="7" customFormat="1" ht="26.45" customHeight="1" thickBot="1" x14ac:dyDescent="0.25">
      <c r="A185" s="29">
        <f t="shared" si="147"/>
        <v>179</v>
      </c>
      <c r="C185" s="16"/>
      <c r="D185" s="8" t="s">
        <v>20</v>
      </c>
      <c r="E185" s="8"/>
      <c r="F185" s="8"/>
      <c r="G185" s="133">
        <f>G179+G184</f>
        <v>10652941.367395001</v>
      </c>
      <c r="H185" s="8"/>
      <c r="I185" s="134">
        <f>I184+I179</f>
        <v>13946274.818087086</v>
      </c>
      <c r="J185" s="8"/>
      <c r="K185" s="8"/>
      <c r="L185" s="8"/>
      <c r="M185" s="133">
        <f>M184+M179</f>
        <v>15290698.296366889</v>
      </c>
      <c r="N185" s="133">
        <f t="shared" si="202"/>
        <v>1344423.4782798029</v>
      </c>
      <c r="O185" s="135">
        <f>N185/I185</f>
        <v>9.6400185412681277E-2</v>
      </c>
      <c r="P185" s="2"/>
      <c r="Q185" s="2"/>
      <c r="R185" s="2"/>
    </row>
    <row r="186" spans="1:20" ht="13.5" thickTop="1" x14ac:dyDescent="0.2">
      <c r="A186" s="29">
        <f t="shared" si="147"/>
        <v>180</v>
      </c>
      <c r="D186" s="2" t="s">
        <v>19</v>
      </c>
      <c r="G186" s="136">
        <f>G185/E177</f>
        <v>3099.1683795375543</v>
      </c>
      <c r="I186" s="136">
        <f>I185/E177</f>
        <v>4057.2694843551494</v>
      </c>
      <c r="M186" s="136">
        <f>M185/E177</f>
        <v>4448.3910149161993</v>
      </c>
      <c r="N186" s="136">
        <f t="shared" si="202"/>
        <v>391.12153056104989</v>
      </c>
      <c r="O186" s="120">
        <f>N186/I186</f>
        <v>9.6400185412681208E-2</v>
      </c>
    </row>
    <row r="187" spans="1:20" x14ac:dyDescent="0.2">
      <c r="A187" s="29">
        <f t="shared" si="147"/>
        <v>181</v>
      </c>
    </row>
    <row r="188" spans="1:20" x14ac:dyDescent="0.2">
      <c r="A188" s="29">
        <f t="shared" si="147"/>
        <v>182</v>
      </c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20" x14ac:dyDescent="0.2">
      <c r="A189" s="29">
        <f t="shared" si="147"/>
        <v>183</v>
      </c>
    </row>
    <row r="190" spans="1:20" s="7" customFormat="1" ht="19.899999999999999" customHeight="1" x14ac:dyDescent="0.25">
      <c r="A190" s="29">
        <f t="shared" si="147"/>
        <v>184</v>
      </c>
      <c r="B190" s="7" t="s">
        <v>29</v>
      </c>
      <c r="C190" s="16"/>
      <c r="D190" s="18" t="s">
        <v>7</v>
      </c>
      <c r="E190" s="18"/>
      <c r="F190" s="18"/>
      <c r="G190" s="145">
        <f>G10+G22+G35+G49+G62+G75+G87+G100+G113+G128+G155+G167+G179</f>
        <v>80904302.752064988</v>
      </c>
      <c r="H190" s="145"/>
      <c r="I190" s="145">
        <f>I10+I22+I35+I49+I62+I75+I87+I100+I113+I128+I155+I167+I179</f>
        <v>90074814.732254997</v>
      </c>
      <c r="J190" s="18"/>
      <c r="K190" s="18"/>
      <c r="L190" s="18"/>
      <c r="M190" s="145">
        <f>M10+M22+M35+M49+M62+M75+M87+M100+M113+M128+M155+M167+M179</f>
        <v>95565604.706004813</v>
      </c>
      <c r="N190" s="145">
        <f>N10+N22+N35+N49+N62+N75+N87+N100+N113+N128+N155+N167+N179</f>
        <v>5490789.9737498006</v>
      </c>
      <c r="O190" s="126">
        <f t="shared" ref="O190" si="208">N190/I190</f>
        <v>6.0958104549768195E-2</v>
      </c>
    </row>
    <row r="191" spans="1:20" x14ac:dyDescent="0.2">
      <c r="A191" s="29">
        <f t="shared" si="147"/>
        <v>185</v>
      </c>
      <c r="D191" s="2" t="s">
        <v>27</v>
      </c>
      <c r="G191" s="38">
        <f t="shared" ref="G191:I196" si="209">G11+G23+G36+G50+G63+G76+G88+G101+G114+G129+G156+G168+G180</f>
        <v>8253248.9100000001</v>
      </c>
      <c r="H191" s="38"/>
      <c r="I191" s="38">
        <f t="shared" si="209"/>
        <v>2192734.1067899992</v>
      </c>
      <c r="M191" s="38">
        <f t="shared" ref="M191:N191" si="210">M11+M23+M36+M50+M63+M76+M88+M101+M114+M129+M156+M168+M180</f>
        <v>2192734.1067899992</v>
      </c>
      <c r="N191" s="38">
        <f t="shared" si="210"/>
        <v>0</v>
      </c>
    </row>
    <row r="192" spans="1:20" x14ac:dyDescent="0.2">
      <c r="A192" s="29">
        <f t="shared" si="147"/>
        <v>186</v>
      </c>
      <c r="D192" s="2" t="s">
        <v>28</v>
      </c>
      <c r="G192" s="38">
        <f t="shared" si="209"/>
        <v>11698225.98</v>
      </c>
      <c r="H192" s="38"/>
      <c r="I192" s="38">
        <f t="shared" si="209"/>
        <v>12085438.070692088</v>
      </c>
      <c r="M192" s="38">
        <f t="shared" ref="M192:N192" si="211">M12+M24+M37+M51+M64+M77+M89+M102+M115+M130+M157+M169+M181</f>
        <v>12085438.070692088</v>
      </c>
      <c r="N192" s="38">
        <f t="shared" si="211"/>
        <v>0</v>
      </c>
    </row>
    <row r="193" spans="1:23" x14ac:dyDescent="0.2">
      <c r="A193" s="29">
        <f t="shared" si="147"/>
        <v>187</v>
      </c>
      <c r="D193" s="2" t="s">
        <v>30</v>
      </c>
      <c r="G193" s="38">
        <f t="shared" si="209"/>
        <v>-62014.860000000015</v>
      </c>
      <c r="H193" s="38"/>
      <c r="I193" s="38">
        <f t="shared" si="209"/>
        <v>-62014.860000000015</v>
      </c>
      <c r="M193" s="38">
        <f t="shared" ref="M193:N193" si="212">M13+M25+M38+M52+M65+M78+M90+M103+M116+M131+M158+M170+M182</f>
        <v>-62014.860000000015</v>
      </c>
      <c r="N193" s="38">
        <f t="shared" si="212"/>
        <v>0</v>
      </c>
    </row>
    <row r="194" spans="1:23" x14ac:dyDescent="0.2">
      <c r="A194" s="29">
        <f t="shared" si="147"/>
        <v>188</v>
      </c>
      <c r="D194" s="2" t="s">
        <v>40</v>
      </c>
      <c r="G194" s="38">
        <f t="shared" si="209"/>
        <v>-1625.4099999999999</v>
      </c>
      <c r="I194" s="38">
        <f t="shared" si="209"/>
        <v>-1625.4099999999999</v>
      </c>
      <c r="M194" s="38">
        <f t="shared" ref="M194:N194" si="213">M14+M26+M39+M53+M66+M79+M91+M104+M117+M132+M159+M171+M183</f>
        <v>-1625.4099999999999</v>
      </c>
      <c r="N194" s="38">
        <f t="shared" si="213"/>
        <v>0</v>
      </c>
      <c r="O194" s="115"/>
    </row>
    <row r="195" spans="1:23" x14ac:dyDescent="0.2">
      <c r="A195" s="29">
        <f t="shared" si="147"/>
        <v>189</v>
      </c>
      <c r="D195" s="14" t="s">
        <v>9</v>
      </c>
      <c r="E195" s="14"/>
      <c r="F195" s="14"/>
      <c r="G195" s="47">
        <f t="shared" si="209"/>
        <v>19887834.620000001</v>
      </c>
      <c r="H195" s="47"/>
      <c r="I195" s="47">
        <f t="shared" si="209"/>
        <v>14214531.907482088</v>
      </c>
      <c r="J195" s="14"/>
      <c r="K195" s="14"/>
      <c r="L195" s="14"/>
      <c r="M195" s="47">
        <f t="shared" ref="M195:N195" si="214">M15+M27+M40+M54+M67+M80+M92+M105+M118+M133+M160+M172+M184</f>
        <v>14214531.907482088</v>
      </c>
      <c r="N195" s="47">
        <f t="shared" si="214"/>
        <v>0</v>
      </c>
      <c r="O195" s="14"/>
    </row>
    <row r="196" spans="1:23" s="7" customFormat="1" ht="21" customHeight="1" thickBot="1" x14ac:dyDescent="0.3">
      <c r="A196" s="29">
        <f t="shared" si="147"/>
        <v>190</v>
      </c>
      <c r="C196" s="16"/>
      <c r="D196" s="8" t="s">
        <v>20</v>
      </c>
      <c r="E196" s="8"/>
      <c r="F196" s="8"/>
      <c r="G196" s="134">
        <f t="shared" si="209"/>
        <v>100792137.37206499</v>
      </c>
      <c r="H196" s="134"/>
      <c r="I196" s="134">
        <f t="shared" si="209"/>
        <v>104289346.63973708</v>
      </c>
      <c r="J196" s="8"/>
      <c r="K196" s="8"/>
      <c r="L196" s="8"/>
      <c r="M196" s="134">
        <f t="shared" ref="M196:N196" si="215">M16+M28+M41+M55+M68+M81+M93+M106+M119+M134+M161+M173+M185</f>
        <v>109780136.61348687</v>
      </c>
      <c r="N196" s="134">
        <f t="shared" si="215"/>
        <v>5490789.9737498062</v>
      </c>
      <c r="O196" s="135">
        <f t="shared" ref="O196" si="216">N196/I196</f>
        <v>5.264957688072873E-2</v>
      </c>
    </row>
    <row r="197" spans="1:23" ht="13.5" thickTop="1" x14ac:dyDescent="0.2">
      <c r="A197" s="29">
        <f t="shared" si="147"/>
        <v>191</v>
      </c>
    </row>
    <row r="198" spans="1:23" x14ac:dyDescent="0.2">
      <c r="A198" s="29">
        <f t="shared" si="147"/>
        <v>192</v>
      </c>
      <c r="D198" s="2" t="s">
        <v>38</v>
      </c>
      <c r="I198" s="5">
        <f>I195/I190</f>
        <v>0.15780806155121616</v>
      </c>
      <c r="N198" s="38">
        <f>N196-Summary!L4</f>
        <v>42.913197999820113</v>
      </c>
    </row>
    <row r="199" spans="1:23" x14ac:dyDescent="0.2">
      <c r="A199" s="29">
        <f t="shared" si="147"/>
        <v>193</v>
      </c>
      <c r="N199" s="38"/>
    </row>
    <row r="200" spans="1:23" x14ac:dyDescent="0.2">
      <c r="A200" s="29">
        <f t="shared" si="147"/>
        <v>194</v>
      </c>
      <c r="B200" s="1" t="s">
        <v>118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23" ht="13.5" thickBot="1" x14ac:dyDescent="0.25">
      <c r="A201" s="29">
        <f t="shared" ref="A201:A259" si="217">A200+1</f>
        <v>195</v>
      </c>
      <c r="D201" s="15"/>
      <c r="E201" s="15"/>
      <c r="F201" s="15"/>
      <c r="G201" s="15"/>
    </row>
    <row r="202" spans="1:23" x14ac:dyDescent="0.2">
      <c r="A202" s="29">
        <f t="shared" si="217"/>
        <v>196</v>
      </c>
      <c r="B202" s="23" t="s">
        <v>78</v>
      </c>
      <c r="C202" s="24" t="s">
        <v>77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1:23" x14ac:dyDescent="0.2">
      <c r="A203" s="29">
        <f t="shared" si="217"/>
        <v>197</v>
      </c>
      <c r="D203" s="2" t="s">
        <v>18</v>
      </c>
      <c r="E203" s="118"/>
      <c r="F203" s="115"/>
      <c r="G203" s="119"/>
      <c r="H203" s="115">
        <v>634.70000000000005</v>
      </c>
      <c r="I203" s="119"/>
      <c r="J203" s="120"/>
      <c r="K203" s="120"/>
      <c r="L203" s="115">
        <f>ROUND(H203*S$216,2)</f>
        <v>697.24</v>
      </c>
      <c r="M203" s="119"/>
      <c r="N203" s="119"/>
      <c r="O203" s="120"/>
      <c r="P203" s="120"/>
      <c r="Q203" s="121"/>
      <c r="R203" s="121"/>
      <c r="T203" s="6">
        <f t="shared" ref="T203:T205" si="218">L203/H203-1</f>
        <v>9.853474082243574E-2</v>
      </c>
    </row>
    <row r="204" spans="1:23" x14ac:dyDescent="0.2">
      <c r="A204" s="29">
        <f t="shared" si="217"/>
        <v>198</v>
      </c>
      <c r="D204" s="2" t="s">
        <v>85</v>
      </c>
      <c r="E204" s="118"/>
      <c r="F204" s="122"/>
      <c r="G204" s="119"/>
      <c r="H204" s="122">
        <v>6.241E-2</v>
      </c>
      <c r="I204" s="119"/>
      <c r="J204" s="120"/>
      <c r="K204" s="120"/>
      <c r="L204" s="122">
        <f>ROUND(H204*S$216,5)</f>
        <v>6.8559999999999996E-2</v>
      </c>
      <c r="M204" s="119"/>
      <c r="N204" s="119"/>
      <c r="O204" s="120"/>
      <c r="P204" s="120"/>
      <c r="Q204" s="121"/>
      <c r="R204" s="121"/>
      <c r="T204" s="6">
        <f t="shared" si="218"/>
        <v>9.8541900336484467E-2</v>
      </c>
    </row>
    <row r="205" spans="1:23" ht="13.5" thickBot="1" x14ac:dyDescent="0.25">
      <c r="A205" s="29">
        <f t="shared" si="217"/>
        <v>199</v>
      </c>
      <c r="D205" s="2" t="s">
        <v>90</v>
      </c>
      <c r="E205" s="118"/>
      <c r="F205" s="115"/>
      <c r="G205" s="119"/>
      <c r="H205" s="115">
        <v>9.2799999999999994</v>
      </c>
      <c r="I205" s="119"/>
      <c r="J205" s="120"/>
      <c r="K205" s="120"/>
      <c r="L205" s="115">
        <f t="shared" ref="L205" si="219">ROUND(H205*S$216,2)</f>
        <v>10.19</v>
      </c>
      <c r="M205" s="119"/>
      <c r="N205" s="119"/>
      <c r="O205" s="120"/>
      <c r="P205" s="120"/>
      <c r="Q205" s="121"/>
      <c r="R205" s="121"/>
      <c r="S205" s="2">
        <f>S210</f>
        <v>1.0985319366548203</v>
      </c>
      <c r="T205" s="6">
        <f t="shared" si="218"/>
        <v>9.8060344827586299E-2</v>
      </c>
    </row>
    <row r="206" spans="1:23" x14ac:dyDescent="0.2">
      <c r="A206" s="29">
        <f t="shared" si="217"/>
        <v>200</v>
      </c>
      <c r="B206" s="23" t="s">
        <v>95</v>
      </c>
      <c r="C206" s="24" t="s">
        <v>96</v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1:23" x14ac:dyDescent="0.2">
      <c r="A207" s="29">
        <f t="shared" si="217"/>
        <v>201</v>
      </c>
      <c r="D207" s="2" t="s">
        <v>18</v>
      </c>
      <c r="E207" s="118"/>
      <c r="F207" s="115"/>
      <c r="G207" s="119"/>
      <c r="H207" s="115">
        <v>1268.17</v>
      </c>
      <c r="I207" s="119"/>
      <c r="J207" s="119"/>
      <c r="K207" s="119"/>
      <c r="L207" s="115">
        <f>L110</f>
        <v>1393.13</v>
      </c>
      <c r="M207" s="119"/>
      <c r="N207" s="119"/>
      <c r="O207" s="119"/>
      <c r="P207" s="119"/>
      <c r="Q207" s="119"/>
      <c r="R207" s="119"/>
      <c r="T207" s="6">
        <f t="shared" ref="T207:T209" si="220">L207/H207-1</f>
        <v>9.8535685278787533E-2</v>
      </c>
      <c r="W207" s="71" t="s">
        <v>113</v>
      </c>
    </row>
    <row r="208" spans="1:23" x14ac:dyDescent="0.2">
      <c r="A208" s="29">
        <f t="shared" si="217"/>
        <v>202</v>
      </c>
      <c r="D208" s="2" t="s">
        <v>85</v>
      </c>
      <c r="E208" s="118"/>
      <c r="F208" s="123"/>
      <c r="G208" s="119"/>
      <c r="H208" s="123">
        <v>5.8540000000000002E-2</v>
      </c>
      <c r="I208" s="119"/>
      <c r="J208" s="119"/>
      <c r="K208" s="119"/>
      <c r="L208" s="122">
        <f>ROUND(H208*S$210,5)</f>
        <v>6.4310000000000006E-2</v>
      </c>
      <c r="M208" s="119"/>
      <c r="N208" s="119"/>
      <c r="O208" s="119"/>
      <c r="P208" s="119"/>
      <c r="Q208" s="119"/>
      <c r="R208" s="119"/>
      <c r="T208" s="6">
        <f t="shared" si="220"/>
        <v>9.8565083703450629E-2</v>
      </c>
      <c r="W208" s="71" t="s">
        <v>114</v>
      </c>
    </row>
    <row r="209" spans="1:23" x14ac:dyDescent="0.2">
      <c r="A209" s="29">
        <f t="shared" si="217"/>
        <v>203</v>
      </c>
      <c r="D209" s="2" t="s">
        <v>91</v>
      </c>
      <c r="E209" s="118"/>
      <c r="F209" s="115"/>
      <c r="G209" s="119"/>
      <c r="H209" s="115">
        <v>9.2799999999999994</v>
      </c>
      <c r="I209" s="119"/>
      <c r="J209" s="119"/>
      <c r="K209" s="119"/>
      <c r="L209" s="115">
        <f>L205</f>
        <v>10.19</v>
      </c>
      <c r="M209" s="119"/>
      <c r="N209" s="119"/>
      <c r="O209" s="119"/>
      <c r="P209" s="119"/>
      <c r="Q209" s="119"/>
      <c r="R209" s="119"/>
      <c r="T209" s="6">
        <f t="shared" si="220"/>
        <v>9.8060344827586299E-2</v>
      </c>
      <c r="W209" s="71" t="s">
        <v>112</v>
      </c>
    </row>
    <row r="210" spans="1:23" s="7" customFormat="1" ht="20.45" customHeight="1" x14ac:dyDescent="0.25">
      <c r="A210" s="29">
        <f t="shared" si="217"/>
        <v>204</v>
      </c>
      <c r="C210" s="16"/>
      <c r="D210" s="18" t="s">
        <v>7</v>
      </c>
      <c r="E210" s="18"/>
      <c r="F210" s="18"/>
      <c r="G210" s="125"/>
      <c r="H210" s="18"/>
      <c r="I210" s="125"/>
      <c r="J210" s="125"/>
      <c r="K210" s="125"/>
      <c r="L210" s="18"/>
      <c r="M210" s="125"/>
      <c r="N210" s="125"/>
      <c r="O210" s="125"/>
      <c r="P210" s="125"/>
      <c r="Q210" s="125"/>
      <c r="R210" s="125"/>
      <c r="S210" s="72">
        <f>S216</f>
        <v>1.0985319366548203</v>
      </c>
    </row>
    <row r="211" spans="1:23" ht="13.5" thickBot="1" x14ac:dyDescent="0.25">
      <c r="A211" s="29">
        <f t="shared" si="217"/>
        <v>205</v>
      </c>
    </row>
    <row r="212" spans="1:23" x14ac:dyDescent="0.2">
      <c r="A212" s="29">
        <f t="shared" si="217"/>
        <v>206</v>
      </c>
      <c r="B212" s="23" t="s">
        <v>104</v>
      </c>
      <c r="C212" s="24" t="s">
        <v>97</v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1:23" x14ac:dyDescent="0.2">
      <c r="A213" s="29">
        <f t="shared" si="217"/>
        <v>207</v>
      </c>
      <c r="D213" s="2" t="s">
        <v>18</v>
      </c>
      <c r="E213" s="118"/>
      <c r="F213" s="115"/>
      <c r="G213" s="119"/>
      <c r="H213" s="115">
        <v>1268.17</v>
      </c>
      <c r="I213" s="119"/>
      <c r="J213" s="119"/>
      <c r="K213" s="119"/>
      <c r="L213" s="115">
        <f>ROUND(H213*S$216,2)</f>
        <v>1393.13</v>
      </c>
      <c r="M213" s="119"/>
      <c r="N213" s="119"/>
      <c r="O213" s="119"/>
      <c r="P213" s="119"/>
      <c r="Q213" s="119"/>
      <c r="R213" s="119"/>
      <c r="T213" s="6">
        <f t="shared" ref="T213:T215" si="221">L213/H213-1</f>
        <v>9.8535685278787533E-2</v>
      </c>
      <c r="W213" s="71" t="s">
        <v>113</v>
      </c>
    </row>
    <row r="214" spans="1:23" x14ac:dyDescent="0.2">
      <c r="A214" s="29">
        <f t="shared" si="217"/>
        <v>208</v>
      </c>
      <c r="D214" s="2" t="s">
        <v>85</v>
      </c>
      <c r="E214" s="118"/>
      <c r="F214" s="123"/>
      <c r="G214" s="119"/>
      <c r="H214" s="123">
        <v>5.7290000000000001E-2</v>
      </c>
      <c r="I214" s="119"/>
      <c r="J214" s="119"/>
      <c r="K214" s="119"/>
      <c r="L214" s="122">
        <f>ROUND(H214*S$216,5)</f>
        <v>6.293E-2</v>
      </c>
      <c r="M214" s="119"/>
      <c r="N214" s="119"/>
      <c r="O214" s="119"/>
      <c r="P214" s="119"/>
      <c r="Q214" s="119"/>
      <c r="R214" s="119"/>
      <c r="T214" s="6">
        <f t="shared" si="221"/>
        <v>9.8446500261825776E-2</v>
      </c>
      <c r="W214" s="71" t="s">
        <v>115</v>
      </c>
    </row>
    <row r="215" spans="1:23" x14ac:dyDescent="0.2">
      <c r="A215" s="29">
        <f t="shared" si="217"/>
        <v>209</v>
      </c>
      <c r="D215" s="2" t="s">
        <v>91</v>
      </c>
      <c r="E215" s="118"/>
      <c r="F215" s="115"/>
      <c r="G215" s="119"/>
      <c r="H215" s="115">
        <v>7.59</v>
      </c>
      <c r="I215" s="119"/>
      <c r="J215" s="119"/>
      <c r="K215" s="119"/>
      <c r="L215" s="115">
        <f t="shared" ref="L215" si="222">ROUND(H215*S$216,2)</f>
        <v>8.34</v>
      </c>
      <c r="M215" s="119"/>
      <c r="N215" s="119"/>
      <c r="O215" s="119"/>
      <c r="P215" s="119"/>
      <c r="Q215" s="119"/>
      <c r="R215" s="119"/>
      <c r="T215" s="6">
        <f t="shared" si="221"/>
        <v>9.8814229249011953E-2</v>
      </c>
      <c r="W215" s="71" t="s">
        <v>115</v>
      </c>
    </row>
    <row r="216" spans="1:23" s="7" customFormat="1" ht="20.45" customHeight="1" x14ac:dyDescent="0.25">
      <c r="A216" s="29">
        <f t="shared" si="217"/>
        <v>210</v>
      </c>
      <c r="C216" s="16"/>
      <c r="D216" s="18" t="s">
        <v>7</v>
      </c>
      <c r="E216" s="18"/>
      <c r="F216" s="18"/>
      <c r="G216" s="125"/>
      <c r="H216" s="18"/>
      <c r="I216" s="125"/>
      <c r="J216" s="125"/>
      <c r="K216" s="125"/>
      <c r="L216" s="18"/>
      <c r="M216" s="125"/>
      <c r="N216" s="125"/>
      <c r="O216" s="125"/>
      <c r="P216" s="125"/>
      <c r="Q216" s="125"/>
      <c r="R216" s="125"/>
      <c r="S216" s="72">
        <f>S113</f>
        <v>1.0985319366548203</v>
      </c>
    </row>
    <row r="217" spans="1:23" ht="13.5" thickBot="1" x14ac:dyDescent="0.25">
      <c r="A217" s="29">
        <f t="shared" si="217"/>
        <v>211</v>
      </c>
    </row>
    <row r="218" spans="1:23" x14ac:dyDescent="0.2">
      <c r="A218" s="29">
        <f t="shared" si="217"/>
        <v>212</v>
      </c>
      <c r="B218" s="23" t="s">
        <v>105</v>
      </c>
      <c r="C218" s="24" t="s">
        <v>98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1:23" x14ac:dyDescent="0.2">
      <c r="A219" s="29">
        <f t="shared" si="217"/>
        <v>213</v>
      </c>
      <c r="D219" s="2" t="s">
        <v>18</v>
      </c>
      <c r="E219" s="118"/>
      <c r="F219" s="115"/>
      <c r="G219" s="119"/>
      <c r="H219" s="115">
        <v>634.70000000000005</v>
      </c>
      <c r="I219" s="119"/>
      <c r="J219" s="119"/>
      <c r="K219" s="119"/>
      <c r="L219" s="115">
        <f>L203</f>
        <v>697.24</v>
      </c>
      <c r="M219" s="119"/>
      <c r="N219" s="119"/>
      <c r="O219" s="119"/>
      <c r="P219" s="119"/>
      <c r="Q219" s="119"/>
      <c r="R219" s="119"/>
      <c r="T219" s="6">
        <f t="shared" ref="T219:T221" si="223">L219/H219-1</f>
        <v>9.853474082243574E-2</v>
      </c>
      <c r="W219" s="71" t="s">
        <v>112</v>
      </c>
    </row>
    <row r="220" spans="1:23" x14ac:dyDescent="0.2">
      <c r="A220" s="29">
        <f t="shared" si="217"/>
        <v>214</v>
      </c>
      <c r="D220" s="2" t="s">
        <v>85</v>
      </c>
      <c r="E220" s="118"/>
      <c r="F220" s="123"/>
      <c r="G220" s="119"/>
      <c r="H220" s="123">
        <v>6.2920000000000004E-2</v>
      </c>
      <c r="I220" s="119"/>
      <c r="J220" s="119"/>
      <c r="K220" s="119"/>
      <c r="L220" s="122">
        <f>ROUND(H220*S$113,5)</f>
        <v>6.9120000000000001E-2</v>
      </c>
      <c r="M220" s="119"/>
      <c r="N220" s="119"/>
      <c r="O220" s="119"/>
      <c r="P220" s="119"/>
      <c r="Q220" s="119"/>
      <c r="R220" s="119"/>
      <c r="T220" s="6">
        <f t="shared" si="223"/>
        <v>9.8537825810552926E-2</v>
      </c>
      <c r="W220" s="71" t="s">
        <v>115</v>
      </c>
    </row>
    <row r="221" spans="1:23" x14ac:dyDescent="0.2">
      <c r="A221" s="29">
        <f t="shared" si="217"/>
        <v>215</v>
      </c>
      <c r="D221" s="2" t="s">
        <v>91</v>
      </c>
      <c r="E221" s="118"/>
      <c r="F221" s="115"/>
      <c r="G221" s="119"/>
      <c r="H221" s="115">
        <v>7.44</v>
      </c>
      <c r="I221" s="119"/>
      <c r="J221" s="119"/>
      <c r="K221" s="119"/>
      <c r="L221" s="115">
        <f>L112</f>
        <v>8.17</v>
      </c>
      <c r="M221" s="119"/>
      <c r="N221" s="119"/>
      <c r="O221" s="119"/>
      <c r="P221" s="119"/>
      <c r="Q221" s="119"/>
      <c r="R221" s="119"/>
      <c r="T221" s="6">
        <f t="shared" si="223"/>
        <v>9.8118279569892497E-2</v>
      </c>
      <c r="W221" s="71" t="s">
        <v>113</v>
      </c>
    </row>
    <row r="222" spans="1:23" s="7" customFormat="1" ht="20.45" customHeight="1" x14ac:dyDescent="0.25">
      <c r="A222" s="29">
        <f t="shared" si="217"/>
        <v>216</v>
      </c>
      <c r="C222" s="16"/>
      <c r="D222" s="18" t="s">
        <v>7</v>
      </c>
      <c r="E222" s="18"/>
      <c r="F222" s="18"/>
      <c r="G222" s="125"/>
      <c r="H222" s="18"/>
      <c r="I222" s="125"/>
      <c r="J222" s="125"/>
      <c r="K222" s="125"/>
      <c r="L222" s="18"/>
      <c r="M222" s="125"/>
      <c r="N222" s="125"/>
      <c r="O222" s="125"/>
      <c r="P222" s="125"/>
      <c r="Q222" s="125"/>
      <c r="R222" s="125"/>
      <c r="S222" s="72">
        <f>S113</f>
        <v>1.0985319366548203</v>
      </c>
    </row>
    <row r="223" spans="1:23" ht="13.5" thickBot="1" x14ac:dyDescent="0.25">
      <c r="A223" s="29">
        <f t="shared" si="217"/>
        <v>217</v>
      </c>
    </row>
    <row r="224" spans="1:23" x14ac:dyDescent="0.2">
      <c r="A224" s="29">
        <f t="shared" si="217"/>
        <v>218</v>
      </c>
      <c r="B224" s="23" t="s">
        <v>106</v>
      </c>
      <c r="C224" s="24" t="s">
        <v>99</v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1:23" x14ac:dyDescent="0.2">
      <c r="A225" s="29">
        <f t="shared" si="217"/>
        <v>219</v>
      </c>
      <c r="D225" s="2" t="s">
        <v>18</v>
      </c>
      <c r="E225" s="118"/>
      <c r="F225" s="115"/>
      <c r="G225" s="119"/>
      <c r="H225" s="115">
        <v>634.70000000000005</v>
      </c>
      <c r="I225" s="119"/>
      <c r="J225" s="119"/>
      <c r="K225" s="119"/>
      <c r="L225" s="115">
        <f>L219</f>
        <v>697.24</v>
      </c>
      <c r="M225" s="119"/>
      <c r="N225" s="119"/>
      <c r="O225" s="119"/>
      <c r="P225" s="119"/>
      <c r="Q225" s="119"/>
      <c r="R225" s="119"/>
      <c r="T225" s="6">
        <f>O128</f>
        <v>7.7946603294064679E-2</v>
      </c>
      <c r="W225" s="71" t="s">
        <v>162</v>
      </c>
    </row>
    <row r="226" spans="1:23" x14ac:dyDescent="0.2">
      <c r="A226" s="29">
        <f t="shared" si="217"/>
        <v>220</v>
      </c>
      <c r="D226" s="2" t="s">
        <v>85</v>
      </c>
      <c r="E226" s="118"/>
      <c r="F226" s="123"/>
      <c r="G226" s="119"/>
      <c r="H226" s="123">
        <v>6.2920000000000004E-2</v>
      </c>
      <c r="I226" s="119"/>
      <c r="J226" s="119"/>
      <c r="K226" s="119"/>
      <c r="L226" s="122">
        <f>L220</f>
        <v>6.9120000000000001E-2</v>
      </c>
      <c r="M226" s="119"/>
      <c r="N226" s="119"/>
      <c r="O226" s="119"/>
      <c r="P226" s="119"/>
      <c r="Q226" s="119"/>
      <c r="R226" s="119"/>
      <c r="T226" s="6">
        <f>T225</f>
        <v>7.7946603294064679E-2</v>
      </c>
      <c r="W226" s="71" t="s">
        <v>162</v>
      </c>
    </row>
    <row r="227" spans="1:23" x14ac:dyDescent="0.2">
      <c r="A227" s="29">
        <f t="shared" si="217"/>
        <v>221</v>
      </c>
      <c r="D227" s="2" t="s">
        <v>91</v>
      </c>
      <c r="E227" s="118"/>
      <c r="F227" s="115"/>
      <c r="G227" s="119"/>
      <c r="H227" s="115">
        <v>7.44</v>
      </c>
      <c r="I227" s="119"/>
      <c r="J227" s="119"/>
      <c r="K227" s="119"/>
      <c r="L227" s="115">
        <f>L221</f>
        <v>8.17</v>
      </c>
      <c r="M227" s="119"/>
      <c r="N227" s="119"/>
      <c r="O227" s="119"/>
      <c r="P227" s="119"/>
      <c r="Q227" s="119"/>
      <c r="R227" s="119"/>
      <c r="T227" s="6">
        <f>T226</f>
        <v>7.7946603294064679E-2</v>
      </c>
      <c r="W227" s="71" t="s">
        <v>162</v>
      </c>
    </row>
    <row r="228" spans="1:23" x14ac:dyDescent="0.2">
      <c r="A228" s="29">
        <f t="shared" si="217"/>
        <v>222</v>
      </c>
      <c r="D228" s="2" t="s">
        <v>111</v>
      </c>
      <c r="E228" s="118"/>
      <c r="F228" s="115"/>
      <c r="G228" s="119"/>
      <c r="H228" s="115">
        <v>10.36</v>
      </c>
      <c r="I228" s="119"/>
      <c r="J228" s="119"/>
      <c r="K228" s="119"/>
      <c r="L228" s="115">
        <f>L126</f>
        <v>11.1</v>
      </c>
      <c r="M228" s="119"/>
      <c r="N228" s="119"/>
      <c r="O228" s="119"/>
      <c r="P228" s="119"/>
      <c r="Q228" s="119"/>
      <c r="R228" s="119"/>
      <c r="T228" s="6">
        <f>T227</f>
        <v>7.7946603294064679E-2</v>
      </c>
      <c r="W228" s="71" t="s">
        <v>163</v>
      </c>
    </row>
    <row r="229" spans="1:23" s="7" customFormat="1" ht="20.45" customHeight="1" x14ac:dyDescent="0.25">
      <c r="A229" s="29">
        <f t="shared" si="217"/>
        <v>223</v>
      </c>
      <c r="C229" s="16"/>
      <c r="D229" s="18" t="s">
        <v>7</v>
      </c>
      <c r="E229" s="18"/>
      <c r="F229" s="18"/>
      <c r="G229" s="125"/>
      <c r="H229" s="18"/>
      <c r="I229" s="125"/>
      <c r="J229" s="125"/>
      <c r="K229" s="125"/>
      <c r="L229" s="18"/>
      <c r="M229" s="125"/>
      <c r="N229" s="125"/>
      <c r="O229" s="125"/>
      <c r="P229" s="125"/>
      <c r="Q229" s="125"/>
      <c r="R229" s="125"/>
      <c r="S229" s="73">
        <f>1+T227</f>
        <v>1.0779466032940648</v>
      </c>
    </row>
    <row r="230" spans="1:23" ht="13.5" thickBot="1" x14ac:dyDescent="0.25">
      <c r="A230" s="29">
        <f t="shared" si="217"/>
        <v>224</v>
      </c>
    </row>
    <row r="231" spans="1:23" x14ac:dyDescent="0.2">
      <c r="A231" s="29">
        <f t="shared" si="217"/>
        <v>225</v>
      </c>
      <c r="B231" s="23" t="s">
        <v>107</v>
      </c>
      <c r="C231" s="24" t="s">
        <v>100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1:23" x14ac:dyDescent="0.2">
      <c r="A232" s="29">
        <f t="shared" si="217"/>
        <v>226</v>
      </c>
      <c r="D232" s="2" t="s">
        <v>18</v>
      </c>
      <c r="E232" s="118"/>
      <c r="F232" s="115"/>
      <c r="G232" s="119"/>
      <c r="H232" s="115">
        <v>1268.17</v>
      </c>
      <c r="I232" s="119"/>
      <c r="J232" s="119"/>
      <c r="K232" s="119"/>
      <c r="L232" s="115">
        <f>L110</f>
        <v>1393.13</v>
      </c>
      <c r="M232" s="119"/>
      <c r="N232" s="119"/>
      <c r="O232" s="119"/>
      <c r="P232" s="119"/>
      <c r="Q232" s="119"/>
      <c r="R232" s="119"/>
      <c r="T232" s="6">
        <f t="shared" ref="T232:T234" si="224">L232/H232-1</f>
        <v>9.8535685278787533E-2</v>
      </c>
      <c r="W232" s="71" t="s">
        <v>116</v>
      </c>
    </row>
    <row r="233" spans="1:23" x14ac:dyDescent="0.2">
      <c r="A233" s="29">
        <f t="shared" si="217"/>
        <v>227</v>
      </c>
      <c r="D233" s="2" t="s">
        <v>85</v>
      </c>
      <c r="E233" s="118"/>
      <c r="F233" s="123"/>
      <c r="G233" s="119"/>
      <c r="H233" s="123">
        <v>5.9060000000000001E-2</v>
      </c>
      <c r="I233" s="119"/>
      <c r="J233" s="119"/>
      <c r="K233" s="119"/>
      <c r="L233" s="122">
        <f>ROUND(H233*S$235,5)</f>
        <v>6.4879999999999993E-2</v>
      </c>
      <c r="M233" s="119"/>
      <c r="N233" s="119"/>
      <c r="O233" s="119"/>
      <c r="P233" s="119"/>
      <c r="Q233" s="119"/>
      <c r="R233" s="119"/>
      <c r="T233" s="6">
        <f t="shared" si="224"/>
        <v>9.8543853708093376E-2</v>
      </c>
      <c r="W233" s="71" t="s">
        <v>117</v>
      </c>
    </row>
    <row r="234" spans="1:23" x14ac:dyDescent="0.2">
      <c r="A234" s="29">
        <f t="shared" si="217"/>
        <v>228</v>
      </c>
      <c r="D234" s="2" t="s">
        <v>91</v>
      </c>
      <c r="E234" s="118"/>
      <c r="F234" s="115"/>
      <c r="G234" s="119"/>
      <c r="H234" s="115">
        <v>7.44</v>
      </c>
      <c r="I234" s="119"/>
      <c r="J234" s="119"/>
      <c r="K234" s="119"/>
      <c r="L234" s="115">
        <f>L112</f>
        <v>8.17</v>
      </c>
      <c r="M234" s="119"/>
      <c r="N234" s="119"/>
      <c r="O234" s="119"/>
      <c r="P234" s="119"/>
      <c r="Q234" s="119"/>
      <c r="R234" s="119"/>
      <c r="T234" s="6">
        <f t="shared" si="224"/>
        <v>9.8118279569892497E-2</v>
      </c>
      <c r="W234" s="71" t="s">
        <v>116</v>
      </c>
    </row>
    <row r="235" spans="1:23" s="7" customFormat="1" ht="20.45" customHeight="1" x14ac:dyDescent="0.25">
      <c r="A235" s="29">
        <f t="shared" si="217"/>
        <v>229</v>
      </c>
      <c r="C235" s="16"/>
      <c r="D235" s="18" t="s">
        <v>7</v>
      </c>
      <c r="E235" s="18"/>
      <c r="F235" s="18"/>
      <c r="G235" s="125"/>
      <c r="H235" s="18"/>
      <c r="I235" s="125"/>
      <c r="J235" s="125"/>
      <c r="K235" s="125"/>
      <c r="L235" s="18"/>
      <c r="M235" s="125"/>
      <c r="N235" s="125"/>
      <c r="O235" s="125"/>
      <c r="P235" s="125"/>
      <c r="Q235" s="125"/>
      <c r="R235" s="125"/>
      <c r="S235" s="72">
        <f>S113</f>
        <v>1.0985319366548203</v>
      </c>
    </row>
    <row r="236" spans="1:23" ht="13.5" thickBot="1" x14ac:dyDescent="0.25">
      <c r="A236" s="29">
        <f t="shared" si="217"/>
        <v>230</v>
      </c>
    </row>
    <row r="237" spans="1:23" x14ac:dyDescent="0.2">
      <c r="A237" s="29">
        <f t="shared" si="217"/>
        <v>231</v>
      </c>
      <c r="B237" s="23" t="s">
        <v>108</v>
      </c>
      <c r="C237" s="24" t="s">
        <v>101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1:23" x14ac:dyDescent="0.2">
      <c r="A238" s="29">
        <f t="shared" si="217"/>
        <v>232</v>
      </c>
      <c r="D238" s="2" t="s">
        <v>18</v>
      </c>
      <c r="E238" s="118"/>
      <c r="F238" s="115"/>
      <c r="G238" s="119"/>
      <c r="H238" s="115">
        <v>1268.17</v>
      </c>
      <c r="I238" s="119"/>
      <c r="J238" s="119"/>
      <c r="K238" s="119"/>
      <c r="L238" s="115">
        <f>L232</f>
        <v>1393.13</v>
      </c>
      <c r="M238" s="119"/>
      <c r="N238" s="119"/>
      <c r="O238" s="119"/>
      <c r="P238" s="119"/>
      <c r="Q238" s="119"/>
      <c r="R238" s="119"/>
      <c r="T238" s="6">
        <f t="shared" ref="T238:T241" si="225">L238/H238-1</f>
        <v>9.8535685278787533E-2</v>
      </c>
      <c r="W238" s="71" t="s">
        <v>166</v>
      </c>
    </row>
    <row r="239" spans="1:23" x14ac:dyDescent="0.2">
      <c r="A239" s="29">
        <f t="shared" si="217"/>
        <v>233</v>
      </c>
      <c r="D239" s="2" t="s">
        <v>85</v>
      </c>
      <c r="E239" s="118"/>
      <c r="F239" s="123"/>
      <c r="G239" s="119"/>
      <c r="H239" s="123">
        <v>5.9060000000000001E-2</v>
      </c>
      <c r="I239" s="119"/>
      <c r="J239" s="119"/>
      <c r="K239" s="119"/>
      <c r="L239" s="122">
        <f>L233</f>
        <v>6.4879999999999993E-2</v>
      </c>
      <c r="M239" s="119"/>
      <c r="N239" s="119"/>
      <c r="O239" s="119"/>
      <c r="P239" s="119"/>
      <c r="Q239" s="119"/>
      <c r="R239" s="119"/>
      <c r="T239" s="6">
        <f t="shared" si="225"/>
        <v>9.8543853708093376E-2</v>
      </c>
      <c r="W239" s="71" t="s">
        <v>167</v>
      </c>
    </row>
    <row r="240" spans="1:23" x14ac:dyDescent="0.2">
      <c r="A240" s="29">
        <f t="shared" si="217"/>
        <v>234</v>
      </c>
      <c r="D240" s="2" t="s">
        <v>91</v>
      </c>
      <c r="E240" s="118"/>
      <c r="F240" s="115"/>
      <c r="G240" s="119"/>
      <c r="H240" s="115">
        <v>7.44</v>
      </c>
      <c r="I240" s="119"/>
      <c r="J240" s="119"/>
      <c r="K240" s="119"/>
      <c r="L240" s="115">
        <f t="shared" ref="L240:L241" si="226">L125</f>
        <v>7.97</v>
      </c>
      <c r="M240" s="119"/>
      <c r="N240" s="119"/>
      <c r="O240" s="119"/>
      <c r="P240" s="119"/>
      <c r="Q240" s="119"/>
      <c r="R240" s="119"/>
      <c r="T240" s="6">
        <f t="shared" si="225"/>
        <v>7.1236559139784772E-2</v>
      </c>
      <c r="W240" s="71" t="s">
        <v>116</v>
      </c>
    </row>
    <row r="241" spans="1:23" x14ac:dyDescent="0.2">
      <c r="A241" s="29">
        <f t="shared" si="217"/>
        <v>235</v>
      </c>
      <c r="D241" s="2" t="s">
        <v>111</v>
      </c>
      <c r="E241" s="118"/>
      <c r="F241" s="115"/>
      <c r="G241" s="119"/>
      <c r="H241" s="115">
        <v>10.36</v>
      </c>
      <c r="I241" s="119"/>
      <c r="J241" s="119"/>
      <c r="K241" s="119"/>
      <c r="L241" s="115">
        <f t="shared" si="226"/>
        <v>11.1</v>
      </c>
      <c r="M241" s="119"/>
      <c r="N241" s="119"/>
      <c r="O241" s="119"/>
      <c r="P241" s="119"/>
      <c r="Q241" s="119"/>
      <c r="R241" s="119"/>
      <c r="T241" s="6">
        <f t="shared" si="225"/>
        <v>7.1428571428571397E-2</v>
      </c>
      <c r="W241" s="71" t="s">
        <v>116</v>
      </c>
    </row>
    <row r="242" spans="1:23" s="7" customFormat="1" ht="20.45" customHeight="1" x14ac:dyDescent="0.25">
      <c r="A242" s="29">
        <f t="shared" si="217"/>
        <v>236</v>
      </c>
      <c r="C242" s="16"/>
      <c r="D242" s="18" t="s">
        <v>7</v>
      </c>
      <c r="E242" s="18"/>
      <c r="F242" s="18"/>
      <c r="G242" s="125"/>
      <c r="H242" s="18"/>
      <c r="I242" s="125"/>
      <c r="J242" s="125"/>
      <c r="K242" s="125"/>
      <c r="L242" s="18"/>
      <c r="M242" s="125"/>
      <c r="N242" s="125"/>
      <c r="O242" s="125"/>
      <c r="P242" s="125"/>
      <c r="Q242" s="125"/>
      <c r="R242" s="125"/>
      <c r="S242" s="72">
        <f>S113</f>
        <v>1.0985319366548203</v>
      </c>
    </row>
    <row r="243" spans="1:23" ht="13.5" thickBot="1" x14ac:dyDescent="0.25">
      <c r="A243" s="29">
        <f t="shared" si="217"/>
        <v>237</v>
      </c>
    </row>
    <row r="244" spans="1:23" x14ac:dyDescent="0.2">
      <c r="A244" s="29">
        <f t="shared" si="217"/>
        <v>238</v>
      </c>
      <c r="B244" s="23" t="s">
        <v>109</v>
      </c>
      <c r="C244" s="24" t="s">
        <v>102</v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1:23" x14ac:dyDescent="0.2">
      <c r="A245" s="29">
        <f t="shared" si="217"/>
        <v>239</v>
      </c>
      <c r="D245" s="2" t="s">
        <v>18</v>
      </c>
      <c r="E245" s="118"/>
      <c r="F245" s="115"/>
      <c r="G245" s="119"/>
      <c r="H245" s="115">
        <v>1268.17</v>
      </c>
      <c r="I245" s="119"/>
      <c r="J245" s="119"/>
      <c r="K245" s="119"/>
      <c r="L245" s="115">
        <f>L110</f>
        <v>1393.13</v>
      </c>
      <c r="M245" s="119"/>
      <c r="N245" s="119"/>
      <c r="O245" s="119"/>
      <c r="P245" s="119"/>
      <c r="Q245" s="119"/>
      <c r="R245" s="119"/>
      <c r="T245" s="6">
        <f t="shared" ref="T245:T247" si="227">L245/H245-1</f>
        <v>9.8535685278787533E-2</v>
      </c>
      <c r="W245" s="71" t="s">
        <v>116</v>
      </c>
    </row>
    <row r="246" spans="1:23" x14ac:dyDescent="0.2">
      <c r="A246" s="29">
        <f t="shared" si="217"/>
        <v>240</v>
      </c>
      <c r="D246" s="2" t="s">
        <v>85</v>
      </c>
      <c r="E246" s="118"/>
      <c r="F246" s="123"/>
      <c r="G246" s="119"/>
      <c r="H246" s="123">
        <v>5.4300000000000001E-2</v>
      </c>
      <c r="I246" s="119"/>
      <c r="J246" s="119"/>
      <c r="K246" s="119"/>
      <c r="L246" s="122">
        <f>L111</f>
        <v>5.9650000000000002E-2</v>
      </c>
      <c r="M246" s="119"/>
      <c r="N246" s="119"/>
      <c r="O246" s="119"/>
      <c r="P246" s="119"/>
      <c r="Q246" s="119"/>
      <c r="R246" s="119"/>
      <c r="T246" s="6">
        <f t="shared" si="227"/>
        <v>9.8526703499079105E-2</v>
      </c>
      <c r="W246" s="71" t="s">
        <v>116</v>
      </c>
    </row>
    <row r="247" spans="1:23" x14ac:dyDescent="0.2">
      <c r="A247" s="29">
        <f t="shared" si="217"/>
        <v>241</v>
      </c>
      <c r="D247" s="2" t="s">
        <v>91</v>
      </c>
      <c r="E247" s="118"/>
      <c r="F247" s="115"/>
      <c r="G247" s="119"/>
      <c r="H247" s="115">
        <v>7.44</v>
      </c>
      <c r="I247" s="119"/>
      <c r="J247" s="119"/>
      <c r="K247" s="119"/>
      <c r="L247" s="115">
        <f>L112</f>
        <v>8.17</v>
      </c>
      <c r="M247" s="119"/>
      <c r="N247" s="119"/>
      <c r="O247" s="119"/>
      <c r="P247" s="119"/>
      <c r="Q247" s="119"/>
      <c r="R247" s="119"/>
      <c r="T247" s="6">
        <f t="shared" si="227"/>
        <v>9.8118279569892497E-2</v>
      </c>
      <c r="W247" s="71" t="s">
        <v>116</v>
      </c>
    </row>
    <row r="248" spans="1:23" s="7" customFormat="1" ht="20.45" customHeight="1" thickBot="1" x14ac:dyDescent="0.3">
      <c r="A248" s="29">
        <f t="shared" si="217"/>
        <v>242</v>
      </c>
      <c r="C248" s="16"/>
      <c r="D248" s="18" t="s">
        <v>7</v>
      </c>
      <c r="E248" s="18"/>
      <c r="F248" s="18"/>
      <c r="G248" s="125"/>
      <c r="H248" s="18"/>
      <c r="I248" s="125"/>
      <c r="J248" s="125"/>
      <c r="K248" s="125"/>
      <c r="L248" s="18"/>
      <c r="M248" s="125"/>
      <c r="N248" s="125"/>
      <c r="O248" s="125"/>
      <c r="P248" s="125"/>
      <c r="Q248" s="125"/>
      <c r="R248" s="125"/>
      <c r="S248" s="72">
        <f>S113</f>
        <v>1.0985319366548203</v>
      </c>
    </row>
    <row r="249" spans="1:23" x14ac:dyDescent="0.2">
      <c r="A249" s="29">
        <f t="shared" si="217"/>
        <v>243</v>
      </c>
      <c r="B249" s="23" t="s">
        <v>110</v>
      </c>
      <c r="C249" s="24" t="s">
        <v>103</v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</row>
    <row r="250" spans="1:23" x14ac:dyDescent="0.2">
      <c r="A250" s="29">
        <f t="shared" si="217"/>
        <v>244</v>
      </c>
      <c r="D250" s="2" t="s">
        <v>18</v>
      </c>
      <c r="E250" s="118"/>
      <c r="F250" s="115"/>
      <c r="G250" s="119"/>
      <c r="H250" s="115">
        <v>1268.17</v>
      </c>
      <c r="I250" s="119"/>
      <c r="J250" s="119"/>
      <c r="K250" s="119"/>
      <c r="L250" s="115">
        <f>L245</f>
        <v>1393.13</v>
      </c>
      <c r="M250" s="119"/>
      <c r="N250" s="119"/>
      <c r="O250" s="119"/>
      <c r="P250" s="119"/>
      <c r="Q250" s="119"/>
      <c r="R250" s="119"/>
      <c r="T250" s="6">
        <f t="shared" ref="T250:T252" si="228">L250/H250-1</f>
        <v>9.8535685278787533E-2</v>
      </c>
      <c r="W250" s="71" t="s">
        <v>116</v>
      </c>
    </row>
    <row r="251" spans="1:23" x14ac:dyDescent="0.2">
      <c r="A251" s="29">
        <f t="shared" si="217"/>
        <v>245</v>
      </c>
      <c r="D251" s="2" t="s">
        <v>85</v>
      </c>
      <c r="E251" s="118"/>
      <c r="F251" s="123"/>
      <c r="G251" s="119"/>
      <c r="H251" s="123">
        <v>5.4300000000000001E-2</v>
      </c>
      <c r="I251" s="119"/>
      <c r="J251" s="119"/>
      <c r="K251" s="119"/>
      <c r="L251" s="122">
        <f>L246</f>
        <v>5.9650000000000002E-2</v>
      </c>
      <c r="M251" s="119"/>
      <c r="N251" s="119"/>
      <c r="O251" s="119"/>
      <c r="P251" s="119"/>
      <c r="Q251" s="119"/>
      <c r="R251" s="119"/>
      <c r="T251" s="6">
        <f t="shared" si="228"/>
        <v>9.8526703499079105E-2</v>
      </c>
      <c r="W251" s="71" t="s">
        <v>116</v>
      </c>
    </row>
    <row r="252" spans="1:23" x14ac:dyDescent="0.2">
      <c r="A252" s="29">
        <f t="shared" si="217"/>
        <v>246</v>
      </c>
      <c r="D252" s="2" t="s">
        <v>91</v>
      </c>
      <c r="E252" s="118"/>
      <c r="F252" s="115"/>
      <c r="G252" s="119"/>
      <c r="H252" s="115">
        <v>7.44</v>
      </c>
      <c r="I252" s="119"/>
      <c r="J252" s="119"/>
      <c r="K252" s="119"/>
      <c r="L252" s="115">
        <f>L125</f>
        <v>7.97</v>
      </c>
      <c r="M252" s="119"/>
      <c r="N252" s="119"/>
      <c r="O252" s="119"/>
      <c r="P252" s="119"/>
      <c r="Q252" s="119"/>
      <c r="R252" s="119"/>
      <c r="T252" s="6">
        <f t="shared" si="228"/>
        <v>7.1236559139784772E-2</v>
      </c>
      <c r="W252" s="71" t="s">
        <v>164</v>
      </c>
    </row>
    <row r="253" spans="1:23" x14ac:dyDescent="0.2">
      <c r="A253" s="29">
        <f t="shared" si="217"/>
        <v>247</v>
      </c>
      <c r="B253" s="112"/>
      <c r="D253" s="2" t="s">
        <v>111</v>
      </c>
      <c r="E253" s="118"/>
      <c r="F253" s="115"/>
      <c r="G253" s="119"/>
      <c r="H253" s="115">
        <v>10.36</v>
      </c>
      <c r="I253" s="119"/>
      <c r="J253" s="120"/>
      <c r="K253" s="120"/>
      <c r="L253" s="115">
        <f>L126</f>
        <v>11.1</v>
      </c>
      <c r="M253" s="119"/>
      <c r="N253" s="119"/>
      <c r="O253" s="120"/>
      <c r="P253" s="120"/>
      <c r="Q253" s="121"/>
      <c r="R253" s="121"/>
      <c r="T253" s="6">
        <f>L253/H253-1</f>
        <v>7.1428571428571397E-2</v>
      </c>
      <c r="W253" s="71" t="s">
        <v>164</v>
      </c>
    </row>
    <row r="254" spans="1:23" s="7" customFormat="1" ht="20.45" customHeight="1" x14ac:dyDescent="0.25">
      <c r="A254" s="29">
        <f t="shared" si="217"/>
        <v>248</v>
      </c>
      <c r="C254" s="16"/>
      <c r="D254" s="18" t="s">
        <v>7</v>
      </c>
      <c r="E254" s="18"/>
      <c r="F254" s="18"/>
      <c r="G254" s="125"/>
      <c r="H254" s="18"/>
      <c r="I254" s="125"/>
      <c r="J254" s="125"/>
      <c r="K254" s="125"/>
      <c r="L254" s="18"/>
      <c r="M254" s="125"/>
      <c r="N254" s="125"/>
      <c r="O254" s="125"/>
      <c r="P254" s="125"/>
      <c r="Q254" s="125"/>
      <c r="R254" s="125"/>
      <c r="S254" s="72">
        <f>S118</f>
        <v>0</v>
      </c>
    </row>
    <row r="255" spans="1:23" s="7" customFormat="1" ht="20.45" customHeight="1" thickBot="1" x14ac:dyDescent="0.3">
      <c r="A255" s="29">
        <f t="shared" si="217"/>
        <v>249</v>
      </c>
      <c r="C255" s="16"/>
      <c r="G255" s="156"/>
      <c r="I255" s="156"/>
      <c r="J255" s="156"/>
      <c r="K255" s="156"/>
      <c r="M255" s="156"/>
      <c r="N255" s="156"/>
      <c r="O255" s="156"/>
      <c r="P255" s="156"/>
      <c r="Q255" s="156"/>
      <c r="R255" s="156"/>
      <c r="S255" s="72"/>
    </row>
    <row r="256" spans="1:23" s="7" customFormat="1" ht="20.45" customHeight="1" x14ac:dyDescent="0.2">
      <c r="A256" s="29">
        <f t="shared" si="217"/>
        <v>250</v>
      </c>
      <c r="B256" s="98" t="s">
        <v>168</v>
      </c>
      <c r="C256" s="157"/>
      <c r="D256" s="98"/>
      <c r="E256" s="98"/>
      <c r="F256" s="98"/>
      <c r="G256" s="23"/>
      <c r="H256" s="23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72"/>
    </row>
    <row r="257" spans="1:18" x14ac:dyDescent="0.2">
      <c r="A257" s="29">
        <f t="shared" si="217"/>
        <v>251</v>
      </c>
      <c r="B257" s="86"/>
      <c r="C257" s="158"/>
      <c r="D257" s="86" t="s">
        <v>169</v>
      </c>
      <c r="E257" s="159"/>
      <c r="F257" s="160"/>
      <c r="G257" s="161"/>
      <c r="H257" s="13">
        <v>4.2</v>
      </c>
      <c r="I257" s="162"/>
      <c r="J257" s="163"/>
      <c r="K257" s="164"/>
      <c r="L257" s="155">
        <f>6.2</f>
        <v>6.2</v>
      </c>
      <c r="M257" s="86"/>
      <c r="N257" s="165"/>
      <c r="O257" s="86"/>
      <c r="P257" s="86"/>
      <c r="Q257" s="86"/>
      <c r="R257" s="86"/>
    </row>
    <row r="258" spans="1:18" x14ac:dyDescent="0.2">
      <c r="A258" s="29">
        <f t="shared" si="217"/>
        <v>252</v>
      </c>
      <c r="B258" s="86"/>
      <c r="C258" s="158"/>
      <c r="D258" s="86" t="s">
        <v>170</v>
      </c>
      <c r="E258" s="159"/>
      <c r="F258" s="160"/>
      <c r="G258" s="166"/>
      <c r="H258" s="167">
        <v>4.9000000000000004</v>
      </c>
      <c r="I258" s="162"/>
      <c r="J258" s="163"/>
      <c r="K258" s="164"/>
      <c r="L258" s="168">
        <f>6.9</f>
        <v>6.9</v>
      </c>
      <c r="M258" s="86"/>
      <c r="N258" s="165"/>
      <c r="O258" s="86"/>
      <c r="P258" s="86"/>
      <c r="Q258" s="86"/>
      <c r="R258" s="86"/>
    </row>
    <row r="259" spans="1:18" x14ac:dyDescent="0.2">
      <c r="A259" s="29">
        <f t="shared" si="217"/>
        <v>253</v>
      </c>
      <c r="B259" s="86"/>
      <c r="C259" s="158"/>
      <c r="D259" s="86" t="s">
        <v>171</v>
      </c>
      <c r="E259" s="86"/>
      <c r="F259" s="86"/>
      <c r="G259" s="86"/>
      <c r="H259" s="167">
        <v>5.6</v>
      </c>
      <c r="I259" s="86"/>
      <c r="J259" s="86"/>
      <c r="K259" s="86"/>
      <c r="L259" s="168">
        <f>7.6</f>
        <v>7.6</v>
      </c>
      <c r="N259" s="38"/>
    </row>
    <row r="260" spans="1:18" x14ac:dyDescent="0.2">
      <c r="B260" s="86"/>
      <c r="C260" s="158"/>
      <c r="D260" s="86"/>
      <c r="E260" s="86"/>
      <c r="F260" s="86"/>
      <c r="G260" s="86"/>
      <c r="H260" s="167"/>
      <c r="I260" s="86"/>
      <c r="J260" s="86"/>
      <c r="K260" s="86"/>
      <c r="L260" s="168"/>
      <c r="N260" s="38"/>
    </row>
    <row r="261" spans="1:18" x14ac:dyDescent="0.2">
      <c r="G261" s="121" t="s">
        <v>139</v>
      </c>
      <c r="H261" s="2">
        <v>1.1690000000000001E-2</v>
      </c>
      <c r="I261" s="121"/>
      <c r="J261" s="121"/>
      <c r="K261" s="121"/>
      <c r="M261" s="121"/>
      <c r="N261" s="121"/>
      <c r="O261" s="121"/>
      <c r="P261" s="121"/>
      <c r="Q261" s="121"/>
      <c r="R261" s="121"/>
    </row>
    <row r="264" spans="1:18" x14ac:dyDescent="0.2">
      <c r="E264" s="103">
        <v>1000950973</v>
      </c>
      <c r="G264" s="146">
        <v>88198041</v>
      </c>
      <c r="I264" s="147"/>
      <c r="J264" s="147"/>
      <c r="K264" s="147"/>
      <c r="M264" s="147"/>
      <c r="N264" s="147"/>
      <c r="O264" s="147"/>
      <c r="P264" s="147"/>
      <c r="Q264" s="147"/>
      <c r="R264" s="147"/>
    </row>
    <row r="265" spans="1:18" x14ac:dyDescent="0.2">
      <c r="E265" s="103">
        <f>E9+E21+E46+E47+E48+E60+E73+E86+E98+E111+E204+E166+E124</f>
        <v>1000473366</v>
      </c>
      <c r="G265" s="146">
        <f>G196</f>
        <v>100792137.37206499</v>
      </c>
      <c r="I265" s="148"/>
      <c r="J265" s="148"/>
      <c r="K265" s="148"/>
      <c r="M265" s="148"/>
      <c r="N265" s="148"/>
      <c r="O265" s="148"/>
      <c r="P265" s="148"/>
      <c r="Q265" s="148"/>
      <c r="R265" s="148"/>
    </row>
    <row r="266" spans="1:18" x14ac:dyDescent="0.2">
      <c r="E266" s="103">
        <f>E264-E265</f>
        <v>477607</v>
      </c>
      <c r="G266" s="119">
        <f>G265-G264</f>
        <v>12594096.372064993</v>
      </c>
    </row>
    <row r="267" spans="1:18" x14ac:dyDescent="0.2">
      <c r="E267" s="6">
        <f>E266/E264</f>
        <v>4.7715324015175316E-4</v>
      </c>
      <c r="G267" s="6">
        <f>G266/G264</f>
        <v>0.14279337986730331</v>
      </c>
    </row>
    <row r="269" spans="1:18" x14ac:dyDescent="0.2">
      <c r="E269" s="153">
        <f>E8+E20+E32+E45+E59+E72+E85</f>
        <v>307881</v>
      </c>
    </row>
  </sheetData>
  <phoneticPr fontId="9" type="noConversion"/>
  <printOptions horizontalCentered="1"/>
  <pageMargins left="0.7" right="0.7" top="0.75" bottom="0.75" header="0.3" footer="0.3"/>
  <pageSetup scale="48" fitToHeight="6" orientation="landscape" r:id="rId1"/>
  <headerFooter>
    <oddHeader>&amp;R&amp;"Arial,Bold"&amp;10Exhibit 4
 Page &amp;P of &amp;N</oddHeader>
  </headerFooter>
  <rowBreaks count="5" manualBreakCount="5">
    <brk id="70" max="17" man="1"/>
    <brk id="121" max="17" man="1"/>
    <brk id="162" max="17" man="1"/>
    <brk id="186" max="17" man="1"/>
    <brk id="230" max="17" man="1"/>
  </rowBreaks>
  <ignoredErrors>
    <ignoredError sqref="M10 L214 L233:L237 L111 I13 L242:L248 L20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9F6A-0C00-45DF-9E95-0B4131F0E938}">
  <dimension ref="A1:I156"/>
  <sheetViews>
    <sheetView view="pageBreakPreview" topLeftCell="A87" zoomScaleNormal="100" zoomScaleSheetLayoutView="100" workbookViewId="0">
      <selection activeCell="D104" sqref="D104"/>
    </sheetView>
  </sheetViews>
  <sheetFormatPr defaultColWidth="8.85546875" defaultRowHeight="12.75" x14ac:dyDescent="0.2"/>
  <cols>
    <col min="1" max="1" width="2.28515625" style="2" customWidth="1"/>
    <col min="2" max="2" width="2.42578125" style="2" customWidth="1"/>
    <col min="3" max="3" width="9.85546875" style="2" customWidth="1"/>
    <col min="4" max="4" width="34.140625" style="15" customWidth="1"/>
    <col min="5" max="5" width="31.42578125" style="2" bestFit="1" customWidth="1"/>
    <col min="6" max="6" width="14" style="2" customWidth="1"/>
    <col min="7" max="7" width="13.7109375" style="2" customWidth="1"/>
    <col min="8" max="8" width="17.7109375" style="2" customWidth="1"/>
    <col min="9" max="9" width="11.28515625" style="2" customWidth="1"/>
    <col min="10" max="16384" width="8.85546875" style="2"/>
  </cols>
  <sheetData>
    <row r="1" spans="1:9" x14ac:dyDescent="0.2">
      <c r="A1" s="1" t="str">
        <f>Summary!A1</f>
        <v>Fleming-Mason RECC</v>
      </c>
    </row>
    <row r="2" spans="1:9" x14ac:dyDescent="0.2">
      <c r="A2" s="1" t="s">
        <v>135</v>
      </c>
    </row>
    <row r="4" spans="1:9" x14ac:dyDescent="0.2">
      <c r="C4" s="68" t="s">
        <v>83</v>
      </c>
      <c r="D4" s="67"/>
      <c r="E4" s="67" t="s">
        <v>2</v>
      </c>
      <c r="F4" s="68" t="s">
        <v>82</v>
      </c>
      <c r="G4" s="68" t="s">
        <v>84</v>
      </c>
      <c r="H4" s="68" t="s">
        <v>136</v>
      </c>
      <c r="I4" s="68" t="s">
        <v>17</v>
      </c>
    </row>
    <row r="5" spans="1:9" x14ac:dyDescent="0.2">
      <c r="C5" s="92" t="str">
        <f>'Billing Detail'!C7</f>
        <v>RSP</v>
      </c>
      <c r="D5" s="91" t="str">
        <f>'Billing Detail'!B7</f>
        <v>Residential &amp; Small Power (1)</v>
      </c>
    </row>
    <row r="6" spans="1:9" x14ac:dyDescent="0.2">
      <c r="C6" s="92"/>
      <c r="D6" s="91"/>
      <c r="E6" s="2" t="str">
        <f>'Billing Detail'!D8</f>
        <v>Customer Charge</v>
      </c>
      <c r="F6" s="69">
        <f>'Billing Detail'!H8</f>
        <v>19</v>
      </c>
      <c r="G6" s="69">
        <f>'Billing Detail'!L8</f>
        <v>19.739999999999998</v>
      </c>
      <c r="H6" s="69">
        <f>G6-F6</f>
        <v>0.73999999999999844</v>
      </c>
      <c r="I6" s="6">
        <f>H6/F6</f>
        <v>3.894736842105255E-2</v>
      </c>
    </row>
    <row r="7" spans="1:9" x14ac:dyDescent="0.2">
      <c r="C7" s="92"/>
      <c r="D7" s="91"/>
      <c r="E7" s="2" t="str">
        <f>'Billing Detail'!D9</f>
        <v>Energy Charge per kWh</v>
      </c>
      <c r="F7" s="70">
        <f>'Billing Detail'!H9</f>
        <v>9.7500000000000003E-2</v>
      </c>
      <c r="G7" s="70">
        <f>'Billing Detail'!L9</f>
        <v>0.10128</v>
      </c>
      <c r="H7" s="70">
        <f t="shared" ref="H7:H79" si="0">G7-F7</f>
        <v>3.7799999999999917E-3</v>
      </c>
      <c r="I7" s="6">
        <f t="shared" ref="I7:I79" si="1">H7/F7</f>
        <v>3.8769230769230681E-2</v>
      </c>
    </row>
    <row r="8" spans="1:9" x14ac:dyDescent="0.2">
      <c r="C8" s="92"/>
      <c r="D8" s="91" t="s">
        <v>131</v>
      </c>
      <c r="H8" s="69"/>
      <c r="I8" s="6"/>
    </row>
    <row r="9" spans="1:9" x14ac:dyDescent="0.2">
      <c r="C9" s="92"/>
      <c r="D9" s="91"/>
      <c r="E9" s="2" t="str">
        <f>E6</f>
        <v>Customer Charge</v>
      </c>
      <c r="F9" s="69">
        <f t="shared" ref="F9:G9" si="2">F6</f>
        <v>19</v>
      </c>
      <c r="G9" s="69">
        <f t="shared" si="2"/>
        <v>19.739999999999998</v>
      </c>
      <c r="H9" s="69">
        <f t="shared" si="0"/>
        <v>0.73999999999999844</v>
      </c>
      <c r="I9" s="6">
        <f t="shared" si="1"/>
        <v>3.894736842105255E-2</v>
      </c>
    </row>
    <row r="10" spans="1:9" x14ac:dyDescent="0.2">
      <c r="C10" s="92"/>
      <c r="D10" s="91"/>
      <c r="E10" s="2" t="str">
        <f>E7</f>
        <v>Energy Charge per kWh</v>
      </c>
      <c r="F10" s="70">
        <f t="shared" ref="F10:G10" si="3">F7</f>
        <v>9.7500000000000003E-2</v>
      </c>
      <c r="G10" s="70">
        <f t="shared" si="3"/>
        <v>0.10128</v>
      </c>
      <c r="H10" s="70">
        <f t="shared" si="0"/>
        <v>3.7799999999999917E-3</v>
      </c>
      <c r="I10" s="6">
        <f t="shared" si="1"/>
        <v>3.8769230769230681E-2</v>
      </c>
    </row>
    <row r="11" spans="1:9" x14ac:dyDescent="0.2">
      <c r="C11" s="92"/>
      <c r="D11" s="91"/>
      <c r="E11" s="2" t="s">
        <v>132</v>
      </c>
      <c r="F11" s="69">
        <f>'Billing Detail'!F13</f>
        <v>5</v>
      </c>
      <c r="G11" s="69">
        <f>F11</f>
        <v>5</v>
      </c>
      <c r="H11" s="69">
        <f t="shared" si="0"/>
        <v>0</v>
      </c>
      <c r="I11" s="6">
        <f t="shared" si="1"/>
        <v>0</v>
      </c>
    </row>
    <row r="12" spans="1:9" x14ac:dyDescent="0.2">
      <c r="C12" s="92" t="str">
        <f>'Billing Detail'!C19</f>
        <v>RSP-ETS</v>
      </c>
      <c r="D12" s="91" t="str">
        <f>'Billing Detail'!B19</f>
        <v>Residential &amp; Small Power ETS (11)</v>
      </c>
      <c r="F12" s="69"/>
      <c r="G12" s="69"/>
      <c r="H12" s="69"/>
      <c r="I12" s="6"/>
    </row>
    <row r="13" spans="1:9" x14ac:dyDescent="0.2">
      <c r="C13" s="92"/>
      <c r="D13" s="91"/>
      <c r="E13" s="2" t="str">
        <f>'Billing Detail'!D21</f>
        <v>Energy Charge - Off Peak per kWh</v>
      </c>
      <c r="F13" s="70">
        <f>'Billing Detail'!H21</f>
        <v>5.8500000000000003E-2</v>
      </c>
      <c r="G13" s="70">
        <f>'Billing Detail'!L21</f>
        <v>6.0769999999999998E-2</v>
      </c>
      <c r="H13" s="70">
        <f t="shared" si="0"/>
        <v>2.2699999999999942E-3</v>
      </c>
      <c r="I13" s="6">
        <f t="shared" si="1"/>
        <v>3.8803418803418706E-2</v>
      </c>
    </row>
    <row r="14" spans="1:9" x14ac:dyDescent="0.2">
      <c r="C14" s="92" t="str">
        <f>'Billing Detail'!C31</f>
        <v>RSP-TOD</v>
      </c>
      <c r="D14" s="91" t="str">
        <f>'Billing Detail'!B31</f>
        <v>Residential &amp; Small Power TOD (110)</v>
      </c>
      <c r="F14" s="70"/>
      <c r="G14" s="70"/>
      <c r="H14" s="69"/>
      <c r="I14" s="6"/>
    </row>
    <row r="15" spans="1:9" x14ac:dyDescent="0.2">
      <c r="C15" s="92"/>
      <c r="D15" s="91"/>
      <c r="E15" s="2" t="str">
        <f>'Billing Detail'!D32</f>
        <v>Customer Charge</v>
      </c>
      <c r="F15" s="69">
        <f>'Billing Detail'!H32</f>
        <v>23.5</v>
      </c>
      <c r="G15" s="69">
        <f>'Billing Detail'!L32</f>
        <v>24.41</v>
      </c>
      <c r="H15" s="69">
        <f t="shared" ref="H15:H17" si="4">G15-F15</f>
        <v>0.91000000000000014</v>
      </c>
      <c r="I15" s="6">
        <f t="shared" ref="I15:I17" si="5">H15/F15</f>
        <v>3.8723404255319158E-2</v>
      </c>
    </row>
    <row r="16" spans="1:9" x14ac:dyDescent="0.2">
      <c r="C16" s="92"/>
      <c r="D16" s="91"/>
      <c r="E16" s="2" t="str">
        <f>'Billing Detail'!D33</f>
        <v>Energy Charge per kWh - On Pk</v>
      </c>
      <c r="F16" s="70">
        <f>'Billing Detail'!H33</f>
        <v>0.13683000000000001</v>
      </c>
      <c r="G16" s="70">
        <f>'Billing Detail'!L33</f>
        <v>0.14213999999999999</v>
      </c>
      <c r="H16" s="70">
        <f t="shared" si="4"/>
        <v>5.3099999999999814E-3</v>
      </c>
      <c r="I16" s="6">
        <f t="shared" si="5"/>
        <v>3.880727910545919E-2</v>
      </c>
    </row>
    <row r="17" spans="3:9" x14ac:dyDescent="0.2">
      <c r="C17" s="92"/>
      <c r="D17" s="91"/>
      <c r="E17" s="2" t="str">
        <f>'Billing Detail'!D34</f>
        <v>Energy Charge per kWh - Off Pk</v>
      </c>
      <c r="F17" s="70">
        <f>'Billing Detail'!H34</f>
        <v>6.948E-2</v>
      </c>
      <c r="G17" s="70">
        <f>'Billing Detail'!L34</f>
        <v>7.0000000000000007E-2</v>
      </c>
      <c r="H17" s="70">
        <f t="shared" si="4"/>
        <v>5.2000000000000657E-4</v>
      </c>
      <c r="I17" s="6">
        <f t="shared" si="5"/>
        <v>7.4841681059298589E-3</v>
      </c>
    </row>
    <row r="18" spans="3:9" x14ac:dyDescent="0.2">
      <c r="C18" s="92" t="str">
        <f>'Billing Detail'!C44</f>
        <v>RSP-IB</v>
      </c>
      <c r="D18" s="91" t="str">
        <f>'Billing Detail'!B44</f>
        <v>Inclining Block Rate (8)</v>
      </c>
      <c r="F18" s="69"/>
      <c r="G18" s="69"/>
      <c r="H18" s="69"/>
      <c r="I18" s="6"/>
    </row>
    <row r="19" spans="3:9" x14ac:dyDescent="0.2">
      <c r="C19" s="92"/>
      <c r="D19" s="91"/>
      <c r="E19" s="2" t="str">
        <f>'Billing Detail'!D45</f>
        <v>Customer Charge</v>
      </c>
      <c r="F19" s="69">
        <f>'Billing Detail'!H45</f>
        <v>19</v>
      </c>
      <c r="G19" s="69">
        <f>'Billing Detail'!L45</f>
        <v>19.739999999999998</v>
      </c>
      <c r="H19" s="69">
        <f t="shared" si="0"/>
        <v>0.73999999999999844</v>
      </c>
      <c r="I19" s="6">
        <f t="shared" si="1"/>
        <v>3.894736842105255E-2</v>
      </c>
    </row>
    <row r="20" spans="3:9" x14ac:dyDescent="0.2">
      <c r="C20" s="92"/>
      <c r="D20" s="91"/>
      <c r="E20" s="2" t="str">
        <f>'Billing Detail'!D46</f>
        <v>Energy Charge 0-300 per kWh</v>
      </c>
      <c r="F20" s="70">
        <f>'Billing Detail'!H46</f>
        <v>7.6819999999999999E-2</v>
      </c>
      <c r="G20" s="70">
        <f>'Billing Detail'!L46</f>
        <v>7.9799999999999996E-2</v>
      </c>
      <c r="H20" s="70">
        <f t="shared" si="0"/>
        <v>2.9799999999999965E-3</v>
      </c>
      <c r="I20" s="6">
        <f t="shared" si="1"/>
        <v>3.8791981254881494E-2</v>
      </c>
    </row>
    <row r="21" spans="3:9" x14ac:dyDescent="0.2">
      <c r="C21" s="92"/>
      <c r="D21" s="91"/>
      <c r="E21" s="2" t="str">
        <f>'Billing Detail'!D47</f>
        <v>Energy Charge 301-500 per kWh</v>
      </c>
      <c r="F21" s="70">
        <f>'Billing Detail'!H47</f>
        <v>8.72E-2</v>
      </c>
      <c r="G21" s="70">
        <f>'Billing Detail'!L47</f>
        <v>9.0579999999999994E-2</v>
      </c>
      <c r="H21" s="70">
        <f t="shared" si="0"/>
        <v>3.3799999999999941E-3</v>
      </c>
      <c r="I21" s="6">
        <f t="shared" si="1"/>
        <v>3.876146788990819E-2</v>
      </c>
    </row>
    <row r="22" spans="3:9" x14ac:dyDescent="0.2">
      <c r="C22" s="92"/>
      <c r="D22" s="91"/>
      <c r="E22" s="2" t="str">
        <f>'Billing Detail'!D48</f>
        <v>Energy Charge Over 500 per kWh</v>
      </c>
      <c r="F22" s="70">
        <f>'Billing Detail'!H48</f>
        <v>0.11834</v>
      </c>
      <c r="G22" s="70">
        <f>'Billing Detail'!L48</f>
        <v>0.12293</v>
      </c>
      <c r="H22" s="70">
        <f t="shared" si="0"/>
        <v>4.5899999999999969E-3</v>
      </c>
      <c r="I22" s="6">
        <f t="shared" si="1"/>
        <v>3.8786547236775368E-2</v>
      </c>
    </row>
    <row r="23" spans="3:9" x14ac:dyDescent="0.2">
      <c r="C23" s="92" t="str">
        <f>'Billing Detail'!C58</f>
        <v>SGS</v>
      </c>
      <c r="D23" s="91" t="str">
        <f>'Billing Detail'!B58</f>
        <v>Small General Service (2)</v>
      </c>
      <c r="F23" s="69"/>
      <c r="G23" s="69"/>
      <c r="H23" s="69"/>
      <c r="I23" s="6"/>
    </row>
    <row r="24" spans="3:9" x14ac:dyDescent="0.2">
      <c r="C24" s="92"/>
      <c r="D24" s="91"/>
      <c r="E24" s="2" t="str">
        <f>'Billing Detail'!D59</f>
        <v>Customer Charge</v>
      </c>
      <c r="F24" s="69">
        <f>'Billing Detail'!H59</f>
        <v>51.1</v>
      </c>
      <c r="G24" s="69">
        <f>'Billing Detail'!L59</f>
        <v>53.08</v>
      </c>
      <c r="H24" s="69">
        <f t="shared" si="0"/>
        <v>1.9799999999999969</v>
      </c>
      <c r="I24" s="6">
        <f t="shared" si="1"/>
        <v>3.8747553816046908E-2</v>
      </c>
    </row>
    <row r="25" spans="3:9" x14ac:dyDescent="0.2">
      <c r="C25" s="92"/>
      <c r="D25" s="91"/>
      <c r="E25" s="2" t="str">
        <f>'Billing Detail'!D60</f>
        <v>Energy Charge per kWh</v>
      </c>
      <c r="F25" s="70">
        <f>'Billing Detail'!H60</f>
        <v>7.5109999999999996E-2</v>
      </c>
      <c r="G25" s="70">
        <f>'Billing Detail'!L60</f>
        <v>7.8020000000000006E-2</v>
      </c>
      <c r="H25" s="70">
        <f t="shared" si="0"/>
        <v>2.9100000000000098E-3</v>
      </c>
      <c r="I25" s="6">
        <f t="shared" si="1"/>
        <v>3.8743176674211288E-2</v>
      </c>
    </row>
    <row r="26" spans="3:9" x14ac:dyDescent="0.2">
      <c r="C26" s="92"/>
      <c r="D26" s="91"/>
      <c r="E26" s="2" t="str">
        <f>'Billing Detail'!D61</f>
        <v>Demand Charge per kW</v>
      </c>
      <c r="F26" s="69">
        <f>'Billing Detail'!H61</f>
        <v>7.69</v>
      </c>
      <c r="G26" s="69">
        <f>'Billing Detail'!L61</f>
        <v>7.99</v>
      </c>
      <c r="H26" s="13">
        <f t="shared" si="0"/>
        <v>0.29999999999999982</v>
      </c>
      <c r="I26" s="6">
        <f t="shared" si="1"/>
        <v>3.9011703511053292E-2</v>
      </c>
    </row>
    <row r="27" spans="3:9" x14ac:dyDescent="0.2">
      <c r="C27" s="92" t="str">
        <f>'Billing Detail'!C71</f>
        <v>LGS</v>
      </c>
      <c r="D27" s="91" t="str">
        <f>'Billing Detail'!B71</f>
        <v>Large General Service (3)</v>
      </c>
      <c r="F27" s="69"/>
      <c r="G27" s="69"/>
      <c r="H27" s="70"/>
      <c r="I27" s="6"/>
    </row>
    <row r="28" spans="3:9" x14ac:dyDescent="0.2">
      <c r="C28" s="92"/>
      <c r="D28" s="91"/>
      <c r="E28" s="2" t="str">
        <f>'Billing Detail'!D72</f>
        <v>Customer Charge</v>
      </c>
      <c r="F28" s="69">
        <f>'Billing Detail'!H72</f>
        <v>68</v>
      </c>
      <c r="G28" s="69">
        <f>'Billing Detail'!L72</f>
        <v>70.64</v>
      </c>
      <c r="H28" s="69">
        <f t="shared" si="0"/>
        <v>2.6400000000000006</v>
      </c>
      <c r="I28" s="6">
        <f t="shared" si="1"/>
        <v>3.8823529411764715E-2</v>
      </c>
    </row>
    <row r="29" spans="3:9" x14ac:dyDescent="0.2">
      <c r="C29" s="92"/>
      <c r="D29" s="91"/>
      <c r="E29" s="2" t="str">
        <f>'Billing Detail'!D73</f>
        <v>Energy Charge per kWh</v>
      </c>
      <c r="F29" s="70">
        <f>'Billing Detail'!H73</f>
        <v>6.3329999999999997E-2</v>
      </c>
      <c r="G29" s="70">
        <f>'Billing Detail'!L73</f>
        <v>6.5790000000000001E-2</v>
      </c>
      <c r="H29" s="70">
        <f t="shared" si="0"/>
        <v>2.4600000000000039E-3</v>
      </c>
      <c r="I29" s="6">
        <f t="shared" si="1"/>
        <v>3.8844149692089117E-2</v>
      </c>
    </row>
    <row r="30" spans="3:9" x14ac:dyDescent="0.2">
      <c r="C30" s="92"/>
      <c r="D30" s="91"/>
      <c r="E30" s="2" t="str">
        <f>'Billing Detail'!D74</f>
        <v>Demand Charge per kW</v>
      </c>
      <c r="F30" s="69">
        <f>'Billing Detail'!H74</f>
        <v>7.19</v>
      </c>
      <c r="G30" s="69">
        <f>'Billing Detail'!L74</f>
        <v>7.47</v>
      </c>
      <c r="H30" s="13">
        <f t="shared" si="0"/>
        <v>0.27999999999999936</v>
      </c>
      <c r="I30" s="6">
        <f t="shared" si="1"/>
        <v>3.8942976356049978E-2</v>
      </c>
    </row>
    <row r="31" spans="3:9" x14ac:dyDescent="0.2">
      <c r="C31" s="92" t="str">
        <f>'Billing Detail'!C84</f>
        <v>AES</v>
      </c>
      <c r="D31" s="91" t="str">
        <f>'Billing Detail'!B84</f>
        <v>All Electric School (4)</v>
      </c>
      <c r="F31" s="69"/>
      <c r="G31" s="69"/>
      <c r="H31" s="70"/>
      <c r="I31" s="6"/>
    </row>
    <row r="32" spans="3:9" x14ac:dyDescent="0.2">
      <c r="C32" s="92"/>
      <c r="D32" s="91"/>
      <c r="E32" s="2" t="str">
        <f>'Billing Detail'!D85</f>
        <v>Customer Charge</v>
      </c>
      <c r="F32" s="69">
        <f>'Billing Detail'!H85</f>
        <v>67.34</v>
      </c>
      <c r="G32" s="69">
        <f>'Billing Detail'!L85</f>
        <v>69.95</v>
      </c>
      <c r="H32" s="69">
        <f t="shared" si="0"/>
        <v>2.6099999999999994</v>
      </c>
      <c r="I32" s="6">
        <f t="shared" si="1"/>
        <v>3.8758538758538748E-2</v>
      </c>
    </row>
    <row r="33" spans="3:9" x14ac:dyDescent="0.2">
      <c r="C33" s="92"/>
      <c r="D33" s="91"/>
      <c r="E33" s="2" t="str">
        <f>'Billing Detail'!D86</f>
        <v>Energy Charge per kWh</v>
      </c>
      <c r="F33" s="70">
        <f>'Billing Detail'!H86</f>
        <v>9.3479999999999994E-2</v>
      </c>
      <c r="G33" s="70">
        <f>'Billing Detail'!L86</f>
        <v>9.7110000000000002E-2</v>
      </c>
      <c r="H33" s="70">
        <f t="shared" si="0"/>
        <v>3.6300000000000082E-3</v>
      </c>
      <c r="I33" s="6">
        <f t="shared" si="1"/>
        <v>3.8831835686778012E-2</v>
      </c>
    </row>
    <row r="34" spans="3:9" x14ac:dyDescent="0.2">
      <c r="C34" s="92" t="str">
        <f>'Billing Detail'!C109</f>
        <v>LIS7</v>
      </c>
      <c r="D34" s="91" t="str">
        <f>'Billing Detail'!B109</f>
        <v>Large Industrial Service (7)</v>
      </c>
      <c r="F34" s="69"/>
      <c r="G34" s="69"/>
      <c r="H34" s="69"/>
      <c r="I34" s="6"/>
    </row>
    <row r="35" spans="3:9" x14ac:dyDescent="0.2">
      <c r="C35" s="92"/>
      <c r="D35" s="91"/>
      <c r="E35" s="2" t="str">
        <f>'Billing Detail'!D110</f>
        <v>Customer Charge</v>
      </c>
      <c r="F35" s="69">
        <f>'Billing Detail'!H110</f>
        <v>1268.17</v>
      </c>
      <c r="G35" s="69">
        <f>'Billing Detail'!L110</f>
        <v>1393.13</v>
      </c>
      <c r="H35" s="69">
        <f t="shared" si="0"/>
        <v>124.96000000000004</v>
      </c>
      <c r="I35" s="6">
        <f t="shared" si="1"/>
        <v>9.8535685278787574E-2</v>
      </c>
    </row>
    <row r="36" spans="3:9" x14ac:dyDescent="0.2">
      <c r="C36" s="92"/>
      <c r="D36" s="91"/>
      <c r="E36" s="2" t="str">
        <f>'Billing Detail'!D111</f>
        <v>Energy Charge per kWh</v>
      </c>
      <c r="F36" s="70">
        <f>'Billing Detail'!H111</f>
        <v>5.4300000000000001E-2</v>
      </c>
      <c r="G36" s="70">
        <f>'Billing Detail'!L111</f>
        <v>5.9650000000000002E-2</v>
      </c>
      <c r="H36" s="70">
        <f t="shared" si="0"/>
        <v>5.3500000000000006E-3</v>
      </c>
      <c r="I36" s="6">
        <f t="shared" si="1"/>
        <v>9.8526703499079202E-2</v>
      </c>
    </row>
    <row r="37" spans="3:9" x14ac:dyDescent="0.2">
      <c r="C37" s="92"/>
      <c r="D37" s="91"/>
      <c r="E37" s="2" t="str">
        <f>'Billing Detail'!D112</f>
        <v>Demand Charge - Contract per kW</v>
      </c>
      <c r="F37" s="69">
        <f>'Billing Detail'!H112</f>
        <v>7.44</v>
      </c>
      <c r="G37" s="69">
        <f>'Billing Detail'!L112</f>
        <v>8.17</v>
      </c>
      <c r="H37" s="69">
        <f t="shared" si="0"/>
        <v>0.72999999999999954</v>
      </c>
      <c r="I37" s="6">
        <f t="shared" si="1"/>
        <v>9.81182795698924E-2</v>
      </c>
    </row>
    <row r="38" spans="3:9" x14ac:dyDescent="0.2">
      <c r="C38" s="92" t="str">
        <f>'Billing Detail'!C122</f>
        <v>Contract</v>
      </c>
      <c r="D38" s="91" t="str">
        <f>'Billing Detail'!B122</f>
        <v>Special Contract LIS6B - EKPC Rate B</v>
      </c>
      <c r="F38" s="69"/>
      <c r="G38" s="69"/>
      <c r="H38" s="69"/>
      <c r="I38" s="6"/>
    </row>
    <row r="39" spans="3:9" x14ac:dyDescent="0.2">
      <c r="C39" s="92"/>
      <c r="D39" s="91"/>
      <c r="E39" s="2" t="str">
        <f>'Billing Detail'!D123</f>
        <v>Customer Charge</v>
      </c>
      <c r="F39" s="69">
        <f>'Billing Detail'!H123</f>
        <v>5727</v>
      </c>
      <c r="G39" s="69">
        <f>'Billing Detail'!L123</f>
        <v>6127.6</v>
      </c>
      <c r="H39" s="69">
        <f t="shared" ref="H39:H41" si="6">G39-F39</f>
        <v>400.60000000000036</v>
      </c>
      <c r="I39" s="6">
        <f t="shared" ref="I39:I41" si="7">H39/F39</f>
        <v>6.9949362668063619E-2</v>
      </c>
    </row>
    <row r="40" spans="3:9" x14ac:dyDescent="0.2">
      <c r="C40" s="92"/>
      <c r="D40" s="91"/>
      <c r="E40" s="2" t="str">
        <f>'Billing Detail'!D124</f>
        <v>Energy Charge per kWh</v>
      </c>
      <c r="F40" s="70">
        <f>'Billing Detail'!H124</f>
        <v>5.3859999999999998E-2</v>
      </c>
      <c r="G40" s="70">
        <f>'Billing Detail'!L124</f>
        <v>5.7709999999999997E-2</v>
      </c>
      <c r="H40" s="70">
        <f t="shared" si="6"/>
        <v>3.8499999999999993E-3</v>
      </c>
      <c r="I40" s="6">
        <f t="shared" si="7"/>
        <v>7.1481619012253986E-2</v>
      </c>
    </row>
    <row r="41" spans="3:9" x14ac:dyDescent="0.2">
      <c r="C41" s="92"/>
      <c r="D41" s="91"/>
      <c r="E41" s="2" t="str">
        <f>'Billing Detail'!D125</f>
        <v>Demand Charge - Contract per kW</v>
      </c>
      <c r="F41" s="69">
        <f>'Billing Detail'!H125</f>
        <v>7.44</v>
      </c>
      <c r="G41" s="69">
        <f>'Billing Detail'!L125</f>
        <v>7.97</v>
      </c>
      <c r="H41" s="69">
        <f t="shared" si="6"/>
        <v>0.52999999999999936</v>
      </c>
      <c r="I41" s="6">
        <f t="shared" si="7"/>
        <v>7.1236559139784855E-2</v>
      </c>
    </row>
    <row r="42" spans="3:9" x14ac:dyDescent="0.2">
      <c r="C42" s="92"/>
      <c r="D42" s="91"/>
      <c r="E42" s="2" t="str">
        <f>'Billing Detail'!D126</f>
        <v>Demand Charge - Excess per kW</v>
      </c>
      <c r="F42" s="69">
        <f>'Billing Detail'!H126</f>
        <v>10.36</v>
      </c>
      <c r="G42" s="69">
        <f>'Billing Detail'!L126</f>
        <v>11.1</v>
      </c>
      <c r="H42" s="69">
        <f t="shared" ref="H42" si="8">G42-F42</f>
        <v>0.74000000000000021</v>
      </c>
      <c r="I42" s="6">
        <f t="shared" ref="I42" si="9">H42/F42</f>
        <v>7.1428571428571452E-2</v>
      </c>
    </row>
    <row r="43" spans="3:9" x14ac:dyDescent="0.2">
      <c r="C43" s="92" t="str">
        <f>'Billing Detail'!C137</f>
        <v>OL</v>
      </c>
      <c r="D43" s="91" t="str">
        <f>'Billing Detail'!B137</f>
        <v>Lighting</v>
      </c>
      <c r="F43" s="69"/>
      <c r="G43" s="69"/>
      <c r="H43" s="69"/>
      <c r="I43" s="6"/>
    </row>
    <row r="44" spans="3:9" x14ac:dyDescent="0.2">
      <c r="D44" s="58" t="str">
        <f>'Billing Detail'!B138</f>
        <v>MV</v>
      </c>
      <c r="E44" s="2" t="str">
        <f>'Billing Detail'!C138</f>
        <v>7000 Lumens Standard Service</v>
      </c>
      <c r="F44" s="69">
        <f>'Billing Detail'!H138</f>
        <v>9.7899999999999991</v>
      </c>
      <c r="G44" s="69">
        <f>'Billing Detail'!L138</f>
        <v>10.17</v>
      </c>
      <c r="H44" s="69">
        <f t="shared" si="0"/>
        <v>0.38000000000000078</v>
      </c>
      <c r="I44" s="6">
        <f t="shared" si="1"/>
        <v>3.8815117466802947E-2</v>
      </c>
    </row>
    <row r="45" spans="3:9" x14ac:dyDescent="0.2">
      <c r="D45" s="58" t="str">
        <f>'Billing Detail'!B139</f>
        <v>MV</v>
      </c>
      <c r="E45" s="2" t="str">
        <f>'Billing Detail'!C139</f>
        <v>7000 Lumens Ornamental Service</v>
      </c>
      <c r="F45" s="69">
        <f>'Billing Detail'!H139</f>
        <v>21.29</v>
      </c>
      <c r="G45" s="69">
        <f>'Billing Detail'!L139</f>
        <v>22.12</v>
      </c>
      <c r="H45" s="69">
        <f t="shared" si="0"/>
        <v>0.83000000000000185</v>
      </c>
      <c r="I45" s="6">
        <f t="shared" si="1"/>
        <v>3.8985439173320896E-2</v>
      </c>
    </row>
    <row r="46" spans="3:9" x14ac:dyDescent="0.2">
      <c r="D46" s="58" t="str">
        <f>'Billing Detail'!B140</f>
        <v>MV</v>
      </c>
      <c r="E46" s="2" t="str">
        <f>'Billing Detail'!C140</f>
        <v>20,000 Lumens Standard Service</v>
      </c>
      <c r="F46" s="69">
        <f>'Billing Detail'!H140</f>
        <v>19.03</v>
      </c>
      <c r="G46" s="69">
        <f>'Billing Detail'!L140</f>
        <v>19.77</v>
      </c>
      <c r="H46" s="69">
        <f t="shared" si="0"/>
        <v>0.73999999999999844</v>
      </c>
      <c r="I46" s="6">
        <f t="shared" si="1"/>
        <v>3.888596952180759E-2</v>
      </c>
    </row>
    <row r="47" spans="3:9" x14ac:dyDescent="0.2">
      <c r="D47" s="58" t="str">
        <f>'Billing Detail'!B141</f>
        <v>MV</v>
      </c>
      <c r="E47" s="2" t="str">
        <f>'Billing Detail'!C141</f>
        <v>20,000 Lumens Ornamental Service</v>
      </c>
      <c r="F47" s="69">
        <f>'Billing Detail'!H141</f>
        <v>29.01</v>
      </c>
      <c r="G47" s="69">
        <f>'Billing Detail'!L141</f>
        <v>30.14</v>
      </c>
      <c r="H47" s="69">
        <f t="shared" si="0"/>
        <v>1.129999999999999</v>
      </c>
      <c r="I47" s="6">
        <f t="shared" si="1"/>
        <v>3.8952085487762807E-2</v>
      </c>
    </row>
    <row r="48" spans="3:9" x14ac:dyDescent="0.2">
      <c r="D48" s="58" t="str">
        <f>'Billing Detail'!B142</f>
        <v>HPS</v>
      </c>
      <c r="E48" s="2" t="str">
        <f>'Billing Detail'!C142</f>
        <v>9500 Lumens Standard</v>
      </c>
      <c r="F48" s="69">
        <f>'Billing Detail'!H142</f>
        <v>9.24</v>
      </c>
      <c r="G48" s="69">
        <f>'Billing Detail'!L142</f>
        <v>9.6</v>
      </c>
      <c r="H48" s="69">
        <f t="shared" si="0"/>
        <v>0.35999999999999943</v>
      </c>
      <c r="I48" s="6">
        <f t="shared" si="1"/>
        <v>3.8961038961038898E-2</v>
      </c>
    </row>
    <row r="49" spans="3:9" x14ac:dyDescent="0.2">
      <c r="D49" s="58" t="str">
        <f>'Billing Detail'!B143</f>
        <v>HPS</v>
      </c>
      <c r="E49" s="2" t="str">
        <f>'Billing Detail'!C143</f>
        <v>9500 Lumens Ornamental</v>
      </c>
      <c r="F49" s="69">
        <f>'Billing Detail'!H143</f>
        <v>19.190000000000001</v>
      </c>
      <c r="G49" s="69">
        <f>'Billing Detail'!L143</f>
        <v>19.93</v>
      </c>
      <c r="H49" s="69">
        <f t="shared" si="0"/>
        <v>0.73999999999999844</v>
      </c>
      <c r="I49" s="6">
        <f t="shared" si="1"/>
        <v>3.8561750911933215E-2</v>
      </c>
    </row>
    <row r="50" spans="3:9" x14ac:dyDescent="0.2">
      <c r="D50" s="58" t="str">
        <f>'Billing Detail'!B144</f>
        <v>HPS</v>
      </c>
      <c r="E50" s="2" t="str">
        <f>'Billing Detail'!C144</f>
        <v>9500 Lumens Directional</v>
      </c>
      <c r="F50" s="69">
        <f>'Billing Detail'!H144</f>
        <v>9.33</v>
      </c>
      <c r="G50" s="69">
        <f>'Billing Detail'!L144</f>
        <v>9.69</v>
      </c>
      <c r="H50" s="69">
        <f t="shared" si="0"/>
        <v>0.35999999999999943</v>
      </c>
      <c r="I50" s="6">
        <f t="shared" si="1"/>
        <v>3.8585209003215375E-2</v>
      </c>
    </row>
    <row r="51" spans="3:9" x14ac:dyDescent="0.2">
      <c r="D51" s="58" t="str">
        <f>'Billing Detail'!B145</f>
        <v>HPS</v>
      </c>
      <c r="E51" s="2" t="str">
        <f>'Billing Detail'!C145</f>
        <v>22,000 Lumens Standard</v>
      </c>
      <c r="F51" s="69">
        <f>'Billing Detail'!H145</f>
        <v>13.41</v>
      </c>
      <c r="G51" s="69">
        <f>'Billing Detail'!L145</f>
        <v>13.93</v>
      </c>
      <c r="H51" s="69">
        <f t="shared" si="0"/>
        <v>0.51999999999999957</v>
      </c>
      <c r="I51" s="6">
        <f t="shared" si="1"/>
        <v>3.8777032065622635E-2</v>
      </c>
    </row>
    <row r="52" spans="3:9" x14ac:dyDescent="0.2">
      <c r="D52" s="58" t="str">
        <f>'Billing Detail'!B146</f>
        <v>HPS</v>
      </c>
      <c r="E52" s="2" t="str">
        <f>'Billing Detail'!C146</f>
        <v>22,000 Lumens Ornamental</v>
      </c>
      <c r="F52" s="69">
        <f>'Billing Detail'!H146</f>
        <v>23.36</v>
      </c>
      <c r="G52" s="69">
        <f>'Billing Detail'!L146</f>
        <v>24.27</v>
      </c>
      <c r="H52" s="69">
        <f t="shared" si="0"/>
        <v>0.91000000000000014</v>
      </c>
      <c r="I52" s="6">
        <f t="shared" si="1"/>
        <v>3.8955479452054805E-2</v>
      </c>
    </row>
    <row r="53" spans="3:9" x14ac:dyDescent="0.2">
      <c r="D53" s="58" t="str">
        <f>'Billing Detail'!B147</f>
        <v>HPS</v>
      </c>
      <c r="E53" s="2" t="str">
        <f>'Billing Detail'!C147</f>
        <v>22,000 Lumens Directional</v>
      </c>
      <c r="F53" s="69">
        <f>'Billing Detail'!H147</f>
        <v>13.17</v>
      </c>
      <c r="G53" s="69">
        <f>'Billing Detail'!L147</f>
        <v>13.68</v>
      </c>
      <c r="H53" s="69">
        <f t="shared" si="0"/>
        <v>0.50999999999999979</v>
      </c>
      <c r="I53" s="6">
        <f t="shared" si="1"/>
        <v>3.8724373576309777E-2</v>
      </c>
    </row>
    <row r="54" spans="3:9" x14ac:dyDescent="0.2">
      <c r="D54" s="58" t="str">
        <f>'Billing Detail'!B148</f>
        <v>HPS</v>
      </c>
      <c r="E54" s="2" t="str">
        <f>'Billing Detail'!C148</f>
        <v>50,000 Lumens Standard</v>
      </c>
      <c r="F54" s="69">
        <f>'Billing Detail'!H148</f>
        <v>20.59</v>
      </c>
      <c r="G54" s="69">
        <f>'Billing Detail'!L148</f>
        <v>21.39</v>
      </c>
      <c r="H54" s="69">
        <f t="shared" si="0"/>
        <v>0.80000000000000071</v>
      </c>
      <c r="I54" s="6">
        <f t="shared" si="1"/>
        <v>3.8853812530354574E-2</v>
      </c>
    </row>
    <row r="55" spans="3:9" x14ac:dyDescent="0.2">
      <c r="D55" s="58" t="str">
        <f>'Billing Detail'!B149</f>
        <v>HPS</v>
      </c>
      <c r="E55" s="2" t="str">
        <f>'Billing Detail'!C149</f>
        <v>50,000 Lumens Ornamental</v>
      </c>
      <c r="F55" s="69">
        <f>'Billing Detail'!H149</f>
        <v>30.03</v>
      </c>
      <c r="G55" s="69">
        <f>'Billing Detail'!L149</f>
        <v>31.19</v>
      </c>
      <c r="H55" s="69">
        <f t="shared" si="0"/>
        <v>1.1600000000000001</v>
      </c>
      <c r="I55" s="6">
        <f t="shared" si="1"/>
        <v>3.8628038628038631E-2</v>
      </c>
    </row>
    <row r="56" spans="3:9" x14ac:dyDescent="0.2">
      <c r="D56" s="58" t="str">
        <f>'Billing Detail'!B150</f>
        <v>HPS</v>
      </c>
      <c r="E56" s="2" t="str">
        <f>'Billing Detail'!C150</f>
        <v>50,000 Lumens Directional</v>
      </c>
      <c r="F56" s="69">
        <f>'Billing Detail'!H150</f>
        <v>20.21</v>
      </c>
      <c r="G56" s="69">
        <f>'Billing Detail'!L150</f>
        <v>20.99</v>
      </c>
      <c r="H56" s="69">
        <f t="shared" si="0"/>
        <v>0.77999999999999758</v>
      </c>
      <c r="I56" s="6">
        <f t="shared" si="1"/>
        <v>3.8594755071746541E-2</v>
      </c>
    </row>
    <row r="57" spans="3:9" x14ac:dyDescent="0.2">
      <c r="D57" s="58" t="str">
        <f>'Billing Detail'!B151</f>
        <v>LED</v>
      </c>
      <c r="E57" s="2" t="str">
        <f>'Billing Detail'!C151</f>
        <v>5000-7500 Lumens</v>
      </c>
      <c r="F57" s="69">
        <f>'Billing Detail'!H151</f>
        <v>9.41</v>
      </c>
      <c r="G57" s="69">
        <f>'Billing Detail'!L151</f>
        <v>9.77</v>
      </c>
      <c r="H57" s="69">
        <f t="shared" si="0"/>
        <v>0.35999999999999943</v>
      </c>
      <c r="I57" s="6">
        <f t="shared" si="1"/>
        <v>3.8257173219978687E-2</v>
      </c>
    </row>
    <row r="58" spans="3:9" x14ac:dyDescent="0.2">
      <c r="D58" s="58" t="str">
        <f>'Billing Detail'!B152</f>
        <v>LED</v>
      </c>
      <c r="E58" s="2" t="str">
        <f>'Billing Detail'!C152</f>
        <v>8000-12500 Lumens</v>
      </c>
      <c r="F58" s="69">
        <f>'Billing Detail'!H152</f>
        <v>13.01</v>
      </c>
      <c r="G58" s="69">
        <f>'Billing Detail'!L152</f>
        <v>13.51</v>
      </c>
      <c r="H58" s="69">
        <f t="shared" si="0"/>
        <v>0.5</v>
      </c>
      <c r="I58" s="6">
        <f t="shared" si="1"/>
        <v>3.843197540353574E-2</v>
      </c>
    </row>
    <row r="59" spans="3:9" x14ac:dyDescent="0.2">
      <c r="D59" s="58" t="str">
        <f>'Billing Detail'!B153</f>
        <v>LED</v>
      </c>
      <c r="E59" s="2" t="str">
        <f>'Billing Detail'!C153</f>
        <v>5000-7500 Lumens Directional</v>
      </c>
      <c r="F59" s="69">
        <f>'Billing Detail'!H153</f>
        <v>15.61</v>
      </c>
      <c r="G59" s="69">
        <f>'Billing Detail'!L153</f>
        <v>16.22</v>
      </c>
      <c r="H59" s="69">
        <f t="shared" si="0"/>
        <v>0.60999999999999943</v>
      </c>
      <c r="I59" s="6">
        <f t="shared" si="1"/>
        <v>3.907751441383725E-2</v>
      </c>
    </row>
    <row r="60" spans="3:9" x14ac:dyDescent="0.2">
      <c r="D60" s="58" t="str">
        <f>'Billing Detail'!B154</f>
        <v>LED</v>
      </c>
      <c r="E60" s="2" t="str">
        <f>'Billing Detail'!C154</f>
        <v>19000-23000 Lumens Floodlight</v>
      </c>
      <c r="F60" s="69">
        <f>'Billing Detail'!H154</f>
        <v>25.54</v>
      </c>
      <c r="G60" s="69">
        <f>'Billing Detail'!L154</f>
        <v>26.53</v>
      </c>
      <c r="H60" s="69">
        <f t="shared" ref="H60" si="10">G60-F60</f>
        <v>0.99000000000000199</v>
      </c>
      <c r="I60" s="6">
        <f t="shared" ref="I60" si="11">H60/F60</f>
        <v>3.8762725137040016E-2</v>
      </c>
    </row>
    <row r="61" spans="3:9" x14ac:dyDescent="0.2">
      <c r="C61" s="92" t="str">
        <f>'Billing Detail'!C163</f>
        <v>Special</v>
      </c>
      <c r="D61" s="91" t="str">
        <f>'Billing Detail'!B163</f>
        <v>Special Contract - EKPC Rate G</v>
      </c>
      <c r="F61" s="69"/>
      <c r="G61" s="69"/>
      <c r="H61" s="69"/>
      <c r="I61" s="6"/>
    </row>
    <row r="62" spans="3:9" x14ac:dyDescent="0.2">
      <c r="C62" s="15"/>
      <c r="D62" s="2"/>
      <c r="E62" s="2" t="str">
        <f>'Billing Detail'!D164</f>
        <v>Customer Charge</v>
      </c>
      <c r="F62" s="69">
        <f>'Billing Detail'!H164</f>
        <v>5727</v>
      </c>
      <c r="G62" s="69">
        <f>'Billing Detail'!L164</f>
        <v>6013</v>
      </c>
      <c r="H62" s="69">
        <f t="shared" si="0"/>
        <v>286</v>
      </c>
      <c r="I62" s="6">
        <f t="shared" si="1"/>
        <v>4.9938885978697396E-2</v>
      </c>
    </row>
    <row r="63" spans="3:9" x14ac:dyDescent="0.2">
      <c r="C63" s="15"/>
      <c r="D63" s="2"/>
      <c r="E63" s="2" t="str">
        <f>'Billing Detail'!D165</f>
        <v>Demand Charge per kW</v>
      </c>
      <c r="F63" s="69">
        <f>'Billing Detail'!H165</f>
        <v>7.3</v>
      </c>
      <c r="G63" s="69">
        <f>'Billing Detail'!L165</f>
        <v>8.91</v>
      </c>
      <c r="H63" s="69">
        <f t="shared" si="0"/>
        <v>1.6100000000000003</v>
      </c>
      <c r="I63" s="6">
        <f t="shared" si="1"/>
        <v>0.22054794520547949</v>
      </c>
    </row>
    <row r="64" spans="3:9" x14ac:dyDescent="0.2">
      <c r="C64" s="15"/>
      <c r="D64" s="2"/>
      <c r="E64" s="2" t="str">
        <f>'Billing Detail'!D166</f>
        <v>Energy Charge per kWh</v>
      </c>
      <c r="F64" s="70">
        <f>'Billing Detail'!H166</f>
        <v>5.1029999999999999E-2</v>
      </c>
      <c r="G64" s="70">
        <f>'Billing Detail'!L166</f>
        <v>5.4045000000000003E-2</v>
      </c>
      <c r="H64" s="70">
        <f t="shared" si="0"/>
        <v>3.0150000000000038E-3</v>
      </c>
      <c r="I64" s="6">
        <f t="shared" si="1"/>
        <v>5.9082892416225823E-2</v>
      </c>
    </row>
    <row r="65" spans="3:9" x14ac:dyDescent="0.2">
      <c r="C65" s="92" t="str">
        <f>'Billing Detail'!C176</f>
        <v>Contract</v>
      </c>
      <c r="D65" s="91" t="str">
        <f>'Billing Detail'!B176</f>
        <v>Steam</v>
      </c>
      <c r="F65" s="69"/>
      <c r="G65" s="69"/>
      <c r="H65" s="69"/>
      <c r="I65" s="6"/>
    </row>
    <row r="66" spans="3:9" x14ac:dyDescent="0.2">
      <c r="C66" s="92"/>
      <c r="D66" s="91"/>
      <c r="E66" s="2" t="str">
        <f>'Billing Detail'!D177</f>
        <v>Demand Charge per MMBTU</v>
      </c>
      <c r="F66" s="69">
        <f>'Billing Detail'!H177</f>
        <v>604.75</v>
      </c>
      <c r="G66" s="69">
        <f>'Billing Detail'!L177</f>
        <v>800.14</v>
      </c>
      <c r="H66" s="69">
        <f t="shared" si="0"/>
        <v>195.39</v>
      </c>
      <c r="I66" s="6">
        <f t="shared" si="1"/>
        <v>0.32309218685407193</v>
      </c>
    </row>
    <row r="67" spans="3:9" x14ac:dyDescent="0.2">
      <c r="C67" s="92"/>
      <c r="D67" s="91"/>
      <c r="E67" s="2" t="str">
        <f>'Billing Detail'!D178</f>
        <v>Energy Charge per MMBTU</v>
      </c>
      <c r="F67" s="70">
        <f>'Billing Detail'!H178</f>
        <v>5.391</v>
      </c>
      <c r="G67" s="70">
        <f>'Billing Detail'!L178</f>
        <v>5.7539999999999996</v>
      </c>
      <c r="H67" s="70">
        <f t="shared" si="0"/>
        <v>0.36299999999999955</v>
      </c>
      <c r="I67" s="6">
        <f t="shared" si="1"/>
        <v>6.7334446299387785E-2</v>
      </c>
    </row>
    <row r="68" spans="3:9" x14ac:dyDescent="0.2">
      <c r="C68" s="92" t="str">
        <f>'Billing Detail'!C202</f>
        <v>LIS1</v>
      </c>
      <c r="D68" s="91" t="str">
        <f>'Billing Detail'!B202</f>
        <v>Large Industrial Service (1)</v>
      </c>
      <c r="F68" s="70"/>
      <c r="G68" s="70"/>
      <c r="H68" s="70"/>
      <c r="I68" s="6"/>
    </row>
    <row r="69" spans="3:9" x14ac:dyDescent="0.2">
      <c r="C69" s="92"/>
      <c r="D69" s="91"/>
      <c r="E69" s="2" t="str">
        <f>'Billing Detail'!D203</f>
        <v>Customer Charge</v>
      </c>
      <c r="F69" s="69">
        <f>'Billing Detail'!H203</f>
        <v>634.70000000000005</v>
      </c>
      <c r="G69" s="69">
        <f>'Billing Detail'!L203</f>
        <v>697.24</v>
      </c>
      <c r="H69" s="69">
        <f t="shared" ref="H69" si="12">G69-F69</f>
        <v>62.539999999999964</v>
      </c>
      <c r="I69" s="6">
        <f t="shared" ref="I69" si="13">H69/F69</f>
        <v>9.8534740822435726E-2</v>
      </c>
    </row>
    <row r="70" spans="3:9" x14ac:dyDescent="0.2">
      <c r="C70" s="92"/>
      <c r="D70" s="91"/>
      <c r="E70" s="2" t="str">
        <f>'Billing Detail'!D204</f>
        <v>Energy Charge per kWh</v>
      </c>
      <c r="F70" s="70">
        <f>'Billing Detail'!H204</f>
        <v>6.241E-2</v>
      </c>
      <c r="G70" s="70">
        <f>'Billing Detail'!L204</f>
        <v>6.8559999999999996E-2</v>
      </c>
      <c r="H70" s="70">
        <f t="shared" ref="H70:H71" si="14">G70-F70</f>
        <v>6.1499999999999957E-3</v>
      </c>
      <c r="I70" s="6">
        <f t="shared" ref="I70:I71" si="15">H70/F70</f>
        <v>9.8541900336484467E-2</v>
      </c>
    </row>
    <row r="71" spans="3:9" x14ac:dyDescent="0.2">
      <c r="C71" s="92"/>
      <c r="D71" s="91"/>
      <c r="E71" s="2" t="str">
        <f>'Billing Detail'!D205</f>
        <v>Demand Charge per kW</v>
      </c>
      <c r="F71" s="69">
        <f>'Billing Detail'!H205</f>
        <v>9.2799999999999994</v>
      </c>
      <c r="G71" s="69">
        <f>'Billing Detail'!L205</f>
        <v>10.19</v>
      </c>
      <c r="H71" s="69">
        <f t="shared" si="14"/>
        <v>0.91000000000000014</v>
      </c>
      <c r="I71" s="6">
        <f t="shared" si="15"/>
        <v>9.8060344827586229E-2</v>
      </c>
    </row>
    <row r="72" spans="3:9" x14ac:dyDescent="0.2">
      <c r="C72" s="92" t="str">
        <f>'Billing Detail'!C206</f>
        <v>LIS2</v>
      </c>
      <c r="D72" s="91" t="str">
        <f>'Billing Detail'!B206</f>
        <v>Large Industrial Service (2)</v>
      </c>
      <c r="H72" s="2">
        <f t="shared" si="0"/>
        <v>0</v>
      </c>
      <c r="I72" s="6"/>
    </row>
    <row r="73" spans="3:9" x14ac:dyDescent="0.2">
      <c r="C73" s="92"/>
      <c r="D73" s="91"/>
      <c r="E73" s="2" t="str">
        <f>'Billing Detail'!D207</f>
        <v>Customer Charge</v>
      </c>
      <c r="F73" s="69">
        <f>'Billing Detail'!H207</f>
        <v>1268.17</v>
      </c>
      <c r="G73" s="69">
        <f>'Billing Detail'!L207</f>
        <v>1393.13</v>
      </c>
      <c r="H73" s="69">
        <f t="shared" si="0"/>
        <v>124.96000000000004</v>
      </c>
      <c r="I73" s="6">
        <f t="shared" si="1"/>
        <v>9.8535685278787574E-2</v>
      </c>
    </row>
    <row r="74" spans="3:9" x14ac:dyDescent="0.2">
      <c r="C74" s="92"/>
      <c r="D74" s="91"/>
      <c r="E74" s="2" t="str">
        <f>'Billing Detail'!D208</f>
        <v>Energy Charge per kWh</v>
      </c>
      <c r="F74" s="70">
        <f>'Billing Detail'!H208</f>
        <v>5.8540000000000002E-2</v>
      </c>
      <c r="G74" s="70">
        <f>'Billing Detail'!L208</f>
        <v>6.4310000000000006E-2</v>
      </c>
      <c r="H74" s="70">
        <f t="shared" si="0"/>
        <v>5.7700000000000043E-3</v>
      </c>
      <c r="I74" s="6">
        <f t="shared" si="1"/>
        <v>9.8565083703450698E-2</v>
      </c>
    </row>
    <row r="75" spans="3:9" x14ac:dyDescent="0.2">
      <c r="C75" s="92"/>
      <c r="D75" s="91"/>
      <c r="E75" s="2" t="str">
        <f>'Billing Detail'!D209</f>
        <v>Demand Charge - Contract per kW</v>
      </c>
      <c r="F75" s="69">
        <f>'Billing Detail'!H209</f>
        <v>9.2799999999999994</v>
      </c>
      <c r="G75" s="69">
        <f>'Billing Detail'!L209</f>
        <v>10.19</v>
      </c>
      <c r="H75" s="69">
        <f t="shared" si="0"/>
        <v>0.91000000000000014</v>
      </c>
      <c r="I75" s="6">
        <f t="shared" si="1"/>
        <v>9.8060344827586229E-2</v>
      </c>
    </row>
    <row r="76" spans="3:9" x14ac:dyDescent="0.2">
      <c r="C76" s="92" t="str">
        <f>'Billing Detail'!C212</f>
        <v>LIS3</v>
      </c>
      <c r="D76" s="91" t="str">
        <f>'Billing Detail'!B212</f>
        <v>Large Industrial Service (3)</v>
      </c>
      <c r="I76" s="6"/>
    </row>
    <row r="77" spans="3:9" x14ac:dyDescent="0.2">
      <c r="C77" s="92"/>
      <c r="D77" s="91"/>
      <c r="E77" s="2" t="str">
        <f>'Billing Detail'!D213</f>
        <v>Customer Charge</v>
      </c>
      <c r="F77" s="69">
        <f>'Billing Detail'!H213</f>
        <v>1268.17</v>
      </c>
      <c r="G77" s="69">
        <f>'Billing Detail'!L213</f>
        <v>1393.13</v>
      </c>
      <c r="H77" s="69">
        <f t="shared" si="0"/>
        <v>124.96000000000004</v>
      </c>
      <c r="I77" s="6">
        <f t="shared" si="1"/>
        <v>9.8535685278787574E-2</v>
      </c>
    </row>
    <row r="78" spans="3:9" x14ac:dyDescent="0.2">
      <c r="C78" s="92"/>
      <c r="D78" s="91"/>
      <c r="E78" s="2" t="str">
        <f>'Billing Detail'!D214</f>
        <v>Energy Charge per kWh</v>
      </c>
      <c r="F78" s="70">
        <f>'Billing Detail'!H214</f>
        <v>5.7290000000000001E-2</v>
      </c>
      <c r="G78" s="70">
        <f>'Billing Detail'!L214</f>
        <v>6.293E-2</v>
      </c>
      <c r="H78" s="70">
        <f t="shared" si="0"/>
        <v>5.6399999999999992E-3</v>
      </c>
      <c r="I78" s="6">
        <f t="shared" si="1"/>
        <v>9.844650026182579E-2</v>
      </c>
    </row>
    <row r="79" spans="3:9" x14ac:dyDescent="0.2">
      <c r="C79" s="92"/>
      <c r="D79" s="91"/>
      <c r="E79" s="2" t="str">
        <f>'Billing Detail'!D215</f>
        <v>Demand Charge - Contract per kW</v>
      </c>
      <c r="F79" s="69">
        <f>'Billing Detail'!H215</f>
        <v>7.59</v>
      </c>
      <c r="G79" s="69">
        <f>'Billing Detail'!L215</f>
        <v>8.34</v>
      </c>
      <c r="H79" s="69">
        <f t="shared" si="0"/>
        <v>0.75</v>
      </c>
      <c r="I79" s="6">
        <f t="shared" si="1"/>
        <v>9.8814229249011856E-2</v>
      </c>
    </row>
    <row r="80" spans="3:9" x14ac:dyDescent="0.2">
      <c r="C80" s="92" t="str">
        <f>'Billing Detail'!C218</f>
        <v>LIS4</v>
      </c>
      <c r="D80" s="91" t="str">
        <f>'Billing Detail'!B218</f>
        <v>Large Industrial Service (4)</v>
      </c>
      <c r="I80" s="6"/>
    </row>
    <row r="81" spans="3:9" x14ac:dyDescent="0.2">
      <c r="C81" s="92"/>
      <c r="D81" s="91"/>
      <c r="E81" s="2" t="str">
        <f>'Billing Detail'!D219</f>
        <v>Customer Charge</v>
      </c>
      <c r="F81" s="69">
        <f>'Billing Detail'!H219</f>
        <v>634.70000000000005</v>
      </c>
      <c r="G81" s="69">
        <f>'Billing Detail'!L219</f>
        <v>697.24</v>
      </c>
      <c r="H81" s="69">
        <f t="shared" ref="H81:H101" si="16">G81-F81</f>
        <v>62.539999999999964</v>
      </c>
      <c r="I81" s="6">
        <f t="shared" ref="I81:I101" si="17">H81/F81</f>
        <v>9.8534740822435726E-2</v>
      </c>
    </row>
    <row r="82" spans="3:9" x14ac:dyDescent="0.2">
      <c r="C82" s="92"/>
      <c r="D82" s="91"/>
      <c r="E82" s="2" t="str">
        <f>'Billing Detail'!D220</f>
        <v>Energy Charge per kWh</v>
      </c>
      <c r="F82" s="70">
        <f>'Billing Detail'!H220</f>
        <v>6.2920000000000004E-2</v>
      </c>
      <c r="G82" s="70">
        <f>'Billing Detail'!L220</f>
        <v>6.9120000000000001E-2</v>
      </c>
      <c r="H82" s="70">
        <f t="shared" si="16"/>
        <v>6.1999999999999972E-3</v>
      </c>
      <c r="I82" s="6">
        <f t="shared" si="17"/>
        <v>9.8537825810553037E-2</v>
      </c>
    </row>
    <row r="83" spans="3:9" x14ac:dyDescent="0.2">
      <c r="C83" s="92"/>
      <c r="D83" s="91"/>
      <c r="E83" s="2" t="str">
        <f>'Billing Detail'!D221</f>
        <v>Demand Charge - Contract per kW</v>
      </c>
      <c r="F83" s="69">
        <f>'Billing Detail'!H221</f>
        <v>7.44</v>
      </c>
      <c r="G83" s="69">
        <f>'Billing Detail'!L221</f>
        <v>8.17</v>
      </c>
      <c r="H83" s="69">
        <f t="shared" si="16"/>
        <v>0.72999999999999954</v>
      </c>
      <c r="I83" s="6">
        <f t="shared" si="17"/>
        <v>9.81182795698924E-2</v>
      </c>
    </row>
    <row r="84" spans="3:9" x14ac:dyDescent="0.2">
      <c r="C84" s="92" t="str">
        <f>'Billing Detail'!C224</f>
        <v>LIS4B</v>
      </c>
      <c r="D84" s="91" t="str">
        <f>'Billing Detail'!B224</f>
        <v>Large Industrial Service (4B)</v>
      </c>
      <c r="I84" s="6"/>
    </row>
    <row r="85" spans="3:9" x14ac:dyDescent="0.2">
      <c r="C85" s="92"/>
      <c r="D85" s="91"/>
      <c r="E85" s="2" t="str">
        <f>'Billing Detail'!D225</f>
        <v>Customer Charge</v>
      </c>
      <c r="F85" s="69">
        <f>'Billing Detail'!H225</f>
        <v>634.70000000000005</v>
      </c>
      <c r="G85" s="69">
        <f>'Billing Detail'!L225</f>
        <v>697.24</v>
      </c>
      <c r="H85" s="69">
        <f t="shared" si="16"/>
        <v>62.539999999999964</v>
      </c>
      <c r="I85" s="6">
        <f t="shared" si="17"/>
        <v>9.8534740822435726E-2</v>
      </c>
    </row>
    <row r="86" spans="3:9" x14ac:dyDescent="0.2">
      <c r="C86" s="92"/>
      <c r="D86" s="91"/>
      <c r="E86" s="2" t="str">
        <f>'Billing Detail'!D226</f>
        <v>Energy Charge per kWh</v>
      </c>
      <c r="F86" s="70">
        <f>'Billing Detail'!H226</f>
        <v>6.2920000000000004E-2</v>
      </c>
      <c r="G86" s="70">
        <f>'Billing Detail'!L226</f>
        <v>6.9120000000000001E-2</v>
      </c>
      <c r="H86" s="70">
        <f t="shared" si="16"/>
        <v>6.1999999999999972E-3</v>
      </c>
      <c r="I86" s="6">
        <f t="shared" si="17"/>
        <v>9.8537825810553037E-2</v>
      </c>
    </row>
    <row r="87" spans="3:9" x14ac:dyDescent="0.2">
      <c r="C87" s="92"/>
      <c r="D87" s="91"/>
      <c r="E87" s="2" t="str">
        <f>'Billing Detail'!D227</f>
        <v>Demand Charge - Contract per kW</v>
      </c>
      <c r="F87" s="69">
        <f>'Billing Detail'!H227</f>
        <v>7.44</v>
      </c>
      <c r="G87" s="69">
        <f>'Billing Detail'!L227</f>
        <v>8.17</v>
      </c>
      <c r="H87" s="69">
        <f t="shared" si="16"/>
        <v>0.72999999999999954</v>
      </c>
      <c r="I87" s="6">
        <f t="shared" si="17"/>
        <v>9.81182795698924E-2</v>
      </c>
    </row>
    <row r="88" spans="3:9" x14ac:dyDescent="0.2">
      <c r="C88" s="92"/>
      <c r="D88" s="91"/>
      <c r="E88" s="2" t="str">
        <f>'Billing Detail'!D228</f>
        <v>Demand Charge - Excess per kW</v>
      </c>
      <c r="F88" s="69">
        <f>'Billing Detail'!H228</f>
        <v>10.36</v>
      </c>
      <c r="G88" s="69">
        <f>'Billing Detail'!L228</f>
        <v>11.1</v>
      </c>
      <c r="H88" s="69">
        <f t="shared" si="16"/>
        <v>0.74000000000000021</v>
      </c>
      <c r="I88" s="6">
        <f t="shared" si="17"/>
        <v>7.1428571428571452E-2</v>
      </c>
    </row>
    <row r="89" spans="3:9" x14ac:dyDescent="0.2">
      <c r="C89" s="92" t="str">
        <f>'Billing Detail'!C231</f>
        <v>LIS5</v>
      </c>
      <c r="D89" s="91" t="str">
        <f>'Billing Detail'!B231</f>
        <v>Large Industrial Service (5)</v>
      </c>
      <c r="I89" s="6"/>
    </row>
    <row r="90" spans="3:9" x14ac:dyDescent="0.2">
      <c r="C90" s="92"/>
      <c r="D90" s="91"/>
      <c r="E90" s="2" t="str">
        <f>'Billing Detail'!D232</f>
        <v>Customer Charge</v>
      </c>
      <c r="F90" s="69">
        <f>'Billing Detail'!H232</f>
        <v>1268.17</v>
      </c>
      <c r="G90" s="69">
        <f>'Billing Detail'!L232</f>
        <v>1393.13</v>
      </c>
      <c r="H90" s="69">
        <f t="shared" si="16"/>
        <v>124.96000000000004</v>
      </c>
      <c r="I90" s="6">
        <f t="shared" si="17"/>
        <v>9.8535685278787574E-2</v>
      </c>
    </row>
    <row r="91" spans="3:9" x14ac:dyDescent="0.2">
      <c r="C91" s="92"/>
      <c r="D91" s="91"/>
      <c r="E91" s="2" t="str">
        <f>'Billing Detail'!D233</f>
        <v>Energy Charge per kWh</v>
      </c>
      <c r="F91" s="70">
        <f>'Billing Detail'!H233</f>
        <v>5.9060000000000001E-2</v>
      </c>
      <c r="G91" s="70">
        <f>'Billing Detail'!L233</f>
        <v>6.4879999999999993E-2</v>
      </c>
      <c r="H91" s="70">
        <f t="shared" si="16"/>
        <v>5.8199999999999918E-3</v>
      </c>
      <c r="I91" s="6">
        <f t="shared" si="17"/>
        <v>9.8543853708093321E-2</v>
      </c>
    </row>
    <row r="92" spans="3:9" x14ac:dyDescent="0.2">
      <c r="C92" s="92"/>
      <c r="D92" s="91"/>
      <c r="E92" s="2" t="str">
        <f>'Billing Detail'!D234</f>
        <v>Demand Charge - Contract per kW</v>
      </c>
      <c r="F92" s="69">
        <f>'Billing Detail'!H234</f>
        <v>7.44</v>
      </c>
      <c r="G92" s="69">
        <f>'Billing Detail'!L234</f>
        <v>8.17</v>
      </c>
      <c r="H92" s="69">
        <f t="shared" si="16"/>
        <v>0.72999999999999954</v>
      </c>
      <c r="I92" s="6">
        <f t="shared" si="17"/>
        <v>9.81182795698924E-2</v>
      </c>
    </row>
    <row r="93" spans="3:9" x14ac:dyDescent="0.2">
      <c r="C93" s="92" t="str">
        <f>'Billing Detail'!C237</f>
        <v>LIS5B</v>
      </c>
      <c r="D93" s="91" t="str">
        <f>'Billing Detail'!B237</f>
        <v>Large Industrial Service (5B)</v>
      </c>
      <c r="I93" s="6"/>
    </row>
    <row r="94" spans="3:9" x14ac:dyDescent="0.2">
      <c r="C94" s="92"/>
      <c r="D94" s="91"/>
      <c r="E94" s="2" t="str">
        <f>'Billing Detail'!D238</f>
        <v>Customer Charge</v>
      </c>
      <c r="F94" s="69">
        <f>'Billing Detail'!H238</f>
        <v>1268.17</v>
      </c>
      <c r="G94" s="69">
        <f>'Billing Detail'!L238</f>
        <v>1393.13</v>
      </c>
      <c r="H94" s="69">
        <f t="shared" si="16"/>
        <v>124.96000000000004</v>
      </c>
      <c r="I94" s="6">
        <f t="shared" si="17"/>
        <v>9.8535685278787574E-2</v>
      </c>
    </row>
    <row r="95" spans="3:9" x14ac:dyDescent="0.2">
      <c r="C95" s="92"/>
      <c r="D95" s="91"/>
      <c r="E95" s="2" t="str">
        <f>'Billing Detail'!D239</f>
        <v>Energy Charge per kWh</v>
      </c>
      <c r="F95" s="70">
        <f>'Billing Detail'!H239</f>
        <v>5.9060000000000001E-2</v>
      </c>
      <c r="G95" s="70">
        <f>'Billing Detail'!L239</f>
        <v>6.4879999999999993E-2</v>
      </c>
      <c r="H95" s="70">
        <f t="shared" si="16"/>
        <v>5.8199999999999918E-3</v>
      </c>
      <c r="I95" s="6">
        <f t="shared" si="17"/>
        <v>9.8543853708093321E-2</v>
      </c>
    </row>
    <row r="96" spans="3:9" x14ac:dyDescent="0.2">
      <c r="C96" s="92"/>
      <c r="D96" s="91"/>
      <c r="E96" s="2" t="str">
        <f>'Billing Detail'!D240</f>
        <v>Demand Charge - Contract per kW</v>
      </c>
      <c r="F96" s="69">
        <f>'Billing Detail'!H240</f>
        <v>7.44</v>
      </c>
      <c r="G96" s="69">
        <f>'Billing Detail'!L240</f>
        <v>7.97</v>
      </c>
      <c r="H96" s="69">
        <f t="shared" si="16"/>
        <v>0.52999999999999936</v>
      </c>
      <c r="I96" s="6">
        <f t="shared" si="17"/>
        <v>7.1236559139784855E-2</v>
      </c>
    </row>
    <row r="97" spans="3:9" x14ac:dyDescent="0.2">
      <c r="C97" s="92"/>
      <c r="D97" s="91"/>
      <c r="E97" s="2" t="str">
        <f>'Billing Detail'!D241</f>
        <v>Demand Charge - Excess per kW</v>
      </c>
      <c r="F97" s="69">
        <f>'Billing Detail'!H241</f>
        <v>10.36</v>
      </c>
      <c r="G97" s="69">
        <f>'Billing Detail'!L241</f>
        <v>11.1</v>
      </c>
      <c r="H97" s="69">
        <f t="shared" si="16"/>
        <v>0.74000000000000021</v>
      </c>
      <c r="I97" s="6">
        <f t="shared" si="17"/>
        <v>7.1428571428571452E-2</v>
      </c>
    </row>
    <row r="98" spans="3:9" x14ac:dyDescent="0.2">
      <c r="C98" s="92" t="str">
        <f>'Billing Detail'!C244</f>
        <v>LIS6</v>
      </c>
      <c r="D98" s="91" t="str">
        <f>'Billing Detail'!B244</f>
        <v>Large Industrial Service (6)</v>
      </c>
      <c r="I98" s="6"/>
    </row>
    <row r="99" spans="3:9" x14ac:dyDescent="0.2">
      <c r="C99" s="92"/>
      <c r="D99" s="91"/>
      <c r="E99" s="2" t="str">
        <f>'Billing Detail'!D245</f>
        <v>Customer Charge</v>
      </c>
      <c r="F99" s="69">
        <f>'Billing Detail'!H245</f>
        <v>1268.17</v>
      </c>
      <c r="G99" s="69">
        <f>'Billing Detail'!L245</f>
        <v>1393.13</v>
      </c>
      <c r="H99" s="69">
        <f t="shared" si="16"/>
        <v>124.96000000000004</v>
      </c>
      <c r="I99" s="6">
        <f t="shared" si="17"/>
        <v>9.8535685278787574E-2</v>
      </c>
    </row>
    <row r="100" spans="3:9" x14ac:dyDescent="0.2">
      <c r="C100" s="92"/>
      <c r="D100" s="91"/>
      <c r="E100" s="2" t="str">
        <f>'Billing Detail'!D246</f>
        <v>Energy Charge per kWh</v>
      </c>
      <c r="F100" s="70">
        <f>'Billing Detail'!H246</f>
        <v>5.4300000000000001E-2</v>
      </c>
      <c r="G100" s="70">
        <f>'Billing Detail'!L246</f>
        <v>5.9650000000000002E-2</v>
      </c>
      <c r="H100" s="70">
        <f t="shared" si="16"/>
        <v>5.3500000000000006E-3</v>
      </c>
      <c r="I100" s="6">
        <f t="shared" si="17"/>
        <v>9.8526703499079202E-2</v>
      </c>
    </row>
    <row r="101" spans="3:9" x14ac:dyDescent="0.2">
      <c r="C101" s="92"/>
      <c r="D101" s="91"/>
      <c r="E101" s="2" t="str">
        <f>'Billing Detail'!D247</f>
        <v>Demand Charge - Contract per kW</v>
      </c>
      <c r="F101" s="69">
        <f>'Billing Detail'!H247</f>
        <v>7.44</v>
      </c>
      <c r="G101" s="69">
        <f>'Billing Detail'!L247</f>
        <v>8.17</v>
      </c>
      <c r="H101" s="69">
        <f t="shared" si="16"/>
        <v>0.72999999999999954</v>
      </c>
      <c r="I101" s="6">
        <f t="shared" si="17"/>
        <v>9.81182795698924E-2</v>
      </c>
    </row>
    <row r="102" spans="3:9" x14ac:dyDescent="0.2">
      <c r="C102" s="92" t="str">
        <f>'Billing Detail'!C249</f>
        <v>LIS6B</v>
      </c>
      <c r="D102" s="91" t="str">
        <f>'Billing Detail'!B249</f>
        <v>Large Industrial Service (6B)</v>
      </c>
      <c r="F102" s="66"/>
      <c r="G102" s="66"/>
      <c r="H102" s="66"/>
      <c r="I102" s="6"/>
    </row>
    <row r="103" spans="3:9" x14ac:dyDescent="0.2">
      <c r="C103" s="92"/>
      <c r="D103" s="91"/>
      <c r="E103" s="2" t="str">
        <f>'Billing Detail'!D250</f>
        <v>Customer Charge</v>
      </c>
      <c r="F103" s="69">
        <f>'Billing Detail'!H250</f>
        <v>1268.17</v>
      </c>
      <c r="G103" s="69">
        <f>'Billing Detail'!L250</f>
        <v>1393.13</v>
      </c>
      <c r="H103" s="69">
        <f t="shared" ref="H103:H106" si="18">G103-F103</f>
        <v>124.96000000000004</v>
      </c>
      <c r="I103" s="6">
        <f t="shared" ref="I103:I106" si="19">H103/F103</f>
        <v>9.8535685278787574E-2</v>
      </c>
    </row>
    <row r="104" spans="3:9" x14ac:dyDescent="0.2">
      <c r="C104" s="92"/>
      <c r="D104" s="91"/>
      <c r="E104" s="2" t="str">
        <f>'Billing Detail'!D251</f>
        <v>Energy Charge per kWh</v>
      </c>
      <c r="F104" s="70">
        <f>'Billing Detail'!H251</f>
        <v>5.4300000000000001E-2</v>
      </c>
      <c r="G104" s="70">
        <f>'Billing Detail'!L251</f>
        <v>5.9650000000000002E-2</v>
      </c>
      <c r="H104" s="70">
        <f t="shared" si="18"/>
        <v>5.3500000000000006E-3</v>
      </c>
      <c r="I104" s="6">
        <f t="shared" si="19"/>
        <v>9.8526703499079202E-2</v>
      </c>
    </row>
    <row r="105" spans="3:9" x14ac:dyDescent="0.2">
      <c r="C105" s="92"/>
      <c r="D105" s="91"/>
      <c r="E105" s="2" t="str">
        <f>'Billing Detail'!D252</f>
        <v>Demand Charge - Contract per kW</v>
      </c>
      <c r="F105" s="69">
        <f>'Billing Detail'!H252</f>
        <v>7.44</v>
      </c>
      <c r="G105" s="69">
        <f>'Billing Detail'!L252</f>
        <v>7.97</v>
      </c>
      <c r="H105" s="69">
        <f t="shared" si="18"/>
        <v>0.52999999999999936</v>
      </c>
      <c r="I105" s="6">
        <f t="shared" si="19"/>
        <v>7.1236559139784855E-2</v>
      </c>
    </row>
    <row r="106" spans="3:9" x14ac:dyDescent="0.2">
      <c r="E106" s="2" t="str">
        <f>'Billing Detail'!D253</f>
        <v>Demand Charge - Excess per kW</v>
      </c>
      <c r="F106" s="69">
        <f>'Billing Detail'!H253</f>
        <v>10.36</v>
      </c>
      <c r="G106" s="69">
        <f>'Billing Detail'!L253</f>
        <v>11.1</v>
      </c>
      <c r="H106" s="69">
        <f t="shared" si="18"/>
        <v>0.74000000000000021</v>
      </c>
      <c r="I106" s="6">
        <f t="shared" si="19"/>
        <v>7.1428571428571452E-2</v>
      </c>
    </row>
    <row r="107" spans="3:9" x14ac:dyDescent="0.2">
      <c r="D107" s="169" t="str">
        <f>'Billing Detail'!B256</f>
        <v>Interruptible Service</v>
      </c>
      <c r="F107" s="69"/>
      <c r="G107" s="69"/>
      <c r="H107" s="69"/>
      <c r="I107" s="6"/>
    </row>
    <row r="108" spans="3:9" x14ac:dyDescent="0.2">
      <c r="E108" s="2" t="str">
        <f>'Billing Detail'!D257</f>
        <v>Demand Credit per kW - 200 Hrs</v>
      </c>
      <c r="F108" s="69">
        <f>'Billing Detail'!H257</f>
        <v>4.2</v>
      </c>
      <c r="G108" s="69">
        <f>'Billing Detail'!L257</f>
        <v>6.2</v>
      </c>
      <c r="H108" s="69">
        <f t="shared" ref="H108:H110" si="20">G108-F108</f>
        <v>2</v>
      </c>
      <c r="I108" s="6">
        <f t="shared" ref="I108:I110" si="21">H108/F108</f>
        <v>0.47619047619047616</v>
      </c>
    </row>
    <row r="109" spans="3:9" x14ac:dyDescent="0.2">
      <c r="E109" s="2" t="str">
        <f>'Billing Detail'!D258</f>
        <v>Demand Credit per kW - 300 Hrs</v>
      </c>
      <c r="F109" s="69">
        <f>'Billing Detail'!H258</f>
        <v>4.9000000000000004</v>
      </c>
      <c r="G109" s="69">
        <f>'Billing Detail'!L258</f>
        <v>6.9</v>
      </c>
      <c r="H109" s="69">
        <f t="shared" si="20"/>
        <v>2</v>
      </c>
      <c r="I109" s="6">
        <f t="shared" si="21"/>
        <v>0.4081632653061224</v>
      </c>
    </row>
    <row r="110" spans="3:9" x14ac:dyDescent="0.2">
      <c r="E110" s="2" t="str">
        <f>'Billing Detail'!D259</f>
        <v>Demand Credit per kW - 400 Hrs</v>
      </c>
      <c r="F110" s="69">
        <f>'Billing Detail'!H259</f>
        <v>5.6</v>
      </c>
      <c r="G110" s="69">
        <f>'Billing Detail'!L259</f>
        <v>7.6</v>
      </c>
      <c r="H110" s="69">
        <f t="shared" si="20"/>
        <v>2</v>
      </c>
      <c r="I110" s="6">
        <f t="shared" si="21"/>
        <v>0.35714285714285715</v>
      </c>
    </row>
    <row r="112" spans="3:9" ht="43.15" customHeight="1" x14ac:dyDescent="0.2">
      <c r="C112" s="171" t="s">
        <v>121</v>
      </c>
      <c r="D112" s="171"/>
      <c r="E112" s="171"/>
      <c r="F112" s="171"/>
      <c r="G112" s="171"/>
    </row>
    <row r="113" spans="3:7" x14ac:dyDescent="0.2">
      <c r="C113" s="4"/>
      <c r="D113" s="2"/>
      <c r="F113" s="172" t="s">
        <v>122</v>
      </c>
      <c r="G113" s="172"/>
    </row>
    <row r="114" spans="3:7" x14ac:dyDescent="0.2">
      <c r="C114" s="74" t="s">
        <v>83</v>
      </c>
      <c r="D114" s="75"/>
      <c r="E114" s="76"/>
      <c r="F114" s="77" t="s">
        <v>123</v>
      </c>
      <c r="G114" s="77" t="s">
        <v>124</v>
      </c>
    </row>
    <row r="115" spans="3:7" x14ac:dyDescent="0.2">
      <c r="C115" s="78" t="str">
        <f>Summary!C13</f>
        <v>RSP</v>
      </c>
      <c r="D115" s="2" t="str">
        <f>Summary!B13</f>
        <v>Residential &amp; Small Power (1)</v>
      </c>
      <c r="F115" s="79">
        <f>Summary!L13</f>
        <v>1309678.4794199988</v>
      </c>
      <c r="G115" s="80">
        <f>Summary!N13</f>
        <v>3.4577221866571216E-2</v>
      </c>
    </row>
    <row r="116" spans="3:7" x14ac:dyDescent="0.2">
      <c r="C116" s="78" t="str">
        <f>Summary!C14</f>
        <v>RSP-ETS</v>
      </c>
      <c r="D116" s="2" t="str">
        <f>Summary!B14</f>
        <v>Residential &amp; Small Power ETS (11)</v>
      </c>
      <c r="F116" s="79">
        <f>Summary!L14</f>
        <v>1697.394769999999</v>
      </c>
      <c r="G116" s="80">
        <f>Summary!N14</f>
        <v>3.2037847434828931E-2</v>
      </c>
    </row>
    <row r="117" spans="3:7" x14ac:dyDescent="0.2">
      <c r="C117" s="78" t="str">
        <f>Summary!C15</f>
        <v>RSP-TOD</v>
      </c>
      <c r="D117" s="2" t="str">
        <f>Summary!B15</f>
        <v>Residential &amp; Small Power TOD (110)</v>
      </c>
      <c r="F117" s="79">
        <f>Summary!L15</f>
        <v>1905.4340699999957</v>
      </c>
      <c r="G117" s="80">
        <f>Summary!N15</f>
        <v>2.6794049999996541E-2</v>
      </c>
    </row>
    <row r="118" spans="3:7" x14ac:dyDescent="0.2">
      <c r="C118" s="78" t="str">
        <f>Summary!C16</f>
        <v>RSP-IB</v>
      </c>
      <c r="D118" s="2" t="str">
        <f>Summary!B16</f>
        <v>Inclining Block Rate (8)</v>
      </c>
      <c r="F118" s="79">
        <f>Summary!L16</f>
        <v>5709.1853199999896</v>
      </c>
      <c r="G118" s="80">
        <f>Summary!N16</f>
        <v>3.4669056318504608E-2</v>
      </c>
    </row>
    <row r="119" spans="3:7" x14ac:dyDescent="0.2">
      <c r="C119" s="78" t="str">
        <f>Summary!C17</f>
        <v>SGS</v>
      </c>
      <c r="D119" s="2" t="str">
        <f>Summary!B17</f>
        <v>Small General Service (2)</v>
      </c>
      <c r="F119" s="79">
        <f>Summary!L17</f>
        <v>77276.672940000426</v>
      </c>
      <c r="G119" s="80">
        <f>Summary!N17</f>
        <v>3.4451535049841969E-2</v>
      </c>
    </row>
    <row r="120" spans="3:7" x14ac:dyDescent="0.2">
      <c r="C120" s="78" t="str">
        <f>Summary!C18</f>
        <v>LGS</v>
      </c>
      <c r="D120" s="2" t="str">
        <f>Summary!B18</f>
        <v>Large General Service (3)</v>
      </c>
      <c r="F120" s="79">
        <f>Summary!L18</f>
        <v>342721.35965999961</v>
      </c>
      <c r="G120" s="80">
        <f>Summary!N18</f>
        <v>3.4555935130880212E-2</v>
      </c>
    </row>
    <row r="121" spans="3:7" x14ac:dyDescent="0.2">
      <c r="C121" s="78" t="str">
        <f>Summary!C19</f>
        <v>AES</v>
      </c>
      <c r="D121" s="2" t="str">
        <f>Summary!B19</f>
        <v>All Electric School (4)</v>
      </c>
      <c r="F121" s="79">
        <f>Summary!L19</f>
        <v>2492.5188000000053</v>
      </c>
      <c r="G121" s="80">
        <f>Summary!N19</f>
        <v>3.4521937936757813E-2</v>
      </c>
    </row>
    <row r="122" spans="3:7" x14ac:dyDescent="0.2">
      <c r="C122" s="78" t="str">
        <f>Summary!C25</f>
        <v>LIS7</v>
      </c>
      <c r="D122" s="2" t="str">
        <f>Summary!B25</f>
        <v>Large Industrial Service (7)</v>
      </c>
      <c r="F122" s="79">
        <f>Summary!L25</f>
        <v>689149.8298499994</v>
      </c>
      <c r="G122" s="80">
        <f>Summary!N25</f>
        <v>8.6655215415483183E-2</v>
      </c>
    </row>
    <row r="123" spans="3:7" x14ac:dyDescent="0.2">
      <c r="C123" s="78" t="str">
        <f>Summary!C26</f>
        <v>Contract</v>
      </c>
      <c r="D123" s="2" t="str">
        <f>Summary!B26</f>
        <v>Special Contract LIS6B - EKPC Rate B</v>
      </c>
      <c r="F123" s="79">
        <f>Summary!L26</f>
        <v>204805.64589999989</v>
      </c>
      <c r="G123" s="80">
        <f>Summary!N26</f>
        <v>7.1155648420076559E-2</v>
      </c>
    </row>
    <row r="124" spans="3:7" x14ac:dyDescent="0.2">
      <c r="C124" s="78" t="str">
        <f>Summary!C20</f>
        <v>OL</v>
      </c>
      <c r="D124" s="2" t="str">
        <f>Summary!B20</f>
        <v>Lighting</v>
      </c>
      <c r="F124" s="79">
        <f>Summary!L20</f>
        <v>44906.030000000028</v>
      </c>
      <c r="G124" s="80">
        <f>Summary!N20</f>
        <v>3.8484670331789331E-2</v>
      </c>
    </row>
    <row r="125" spans="3:7" x14ac:dyDescent="0.2">
      <c r="C125" s="78" t="str">
        <f>Summary!C24</f>
        <v>Special</v>
      </c>
      <c r="D125" s="2" t="str">
        <f>Summary!B24</f>
        <v>Special Contract - EKPC Rate G</v>
      </c>
      <c r="F125" s="79">
        <f>Summary!L24</f>
        <v>1466023.9447400011</v>
      </c>
      <c r="G125" s="80">
        <f>Summary!N24</f>
        <v>6.8574009503462777E-2</v>
      </c>
    </row>
    <row r="126" spans="3:7" x14ac:dyDescent="0.2">
      <c r="C126" s="78" t="str">
        <f>Summary!C27</f>
        <v>Contract</v>
      </c>
      <c r="D126" s="2" t="str">
        <f>Summary!B27</f>
        <v>Steam</v>
      </c>
      <c r="F126" s="79">
        <f>Summary!L27</f>
        <v>1344423.4782798011</v>
      </c>
      <c r="G126" s="80">
        <f>Summary!N27</f>
        <v>9.6400185412681277E-2</v>
      </c>
    </row>
    <row r="127" spans="3:7" x14ac:dyDescent="0.2">
      <c r="C127" s="81" t="s">
        <v>125</v>
      </c>
      <c r="D127" s="39"/>
      <c r="E127" s="39"/>
      <c r="F127" s="82">
        <f>Summary!L38</f>
        <v>5490789.9737498015</v>
      </c>
      <c r="G127" s="83">
        <f>Summary!N38</f>
        <v>5.2649576880728688E-2</v>
      </c>
    </row>
    <row r="128" spans="3:7" x14ac:dyDescent="0.2">
      <c r="C128" s="4"/>
      <c r="D128" s="2"/>
    </row>
    <row r="129" spans="3:8" ht="41.45" customHeight="1" x14ac:dyDescent="0.2">
      <c r="C129" s="171" t="s">
        <v>126</v>
      </c>
      <c r="D129" s="171"/>
      <c r="E129" s="171"/>
      <c r="F129" s="171"/>
      <c r="G129" s="171"/>
      <c r="H129" s="107"/>
    </row>
    <row r="130" spans="3:8" x14ac:dyDescent="0.2">
      <c r="C130" s="4"/>
      <c r="D130" s="2"/>
      <c r="E130" s="84" t="s">
        <v>19</v>
      </c>
      <c r="F130" s="172" t="s">
        <v>122</v>
      </c>
      <c r="G130" s="172"/>
    </row>
    <row r="131" spans="3:8" x14ac:dyDescent="0.2">
      <c r="C131" s="74" t="s">
        <v>83</v>
      </c>
      <c r="D131" s="76"/>
      <c r="E131" s="85" t="s">
        <v>127</v>
      </c>
      <c r="F131" s="77" t="s">
        <v>123</v>
      </c>
      <c r="G131" s="77" t="s">
        <v>124</v>
      </c>
    </row>
    <row r="132" spans="3:8" x14ac:dyDescent="0.2">
      <c r="C132" s="2" t="str">
        <f t="shared" ref="C132:D134" si="22">C115</f>
        <v>RSP</v>
      </c>
      <c r="D132" s="2" t="str">
        <f t="shared" si="22"/>
        <v>Residential &amp; Small Power (1)</v>
      </c>
      <c r="E132" s="94">
        <f>'Billing Detail'!E17</f>
        <v>965.91307744405776</v>
      </c>
      <c r="F132" s="88">
        <f>'Billing Detail'!N17</f>
        <v>4.391151432738539</v>
      </c>
      <c r="G132" s="6">
        <f>G115</f>
        <v>3.4577221866571216E-2</v>
      </c>
    </row>
    <row r="133" spans="3:8" x14ac:dyDescent="0.2">
      <c r="C133" s="2" t="str">
        <f t="shared" si="22"/>
        <v>RSP-ETS</v>
      </c>
      <c r="D133" s="2" t="str">
        <f t="shared" si="22"/>
        <v>Residential &amp; Small Power ETS (11)</v>
      </c>
      <c r="E133" s="89" t="s">
        <v>128</v>
      </c>
      <c r="F133" s="90" t="s">
        <v>128</v>
      </c>
      <c r="G133" s="6">
        <f>G116</f>
        <v>3.2037847434828931E-2</v>
      </c>
    </row>
    <row r="134" spans="3:8" x14ac:dyDescent="0.2">
      <c r="C134" s="2" t="str">
        <f t="shared" si="22"/>
        <v>RSP-TOD</v>
      </c>
      <c r="D134" s="2" t="str">
        <f t="shared" si="22"/>
        <v>Residential &amp; Small Power TOD (110)</v>
      </c>
      <c r="E134" s="89">
        <f>'Billing Detail'!E42</f>
        <v>1087.7087719298245</v>
      </c>
      <c r="F134" s="90">
        <f>'Billing Detail'!N42</f>
        <v>6.685733578947378</v>
      </c>
      <c r="G134" s="6">
        <f>G117</f>
        <v>2.6794049999996541E-2</v>
      </c>
    </row>
    <row r="135" spans="3:8" x14ac:dyDescent="0.2">
      <c r="C135" s="2" t="str">
        <f t="shared" ref="C135:D143" si="23">C118</f>
        <v>RSP-IB</v>
      </c>
      <c r="D135" s="2" t="str">
        <f t="shared" si="23"/>
        <v>Inclining Block Rate (8)</v>
      </c>
      <c r="E135" s="94">
        <f>'Billing Detail'!E56</f>
        <v>239.4096449390567</v>
      </c>
      <c r="F135" s="88">
        <f>'Billing Detail'!N56</f>
        <v>1.5127677053524096</v>
      </c>
      <c r="G135" s="6">
        <f t="shared" ref="G135:G143" si="24">G118</f>
        <v>3.4669056318504608E-2</v>
      </c>
    </row>
    <row r="136" spans="3:8" x14ac:dyDescent="0.2">
      <c r="C136" s="2" t="str">
        <f t="shared" si="23"/>
        <v>SGS</v>
      </c>
      <c r="D136" s="2" t="str">
        <f t="shared" si="23"/>
        <v>Small General Service (2)</v>
      </c>
      <c r="E136" s="94">
        <f>'Billing Detail'!E69</f>
        <v>5675.2921348314603</v>
      </c>
      <c r="F136" s="88">
        <f>'Billing Detail'!N69</f>
        <v>25.537565413086668</v>
      </c>
      <c r="G136" s="6">
        <f t="shared" si="24"/>
        <v>3.4451535049841969E-2</v>
      </c>
    </row>
    <row r="137" spans="3:8" x14ac:dyDescent="0.2">
      <c r="C137" s="2" t="str">
        <f t="shared" si="23"/>
        <v>LGS</v>
      </c>
      <c r="D137" s="2" t="str">
        <f t="shared" si="23"/>
        <v>Large General Service (3)</v>
      </c>
      <c r="E137" s="94">
        <f>'Billing Detail'!E82</f>
        <v>52930.284167096441</v>
      </c>
      <c r="F137" s="88">
        <f>'Billing Detail'!N82</f>
        <v>176.75160374419829</v>
      </c>
      <c r="G137" s="6">
        <f t="shared" si="24"/>
        <v>3.4555935130880212E-2</v>
      </c>
    </row>
    <row r="138" spans="3:8" x14ac:dyDescent="0.2">
      <c r="C138" s="2" t="str">
        <f t="shared" si="23"/>
        <v>AES</v>
      </c>
      <c r="D138" s="2" t="str">
        <f t="shared" si="23"/>
        <v>All Electric School (4)</v>
      </c>
      <c r="E138" s="94">
        <f>'Billing Detail'!E94</f>
        <v>18354.444444444445</v>
      </c>
      <c r="F138" s="88">
        <f>'Billing Detail'!N94</f>
        <v>69.236633333333657</v>
      </c>
      <c r="G138" s="6">
        <f t="shared" si="24"/>
        <v>3.4521937936757813E-2</v>
      </c>
    </row>
    <row r="139" spans="3:8" x14ac:dyDescent="0.2">
      <c r="C139" s="2" t="str">
        <f t="shared" si="23"/>
        <v>LIS7</v>
      </c>
      <c r="D139" s="2" t="str">
        <f t="shared" si="23"/>
        <v>Large Industrial Service (7)</v>
      </c>
      <c r="E139" s="94">
        <f>'Billing Detail'!E120</f>
        <v>4226044.625</v>
      </c>
      <c r="F139" s="88">
        <f>'Billing Detail'!N120</f>
        <v>53011.525373076875</v>
      </c>
      <c r="G139" s="6">
        <f t="shared" si="24"/>
        <v>8.6655215415483183E-2</v>
      </c>
    </row>
    <row r="140" spans="3:8" x14ac:dyDescent="0.2">
      <c r="C140" s="2" t="str">
        <f t="shared" si="23"/>
        <v>Contract</v>
      </c>
      <c r="D140" s="2" t="str">
        <f t="shared" si="23"/>
        <v>Special Contract LIS6B - EKPC Rate B</v>
      </c>
      <c r="E140" s="94">
        <f>'Billing Detail'!E135</f>
        <v>3409641</v>
      </c>
      <c r="F140" s="88">
        <f>'Billing Detail'!N135</f>
        <v>17067.137158333324</v>
      </c>
      <c r="G140" s="6">
        <f t="shared" si="24"/>
        <v>7.1155648420076559E-2</v>
      </c>
    </row>
    <row r="141" spans="3:8" x14ac:dyDescent="0.2">
      <c r="C141" s="2" t="str">
        <f t="shared" si="23"/>
        <v>OL</v>
      </c>
      <c r="D141" s="2" t="str">
        <f t="shared" si="23"/>
        <v>Lighting</v>
      </c>
      <c r="E141" s="89" t="s">
        <v>128</v>
      </c>
      <c r="F141" s="90" t="s">
        <v>128</v>
      </c>
      <c r="G141" s="6">
        <f t="shared" si="24"/>
        <v>3.8484670331789331E-2</v>
      </c>
    </row>
    <row r="142" spans="3:8" x14ac:dyDescent="0.2">
      <c r="C142" s="2" t="str">
        <f t="shared" si="23"/>
        <v>Special</v>
      </c>
      <c r="D142" s="2" t="str">
        <f t="shared" si="23"/>
        <v>Special Contract - EKPC Rate G</v>
      </c>
      <c r="E142" s="89">
        <f>'Billing Detail'!E174</f>
        <v>22079926.333333332</v>
      </c>
      <c r="F142" s="90">
        <f>'Billing Detail'!N174</f>
        <v>122168.66206166707</v>
      </c>
      <c r="G142" s="6">
        <f t="shared" si="24"/>
        <v>6.8574009503462777E-2</v>
      </c>
    </row>
    <row r="143" spans="3:8" x14ac:dyDescent="0.2">
      <c r="C143" s="2" t="str">
        <f t="shared" si="23"/>
        <v>Contract</v>
      </c>
      <c r="D143" s="2" t="str">
        <f t="shared" si="23"/>
        <v>Steam</v>
      </c>
      <c r="E143" s="89" t="s">
        <v>128</v>
      </c>
      <c r="F143" s="90">
        <f>'Billing Detail'!N186</f>
        <v>391.12153056104989</v>
      </c>
      <c r="G143" s="6">
        <f t="shared" si="24"/>
        <v>9.6400185412681277E-2</v>
      </c>
    </row>
    <row r="144" spans="3:8" x14ac:dyDescent="0.2">
      <c r="C144" s="4"/>
      <c r="D144" s="86"/>
      <c r="E144" s="87"/>
      <c r="F144" s="88"/>
      <c r="G144" s="6"/>
    </row>
    <row r="145" spans="3:7" x14ac:dyDescent="0.2">
      <c r="C145" s="4"/>
      <c r="D145" s="86"/>
      <c r="E145" s="87"/>
      <c r="F145" s="88"/>
      <c r="G145" s="6"/>
    </row>
    <row r="146" spans="3:7" x14ac:dyDescent="0.2">
      <c r="C146" s="4"/>
      <c r="D146" s="86"/>
      <c r="E146" s="87"/>
      <c r="F146" s="88"/>
      <c r="G146" s="6"/>
    </row>
    <row r="147" spans="3:7" x14ac:dyDescent="0.2">
      <c r="C147" s="4"/>
      <c r="D147" s="86"/>
      <c r="E147" s="87"/>
      <c r="F147" s="88"/>
      <c r="G147" s="6"/>
    </row>
    <row r="148" spans="3:7" x14ac:dyDescent="0.2">
      <c r="C148" s="4"/>
      <c r="D148" s="86"/>
      <c r="E148" s="87"/>
      <c r="F148" s="88"/>
      <c r="G148" s="6"/>
    </row>
    <row r="149" spans="3:7" x14ac:dyDescent="0.2">
      <c r="C149" s="4"/>
      <c r="D149" s="86"/>
      <c r="E149" s="87"/>
      <c r="F149" s="88"/>
      <c r="G149" s="6"/>
    </row>
    <row r="150" spans="3:7" x14ac:dyDescent="0.2">
      <c r="C150" s="4"/>
      <c r="D150" s="86"/>
      <c r="E150" s="87"/>
      <c r="F150" s="88"/>
      <c r="G150" s="6"/>
    </row>
    <row r="151" spans="3:7" x14ac:dyDescent="0.2">
      <c r="C151" s="4"/>
      <c r="D151" s="86"/>
      <c r="E151" s="89"/>
      <c r="F151" s="90"/>
      <c r="G151" s="6"/>
    </row>
    <row r="152" spans="3:7" x14ac:dyDescent="0.2">
      <c r="C152" s="4"/>
      <c r="D152" s="2"/>
      <c r="F152" s="69"/>
      <c r="G152" s="69"/>
    </row>
    <row r="153" spans="3:7" x14ac:dyDescent="0.2">
      <c r="C153" s="4"/>
      <c r="D153" s="2"/>
      <c r="F153" s="69"/>
      <c r="G153" s="69"/>
    </row>
    <row r="154" spans="3:7" x14ac:dyDescent="0.2">
      <c r="C154" s="4"/>
      <c r="D154" s="2"/>
      <c r="F154" s="69"/>
      <c r="G154" s="69"/>
    </row>
    <row r="155" spans="3:7" x14ac:dyDescent="0.2">
      <c r="C155" s="4"/>
      <c r="D155" s="2"/>
      <c r="F155" s="69"/>
      <c r="G155" s="69"/>
    </row>
    <row r="156" spans="3:7" x14ac:dyDescent="0.2">
      <c r="C156" s="4"/>
      <c r="D156" s="2"/>
      <c r="F156" s="69"/>
      <c r="G156" s="69"/>
    </row>
  </sheetData>
  <mergeCells count="4">
    <mergeCell ref="C112:G112"/>
    <mergeCell ref="F113:G113"/>
    <mergeCell ref="F130:G130"/>
    <mergeCell ref="C129:G129"/>
  </mergeCells>
  <printOptions horizontalCentered="1"/>
  <pageMargins left="0.7" right="0.7" top="0.75" bottom="0.75" header="0.3" footer="0.3"/>
  <pageSetup paperSize="9" scale="81" fitToHeight="2" orientation="portrait" r:id="rId1"/>
  <headerFooter>
    <oddHeader>&amp;R&amp;"Arial,Bold"&amp;10Exhibit 3
Page &amp;P of &amp;N</oddHeader>
  </headerFooter>
  <rowBreaks count="1" manualBreakCount="1"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2025-07-29T20:49:17Z</cp:lastPrinted>
  <dcterms:created xsi:type="dcterms:W3CDTF">2021-02-09T02:13:44Z</dcterms:created>
  <dcterms:modified xsi:type="dcterms:W3CDTF">2025-12-02T21:13:16Z</dcterms:modified>
</cp:coreProperties>
</file>