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Grayson/Analysis/"/>
    </mc:Choice>
  </mc:AlternateContent>
  <xr:revisionPtr revIDLastSave="0" documentId="8_{AD92269D-184F-431C-A9CD-AADF85341B91}" xr6:coauthVersionLast="47" xr6:coauthVersionMax="47" xr10:uidLastSave="{00000000-0000-0000-0000-000000000000}"/>
  <bookViews>
    <workbookView xWindow="-120" yWindow="-120" windowWidth="29040" windowHeight="15720" activeTab="2" xr2:uid="{5A56C961-47FC-4CB4-AEDD-3C6FC9A16749}"/>
  </bookViews>
  <sheets>
    <sheet name="Summary" sheetId="2" r:id="rId1"/>
    <sheet name="Billing Detail" sheetId="1" r:id="rId2"/>
    <sheet name="Notice Table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Detail'!$A$1:$R$322</definedName>
    <definedName name="_xlnm.Print_Area" localSheetId="2">'Notice Table'!$A$1:$G$99</definedName>
    <definedName name="_xlnm.Print_Area" localSheetId="0">Summary!$A$1:$O$45</definedName>
    <definedName name="_xlnm.Print_Titles" localSheetId="1">'Billing Detail'!$1:$5</definedName>
    <definedName name="_xlnm.Print_Titles" localSheetId="2">'Notice Table'!$1:$4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8" i="3" l="1"/>
  <c r="G124" i="3"/>
  <c r="F124" i="3"/>
  <c r="N275" i="1"/>
  <c r="L43" i="2"/>
  <c r="I33" i="2"/>
  <c r="G33" i="2"/>
  <c r="E33" i="2"/>
  <c r="D33" i="2"/>
  <c r="A22" i="2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L4" i="2"/>
  <c r="E146" i="3" l="1"/>
  <c r="E145" i="3"/>
  <c r="E144" i="3"/>
  <c r="E143" i="3"/>
  <c r="D81" i="3"/>
  <c r="F83" i="3"/>
  <c r="F84" i="3"/>
  <c r="F85" i="3"/>
  <c r="F82" i="3"/>
  <c r="E83" i="3"/>
  <c r="E84" i="3"/>
  <c r="E85" i="3"/>
  <c r="E82" i="3"/>
  <c r="C81" i="3"/>
  <c r="H58" i="1"/>
  <c r="D30" i="2"/>
  <c r="D29" i="2"/>
  <c r="D31" i="2" s="1"/>
  <c r="D23" i="2"/>
  <c r="D24" i="2"/>
  <c r="D25" i="2"/>
  <c r="R5" i="2"/>
  <c r="E326" i="1"/>
  <c r="E327" i="1" s="1"/>
  <c r="E328" i="1" s="1"/>
  <c r="F228" i="1"/>
  <c r="F227" i="1"/>
  <c r="F226" i="1"/>
  <c r="F225" i="1"/>
  <c r="G225" i="1" s="1"/>
  <c r="F214" i="1"/>
  <c r="F187" i="1"/>
  <c r="G187" i="1" s="1"/>
  <c r="F186" i="1"/>
  <c r="F185" i="1"/>
  <c r="F184" i="1"/>
  <c r="F173" i="1"/>
  <c r="F172" i="1"/>
  <c r="F171" i="1"/>
  <c r="F123" i="1"/>
  <c r="F124" i="1"/>
  <c r="F122" i="1"/>
  <c r="F121" i="1"/>
  <c r="F110" i="1"/>
  <c r="F109" i="1"/>
  <c r="F98" i="1"/>
  <c r="F97" i="1"/>
  <c r="F86" i="1"/>
  <c r="F85" i="1"/>
  <c r="F84" i="1"/>
  <c r="F73" i="1"/>
  <c r="F72" i="1"/>
  <c r="F71" i="1"/>
  <c r="F47" i="1"/>
  <c r="F46" i="1"/>
  <c r="F45" i="1"/>
  <c r="F34" i="1"/>
  <c r="F33" i="1"/>
  <c r="F32" i="1"/>
  <c r="F21" i="1"/>
  <c r="F20" i="1"/>
  <c r="F8" i="1"/>
  <c r="F9" i="1"/>
  <c r="I242" i="1"/>
  <c r="M242" i="1" s="1"/>
  <c r="I230" i="1"/>
  <c r="M230" i="1" s="1"/>
  <c r="I216" i="1"/>
  <c r="I203" i="1"/>
  <c r="I189" i="1"/>
  <c r="M189" i="1" s="1"/>
  <c r="I175" i="1"/>
  <c r="I162" i="1"/>
  <c r="I150" i="1"/>
  <c r="I138" i="1"/>
  <c r="I126" i="1"/>
  <c r="I112" i="1"/>
  <c r="I100" i="1"/>
  <c r="I88" i="1"/>
  <c r="I75" i="1"/>
  <c r="I62" i="1"/>
  <c r="I49" i="1"/>
  <c r="I36" i="1"/>
  <c r="I23" i="1"/>
  <c r="I11" i="1"/>
  <c r="N271" i="1"/>
  <c r="G268" i="1"/>
  <c r="G269" i="1"/>
  <c r="G271" i="1"/>
  <c r="H199" i="1"/>
  <c r="I199" i="1" s="1"/>
  <c r="H200" i="1"/>
  <c r="H201" i="1"/>
  <c r="I201" i="1" s="1"/>
  <c r="O201" i="1" s="1"/>
  <c r="H198" i="1"/>
  <c r="I198" i="1" s="1"/>
  <c r="H214" i="1"/>
  <c r="H213" i="1"/>
  <c r="F213" i="1" s="1"/>
  <c r="G213" i="1" s="1"/>
  <c r="H212" i="1"/>
  <c r="H240" i="1"/>
  <c r="I240" i="1" s="1"/>
  <c r="H239" i="1"/>
  <c r="F239" i="1" s="1"/>
  <c r="G239" i="1" s="1"/>
  <c r="I152" i="1"/>
  <c r="I140" i="1"/>
  <c r="B25" i="2"/>
  <c r="D146" i="3" s="1"/>
  <c r="B24" i="2"/>
  <c r="B23" i="2"/>
  <c r="D145" i="3" s="1"/>
  <c r="B30" i="2"/>
  <c r="D144" i="3" s="1"/>
  <c r="C25" i="2"/>
  <c r="C146" i="3" s="1"/>
  <c r="C24" i="2"/>
  <c r="C23" i="2"/>
  <c r="C121" i="3" s="1"/>
  <c r="C30" i="2"/>
  <c r="C120" i="3" s="1"/>
  <c r="C29" i="2"/>
  <c r="C143" i="3" s="1"/>
  <c r="B29" i="2"/>
  <c r="D143" i="3" s="1"/>
  <c r="F98" i="3"/>
  <c r="F99" i="3"/>
  <c r="F97" i="3"/>
  <c r="E98" i="3"/>
  <c r="E99" i="3"/>
  <c r="E97" i="3"/>
  <c r="D96" i="3"/>
  <c r="C96" i="3"/>
  <c r="G207" i="1"/>
  <c r="E209" i="1"/>
  <c r="G220" i="1"/>
  <c r="E222" i="1"/>
  <c r="G226" i="1"/>
  <c r="G227" i="1"/>
  <c r="G228" i="1"/>
  <c r="G234" i="1"/>
  <c r="E236" i="1"/>
  <c r="G246" i="1"/>
  <c r="E248" i="1"/>
  <c r="G251" i="1"/>
  <c r="I243" i="1"/>
  <c r="M243" i="1" s="1"/>
  <c r="N243" i="1" s="1"/>
  <c r="I206" i="1"/>
  <c r="M206" i="1" s="1"/>
  <c r="I205" i="1"/>
  <c r="M205" i="1" s="1"/>
  <c r="N205" i="1" s="1"/>
  <c r="I204" i="1"/>
  <c r="M204" i="1" s="1"/>
  <c r="N204" i="1" s="1"/>
  <c r="E195" i="1"/>
  <c r="G193" i="1"/>
  <c r="I192" i="1"/>
  <c r="M192" i="1" s="1"/>
  <c r="I191" i="1"/>
  <c r="M191" i="1" s="1"/>
  <c r="N191" i="1" s="1"/>
  <c r="I190" i="1"/>
  <c r="M190" i="1" s="1"/>
  <c r="N190" i="1" s="1"/>
  <c r="I187" i="1"/>
  <c r="O187" i="1" s="1"/>
  <c r="I186" i="1"/>
  <c r="G186" i="1"/>
  <c r="I185" i="1"/>
  <c r="G185" i="1"/>
  <c r="I184" i="1"/>
  <c r="G184" i="1"/>
  <c r="I233" i="1"/>
  <c r="M233" i="1" s="1"/>
  <c r="I232" i="1"/>
  <c r="M232" i="1" s="1"/>
  <c r="N232" i="1" s="1"/>
  <c r="I228" i="1"/>
  <c r="I227" i="1"/>
  <c r="I226" i="1"/>
  <c r="I225" i="1"/>
  <c r="I245" i="1"/>
  <c r="M245" i="1" s="1"/>
  <c r="F198" i="1" l="1"/>
  <c r="F199" i="1"/>
  <c r="G199" i="1" s="1"/>
  <c r="I239" i="1"/>
  <c r="F200" i="1"/>
  <c r="G200" i="1" s="1"/>
  <c r="F201" i="1"/>
  <c r="F212" i="1"/>
  <c r="G212" i="1" s="1"/>
  <c r="G215" i="1" s="1"/>
  <c r="G221" i="1" s="1"/>
  <c r="G222" i="1" s="1"/>
  <c r="F240" i="1"/>
  <c r="G214" i="1"/>
  <c r="G201" i="1"/>
  <c r="I200" i="1"/>
  <c r="I202" i="1" s="1"/>
  <c r="G198" i="1"/>
  <c r="D121" i="3"/>
  <c r="G240" i="1"/>
  <c r="G241" i="1" s="1"/>
  <c r="G247" i="1" s="1"/>
  <c r="G248" i="1" s="1"/>
  <c r="C144" i="3"/>
  <c r="D122" i="3"/>
  <c r="C122" i="3"/>
  <c r="C145" i="3"/>
  <c r="D120" i="3"/>
  <c r="G229" i="1"/>
  <c r="G235" i="1" s="1"/>
  <c r="G236" i="1" s="1"/>
  <c r="I231" i="1"/>
  <c r="M231" i="1" s="1"/>
  <c r="N231" i="1" s="1"/>
  <c r="I244" i="1"/>
  <c r="M244" i="1" s="1"/>
  <c r="N244" i="1" s="1"/>
  <c r="I207" i="1"/>
  <c r="G188" i="1"/>
  <c r="G194" i="1" s="1"/>
  <c r="G195" i="1" s="1"/>
  <c r="N189" i="1"/>
  <c r="M193" i="1"/>
  <c r="I193" i="1"/>
  <c r="M203" i="1"/>
  <c r="I229" i="1"/>
  <c r="E24" i="2" s="1"/>
  <c r="I188" i="1"/>
  <c r="N230" i="1"/>
  <c r="N242" i="1"/>
  <c r="I241" i="1"/>
  <c r="E25" i="2" s="1"/>
  <c r="G25" i="2" s="1"/>
  <c r="J199" i="1" l="1"/>
  <c r="E30" i="2"/>
  <c r="J187" i="1"/>
  <c r="E29" i="2"/>
  <c r="G202" i="1"/>
  <c r="G208" i="1" s="1"/>
  <c r="G209" i="1" s="1"/>
  <c r="M234" i="1"/>
  <c r="I234" i="1"/>
  <c r="I235" i="1" s="1"/>
  <c r="I236" i="1" s="1"/>
  <c r="I194" i="1"/>
  <c r="I195" i="1" s="1"/>
  <c r="J184" i="1"/>
  <c r="J186" i="1"/>
  <c r="J185" i="1"/>
  <c r="J226" i="1"/>
  <c r="I246" i="1"/>
  <c r="I208" i="1"/>
  <c r="I209" i="1" s="1"/>
  <c r="M246" i="1"/>
  <c r="M207" i="1"/>
  <c r="N203" i="1"/>
  <c r="N193" i="1"/>
  <c r="O193" i="1" s="1"/>
  <c r="J228" i="1"/>
  <c r="J201" i="1"/>
  <c r="J200" i="1"/>
  <c r="J198" i="1"/>
  <c r="J227" i="1"/>
  <c r="J225" i="1"/>
  <c r="J240" i="1"/>
  <c r="J239" i="1"/>
  <c r="H148" i="1"/>
  <c r="F148" i="1" s="1"/>
  <c r="H147" i="1"/>
  <c r="F147" i="1" s="1"/>
  <c r="G29" i="2" l="1"/>
  <c r="E31" i="2"/>
  <c r="F29" i="2" s="1"/>
  <c r="F31" i="2" s="1"/>
  <c r="G30" i="2"/>
  <c r="F30" i="2"/>
  <c r="N234" i="1"/>
  <c r="O234" i="1" s="1"/>
  <c r="J188" i="1"/>
  <c r="N246" i="1"/>
  <c r="O246" i="1" s="1"/>
  <c r="I247" i="1"/>
  <c r="I248" i="1" s="1"/>
  <c r="J229" i="1"/>
  <c r="J202" i="1"/>
  <c r="N207" i="1"/>
  <c r="O207" i="1" s="1"/>
  <c r="J241" i="1"/>
  <c r="H60" i="1"/>
  <c r="F60" i="1" s="1"/>
  <c r="G31" i="2" l="1"/>
  <c r="H31" i="2" s="1"/>
  <c r="H30" i="2"/>
  <c r="I30" i="2" s="1"/>
  <c r="K202" i="1" s="1"/>
  <c r="H29" i="2"/>
  <c r="I29" i="2" s="1"/>
  <c r="H59" i="1"/>
  <c r="F59" i="1" s="1"/>
  <c r="F58" i="1"/>
  <c r="K188" i="1" l="1"/>
  <c r="I31" i="2"/>
  <c r="E44" i="3"/>
  <c r="F44" i="3"/>
  <c r="E45" i="3"/>
  <c r="F45" i="3"/>
  <c r="F43" i="3"/>
  <c r="E43" i="3"/>
  <c r="D42" i="3"/>
  <c r="C42" i="3"/>
  <c r="E40" i="3"/>
  <c r="F40" i="3"/>
  <c r="E41" i="3"/>
  <c r="F41" i="3"/>
  <c r="F39" i="3"/>
  <c r="E39" i="3"/>
  <c r="D38" i="3"/>
  <c r="C38" i="3"/>
  <c r="E35" i="3"/>
  <c r="F35" i="3"/>
  <c r="E36" i="3"/>
  <c r="F36" i="3"/>
  <c r="E37" i="3"/>
  <c r="F37" i="3"/>
  <c r="E17" i="3"/>
  <c r="F17" i="3"/>
  <c r="E18" i="3"/>
  <c r="F18" i="3"/>
  <c r="F16" i="3"/>
  <c r="E16" i="3"/>
  <c r="E13" i="3"/>
  <c r="F13" i="3"/>
  <c r="E14" i="3"/>
  <c r="F14" i="3"/>
  <c r="E74" i="3"/>
  <c r="F74" i="3"/>
  <c r="E75" i="3"/>
  <c r="F75" i="3"/>
  <c r="E76" i="3"/>
  <c r="F76" i="3"/>
  <c r="E78" i="3"/>
  <c r="F78" i="3"/>
  <c r="E79" i="3"/>
  <c r="F79" i="3"/>
  <c r="E80" i="3"/>
  <c r="F80" i="3"/>
  <c r="E87" i="3"/>
  <c r="F87" i="3"/>
  <c r="E88" i="3"/>
  <c r="F88" i="3"/>
  <c r="E89" i="3"/>
  <c r="F89" i="3"/>
  <c r="E90" i="3"/>
  <c r="F90" i="3"/>
  <c r="E92" i="3"/>
  <c r="F92" i="3"/>
  <c r="E93" i="3"/>
  <c r="F93" i="3"/>
  <c r="E94" i="3"/>
  <c r="F94" i="3"/>
  <c r="E95" i="3"/>
  <c r="F95" i="3"/>
  <c r="C73" i="3"/>
  <c r="D73" i="3"/>
  <c r="C77" i="3"/>
  <c r="D77" i="3"/>
  <c r="C86" i="3"/>
  <c r="D86" i="3"/>
  <c r="C91" i="3"/>
  <c r="D91" i="3"/>
  <c r="E168" i="1" l="1"/>
  <c r="E141" i="3" s="1"/>
  <c r="E81" i="1"/>
  <c r="E134" i="3" s="1"/>
  <c r="E68" i="1"/>
  <c r="E133" i="3" s="1"/>
  <c r="E94" i="1"/>
  <c r="E135" i="3" s="1"/>
  <c r="I260" i="1"/>
  <c r="I261" i="1"/>
  <c r="M261" i="1" s="1"/>
  <c r="E156" i="1"/>
  <c r="E140" i="3" s="1"/>
  <c r="E144" i="1"/>
  <c r="E139" i="3" s="1"/>
  <c r="E29" i="1"/>
  <c r="E130" i="3" s="1"/>
  <c r="E132" i="1" l="1"/>
  <c r="E138" i="3" s="1"/>
  <c r="E181" i="1"/>
  <c r="E142" i="3" s="1"/>
  <c r="D119" i="3"/>
  <c r="I214" i="1"/>
  <c r="C119" i="3" l="1"/>
  <c r="I219" i="1" l="1"/>
  <c r="M219" i="1" s="1"/>
  <c r="I218" i="1"/>
  <c r="M218" i="1" s="1"/>
  <c r="N218" i="1" s="1"/>
  <c r="I217" i="1"/>
  <c r="M217" i="1" s="1"/>
  <c r="N217" i="1" s="1"/>
  <c r="M216" i="1"/>
  <c r="I213" i="1"/>
  <c r="I212" i="1"/>
  <c r="C22" i="2"/>
  <c r="C142" i="3" s="1"/>
  <c r="B22" i="2"/>
  <c r="G173" i="1"/>
  <c r="G172" i="1"/>
  <c r="G179" i="1"/>
  <c r="I178" i="1"/>
  <c r="M178" i="1" s="1"/>
  <c r="I177" i="1"/>
  <c r="M177" i="1" s="1"/>
  <c r="N177" i="1" s="1"/>
  <c r="I176" i="1"/>
  <c r="M176" i="1" s="1"/>
  <c r="N176" i="1" s="1"/>
  <c r="I173" i="1"/>
  <c r="I172" i="1"/>
  <c r="I171" i="1"/>
  <c r="G171" i="1"/>
  <c r="I259" i="1"/>
  <c r="I258" i="1"/>
  <c r="I268" i="1" s="1"/>
  <c r="D118" i="3" l="1"/>
  <c r="D142" i="3"/>
  <c r="C118" i="3"/>
  <c r="M220" i="1"/>
  <c r="N216" i="1"/>
  <c r="I215" i="1"/>
  <c r="E23" i="2" s="1"/>
  <c r="G23" i="2" s="1"/>
  <c r="I220" i="1"/>
  <c r="I179" i="1"/>
  <c r="M175" i="1"/>
  <c r="M179" i="1" s="1"/>
  <c r="G174" i="1"/>
  <c r="I174" i="1"/>
  <c r="J172" i="1" s="1"/>
  <c r="N179" i="1" l="1"/>
  <c r="O179" i="1" s="1"/>
  <c r="J214" i="1"/>
  <c r="J213" i="1"/>
  <c r="J212" i="1"/>
  <c r="I221" i="1"/>
  <c r="I222" i="1" s="1"/>
  <c r="E22" i="2"/>
  <c r="G180" i="1"/>
  <c r="G181" i="1" s="1"/>
  <c r="D22" i="2"/>
  <c r="N220" i="1"/>
  <c r="O220" i="1" s="1"/>
  <c r="N175" i="1"/>
  <c r="J173" i="1"/>
  <c r="I180" i="1"/>
  <c r="I181" i="1" s="1"/>
  <c r="J171" i="1"/>
  <c r="J174" i="1" l="1"/>
  <c r="G22" i="2"/>
  <c r="J215" i="1"/>
  <c r="H159" i="1" l="1"/>
  <c r="F159" i="1" s="1"/>
  <c r="H160" i="1"/>
  <c r="F160" i="1" s="1"/>
  <c r="G122" i="1"/>
  <c r="G46" i="1"/>
  <c r="H136" i="1"/>
  <c r="F136" i="1" s="1"/>
  <c r="H135" i="1"/>
  <c r="F135" i="1" s="1"/>
  <c r="I122" i="1"/>
  <c r="I59" i="1"/>
  <c r="I46" i="1"/>
  <c r="I33" i="1"/>
  <c r="G33" i="1" l="1"/>
  <c r="G59" i="1"/>
  <c r="E71" i="3"/>
  <c r="F71" i="3"/>
  <c r="E72" i="3"/>
  <c r="F72" i="3"/>
  <c r="F70" i="3"/>
  <c r="E70" i="3"/>
  <c r="D69" i="3"/>
  <c r="C69" i="3"/>
  <c r="E67" i="3"/>
  <c r="F67" i="3"/>
  <c r="E68" i="3"/>
  <c r="F68" i="3"/>
  <c r="F66" i="3"/>
  <c r="E66" i="3"/>
  <c r="D65" i="3"/>
  <c r="C65" i="3"/>
  <c r="E63" i="3"/>
  <c r="F63" i="3"/>
  <c r="E64" i="3"/>
  <c r="F64" i="3"/>
  <c r="F62" i="3"/>
  <c r="E62" i="3"/>
  <c r="D61" i="3"/>
  <c r="C61" i="3"/>
  <c r="E59" i="3"/>
  <c r="F59" i="3"/>
  <c r="E60" i="3"/>
  <c r="F60" i="3"/>
  <c r="F58" i="3"/>
  <c r="E58" i="3"/>
  <c r="D57" i="3"/>
  <c r="C57" i="3"/>
  <c r="E55" i="3"/>
  <c r="F55" i="3"/>
  <c r="E56" i="3"/>
  <c r="F56" i="3"/>
  <c r="F54" i="3"/>
  <c r="E54" i="3"/>
  <c r="D53" i="3"/>
  <c r="C53" i="3"/>
  <c r="I58" i="1" l="1"/>
  <c r="G58" i="1"/>
  <c r="E106" i="1"/>
  <c r="E136" i="3" s="1"/>
  <c r="E118" i="1"/>
  <c r="E137" i="3" s="1"/>
  <c r="E55" i="1"/>
  <c r="E132" i="3" s="1"/>
  <c r="E42" i="1"/>
  <c r="E131" i="3" s="1"/>
  <c r="E17" i="1" l="1"/>
  <c r="E129" i="3" s="1"/>
  <c r="E48" i="3" l="1"/>
  <c r="F48" i="3"/>
  <c r="E49" i="3"/>
  <c r="F49" i="3"/>
  <c r="E50" i="3"/>
  <c r="F50" i="3"/>
  <c r="E51" i="3"/>
  <c r="F51" i="3"/>
  <c r="E52" i="3"/>
  <c r="F52" i="3"/>
  <c r="F47" i="3"/>
  <c r="E47" i="3"/>
  <c r="C46" i="3"/>
  <c r="D46" i="3"/>
  <c r="F34" i="3"/>
  <c r="E34" i="3"/>
  <c r="C33" i="3"/>
  <c r="D33" i="3"/>
  <c r="E32" i="3"/>
  <c r="F32" i="3"/>
  <c r="F31" i="3"/>
  <c r="E31" i="3"/>
  <c r="C30" i="3"/>
  <c r="D30" i="3"/>
  <c r="E29" i="3"/>
  <c r="F29" i="3"/>
  <c r="F28" i="3"/>
  <c r="E28" i="3"/>
  <c r="C27" i="3"/>
  <c r="D27" i="3"/>
  <c r="E25" i="3"/>
  <c r="F25" i="3"/>
  <c r="E26" i="3"/>
  <c r="F26" i="3"/>
  <c r="F24" i="3"/>
  <c r="E24" i="3"/>
  <c r="C23" i="3"/>
  <c r="D23" i="3"/>
  <c r="E21" i="3"/>
  <c r="F21" i="3"/>
  <c r="E22" i="3"/>
  <c r="F22" i="3"/>
  <c r="F20" i="3"/>
  <c r="E20" i="3"/>
  <c r="C19" i="3"/>
  <c r="D19" i="3"/>
  <c r="C15" i="3"/>
  <c r="D15" i="3"/>
  <c r="E12" i="3"/>
  <c r="C11" i="3"/>
  <c r="D11" i="3"/>
  <c r="E10" i="3"/>
  <c r="F10" i="3"/>
  <c r="F9" i="3"/>
  <c r="E9" i="3"/>
  <c r="C8" i="3"/>
  <c r="D8" i="3"/>
  <c r="E7" i="3"/>
  <c r="F7" i="3"/>
  <c r="F6" i="3"/>
  <c r="E6" i="3"/>
  <c r="C5" i="3"/>
  <c r="D5" i="3"/>
  <c r="I110" i="1" l="1"/>
  <c r="I98" i="1"/>
  <c r="C16" i="2"/>
  <c r="C136" i="3" s="1"/>
  <c r="C17" i="2"/>
  <c r="C137" i="3" s="1"/>
  <c r="C18" i="2"/>
  <c r="C19" i="2"/>
  <c r="C20" i="2"/>
  <c r="C21" i="2"/>
  <c r="B21" i="2"/>
  <c r="D117" i="3" s="1"/>
  <c r="B20" i="2"/>
  <c r="D116" i="3" s="1"/>
  <c r="B19" i="2"/>
  <c r="D115" i="3" s="1"/>
  <c r="B18" i="2"/>
  <c r="D114" i="3" s="1"/>
  <c r="B17" i="2"/>
  <c r="B16" i="2"/>
  <c r="C115" i="3" l="1"/>
  <c r="C139" i="3"/>
  <c r="C116" i="3"/>
  <c r="C140" i="3"/>
  <c r="C114" i="3"/>
  <c r="C138" i="3"/>
  <c r="C117" i="3"/>
  <c r="C141" i="3"/>
  <c r="C112" i="3"/>
  <c r="C113" i="3"/>
  <c r="D141" i="3"/>
  <c r="D140" i="3"/>
  <c r="D139" i="3"/>
  <c r="D138" i="3"/>
  <c r="D113" i="3"/>
  <c r="D137" i="3"/>
  <c r="D136" i="3"/>
  <c r="D112" i="3"/>
  <c r="M162" i="1"/>
  <c r="M150" i="1"/>
  <c r="M138" i="1"/>
  <c r="M126" i="1"/>
  <c r="M112" i="1"/>
  <c r="N112" i="1" s="1"/>
  <c r="I136" i="1"/>
  <c r="G136" i="1"/>
  <c r="F12" i="3"/>
  <c r="G166" i="1"/>
  <c r="I165" i="1"/>
  <c r="M165" i="1" s="1"/>
  <c r="I164" i="1"/>
  <c r="M164" i="1" s="1"/>
  <c r="N164" i="1" s="1"/>
  <c r="I163" i="1"/>
  <c r="M163" i="1" s="1"/>
  <c r="N163" i="1" s="1"/>
  <c r="I160" i="1"/>
  <c r="G160" i="1"/>
  <c r="I159" i="1"/>
  <c r="G159" i="1"/>
  <c r="G154" i="1"/>
  <c r="I153" i="1"/>
  <c r="M153" i="1" s="1"/>
  <c r="M152" i="1"/>
  <c r="N152" i="1" s="1"/>
  <c r="I151" i="1"/>
  <c r="M151" i="1" s="1"/>
  <c r="N151" i="1" s="1"/>
  <c r="I148" i="1"/>
  <c r="G148" i="1"/>
  <c r="I147" i="1"/>
  <c r="G147" i="1"/>
  <c r="G142" i="1"/>
  <c r="I141" i="1"/>
  <c r="M141" i="1" s="1"/>
  <c r="M140" i="1"/>
  <c r="I139" i="1"/>
  <c r="M139" i="1" s="1"/>
  <c r="N139" i="1" s="1"/>
  <c r="I135" i="1"/>
  <c r="G135" i="1"/>
  <c r="G130" i="1"/>
  <c r="I129" i="1"/>
  <c r="M129" i="1" s="1"/>
  <c r="I128" i="1"/>
  <c r="M128" i="1" s="1"/>
  <c r="N128" i="1" s="1"/>
  <c r="I127" i="1"/>
  <c r="M127" i="1" s="1"/>
  <c r="N127" i="1" s="1"/>
  <c r="I124" i="1"/>
  <c r="G124" i="1"/>
  <c r="I123" i="1"/>
  <c r="G123" i="1"/>
  <c r="I121" i="1"/>
  <c r="G121" i="1"/>
  <c r="G116" i="1"/>
  <c r="I115" i="1"/>
  <c r="M115" i="1" s="1"/>
  <c r="I114" i="1"/>
  <c r="M114" i="1" s="1"/>
  <c r="N114" i="1" s="1"/>
  <c r="I113" i="1"/>
  <c r="M113" i="1" s="1"/>
  <c r="N113" i="1" s="1"/>
  <c r="G110" i="1"/>
  <c r="I109" i="1"/>
  <c r="G109" i="1"/>
  <c r="H33" i="2"/>
  <c r="N140" i="1" l="1"/>
  <c r="G111" i="1"/>
  <c r="D17" i="2" s="1"/>
  <c r="I137" i="1"/>
  <c r="G137" i="1"/>
  <c r="G161" i="1"/>
  <c r="G125" i="1"/>
  <c r="G149" i="1"/>
  <c r="I116" i="1"/>
  <c r="N162" i="1"/>
  <c r="M166" i="1"/>
  <c r="I111" i="1"/>
  <c r="N138" i="1"/>
  <c r="M142" i="1"/>
  <c r="I154" i="1"/>
  <c r="I161" i="1"/>
  <c r="M116" i="1"/>
  <c r="N126" i="1"/>
  <c r="M130" i="1"/>
  <c r="I125" i="1"/>
  <c r="J122" i="1" s="1"/>
  <c r="N150" i="1"/>
  <c r="M154" i="1"/>
  <c r="I166" i="1"/>
  <c r="I130" i="1"/>
  <c r="I142" i="1"/>
  <c r="I149" i="1"/>
  <c r="A1" i="3"/>
  <c r="G167" i="1" l="1"/>
  <c r="G168" i="1" s="1"/>
  <c r="D21" i="2"/>
  <c r="G143" i="1"/>
  <c r="G144" i="1" s="1"/>
  <c r="D19" i="2"/>
  <c r="J121" i="1"/>
  <c r="E18" i="2"/>
  <c r="G155" i="1"/>
  <c r="G156" i="1" s="1"/>
  <c r="D20" i="2"/>
  <c r="E19" i="2"/>
  <c r="J148" i="1"/>
  <c r="E20" i="2"/>
  <c r="G131" i="1"/>
  <c r="G132" i="1" s="1"/>
  <c r="D18" i="2"/>
  <c r="G117" i="1"/>
  <c r="G118" i="1" s="1"/>
  <c r="E17" i="2"/>
  <c r="J159" i="1"/>
  <c r="E21" i="2"/>
  <c r="J136" i="1"/>
  <c r="J135" i="1"/>
  <c r="I143" i="1"/>
  <c r="I144" i="1" s="1"/>
  <c r="I117" i="1"/>
  <c r="I118" i="1" s="1"/>
  <c r="J147" i="1"/>
  <c r="N166" i="1"/>
  <c r="O166" i="1" s="1"/>
  <c r="J123" i="1"/>
  <c r="N116" i="1"/>
  <c r="J124" i="1"/>
  <c r="N142" i="1"/>
  <c r="J160" i="1"/>
  <c r="I131" i="1"/>
  <c r="I132" i="1" s="1"/>
  <c r="I155" i="1"/>
  <c r="I156" i="1" s="1"/>
  <c r="J110" i="1"/>
  <c r="N154" i="1"/>
  <c r="O154" i="1" s="1"/>
  <c r="N130" i="1"/>
  <c r="O130" i="1" s="1"/>
  <c r="J109" i="1"/>
  <c r="I167" i="1"/>
  <c r="I168" i="1" s="1"/>
  <c r="G104" i="1"/>
  <c r="I103" i="1"/>
  <c r="M103" i="1" s="1"/>
  <c r="I102" i="1"/>
  <c r="M102" i="1" s="1"/>
  <c r="N102" i="1" s="1"/>
  <c r="I101" i="1"/>
  <c r="M101" i="1" s="1"/>
  <c r="N101" i="1" s="1"/>
  <c r="M100" i="1"/>
  <c r="G98" i="1"/>
  <c r="I97" i="1"/>
  <c r="G97" i="1"/>
  <c r="O142" i="1" l="1"/>
  <c r="G18" i="2"/>
  <c r="G21" i="2"/>
  <c r="G20" i="2"/>
  <c r="G19" i="2"/>
  <c r="G17" i="2"/>
  <c r="J149" i="1"/>
  <c r="J137" i="1"/>
  <c r="J161" i="1"/>
  <c r="J111" i="1"/>
  <c r="J125" i="1"/>
  <c r="G99" i="1"/>
  <c r="D16" i="2" s="1"/>
  <c r="I99" i="1"/>
  <c r="N100" i="1"/>
  <c r="M104" i="1"/>
  <c r="I104" i="1"/>
  <c r="E16" i="2" l="1"/>
  <c r="G105" i="1"/>
  <c r="G106" i="1" s="1"/>
  <c r="J98" i="1"/>
  <c r="J97" i="1"/>
  <c r="I105" i="1"/>
  <c r="I106" i="1" s="1"/>
  <c r="N104" i="1"/>
  <c r="O104" i="1" s="1"/>
  <c r="G16" i="2" l="1"/>
  <c r="J99" i="1"/>
  <c r="G64" i="1" l="1"/>
  <c r="G270" i="1" s="1"/>
  <c r="C11" i="2" l="1"/>
  <c r="I85" i="1"/>
  <c r="G85" i="1"/>
  <c r="I60" i="1"/>
  <c r="G60" i="1"/>
  <c r="C131" i="3" l="1"/>
  <c r="C107" i="3"/>
  <c r="I47" i="1"/>
  <c r="G47" i="1"/>
  <c r="I34" i="1" l="1"/>
  <c r="G34" i="1"/>
  <c r="I21" i="1"/>
  <c r="G21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I52" i="1"/>
  <c r="M52" i="1" s="1"/>
  <c r="I51" i="1"/>
  <c r="M51" i="1" s="1"/>
  <c r="I50" i="1"/>
  <c r="M50" i="1" s="1"/>
  <c r="I91" i="1"/>
  <c r="M91" i="1" s="1"/>
  <c r="I89" i="1"/>
  <c r="M89" i="1" s="1"/>
  <c r="I78" i="1"/>
  <c r="M78" i="1" s="1"/>
  <c r="I77" i="1"/>
  <c r="I76" i="1"/>
  <c r="I65" i="1"/>
  <c r="M65" i="1" s="1"/>
  <c r="I64" i="1"/>
  <c r="I63" i="1"/>
  <c r="M63" i="1" s="1"/>
  <c r="I39" i="1"/>
  <c r="M39" i="1" s="1"/>
  <c r="I38" i="1"/>
  <c r="M38" i="1" s="1"/>
  <c r="I37" i="1"/>
  <c r="M37" i="1" s="1"/>
  <c r="I26" i="1"/>
  <c r="M26" i="1" s="1"/>
  <c r="I24" i="1"/>
  <c r="I14" i="1"/>
  <c r="I13" i="1"/>
  <c r="I12" i="1"/>
  <c r="B39" i="2"/>
  <c r="I269" i="1" l="1"/>
  <c r="I271" i="1"/>
  <c r="E39" i="2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M13" i="1"/>
  <c r="M12" i="1"/>
  <c r="M77" i="1"/>
  <c r="M14" i="1"/>
  <c r="M271" i="1" s="1"/>
  <c r="M76" i="1"/>
  <c r="M64" i="1"/>
  <c r="I40" i="1"/>
  <c r="M24" i="1"/>
  <c r="G27" i="1"/>
  <c r="G92" i="1"/>
  <c r="I25" i="1"/>
  <c r="M25" i="1" s="1"/>
  <c r="I90" i="1"/>
  <c r="G15" i="1"/>
  <c r="G53" i="1"/>
  <c r="D39" i="2"/>
  <c r="G79" i="1"/>
  <c r="G66" i="1"/>
  <c r="G40" i="1"/>
  <c r="I270" i="1" l="1"/>
  <c r="A167" i="1"/>
  <c r="A168" i="1" s="1"/>
  <c r="A183" i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J39" i="2"/>
  <c r="I79" i="1"/>
  <c r="I15" i="1"/>
  <c r="I53" i="1"/>
  <c r="I66" i="1"/>
  <c r="I92" i="1"/>
  <c r="M90" i="1"/>
  <c r="I27" i="1"/>
  <c r="I256" i="1"/>
  <c r="G256" i="1"/>
  <c r="I255" i="1"/>
  <c r="G255" i="1"/>
  <c r="I254" i="1"/>
  <c r="G254" i="1"/>
  <c r="I253" i="1"/>
  <c r="G253" i="1"/>
  <c r="I252" i="1"/>
  <c r="G252" i="1"/>
  <c r="A169" i="1" l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211" i="1" s="1"/>
  <c r="A212" i="1" s="1"/>
  <c r="A213" i="1" s="1"/>
  <c r="A214" i="1" s="1"/>
  <c r="E38" i="2"/>
  <c r="E37" i="2"/>
  <c r="D38" i="2"/>
  <c r="D37" i="2"/>
  <c r="C10" i="2"/>
  <c r="C13" i="2"/>
  <c r="C133" i="3" s="1"/>
  <c r="C14" i="2"/>
  <c r="C134" i="3" s="1"/>
  <c r="C15" i="2"/>
  <c r="C135" i="3" s="1"/>
  <c r="C12" i="2"/>
  <c r="C132" i="3" s="1"/>
  <c r="C26" i="2"/>
  <c r="C147" i="3" s="1"/>
  <c r="B26" i="2"/>
  <c r="B12" i="2"/>
  <c r="B15" i="2"/>
  <c r="B14" i="2"/>
  <c r="B13" i="2"/>
  <c r="B11" i="2"/>
  <c r="B10" i="2"/>
  <c r="C9" i="2"/>
  <c r="B9" i="2"/>
  <c r="I73" i="1"/>
  <c r="G73" i="1"/>
  <c r="N64" i="1"/>
  <c r="N63" i="1"/>
  <c r="M62" i="1"/>
  <c r="N38" i="1"/>
  <c r="N37" i="1"/>
  <c r="M36" i="1"/>
  <c r="I32" i="1"/>
  <c r="G32" i="1"/>
  <c r="N24" i="1"/>
  <c r="M23" i="1"/>
  <c r="I20" i="1"/>
  <c r="G20" i="1"/>
  <c r="N77" i="1"/>
  <c r="N76" i="1"/>
  <c r="M75" i="1"/>
  <c r="I72" i="1"/>
  <c r="G72" i="1"/>
  <c r="I71" i="1"/>
  <c r="G71" i="1"/>
  <c r="N90" i="1"/>
  <c r="N89" i="1"/>
  <c r="M88" i="1"/>
  <c r="I86" i="1"/>
  <c r="G86" i="1"/>
  <c r="I84" i="1"/>
  <c r="G84" i="1"/>
  <c r="N51" i="1"/>
  <c r="N50" i="1"/>
  <c r="M49" i="1"/>
  <c r="I45" i="1"/>
  <c r="G45" i="1"/>
  <c r="G48" i="1" s="1"/>
  <c r="A215" i="1" l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D123" i="3"/>
  <c r="D147" i="3"/>
  <c r="C123" i="3"/>
  <c r="C111" i="3"/>
  <c r="C105" i="3"/>
  <c r="C129" i="3"/>
  <c r="C130" i="3"/>
  <c r="C106" i="3"/>
  <c r="D130" i="3"/>
  <c r="D106" i="3"/>
  <c r="C110" i="3"/>
  <c r="C109" i="3"/>
  <c r="C108" i="3"/>
  <c r="D135" i="3"/>
  <c r="D111" i="3"/>
  <c r="D110" i="3"/>
  <c r="D134" i="3"/>
  <c r="D132" i="3"/>
  <c r="D108" i="3"/>
  <c r="D133" i="3"/>
  <c r="D109" i="3"/>
  <c r="D131" i="3"/>
  <c r="D107" i="3"/>
  <c r="D105" i="3"/>
  <c r="D129" i="3"/>
  <c r="N49" i="1"/>
  <c r="M53" i="1"/>
  <c r="N88" i="1"/>
  <c r="M92" i="1"/>
  <c r="N75" i="1"/>
  <c r="M79" i="1"/>
  <c r="N62" i="1"/>
  <c r="M66" i="1"/>
  <c r="N36" i="1"/>
  <c r="M40" i="1"/>
  <c r="N23" i="1"/>
  <c r="M27" i="1"/>
  <c r="N27" i="1" s="1"/>
  <c r="O27" i="1" s="1"/>
  <c r="E36" i="2"/>
  <c r="E40" i="2" s="1"/>
  <c r="G35" i="1"/>
  <c r="D11" i="2" s="1"/>
  <c r="D36" i="2"/>
  <c r="D40" i="2" s="1"/>
  <c r="G61" i="1"/>
  <c r="I61" i="1"/>
  <c r="I35" i="1"/>
  <c r="J33" i="1" s="1"/>
  <c r="G22" i="1"/>
  <c r="N25" i="1"/>
  <c r="I22" i="1"/>
  <c r="G74" i="1"/>
  <c r="I48" i="1"/>
  <c r="J46" i="1" s="1"/>
  <c r="G87" i="1"/>
  <c r="D15" i="2" s="1"/>
  <c r="I74" i="1"/>
  <c r="J71" i="1" s="1"/>
  <c r="I87" i="1"/>
  <c r="I251" i="1"/>
  <c r="G262" i="1"/>
  <c r="G272" i="1" s="1"/>
  <c r="M260" i="1"/>
  <c r="M270" i="1" s="1"/>
  <c r="M259" i="1"/>
  <c r="M269" i="1" s="1"/>
  <c r="M258" i="1"/>
  <c r="B37" i="2"/>
  <c r="B38" i="2"/>
  <c r="B36" i="2"/>
  <c r="M11" i="1"/>
  <c r="I9" i="1"/>
  <c r="I8" i="1"/>
  <c r="G9" i="1"/>
  <c r="G8" i="1"/>
  <c r="A2" i="1"/>
  <c r="A1" i="1"/>
  <c r="A9" i="2"/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M268" i="1"/>
  <c r="A238" i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J58" i="1"/>
  <c r="J60" i="1"/>
  <c r="J59" i="1"/>
  <c r="J72" i="1"/>
  <c r="M15" i="1"/>
  <c r="J73" i="1"/>
  <c r="N258" i="1"/>
  <c r="J85" i="1"/>
  <c r="E11" i="2"/>
  <c r="J34" i="1"/>
  <c r="N259" i="1"/>
  <c r="J86" i="1"/>
  <c r="N260" i="1"/>
  <c r="J38" i="2"/>
  <c r="J21" i="1"/>
  <c r="J47" i="1"/>
  <c r="J32" i="1"/>
  <c r="J84" i="1"/>
  <c r="J20" i="1"/>
  <c r="J45" i="1"/>
  <c r="G41" i="1"/>
  <c r="G42" i="1" s="1"/>
  <c r="N12" i="1"/>
  <c r="J37" i="2"/>
  <c r="N13" i="1"/>
  <c r="N270" i="1" s="1"/>
  <c r="G67" i="1"/>
  <c r="G68" i="1" s="1"/>
  <c r="D13" i="2"/>
  <c r="G28" i="1"/>
  <c r="G29" i="1" s="1"/>
  <c r="D10" i="2"/>
  <c r="I41" i="1"/>
  <c r="I42" i="1" s="1"/>
  <c r="G54" i="1"/>
  <c r="G55" i="1" s="1"/>
  <c r="D12" i="2"/>
  <c r="I54" i="1"/>
  <c r="I55" i="1" s="1"/>
  <c r="E12" i="2"/>
  <c r="I28" i="1"/>
  <c r="I29" i="1" s="1"/>
  <c r="E10" i="2"/>
  <c r="I80" i="1"/>
  <c r="I81" i="1" s="1"/>
  <c r="E14" i="2"/>
  <c r="I93" i="1"/>
  <c r="I94" i="1" s="1"/>
  <c r="E15" i="2"/>
  <c r="G93" i="1"/>
  <c r="G94" i="1" s="1"/>
  <c r="G80" i="1"/>
  <c r="G81" i="1" s="1"/>
  <c r="D14" i="2"/>
  <c r="I67" i="1"/>
  <c r="I68" i="1" s="1"/>
  <c r="E13" i="2"/>
  <c r="N40" i="1"/>
  <c r="O40" i="1" s="1"/>
  <c r="N66" i="1"/>
  <c r="O66" i="1" s="1"/>
  <c r="N79" i="1"/>
  <c r="O79" i="1" s="1"/>
  <c r="N92" i="1"/>
  <c r="O92" i="1" s="1"/>
  <c r="N53" i="1"/>
  <c r="O53" i="1" s="1"/>
  <c r="G10" i="1"/>
  <c r="G267" i="1" s="1"/>
  <c r="I10" i="1"/>
  <c r="I267" i="1" s="1"/>
  <c r="I262" i="1"/>
  <c r="I272" i="1" s="1"/>
  <c r="I257" i="1"/>
  <c r="E26" i="2" s="1"/>
  <c r="G257" i="1"/>
  <c r="D26" i="2" s="1"/>
  <c r="N11" i="1"/>
  <c r="N268" i="1" s="1"/>
  <c r="M272" i="1" l="1"/>
  <c r="N269" i="1"/>
  <c r="G12" i="2"/>
  <c r="G13" i="2"/>
  <c r="G15" i="2"/>
  <c r="G11" i="2"/>
  <c r="G14" i="2"/>
  <c r="G10" i="2"/>
  <c r="J48" i="1"/>
  <c r="J87" i="1"/>
  <c r="J35" i="1"/>
  <c r="J36" i="2"/>
  <c r="J40" i="2" s="1"/>
  <c r="J22" i="1"/>
  <c r="J74" i="1"/>
  <c r="J256" i="1"/>
  <c r="J255" i="1"/>
  <c r="J253" i="1"/>
  <c r="J254" i="1"/>
  <c r="J252" i="1"/>
  <c r="J9" i="1"/>
  <c r="J8" i="1"/>
  <c r="J61" i="1"/>
  <c r="G263" i="1"/>
  <c r="E9" i="2"/>
  <c r="G16" i="1"/>
  <c r="D9" i="2"/>
  <c r="J251" i="1"/>
  <c r="I263" i="1"/>
  <c r="M262" i="1"/>
  <c r="I16" i="1"/>
  <c r="I273" i="1" s="1"/>
  <c r="N15" i="1"/>
  <c r="G273" i="1" l="1"/>
  <c r="A35" i="2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I17" i="1"/>
  <c r="G26" i="2"/>
  <c r="G9" i="2"/>
  <c r="D27" i="2"/>
  <c r="D42" i="2" s="1"/>
  <c r="D44" i="2" s="1"/>
  <c r="D45" i="2" s="1"/>
  <c r="E27" i="2"/>
  <c r="G17" i="1"/>
  <c r="J257" i="1"/>
  <c r="N262" i="1"/>
  <c r="O262" i="1" s="1"/>
  <c r="J10" i="1"/>
  <c r="N272" i="1" l="1"/>
  <c r="F24" i="2"/>
  <c r="F25" i="2"/>
  <c r="F23" i="2"/>
  <c r="F22" i="2"/>
  <c r="F26" i="2"/>
  <c r="G27" i="2"/>
  <c r="F18" i="2"/>
  <c r="F17" i="2"/>
  <c r="F21" i="2"/>
  <c r="F16" i="2"/>
  <c r="F20" i="2"/>
  <c r="F19" i="2"/>
  <c r="F9" i="2"/>
  <c r="F11" i="2"/>
  <c r="F27" i="2"/>
  <c r="F33" i="2" s="1"/>
  <c r="F10" i="2"/>
  <c r="F15" i="2"/>
  <c r="F12" i="2"/>
  <c r="F14" i="2"/>
  <c r="F13" i="2"/>
  <c r="H25" i="2" l="1"/>
  <c r="I25" i="2" s="1"/>
  <c r="H24" i="2"/>
  <c r="I24" i="2" s="1"/>
  <c r="H23" i="2"/>
  <c r="I23" i="2" s="1"/>
  <c r="H22" i="2"/>
  <c r="I22" i="2" s="1"/>
  <c r="S188" i="1"/>
  <c r="H18" i="2"/>
  <c r="I18" i="2" s="1"/>
  <c r="K125" i="1" s="1"/>
  <c r="H9" i="2"/>
  <c r="I9" i="2" s="1"/>
  <c r="K10" i="1" s="1"/>
  <c r="H19" i="2"/>
  <c r="I19" i="2" s="1"/>
  <c r="K137" i="1" s="1"/>
  <c r="H20" i="2"/>
  <c r="I20" i="2" s="1"/>
  <c r="H10" i="2"/>
  <c r="I10" i="2" s="1"/>
  <c r="K22" i="1" s="1"/>
  <c r="H11" i="2"/>
  <c r="I11" i="2" s="1"/>
  <c r="H16" i="2"/>
  <c r="I16" i="2" s="1"/>
  <c r="K99" i="1" s="1"/>
  <c r="S99" i="1" s="1"/>
  <c r="L98" i="1" s="1"/>
  <c r="H26" i="2"/>
  <c r="I26" i="2" s="1"/>
  <c r="K257" i="1" s="1"/>
  <c r="H12" i="2"/>
  <c r="I12" i="2" s="1"/>
  <c r="K48" i="1" s="1"/>
  <c r="H15" i="2"/>
  <c r="I15" i="2" s="1"/>
  <c r="K87" i="1" s="1"/>
  <c r="H14" i="2"/>
  <c r="I14" i="2" s="1"/>
  <c r="K74" i="1" s="1"/>
  <c r="H17" i="2"/>
  <c r="I17" i="2" s="1"/>
  <c r="K111" i="1" s="1"/>
  <c r="H21" i="2"/>
  <c r="I21" i="2" s="1"/>
  <c r="K161" i="1" s="1"/>
  <c r="H13" i="2"/>
  <c r="I13" i="2" s="1"/>
  <c r="K61" i="1" s="1"/>
  <c r="E42" i="2"/>
  <c r="L184" i="1" l="1"/>
  <c r="G82" i="3" s="1"/>
  <c r="H82" i="3" s="1"/>
  <c r="I82" i="3" s="1"/>
  <c r="L186" i="1"/>
  <c r="G84" i="3" s="1"/>
  <c r="H84" i="3" s="1"/>
  <c r="I84" i="3" s="1"/>
  <c r="L187" i="1"/>
  <c r="G85" i="3" s="1"/>
  <c r="H85" i="3" s="1"/>
  <c r="I85" i="3" s="1"/>
  <c r="L185" i="1"/>
  <c r="G83" i="3" s="1"/>
  <c r="H83" i="3" s="1"/>
  <c r="I83" i="3" s="1"/>
  <c r="K215" i="1"/>
  <c r="S202" i="1"/>
  <c r="K229" i="1"/>
  <c r="S229" i="1" s="1"/>
  <c r="K241" i="1"/>
  <c r="S241" i="1" s="1"/>
  <c r="K35" i="1"/>
  <c r="S35" i="1" s="1"/>
  <c r="L148" i="1"/>
  <c r="K174" i="1"/>
  <c r="S61" i="1"/>
  <c r="S111" i="1"/>
  <c r="L110" i="1" s="1"/>
  <c r="S161" i="1"/>
  <c r="S257" i="1"/>
  <c r="S22" i="1"/>
  <c r="K149" i="1"/>
  <c r="S10" i="1"/>
  <c r="S87" i="1"/>
  <c r="L85" i="1" s="1"/>
  <c r="S48" i="1"/>
  <c r="L46" i="1" s="1"/>
  <c r="G17" i="3" s="1"/>
  <c r="H17" i="3" s="1"/>
  <c r="I17" i="3" s="1"/>
  <c r="S74" i="1"/>
  <c r="S137" i="1"/>
  <c r="S125" i="1"/>
  <c r="L97" i="1"/>
  <c r="I27" i="2"/>
  <c r="L240" i="1" l="1"/>
  <c r="L239" i="1"/>
  <c r="M187" i="1"/>
  <c r="T187" i="1"/>
  <c r="M185" i="1"/>
  <c r="T185" i="1"/>
  <c r="L227" i="1"/>
  <c r="L228" i="1"/>
  <c r="L225" i="1"/>
  <c r="L226" i="1"/>
  <c r="T186" i="1"/>
  <c r="M186" i="1"/>
  <c r="M184" i="1"/>
  <c r="T184" i="1"/>
  <c r="L198" i="1"/>
  <c r="L200" i="1"/>
  <c r="L201" i="1"/>
  <c r="L199" i="1"/>
  <c r="G28" i="3"/>
  <c r="H28" i="3" s="1"/>
  <c r="I28" i="3" s="1"/>
  <c r="L147" i="1"/>
  <c r="L124" i="1"/>
  <c r="G37" i="3" s="1"/>
  <c r="H37" i="3" s="1"/>
  <c r="I37" i="3" s="1"/>
  <c r="L122" i="1"/>
  <c r="G35" i="3" s="1"/>
  <c r="H35" i="3" s="1"/>
  <c r="I35" i="3" s="1"/>
  <c r="L123" i="1"/>
  <c r="G36" i="3" s="1"/>
  <c r="H36" i="3" s="1"/>
  <c r="I36" i="3" s="1"/>
  <c r="S174" i="1"/>
  <c r="S215" i="1"/>
  <c r="T46" i="1"/>
  <c r="M46" i="1"/>
  <c r="N46" i="1" s="1"/>
  <c r="O46" i="1" s="1"/>
  <c r="L34" i="1"/>
  <c r="L60" i="1" s="1"/>
  <c r="L32" i="1"/>
  <c r="L58" i="1" s="1"/>
  <c r="L33" i="1"/>
  <c r="L59" i="1" s="1"/>
  <c r="L47" i="1"/>
  <c r="L86" i="1"/>
  <c r="G26" i="3" s="1"/>
  <c r="H26" i="3" s="1"/>
  <c r="I26" i="3" s="1"/>
  <c r="L20" i="1"/>
  <c r="L21" i="1"/>
  <c r="L9" i="1"/>
  <c r="L73" i="1"/>
  <c r="G22" i="3" s="1"/>
  <c r="H22" i="3" s="1"/>
  <c r="I22" i="3" s="1"/>
  <c r="L72" i="1"/>
  <c r="G21" i="3" s="1"/>
  <c r="H21" i="3" s="1"/>
  <c r="I21" i="3" s="1"/>
  <c r="L109" i="1"/>
  <c r="G31" i="3" s="1"/>
  <c r="H31" i="3" s="1"/>
  <c r="I31" i="3" s="1"/>
  <c r="G25" i="3"/>
  <c r="H25" i="3" s="1"/>
  <c r="I25" i="3" s="1"/>
  <c r="L84" i="1"/>
  <c r="G24" i="3" s="1"/>
  <c r="H24" i="3" s="1"/>
  <c r="I24" i="3" s="1"/>
  <c r="L256" i="1"/>
  <c r="G52" i="3" s="1"/>
  <c r="H52" i="3" s="1"/>
  <c r="I52" i="3" s="1"/>
  <c r="L8" i="1"/>
  <c r="L255" i="1"/>
  <c r="G51" i="3" s="1"/>
  <c r="H51" i="3" s="1"/>
  <c r="I51" i="3" s="1"/>
  <c r="L254" i="1"/>
  <c r="G50" i="3" s="1"/>
  <c r="H50" i="3" s="1"/>
  <c r="I50" i="3" s="1"/>
  <c r="L251" i="1"/>
  <c r="G47" i="3" s="1"/>
  <c r="H47" i="3" s="1"/>
  <c r="I47" i="3" s="1"/>
  <c r="L252" i="1"/>
  <c r="G48" i="3" s="1"/>
  <c r="H48" i="3" s="1"/>
  <c r="I48" i="3" s="1"/>
  <c r="L253" i="1"/>
  <c r="G49" i="3" s="1"/>
  <c r="H49" i="3" s="1"/>
  <c r="I49" i="3" s="1"/>
  <c r="L45" i="1"/>
  <c r="L71" i="1"/>
  <c r="G20" i="3" s="1"/>
  <c r="H20" i="3" s="1"/>
  <c r="I20" i="3" s="1"/>
  <c r="S149" i="1"/>
  <c r="T98" i="1"/>
  <c r="G29" i="3"/>
  <c r="H29" i="3" s="1"/>
  <c r="I29" i="3" s="1"/>
  <c r="M110" i="1"/>
  <c r="G32" i="3"/>
  <c r="H32" i="3" s="1"/>
  <c r="I32" i="3" s="1"/>
  <c r="L121" i="1"/>
  <c r="T97" i="1"/>
  <c r="M97" i="1"/>
  <c r="N97" i="1" s="1"/>
  <c r="M98" i="1"/>
  <c r="N98" i="1" s="1"/>
  <c r="O98" i="1" s="1"/>
  <c r="T110" i="1"/>
  <c r="N185" i="1" l="1"/>
  <c r="O185" i="1" s="1"/>
  <c r="N186" i="1"/>
  <c r="O186" i="1" s="1"/>
  <c r="N187" i="1"/>
  <c r="T226" i="1"/>
  <c r="M226" i="1"/>
  <c r="N226" i="1" s="1"/>
  <c r="T239" i="1"/>
  <c r="M239" i="1"/>
  <c r="M225" i="1"/>
  <c r="T225" i="1"/>
  <c r="M240" i="1"/>
  <c r="N240" i="1" s="1"/>
  <c r="O240" i="1" s="1"/>
  <c r="T240" i="1"/>
  <c r="M188" i="1"/>
  <c r="J29" i="2" s="1"/>
  <c r="O29" i="2" s="1"/>
  <c r="N184" i="1"/>
  <c r="M228" i="1"/>
  <c r="N228" i="1" s="1"/>
  <c r="O228" i="1" s="1"/>
  <c r="T228" i="1"/>
  <c r="M227" i="1"/>
  <c r="N227" i="1" s="1"/>
  <c r="O227" i="1" s="1"/>
  <c r="T227" i="1"/>
  <c r="T199" i="1"/>
  <c r="M199" i="1"/>
  <c r="T201" i="1"/>
  <c r="M201" i="1"/>
  <c r="T200" i="1"/>
  <c r="M200" i="1"/>
  <c r="T198" i="1"/>
  <c r="M198" i="1"/>
  <c r="G14" i="3"/>
  <c r="H14" i="3" s="1"/>
  <c r="I14" i="3" s="1"/>
  <c r="G13" i="3"/>
  <c r="H13" i="3" s="1"/>
  <c r="I13" i="3" s="1"/>
  <c r="G18" i="3"/>
  <c r="H18" i="3" s="1"/>
  <c r="I18" i="3" s="1"/>
  <c r="M58" i="1"/>
  <c r="N58" i="1" s="1"/>
  <c r="O58" i="1" s="1"/>
  <c r="M45" i="1"/>
  <c r="N45" i="1" s="1"/>
  <c r="O45" i="1" s="1"/>
  <c r="G16" i="3"/>
  <c r="H16" i="3" s="1"/>
  <c r="I16" i="3" s="1"/>
  <c r="M122" i="1"/>
  <c r="T122" i="1"/>
  <c r="L214" i="1"/>
  <c r="G45" i="3" s="1"/>
  <c r="H45" i="3" s="1"/>
  <c r="I45" i="3" s="1"/>
  <c r="L213" i="1"/>
  <c r="G44" i="3" s="1"/>
  <c r="H44" i="3" s="1"/>
  <c r="I44" i="3" s="1"/>
  <c r="L212" i="1"/>
  <c r="G43" i="3" s="1"/>
  <c r="H43" i="3" s="1"/>
  <c r="I43" i="3" s="1"/>
  <c r="L172" i="1"/>
  <c r="G40" i="3" s="1"/>
  <c r="H40" i="3" s="1"/>
  <c r="I40" i="3" s="1"/>
  <c r="L171" i="1"/>
  <c r="G39" i="3" s="1"/>
  <c r="H39" i="3" s="1"/>
  <c r="I39" i="3" s="1"/>
  <c r="L173" i="1"/>
  <c r="G41" i="3" s="1"/>
  <c r="H41" i="3" s="1"/>
  <c r="I41" i="3" s="1"/>
  <c r="G9" i="3"/>
  <c r="H9" i="3" s="1"/>
  <c r="I9" i="3" s="1"/>
  <c r="G10" i="3"/>
  <c r="H10" i="3" s="1"/>
  <c r="I10" i="3" s="1"/>
  <c r="L159" i="1"/>
  <c r="L135" i="1"/>
  <c r="G7" i="3"/>
  <c r="H7" i="3" s="1"/>
  <c r="I7" i="3" s="1"/>
  <c r="L136" i="1"/>
  <c r="L160" i="1"/>
  <c r="M59" i="1"/>
  <c r="T59" i="1"/>
  <c r="M86" i="1"/>
  <c r="N86" i="1" s="1"/>
  <c r="O86" i="1" s="1"/>
  <c r="T47" i="1"/>
  <c r="G6" i="3"/>
  <c r="H6" i="3" s="1"/>
  <c r="I6" i="3" s="1"/>
  <c r="M20" i="1"/>
  <c r="N20" i="1" s="1"/>
  <c r="O20" i="1" s="1"/>
  <c r="T86" i="1"/>
  <c r="M73" i="1"/>
  <c r="N73" i="1" s="1"/>
  <c r="O73" i="1" s="1"/>
  <c r="M47" i="1"/>
  <c r="N47" i="1" s="1"/>
  <c r="O47" i="1" s="1"/>
  <c r="T20" i="1"/>
  <c r="M9" i="1"/>
  <c r="N9" i="1" s="1"/>
  <c r="O9" i="1" s="1"/>
  <c r="T9" i="1"/>
  <c r="T109" i="1"/>
  <c r="M109" i="1"/>
  <c r="M111" i="1" s="1"/>
  <c r="P109" i="1" s="1"/>
  <c r="Q109" i="1" s="1"/>
  <c r="M256" i="1"/>
  <c r="N256" i="1" s="1"/>
  <c r="O256" i="1" s="1"/>
  <c r="T256" i="1"/>
  <c r="M84" i="1"/>
  <c r="N84" i="1" s="1"/>
  <c r="T253" i="1"/>
  <c r="M85" i="1"/>
  <c r="N85" i="1" s="1"/>
  <c r="O85" i="1" s="1"/>
  <c r="M8" i="1"/>
  <c r="N8" i="1" s="1"/>
  <c r="T21" i="1"/>
  <c r="M32" i="1"/>
  <c r="T84" i="1"/>
  <c r="T85" i="1"/>
  <c r="M253" i="1"/>
  <c r="N253" i="1" s="1"/>
  <c r="O253" i="1" s="1"/>
  <c r="M255" i="1"/>
  <c r="N255" i="1" s="1"/>
  <c r="O255" i="1" s="1"/>
  <c r="M21" i="1"/>
  <c r="N21" i="1" s="1"/>
  <c r="O21" i="1" s="1"/>
  <c r="T255" i="1"/>
  <c r="T8" i="1"/>
  <c r="T254" i="1"/>
  <c r="M254" i="1"/>
  <c r="N254" i="1" s="1"/>
  <c r="O254" i="1" s="1"/>
  <c r="M251" i="1"/>
  <c r="N251" i="1" s="1"/>
  <c r="O251" i="1" s="1"/>
  <c r="T251" i="1"/>
  <c r="M252" i="1"/>
  <c r="N252" i="1" s="1"/>
  <c r="O252" i="1" s="1"/>
  <c r="T252" i="1"/>
  <c r="T71" i="1"/>
  <c r="M71" i="1"/>
  <c r="N71" i="1" s="1"/>
  <c r="O71" i="1" s="1"/>
  <c r="O97" i="1"/>
  <c r="N99" i="1"/>
  <c r="M121" i="1"/>
  <c r="N121" i="1" s="1"/>
  <c r="G34" i="3"/>
  <c r="H34" i="3" s="1"/>
  <c r="I34" i="3" s="1"/>
  <c r="M99" i="1"/>
  <c r="P97" i="1" s="1"/>
  <c r="M123" i="1"/>
  <c r="T123" i="1"/>
  <c r="T124" i="1"/>
  <c r="M124" i="1"/>
  <c r="N110" i="1"/>
  <c r="O110" i="1" s="1"/>
  <c r="T73" i="1"/>
  <c r="T72" i="1"/>
  <c r="M72" i="1"/>
  <c r="P187" i="1" l="1"/>
  <c r="P186" i="1"/>
  <c r="P200" i="1"/>
  <c r="P185" i="1"/>
  <c r="P201" i="1"/>
  <c r="P184" i="1"/>
  <c r="N225" i="1"/>
  <c r="M229" i="1"/>
  <c r="J24" i="2" s="1"/>
  <c r="O24" i="2" s="1"/>
  <c r="N239" i="1"/>
  <c r="M241" i="1"/>
  <c r="J25" i="2" s="1"/>
  <c r="O25" i="2" s="1"/>
  <c r="O184" i="1"/>
  <c r="N188" i="1"/>
  <c r="O226" i="1"/>
  <c r="M194" i="1"/>
  <c r="R188" i="1"/>
  <c r="N200" i="1"/>
  <c r="O200" i="1" s="1"/>
  <c r="N198" i="1"/>
  <c r="M202" i="1"/>
  <c r="J30" i="2" s="1"/>
  <c r="O30" i="2" s="1"/>
  <c r="O31" i="2" s="1"/>
  <c r="N201" i="1"/>
  <c r="N199" i="1"/>
  <c r="O199" i="1" s="1"/>
  <c r="N122" i="1"/>
  <c r="O122" i="1" s="1"/>
  <c r="M60" i="1"/>
  <c r="N60" i="1" s="1"/>
  <c r="O60" i="1" s="1"/>
  <c r="T60" i="1"/>
  <c r="M135" i="1"/>
  <c r="N135" i="1" s="1"/>
  <c r="O135" i="1" s="1"/>
  <c r="M159" i="1"/>
  <c r="N159" i="1" s="1"/>
  <c r="T135" i="1"/>
  <c r="T159" i="1"/>
  <c r="M160" i="1"/>
  <c r="T160" i="1"/>
  <c r="M173" i="1"/>
  <c r="T173" i="1"/>
  <c r="M171" i="1"/>
  <c r="T171" i="1"/>
  <c r="M172" i="1"/>
  <c r="T172" i="1"/>
  <c r="M212" i="1"/>
  <c r="T212" i="1"/>
  <c r="M213" i="1"/>
  <c r="T213" i="1"/>
  <c r="T214" i="1"/>
  <c r="M214" i="1"/>
  <c r="M136" i="1"/>
  <c r="N136" i="1" s="1"/>
  <c r="O136" i="1" s="1"/>
  <c r="T136" i="1"/>
  <c r="N59" i="1"/>
  <c r="N32" i="1"/>
  <c r="M33" i="1"/>
  <c r="T33" i="1"/>
  <c r="N48" i="1"/>
  <c r="L12" i="2" s="1"/>
  <c r="M48" i="1"/>
  <c r="P45" i="1" s="1"/>
  <c r="Q45" i="1" s="1"/>
  <c r="N10" i="1"/>
  <c r="T34" i="1"/>
  <c r="M34" i="1"/>
  <c r="N34" i="1" s="1"/>
  <c r="N109" i="1"/>
  <c r="N111" i="1" s="1"/>
  <c r="O8" i="1"/>
  <c r="M22" i="1"/>
  <c r="R22" i="1" s="1"/>
  <c r="G12" i="3"/>
  <c r="H12" i="3" s="1"/>
  <c r="I12" i="3" s="1"/>
  <c r="N22" i="1"/>
  <c r="O22" i="1" s="1"/>
  <c r="M10" i="1"/>
  <c r="M87" i="1"/>
  <c r="P85" i="1" s="1"/>
  <c r="Q85" i="1" s="1"/>
  <c r="M257" i="1"/>
  <c r="N257" i="1"/>
  <c r="O257" i="1" s="1"/>
  <c r="O121" i="1"/>
  <c r="O84" i="1"/>
  <c r="N87" i="1"/>
  <c r="L15" i="2" s="1"/>
  <c r="T148" i="1"/>
  <c r="M148" i="1"/>
  <c r="N148" i="1" s="1"/>
  <c r="O148" i="1" s="1"/>
  <c r="M147" i="1"/>
  <c r="M105" i="1"/>
  <c r="L16" i="2"/>
  <c r="R99" i="1"/>
  <c r="P98" i="1"/>
  <c r="Q98" i="1" s="1"/>
  <c r="J16" i="2"/>
  <c r="O16" i="2" s="1"/>
  <c r="M125" i="1"/>
  <c r="P121" i="1" s="1"/>
  <c r="N124" i="1"/>
  <c r="O124" i="1" s="1"/>
  <c r="N123" i="1"/>
  <c r="O123" i="1" s="1"/>
  <c r="R111" i="1"/>
  <c r="M117" i="1"/>
  <c r="J17" i="2"/>
  <c r="O17" i="2" s="1"/>
  <c r="P110" i="1"/>
  <c r="Q110" i="1" s="1"/>
  <c r="N72" i="1"/>
  <c r="M74" i="1"/>
  <c r="O99" i="1"/>
  <c r="Q97" i="1"/>
  <c r="P198" i="1" l="1"/>
  <c r="P199" i="1"/>
  <c r="J31" i="2"/>
  <c r="K31" i="2" s="1"/>
  <c r="O188" i="1"/>
  <c r="S284" i="1" s="1"/>
  <c r="L29" i="2"/>
  <c r="P8" i="1"/>
  <c r="Q8" i="1" s="1"/>
  <c r="O10" i="1"/>
  <c r="M247" i="1"/>
  <c r="R241" i="1"/>
  <c r="N241" i="1"/>
  <c r="O239" i="1"/>
  <c r="R229" i="1"/>
  <c r="M235" i="1"/>
  <c r="M195" i="1"/>
  <c r="N195" i="1" s="1"/>
  <c r="N194" i="1"/>
  <c r="O194" i="1" s="1"/>
  <c r="N29" i="2" s="1"/>
  <c r="N229" i="1"/>
  <c r="O225" i="1"/>
  <c r="R202" i="1"/>
  <c r="M208" i="1"/>
  <c r="N202" i="1"/>
  <c r="L30" i="2" s="1"/>
  <c r="M30" i="2" s="1"/>
  <c r="O198" i="1"/>
  <c r="M61" i="1"/>
  <c r="J13" i="2" s="1"/>
  <c r="O13" i="2" s="1"/>
  <c r="P122" i="1"/>
  <c r="Q122" i="1" s="1"/>
  <c r="M161" i="1"/>
  <c r="P159" i="1" s="1"/>
  <c r="Q159" i="1" s="1"/>
  <c r="N160" i="1"/>
  <c r="O160" i="1" s="1"/>
  <c r="N172" i="1"/>
  <c r="O172" i="1" s="1"/>
  <c r="N137" i="1"/>
  <c r="L19" i="2" s="1"/>
  <c r="F115" i="3" s="1"/>
  <c r="N173" i="1"/>
  <c r="O173" i="1" s="1"/>
  <c r="M215" i="1"/>
  <c r="J23" i="2" s="1"/>
  <c r="O23" i="2" s="1"/>
  <c r="N212" i="1"/>
  <c r="N214" i="1"/>
  <c r="O214" i="1" s="1"/>
  <c r="N171" i="1"/>
  <c r="M174" i="1"/>
  <c r="P172" i="1" s="1"/>
  <c r="Q172" i="1" s="1"/>
  <c r="M137" i="1"/>
  <c r="P135" i="1" s="1"/>
  <c r="Q135" i="1" s="1"/>
  <c r="N213" i="1"/>
  <c r="O213" i="1" s="1"/>
  <c r="O59" i="1"/>
  <c r="N61" i="1"/>
  <c r="J26" i="2"/>
  <c r="J12" i="2"/>
  <c r="O12" i="2" s="1"/>
  <c r="M54" i="1"/>
  <c r="M55" i="1" s="1"/>
  <c r="N55" i="1" s="1"/>
  <c r="F132" i="3" s="1"/>
  <c r="P47" i="1"/>
  <c r="Q47" i="1" s="1"/>
  <c r="R48" i="1"/>
  <c r="P46" i="1"/>
  <c r="Q46" i="1" s="1"/>
  <c r="N33" i="1"/>
  <c r="M35" i="1"/>
  <c r="O109" i="1"/>
  <c r="P9" i="1"/>
  <c r="Q9" i="1" s="1"/>
  <c r="J9" i="2"/>
  <c r="O9" i="2" s="1"/>
  <c r="M93" i="1"/>
  <c r="M94" i="1" s="1"/>
  <c r="N94" i="1" s="1"/>
  <c r="F135" i="3" s="1"/>
  <c r="P21" i="1"/>
  <c r="Q21" i="1" s="1"/>
  <c r="P20" i="1"/>
  <c r="Q20" i="1" s="1"/>
  <c r="R87" i="1"/>
  <c r="P84" i="1"/>
  <c r="Q84" i="1" s="1"/>
  <c r="M28" i="1"/>
  <c r="M29" i="1" s="1"/>
  <c r="N29" i="1" s="1"/>
  <c r="O29" i="1" s="1"/>
  <c r="P86" i="1"/>
  <c r="Q86" i="1" s="1"/>
  <c r="J15" i="2"/>
  <c r="O15" i="2" s="1"/>
  <c r="J10" i="2"/>
  <c r="O10" i="2" s="1"/>
  <c r="P255" i="1"/>
  <c r="Q255" i="1" s="1"/>
  <c r="R10" i="1"/>
  <c r="M16" i="1"/>
  <c r="P253" i="1"/>
  <c r="Q253" i="1" s="1"/>
  <c r="P254" i="1"/>
  <c r="Q254" i="1" s="1"/>
  <c r="P252" i="1"/>
  <c r="Q252" i="1" s="1"/>
  <c r="P256" i="1"/>
  <c r="Q256" i="1" s="1"/>
  <c r="P251" i="1"/>
  <c r="Q251" i="1" s="1"/>
  <c r="M263" i="1"/>
  <c r="N263" i="1" s="1"/>
  <c r="L26" i="2" s="1"/>
  <c r="R257" i="1"/>
  <c r="N105" i="1"/>
  <c r="O105" i="1" s="1"/>
  <c r="N16" i="2" s="1"/>
  <c r="M106" i="1"/>
  <c r="N106" i="1" s="1"/>
  <c r="F136" i="3" s="1"/>
  <c r="M12" i="2"/>
  <c r="F108" i="3"/>
  <c r="M15" i="2"/>
  <c r="F111" i="3"/>
  <c r="M16" i="2"/>
  <c r="F112" i="3"/>
  <c r="O159" i="1"/>
  <c r="N125" i="1"/>
  <c r="O125" i="1" s="1"/>
  <c r="O72" i="1"/>
  <c r="N74" i="1"/>
  <c r="N147" i="1"/>
  <c r="M149" i="1"/>
  <c r="P147" i="1" s="1"/>
  <c r="P99" i="1"/>
  <c r="Q99" i="1" s="1"/>
  <c r="O48" i="1"/>
  <c r="P124" i="1"/>
  <c r="J18" i="2"/>
  <c r="O18" i="2" s="1"/>
  <c r="M131" i="1"/>
  <c r="N131" i="1" s="1"/>
  <c r="P123" i="1"/>
  <c r="R125" i="1"/>
  <c r="P111" i="1"/>
  <c r="Q111" i="1" s="1"/>
  <c r="O87" i="1"/>
  <c r="N117" i="1"/>
  <c r="M118" i="1"/>
  <c r="N118" i="1" s="1"/>
  <c r="O111" i="1"/>
  <c r="L17" i="2"/>
  <c r="L9" i="2"/>
  <c r="L10" i="2"/>
  <c r="R74" i="1"/>
  <c r="P71" i="1"/>
  <c r="P72" i="1"/>
  <c r="Q72" i="1" s="1"/>
  <c r="P73" i="1"/>
  <c r="Q73" i="1" s="1"/>
  <c r="J14" i="2"/>
  <c r="O14" i="2" s="1"/>
  <c r="M80" i="1"/>
  <c r="S285" i="1" l="1"/>
  <c r="S288" i="1"/>
  <c r="S292" i="1" s="1"/>
  <c r="S296" i="1" s="1"/>
  <c r="S300" i="1" s="1"/>
  <c r="S304" i="1" s="1"/>
  <c r="S308" i="1" s="1"/>
  <c r="K29" i="2"/>
  <c r="K30" i="2"/>
  <c r="L31" i="2"/>
  <c r="M31" i="2" s="1"/>
  <c r="M29" i="2"/>
  <c r="O195" i="1"/>
  <c r="F143" i="3"/>
  <c r="M267" i="1"/>
  <c r="O241" i="1"/>
  <c r="L25" i="2"/>
  <c r="O229" i="1"/>
  <c r="L24" i="2"/>
  <c r="F120" i="3"/>
  <c r="M17" i="1"/>
  <c r="N17" i="1" s="1"/>
  <c r="O17" i="1" s="1"/>
  <c r="N235" i="1"/>
  <c r="O235" i="1" s="1"/>
  <c r="N24" i="2" s="1"/>
  <c r="M236" i="1"/>
  <c r="N236" i="1" s="1"/>
  <c r="O236" i="1" s="1"/>
  <c r="N247" i="1"/>
  <c r="O247" i="1" s="1"/>
  <c r="N25" i="2" s="1"/>
  <c r="M248" i="1"/>
  <c r="N248" i="1" s="1"/>
  <c r="O202" i="1"/>
  <c r="M209" i="1"/>
  <c r="N209" i="1" s="1"/>
  <c r="N208" i="1"/>
  <c r="Q185" i="1"/>
  <c r="Q186" i="1"/>
  <c r="Q187" i="1"/>
  <c r="Q199" i="1"/>
  <c r="Q201" i="1"/>
  <c r="Q200" i="1"/>
  <c r="P227" i="1"/>
  <c r="Q227" i="1" s="1"/>
  <c r="P226" i="1"/>
  <c r="Q226" i="1" s="1"/>
  <c r="P225" i="1"/>
  <c r="P228" i="1"/>
  <c r="Q228" i="1" s="1"/>
  <c r="P212" i="1"/>
  <c r="Q212" i="1" s="1"/>
  <c r="P240" i="1"/>
  <c r="Q240" i="1" s="1"/>
  <c r="P239" i="1"/>
  <c r="P60" i="1"/>
  <c r="Q60" i="1" s="1"/>
  <c r="P59" i="1"/>
  <c r="Q59" i="1" s="1"/>
  <c r="P58" i="1"/>
  <c r="Q58" i="1" s="1"/>
  <c r="M67" i="1"/>
  <c r="M68" i="1" s="1"/>
  <c r="N68" i="1" s="1"/>
  <c r="F133" i="3" s="1"/>
  <c r="R61" i="1"/>
  <c r="R161" i="1"/>
  <c r="P173" i="1"/>
  <c r="Q173" i="1" s="1"/>
  <c r="J21" i="2"/>
  <c r="O21" i="2" s="1"/>
  <c r="P160" i="1"/>
  <c r="Q160" i="1" s="1"/>
  <c r="P136" i="1"/>
  <c r="M167" i="1"/>
  <c r="N167" i="1" s="1"/>
  <c r="O167" i="1" s="1"/>
  <c r="N21" i="2" s="1"/>
  <c r="G117" i="3" s="1"/>
  <c r="M143" i="1"/>
  <c r="M144" i="1" s="1"/>
  <c r="N144" i="1" s="1"/>
  <c r="O144" i="1" s="1"/>
  <c r="N161" i="1"/>
  <c r="L21" i="2" s="1"/>
  <c r="F117" i="3" s="1"/>
  <c r="O137" i="1"/>
  <c r="P171" i="1"/>
  <c r="P214" i="1"/>
  <c r="Q214" i="1" s="1"/>
  <c r="P213" i="1"/>
  <c r="Q213" i="1" s="1"/>
  <c r="O263" i="1"/>
  <c r="N26" i="2" s="1"/>
  <c r="F123" i="3"/>
  <c r="R137" i="1"/>
  <c r="J19" i="2"/>
  <c r="O19" i="2" s="1"/>
  <c r="N174" i="1"/>
  <c r="O171" i="1"/>
  <c r="N215" i="1"/>
  <c r="L23" i="2" s="1"/>
  <c r="O212" i="1"/>
  <c r="J22" i="2"/>
  <c r="O22" i="2" s="1"/>
  <c r="M180" i="1"/>
  <c r="R174" i="1"/>
  <c r="M221" i="1"/>
  <c r="R215" i="1"/>
  <c r="L13" i="2"/>
  <c r="O61" i="1"/>
  <c r="N13" i="2" s="1"/>
  <c r="P32" i="1"/>
  <c r="Q32" i="1" s="1"/>
  <c r="O32" i="1"/>
  <c r="O33" i="1"/>
  <c r="N54" i="1"/>
  <c r="O54" i="1" s="1"/>
  <c r="N12" i="2" s="1"/>
  <c r="O55" i="1"/>
  <c r="N35" i="1"/>
  <c r="P48" i="1"/>
  <c r="Q48" i="1" s="1"/>
  <c r="P33" i="1"/>
  <c r="Q33" i="1" s="1"/>
  <c r="J11" i="2"/>
  <c r="O11" i="2" s="1"/>
  <c r="R35" i="1"/>
  <c r="P34" i="1"/>
  <c r="Q34" i="1" s="1"/>
  <c r="M41" i="1"/>
  <c r="M42" i="1" s="1"/>
  <c r="N42" i="1" s="1"/>
  <c r="O42" i="1" s="1"/>
  <c r="N28" i="1"/>
  <c r="O28" i="1" s="1"/>
  <c r="N10" i="2" s="1"/>
  <c r="P10" i="1"/>
  <c r="Q10" i="1" s="1"/>
  <c r="O26" i="2"/>
  <c r="P22" i="1"/>
  <c r="Q22" i="1" s="1"/>
  <c r="N16" i="1"/>
  <c r="O94" i="1"/>
  <c r="N93" i="1"/>
  <c r="O93" i="1" s="1"/>
  <c r="N15" i="2" s="1"/>
  <c r="P87" i="1"/>
  <c r="Q87" i="1" s="1"/>
  <c r="F130" i="3"/>
  <c r="P257" i="1"/>
  <c r="Q257" i="1" s="1"/>
  <c r="O118" i="1"/>
  <c r="F137" i="3"/>
  <c r="N80" i="1"/>
  <c r="O80" i="1" s="1"/>
  <c r="N14" i="2" s="1"/>
  <c r="M81" i="1"/>
  <c r="N81" i="1" s="1"/>
  <c r="F134" i="3" s="1"/>
  <c r="M10" i="2"/>
  <c r="F106" i="3"/>
  <c r="M19" i="2"/>
  <c r="O131" i="1"/>
  <c r="N18" i="2" s="1"/>
  <c r="G114" i="3" s="1"/>
  <c r="M9" i="2"/>
  <c r="F105" i="3"/>
  <c r="M17" i="2"/>
  <c r="F113" i="3"/>
  <c r="G112" i="3"/>
  <c r="G136" i="3"/>
  <c r="O117" i="1"/>
  <c r="N17" i="2" s="1"/>
  <c r="Q147" i="1"/>
  <c r="P148" i="1"/>
  <c r="Q148" i="1" s="1"/>
  <c r="J20" i="2"/>
  <c r="O20" i="2" s="1"/>
  <c r="M155" i="1"/>
  <c r="R149" i="1"/>
  <c r="O147" i="1"/>
  <c r="N149" i="1"/>
  <c r="M132" i="1"/>
  <c r="N132" i="1" s="1"/>
  <c r="L18" i="2"/>
  <c r="F114" i="3" s="1"/>
  <c r="L14" i="2"/>
  <c r="O74" i="1"/>
  <c r="P74" i="1"/>
  <c r="Q74" i="1" s="1"/>
  <c r="Q71" i="1"/>
  <c r="S286" i="1" l="1"/>
  <c r="S290" i="1" s="1"/>
  <c r="S294" i="1" s="1"/>
  <c r="S298" i="1" s="1"/>
  <c r="S302" i="1" s="1"/>
  <c r="S306" i="1" s="1"/>
  <c r="S310" i="1" s="1"/>
  <c r="S289" i="1"/>
  <c r="S293" i="1" s="1"/>
  <c r="S297" i="1" s="1"/>
  <c r="S301" i="1" s="1"/>
  <c r="S305" i="1" s="1"/>
  <c r="S309" i="1" s="1"/>
  <c r="S313" i="1" s="1"/>
  <c r="O209" i="1"/>
  <c r="F144" i="3"/>
  <c r="O248" i="1"/>
  <c r="F146" i="3"/>
  <c r="N267" i="1"/>
  <c r="M273" i="1"/>
  <c r="G146" i="3"/>
  <c r="G122" i="3"/>
  <c r="M25" i="2"/>
  <c r="F122" i="3"/>
  <c r="F129" i="3"/>
  <c r="M24" i="2"/>
  <c r="F121" i="3"/>
  <c r="M23" i="2"/>
  <c r="O34" i="1"/>
  <c r="O35" i="1" s="1"/>
  <c r="O16" i="1"/>
  <c r="N9" i="2" s="1"/>
  <c r="G105" i="3" s="1"/>
  <c r="O208" i="1"/>
  <c r="N30" i="2" s="1"/>
  <c r="Q198" i="1"/>
  <c r="P202" i="1"/>
  <c r="Q202" i="1" s="1"/>
  <c r="P188" i="1"/>
  <c r="Q188" i="1" s="1"/>
  <c r="Q184" i="1"/>
  <c r="P229" i="1"/>
  <c r="Q229" i="1" s="1"/>
  <c r="Q225" i="1"/>
  <c r="Q239" i="1"/>
  <c r="P241" i="1"/>
  <c r="Q241" i="1" s="1"/>
  <c r="P174" i="1"/>
  <c r="Q174" i="1" s="1"/>
  <c r="N67" i="1"/>
  <c r="O67" i="1" s="1"/>
  <c r="P61" i="1"/>
  <c r="Q61" i="1" s="1"/>
  <c r="N143" i="1"/>
  <c r="O143" i="1" s="1"/>
  <c r="N19" i="2" s="1"/>
  <c r="G115" i="3" s="1"/>
  <c r="O161" i="1"/>
  <c r="F139" i="3"/>
  <c r="M168" i="1"/>
  <c r="N168" i="1" s="1"/>
  <c r="O168" i="1" s="1"/>
  <c r="P161" i="1"/>
  <c r="Q161" i="1" s="1"/>
  <c r="Q171" i="1"/>
  <c r="P215" i="1"/>
  <c r="Q215" i="1" s="1"/>
  <c r="G147" i="3"/>
  <c r="G123" i="3"/>
  <c r="M26" i="2"/>
  <c r="N180" i="1"/>
  <c r="O180" i="1" s="1"/>
  <c r="N22" i="2" s="1"/>
  <c r="M181" i="1"/>
  <c r="N181" i="1" s="1"/>
  <c r="O215" i="1"/>
  <c r="N221" i="1"/>
  <c r="O221" i="1" s="1"/>
  <c r="M222" i="1"/>
  <c r="N222" i="1" s="1"/>
  <c r="F145" i="3" s="1"/>
  <c r="O174" i="1"/>
  <c r="L22" i="2"/>
  <c r="G133" i="3"/>
  <c r="G109" i="3"/>
  <c r="F109" i="3"/>
  <c r="M13" i="2"/>
  <c r="L11" i="2"/>
  <c r="M11" i="2" s="1"/>
  <c r="P35" i="1"/>
  <c r="Q35" i="1" s="1"/>
  <c r="N41" i="1"/>
  <c r="O41" i="1" s="1"/>
  <c r="N11" i="2" s="1"/>
  <c r="G131" i="3" s="1"/>
  <c r="F131" i="3"/>
  <c r="O132" i="1"/>
  <c r="F138" i="3"/>
  <c r="G130" i="3"/>
  <c r="G106" i="3"/>
  <c r="G138" i="3"/>
  <c r="M14" i="2"/>
  <c r="F110" i="3"/>
  <c r="G132" i="3"/>
  <c r="G108" i="3"/>
  <c r="G141" i="3"/>
  <c r="M18" i="2"/>
  <c r="G111" i="3"/>
  <c r="G135" i="3"/>
  <c r="M21" i="2"/>
  <c r="G137" i="3"/>
  <c r="G113" i="3"/>
  <c r="G110" i="3"/>
  <c r="G134" i="3"/>
  <c r="M156" i="1"/>
  <c r="N156" i="1" s="1"/>
  <c r="N155" i="1"/>
  <c r="O149" i="1"/>
  <c r="L20" i="2"/>
  <c r="F116" i="3" s="1"/>
  <c r="P149" i="1"/>
  <c r="Q149" i="1" s="1"/>
  <c r="S311" i="1" l="1"/>
  <c r="S315" i="1" s="1"/>
  <c r="S316" i="1" s="1"/>
  <c r="S314" i="1"/>
  <c r="N273" i="1"/>
  <c r="N23" i="2"/>
  <c r="G129" i="3"/>
  <c r="G139" i="3"/>
  <c r="F141" i="3"/>
  <c r="G142" i="3"/>
  <c r="G118" i="3"/>
  <c r="M22" i="2"/>
  <c r="F118" i="3"/>
  <c r="O222" i="1"/>
  <c r="G119" i="3"/>
  <c r="G143" i="3"/>
  <c r="O156" i="1"/>
  <c r="F140" i="3"/>
  <c r="F119" i="3"/>
  <c r="O181" i="1"/>
  <c r="F142" i="3"/>
  <c r="F107" i="3"/>
  <c r="G107" i="3"/>
  <c r="O155" i="1"/>
  <c r="N20" i="2" s="1"/>
  <c r="G116" i="3" s="1"/>
  <c r="M20" i="2"/>
  <c r="G145" i="3" l="1"/>
  <c r="G121" i="3"/>
  <c r="G144" i="3"/>
  <c r="G120" i="3"/>
  <c r="G140" i="3"/>
  <c r="Q121" i="1" l="1"/>
  <c r="Q123" i="1"/>
  <c r="Q124" i="1"/>
  <c r="Q136" i="1"/>
  <c r="P137" i="1"/>
  <c r="Q137" i="1" s="1"/>
  <c r="J27" i="2" l="1"/>
  <c r="J33" i="2" s="1"/>
  <c r="P125" i="1"/>
  <c r="Q125" i="1" s="1"/>
  <c r="O267" i="1"/>
  <c r="S280" i="1" s="1"/>
  <c r="S320" i="1" l="1"/>
  <c r="L320" i="1" s="1"/>
  <c r="S319" i="1"/>
  <c r="L319" i="1" s="1"/>
  <c r="S318" i="1"/>
  <c r="L318" i="1" s="1"/>
  <c r="L27" i="2"/>
  <c r="L33" i="2" s="1"/>
  <c r="K25" i="2"/>
  <c r="K23" i="2"/>
  <c r="K24" i="2"/>
  <c r="L316" i="1"/>
  <c r="L280" i="1"/>
  <c r="K22" i="2"/>
  <c r="K19" i="2"/>
  <c r="L292" i="1"/>
  <c r="L288" i="1"/>
  <c r="S281" i="1"/>
  <c r="L281" i="1" s="1"/>
  <c r="S282" i="1"/>
  <c r="L282" i="1" s="1"/>
  <c r="L298" i="1"/>
  <c r="L297" i="1"/>
  <c r="L293" i="1"/>
  <c r="L296" i="1"/>
  <c r="L290" i="1"/>
  <c r="L286" i="1"/>
  <c r="L285" i="1"/>
  <c r="L294" i="1"/>
  <c r="L289" i="1"/>
  <c r="L284" i="1"/>
  <c r="O27" i="2"/>
  <c r="O33" i="2" s="1"/>
  <c r="K18" i="2"/>
  <c r="K12" i="2"/>
  <c r="K10" i="2"/>
  <c r="K20" i="2"/>
  <c r="K26" i="2"/>
  <c r="J42" i="2"/>
  <c r="L42" i="2" s="1"/>
  <c r="K14" i="2"/>
  <c r="K27" i="2"/>
  <c r="K33" i="2" s="1"/>
  <c r="K13" i="2"/>
  <c r="K21" i="2"/>
  <c r="K11" i="2"/>
  <c r="K9" i="2"/>
  <c r="K16" i="2"/>
  <c r="K17" i="2"/>
  <c r="K15" i="2"/>
  <c r="O273" i="1"/>
  <c r="G97" i="3" l="1"/>
  <c r="H97" i="3" s="1"/>
  <c r="I97" i="3" s="1"/>
  <c r="T318" i="1"/>
  <c r="G98" i="3"/>
  <c r="H98" i="3" s="1"/>
  <c r="I98" i="3" s="1"/>
  <c r="T319" i="1"/>
  <c r="T320" i="1"/>
  <c r="G99" i="3"/>
  <c r="H99" i="3" s="1"/>
  <c r="I99" i="3" s="1"/>
  <c r="L302" i="1"/>
  <c r="G76" i="3" s="1"/>
  <c r="H76" i="3" s="1"/>
  <c r="I76" i="3" s="1"/>
  <c r="L314" i="1"/>
  <c r="G93" i="3" s="1"/>
  <c r="H93" i="3" s="1"/>
  <c r="I93" i="3" s="1"/>
  <c r="L300" i="1"/>
  <c r="G74" i="3" s="1"/>
  <c r="H74" i="3" s="1"/>
  <c r="I74" i="3" s="1"/>
  <c r="L310" i="1"/>
  <c r="G89" i="3" s="1"/>
  <c r="H89" i="3" s="1"/>
  <c r="I89" i="3" s="1"/>
  <c r="L301" i="1"/>
  <c r="G75" i="3" s="1"/>
  <c r="H75" i="3" s="1"/>
  <c r="I75" i="3" s="1"/>
  <c r="L313" i="1"/>
  <c r="G92" i="3" s="1"/>
  <c r="H92" i="3" s="1"/>
  <c r="I92" i="3" s="1"/>
  <c r="L304" i="1"/>
  <c r="G78" i="3" s="1"/>
  <c r="H78" i="3" s="1"/>
  <c r="I78" i="3" s="1"/>
  <c r="L315" i="1"/>
  <c r="G94" i="3" s="1"/>
  <c r="H94" i="3" s="1"/>
  <c r="I94" i="3" s="1"/>
  <c r="L306" i="1"/>
  <c r="G80" i="3" s="1"/>
  <c r="H80" i="3" s="1"/>
  <c r="I80" i="3" s="1"/>
  <c r="L311" i="1"/>
  <c r="G90" i="3" s="1"/>
  <c r="H90" i="3" s="1"/>
  <c r="I90" i="3" s="1"/>
  <c r="L305" i="1"/>
  <c r="G79" i="3" s="1"/>
  <c r="H79" i="3" s="1"/>
  <c r="I79" i="3" s="1"/>
  <c r="G95" i="3"/>
  <c r="H95" i="3" s="1"/>
  <c r="I95" i="3" s="1"/>
  <c r="T316" i="1"/>
  <c r="L308" i="1"/>
  <c r="G87" i="3" s="1"/>
  <c r="H87" i="3" s="1"/>
  <c r="I87" i="3" s="1"/>
  <c r="L309" i="1"/>
  <c r="G88" i="3" s="1"/>
  <c r="H88" i="3" s="1"/>
  <c r="I88" i="3" s="1"/>
  <c r="T294" i="1"/>
  <c r="G68" i="3"/>
  <c r="H68" i="3" s="1"/>
  <c r="I68" i="3" s="1"/>
  <c r="T296" i="1"/>
  <c r="G70" i="3"/>
  <c r="H70" i="3" s="1"/>
  <c r="I70" i="3" s="1"/>
  <c r="T285" i="1"/>
  <c r="G59" i="3"/>
  <c r="H59" i="3" s="1"/>
  <c r="I59" i="3" s="1"/>
  <c r="T293" i="1"/>
  <c r="G67" i="3"/>
  <c r="H67" i="3" s="1"/>
  <c r="I67" i="3" s="1"/>
  <c r="T298" i="1"/>
  <c r="G72" i="3"/>
  <c r="H72" i="3" s="1"/>
  <c r="I72" i="3" s="1"/>
  <c r="T282" i="1"/>
  <c r="G56" i="3"/>
  <c r="H56" i="3" s="1"/>
  <c r="I56" i="3" s="1"/>
  <c r="T280" i="1"/>
  <c r="G54" i="3"/>
  <c r="H54" i="3" s="1"/>
  <c r="I54" i="3" s="1"/>
  <c r="T281" i="1"/>
  <c r="G55" i="3"/>
  <c r="H55" i="3" s="1"/>
  <c r="I55" i="3" s="1"/>
  <c r="T286" i="1"/>
  <c r="G60" i="3"/>
  <c r="H60" i="3" s="1"/>
  <c r="I60" i="3" s="1"/>
  <c r="G62" i="3"/>
  <c r="H62" i="3" s="1"/>
  <c r="I62" i="3" s="1"/>
  <c r="T288" i="1"/>
  <c r="T289" i="1"/>
  <c r="G63" i="3"/>
  <c r="H63" i="3" s="1"/>
  <c r="I63" i="3" s="1"/>
  <c r="G64" i="3"/>
  <c r="H64" i="3" s="1"/>
  <c r="I64" i="3" s="1"/>
  <c r="T290" i="1"/>
  <c r="T297" i="1"/>
  <c r="G71" i="3"/>
  <c r="H71" i="3" s="1"/>
  <c r="I71" i="3" s="1"/>
  <c r="T292" i="1"/>
  <c r="G66" i="3"/>
  <c r="H66" i="3" s="1"/>
  <c r="I66" i="3" s="1"/>
  <c r="T284" i="1"/>
  <c r="G58" i="3"/>
  <c r="H58" i="3" s="1"/>
  <c r="I58" i="3" s="1"/>
  <c r="M27" i="2"/>
  <c r="M33" i="2" s="1"/>
  <c r="L44" i="2"/>
  <c r="L45" i="2" s="1"/>
  <c r="N42" i="2"/>
  <c r="T315" i="1" l="1"/>
  <c r="T310" i="1"/>
  <c r="T305" i="1"/>
  <c r="T304" i="1"/>
  <c r="T300" i="1"/>
  <c r="T309" i="1"/>
  <c r="T311" i="1"/>
  <c r="T313" i="1"/>
  <c r="T314" i="1"/>
  <c r="T308" i="1"/>
  <c r="T306" i="1"/>
  <c r="T301" i="1"/>
  <c r="T302" i="1"/>
</calcChain>
</file>

<file path=xl/sharedStrings.xml><?xml version="1.0" encoding="utf-8"?>
<sst xmlns="http://schemas.openxmlformats.org/spreadsheetml/2006/main" count="379" uniqueCount="134">
  <si>
    <t>Billing Analysis for Pass-Through Rate Increase</t>
  </si>
  <si>
    <t>#</t>
  </si>
  <si>
    <t>Item</t>
  </si>
  <si>
    <t>Present Revenue</t>
  </si>
  <si>
    <t>Proposed Revenue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</si>
  <si>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</si>
  <si>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</si>
  <si>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</si>
  <si>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</si>
  <si>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</si>
  <si>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</si>
  <si>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</si>
  <si>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</si>
  <si>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</si>
  <si>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Billing Units</t>
  </si>
  <si>
    <t>Increase $</t>
  </si>
  <si>
    <t>%</t>
  </si>
  <si>
    <t>Customer Charge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</si>
  <si>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</si>
  <si>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</si>
  <si>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</si>
  <si>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</si>
  <si>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</si>
  <si>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</si>
  <si>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</si>
  <si>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</si>
  <si>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</si>
  <si>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</si>
  <si>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TOTALS</t>
  </si>
  <si>
    <t xml:space="preserve">    Misc Adj</t>
  </si>
  <si>
    <t>Allocation Revenue</t>
  </si>
  <si>
    <t>Allocation Share</t>
  </si>
  <si>
    <t>Allocated Increase</t>
  </si>
  <si>
    <t>Per Unit Rate Change</t>
  </si>
  <si>
    <t>Rounding</t>
  </si>
  <si>
    <t xml:space="preserve">Total Revenue Increase Allocated by East Kentucky Power Cooperative:   </t>
  </si>
  <si>
    <t>Rate Rounding Variance</t>
  </si>
  <si>
    <t>Rate Variance</t>
  </si>
  <si>
    <t xml:space="preserve">    Other</t>
  </si>
  <si>
    <t xml:space="preserve">    Prepay Daily Charges</t>
  </si>
  <si>
    <t>TOTAL Base Rates</t>
  </si>
  <si>
    <t>Base %</t>
  </si>
  <si>
    <t>Total %</t>
  </si>
  <si>
    <t>Base Rate Increase</t>
  </si>
  <si>
    <t>Notice Table</t>
  </si>
  <si>
    <t>Present</t>
  </si>
  <si>
    <t>Proposed</t>
  </si>
  <si>
    <t>Energy Charge per kWh</t>
  </si>
  <si>
    <t>Demand Charge per kW</t>
  </si>
  <si>
    <t>Target Share</t>
  </si>
  <si>
    <t>The amount of the change requested in both dollar amounts and percentage change for each customer classification to which the proposed rates will apply is set forth below:</t>
  </si>
  <si>
    <t>Increase</t>
  </si>
  <si>
    <t>Rate Class</t>
  </si>
  <si>
    <t>Dollars</t>
  </si>
  <si>
    <t>Percent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</si>
  <si>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</si>
  <si>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</si>
  <si>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</si>
  <si>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RATES WITH NO CURRENT MEMBERS</t>
  </si>
  <si>
    <t>GRAYSON RECC</t>
  </si>
  <si>
    <t>7000 Lumens</t>
  </si>
  <si>
    <t>10000 Lumens</t>
  </si>
  <si>
    <t>3600 LED Yard Light</t>
  </si>
  <si>
    <t>19176 LED Flood Light</t>
  </si>
  <si>
    <t>7000 Lumens SL</t>
  </si>
  <si>
    <t>Flood Lighting</t>
  </si>
  <si>
    <t>All Electric Schools</t>
  </si>
  <si>
    <t>Demand Charge Contract per kW</t>
  </si>
  <si>
    <t>Demand Charge Excess per kW</t>
  </si>
  <si>
    <t>Energy Charge On Peak per kWh</t>
  </si>
  <si>
    <t>Energy Charge Off Peak per kWh</t>
  </si>
  <si>
    <t>Energy Charge Per KWH - First 300</t>
  </si>
  <si>
    <t>Energy Charge Per KWH - Next 200</t>
  </si>
  <si>
    <t>Energy Charge Per KWH - All Over 500</t>
  </si>
  <si>
    <t>Energy Charge Per KWH</t>
  </si>
  <si>
    <t>.</t>
  </si>
  <si>
    <t xml:space="preserve">    Green Power</t>
  </si>
  <si>
    <t>Schedule NM - Residential Net Metering</t>
  </si>
  <si>
    <t>Residential Demand &amp; Energy Rate</t>
  </si>
  <si>
    <t xml:space="preserve">Customer Charge </t>
  </si>
  <si>
    <t>12(a)</t>
  </si>
  <si>
    <t>12(b)</t>
  </si>
  <si>
    <t>12(c)</t>
  </si>
  <si>
    <t>13(a)</t>
  </si>
  <si>
    <t>13(b)</t>
  </si>
  <si>
    <t>14(b)</t>
  </si>
  <si>
    <t>13(c)</t>
  </si>
  <si>
    <t>14(c )</t>
  </si>
  <si>
    <t>Demand Charge Demand per kW</t>
  </si>
  <si>
    <t>Present &amp; Proposed Rates</t>
  </si>
  <si>
    <t>Schedule 10 - Residential TOD</t>
  </si>
  <si>
    <t>2023 Rate</t>
  </si>
  <si>
    <t xml:space="preserve">          2023 Revenue</t>
  </si>
  <si>
    <t>Incr</t>
  </si>
  <si>
    <t>"Prison"</t>
  </si>
  <si>
    <t>Net Metering Large Power</t>
  </si>
  <si>
    <t>Net Metering Small Commercial</t>
  </si>
  <si>
    <t xml:space="preserve">Domestic Farm &amp; Home </t>
  </si>
  <si>
    <t>Large Power /Pri Discount</t>
  </si>
  <si>
    <t>Small Commercial Demand &amp; Energy Rate</t>
  </si>
  <si>
    <t>Water Pumping Service</t>
  </si>
  <si>
    <t>General Service Rate</t>
  </si>
  <si>
    <t>Temporary Service Rate</t>
  </si>
  <si>
    <t>Prepay Metering Program (Residential) Sch 21</t>
  </si>
  <si>
    <t>Prepay Metering Program (General Service) Sch 21</t>
  </si>
  <si>
    <t>Special Contract</t>
  </si>
  <si>
    <t>"BPT / Horizon"</t>
  </si>
  <si>
    <t>FAC Roll-In &gt;</t>
  </si>
  <si>
    <t>2023 Revenue</t>
  </si>
  <si>
    <t>Commercial &amp; Small Power &lt;50 KVA</t>
  </si>
  <si>
    <t>Large Power 50-999 KVA</t>
  </si>
  <si>
    <t>Outdoor Lighting - Security Lights</t>
  </si>
  <si>
    <t>Large Industrial LLF 10,000 KVA &amp; Under</t>
  </si>
  <si>
    <t>Large Industrial LLF 1,000-4,999 kVA</t>
  </si>
  <si>
    <t>Large Industrial LLF 5,000-9,999 kVA</t>
  </si>
  <si>
    <t>Large Industrial HLF 1,000 0 4,999 KVA</t>
  </si>
  <si>
    <t>Large Industrial HLF 5,000 - 9,999 KVA</t>
  </si>
  <si>
    <t>Large Industrial HLF 10,000 KVA &amp; Under</t>
  </si>
  <si>
    <t>Large Industrial MLF 10,000 KVA &amp; Under</t>
  </si>
  <si>
    <t>Large Industrial MLF 5,000 - 9,999 KVA</t>
  </si>
  <si>
    <t>Residential Inclining Block Rate</t>
  </si>
  <si>
    <t>14(a)</t>
  </si>
  <si>
    <t>Large Industrial MLF 1,000 - 4,999 KVA</t>
  </si>
  <si>
    <t>B</t>
  </si>
  <si>
    <t>C</t>
  </si>
  <si>
    <t>E</t>
  </si>
  <si>
    <t xml:space="preserve">Tot  </t>
  </si>
  <si>
    <t xml:space="preserve">Rate B Increase Allocated by East Kentucky Power Cooperative:   </t>
  </si>
  <si>
    <t xml:space="preserve">Remaining Increase Allocated by East Kentucky Power Cooperative:   </t>
  </si>
  <si>
    <t>SubTotal Base Rate E</t>
  </si>
  <si>
    <t>SubTotal Base Rate B</t>
  </si>
  <si>
    <t>Small Commercial TOD</t>
  </si>
  <si>
    <t>FAC Roll In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</si>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</sst>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  <numFmt numFmtId="167" formatCode="_(* #,##0.00000_);_(* \(#,##0.00000\);_(* &quot;-&quot;??_);_(@_)"/>
    <numFmt numFmtId="168" formatCode="_(* #,##0.000000_);_(* \(#,##0.000000\);_(* &quot;-&quot;??_);_(@_)"/>
    <numFmt numFmtId="169" formatCode="0.00000%"/>
    <numFmt numFmtId="170" formatCode="_(* #,##0.0000_);_(* \(#,##0.0000\);_(* &quot;-&quot;??_);_(@_)"/>
    <numFmt numFmtId="171" formatCode="_(&quot;$&quot;* #,##0.00000_);_(&quot;$&quot;* \(#,##0.00000\);_(&quot;$&quot;* &quot;-&quot;??_);_(@_)"/>
    <numFmt numFmtId="172" formatCode="_(&quot;$&quot;* #,##0.000000_);_(&quot;$&quot;* \(#,##0.000000\);_(&quot;$&quot;* &quot;-&quot;??_);_(@_)"/>
    <numFmt numFmtId="173" formatCode="0.00000"/>
    <numFmt numFmtId="174" formatCode="0.000"/>
    <numFmt numFmtId="175" formatCode="_(* #,##0.00000000_);_(* \(#,##0.000000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0"/>
      <color theme="1"/>
      <name val="Arial"/>
      <family val="2"/>
    </font>
    <font>
      <b/>
      <sz val="10"/>
      <color rgb="FF0000FF"/>
      <name val="Arial"/>
      <family val="2"/>
    </font>
    <font>
      <sz val="10"/>
      <color rgb="FF7030A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8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0" fontId="3" fillId="0" borderId="0" xfId="3" applyNumberFormat="1" applyFont="1"/>
    <xf numFmtId="165" fontId="3" fillId="0" borderId="0" xfId="2" applyNumberFormat="1" applyFont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5" fontId="3" fillId="0" borderId="3" xfId="2" applyNumberFormat="1" applyFont="1" applyBorder="1" applyAlignment="1">
      <alignment vertical="center"/>
    </xf>
    <xf numFmtId="10" fontId="3" fillId="0" borderId="3" xfId="3" applyNumberFormat="1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165" fontId="3" fillId="0" borderId="0" xfId="0" applyNumberFormat="1" applyFont="1"/>
    <xf numFmtId="44" fontId="3" fillId="0" borderId="0" xfId="0" applyNumberFormat="1" applyFont="1"/>
    <xf numFmtId="10" fontId="3" fillId="0" borderId="0" xfId="0" applyNumberFormat="1" applyFont="1"/>
    <xf numFmtId="43" fontId="3" fillId="0" borderId="0" xfId="1" applyFont="1"/>
    <xf numFmtId="0" fontId="3" fillId="0" borderId="5" xfId="0" applyFont="1" applyBorder="1"/>
    <xf numFmtId="165" fontId="3" fillId="0" borderId="5" xfId="2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wrapText="1"/>
    </xf>
    <xf numFmtId="0" fontId="3" fillId="0" borderId="5" xfId="0" applyFont="1" applyBorder="1" applyAlignment="1">
      <alignment vertical="center"/>
    </xf>
    <xf numFmtId="165" fontId="7" fillId="0" borderId="5" xfId="2" applyNumberFormat="1" applyFont="1" applyFill="1" applyBorder="1" applyAlignment="1">
      <alignment vertical="center"/>
    </xf>
    <xf numFmtId="10" fontId="3" fillId="0" borderId="5" xfId="3" applyNumberFormat="1" applyFont="1" applyBorder="1" applyAlignment="1">
      <alignment vertical="center"/>
    </xf>
    <xf numFmtId="10" fontId="3" fillId="0" borderId="5" xfId="0" applyNumberFormat="1" applyFont="1" applyBorder="1" applyAlignment="1">
      <alignment vertical="center"/>
    </xf>
    <xf numFmtId="43" fontId="3" fillId="0" borderId="5" xfId="1" applyFont="1" applyBorder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3" fillId="0" borderId="5" xfId="2" applyFont="1" applyBorder="1" applyAlignment="1">
      <alignment vertical="center"/>
    </xf>
    <xf numFmtId="169" fontId="3" fillId="0" borderId="0" xfId="3" applyNumberFormat="1" applyFont="1"/>
    <xf numFmtId="10" fontId="3" fillId="0" borderId="0" xfId="3" applyNumberFormat="1" applyFont="1" applyFill="1"/>
    <xf numFmtId="165" fontId="3" fillId="0" borderId="5" xfId="3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/>
    <xf numFmtId="164" fontId="3" fillId="0" borderId="0" xfId="1" applyNumberFormat="1" applyFont="1" applyAlignment="1"/>
    <xf numFmtId="9" fontId="3" fillId="0" borderId="0" xfId="3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0" fontId="3" fillId="0" borderId="2" xfId="0" applyFont="1" applyBorder="1"/>
    <xf numFmtId="165" fontId="3" fillId="0" borderId="2" xfId="2" applyNumberFormat="1" applyFont="1" applyBorder="1" applyAlignment="1"/>
    <xf numFmtId="10" fontId="3" fillId="0" borderId="2" xfId="3" applyNumberFormat="1" applyFont="1" applyBorder="1" applyAlignment="1"/>
    <xf numFmtId="165" fontId="3" fillId="0" borderId="2" xfId="0" applyNumberFormat="1" applyFont="1" applyBorder="1"/>
    <xf numFmtId="165" fontId="3" fillId="0" borderId="0" xfId="2" applyNumberFormat="1" applyFont="1" applyBorder="1" applyAlignment="1"/>
    <xf numFmtId="10" fontId="3" fillId="0" borderId="0" xfId="3" applyNumberFormat="1" applyFont="1" applyBorder="1" applyAlignment="1"/>
    <xf numFmtId="165" fontId="3" fillId="0" borderId="5" xfId="2" applyNumberFormat="1" applyFont="1" applyBorder="1" applyAlignment="1"/>
    <xf numFmtId="164" fontId="3" fillId="2" borderId="0" xfId="1" applyNumberFormat="1" applyFont="1" applyFill="1" applyAlignment="1"/>
    <xf numFmtId="0" fontId="3" fillId="2" borderId="0" xfId="0" applyFont="1" applyFill="1"/>
    <xf numFmtId="165" fontId="3" fillId="2" borderId="0" xfId="2" applyNumberFormat="1" applyFont="1" applyFill="1" applyAlignment="1"/>
    <xf numFmtId="0" fontId="3" fillId="2" borderId="2" xfId="0" applyFont="1" applyFill="1" applyBorder="1"/>
    <xf numFmtId="165" fontId="3" fillId="2" borderId="2" xfId="2" applyNumberFormat="1" applyFont="1" applyFill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9" fontId="3" fillId="0" borderId="3" xfId="3" applyFont="1" applyBorder="1" applyAlignment="1"/>
    <xf numFmtId="10" fontId="3" fillId="0" borderId="3" xfId="3" applyNumberFormat="1" applyFont="1" applyBorder="1" applyAlignment="1"/>
    <xf numFmtId="0" fontId="3" fillId="2" borderId="4" xfId="0" applyFont="1" applyFill="1" applyBorder="1"/>
    <xf numFmtId="10" fontId="3" fillId="0" borderId="0" xfId="3" applyNumberFormat="1" applyFont="1" applyFill="1" applyAlignment="1"/>
    <xf numFmtId="43" fontId="3" fillId="0" borderId="0" xfId="0" applyNumberFormat="1" applyFont="1"/>
    <xf numFmtId="0" fontId="2" fillId="0" borderId="4" xfId="0" applyFont="1" applyBorder="1"/>
    <xf numFmtId="44" fontId="3" fillId="0" borderId="0" xfId="2" applyFont="1"/>
    <xf numFmtId="171" fontId="3" fillId="0" borderId="0" xfId="2" applyNumberFormat="1" applyFont="1"/>
    <xf numFmtId="0" fontId="2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70" fontId="3" fillId="0" borderId="0" xfId="1" applyNumberFormat="1" applyFont="1" applyAlignment="1">
      <alignment vertical="center"/>
    </xf>
    <xf numFmtId="172" fontId="3" fillId="0" borderId="0" xfId="2" applyNumberFormat="1" applyFont="1"/>
    <xf numFmtId="0" fontId="11" fillId="0" borderId="4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165" fontId="3" fillId="0" borderId="0" xfId="2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4" fontId="7" fillId="0" borderId="0" xfId="1" applyNumberFormat="1" applyFont="1" applyAlignment="1">
      <alignment horizontal="right"/>
    </xf>
    <xf numFmtId="0" fontId="12" fillId="0" borderId="0" xfId="0" applyFont="1"/>
    <xf numFmtId="43" fontId="3" fillId="0" borderId="0" xfId="1" applyFont="1" applyAlignment="1">
      <alignment horizontal="center"/>
    </xf>
    <xf numFmtId="44" fontId="3" fillId="0" borderId="0" xfId="2" applyFont="1" applyAlignment="1">
      <alignment horizontal="right"/>
    </xf>
    <xf numFmtId="164" fontId="3" fillId="0" borderId="0" xfId="1" applyNumberFormat="1" applyFont="1"/>
    <xf numFmtId="164" fontId="3" fillId="0" borderId="0" xfId="1" applyNumberFormat="1" applyFont="1" applyAlignment="1">
      <alignment horizontal="right"/>
    </xf>
    <xf numFmtId="165" fontId="3" fillId="3" borderId="0" xfId="0" applyNumberFormat="1" applyFont="1" applyFill="1"/>
    <xf numFmtId="170" fontId="7" fillId="0" borderId="0" xfId="1" applyNumberFormat="1" applyFont="1" applyAlignment="1">
      <alignment vertical="center"/>
    </xf>
    <xf numFmtId="10" fontId="3" fillId="0" borderId="5" xfId="3" applyNumberFormat="1" applyFont="1" applyBorder="1" applyAlignment="1"/>
    <xf numFmtId="0" fontId="7" fillId="0" borderId="0" xfId="0" applyFont="1" applyAlignment="1">
      <alignment horizontal="left"/>
    </xf>
    <xf numFmtId="165" fontId="7" fillId="0" borderId="0" xfId="2" applyNumberFormat="1" applyFont="1" applyFill="1"/>
    <xf numFmtId="164" fontId="9" fillId="0" borderId="0" xfId="1" applyNumberFormat="1" applyFont="1" applyFill="1"/>
    <xf numFmtId="0" fontId="8" fillId="0" borderId="0" xfId="0" applyFont="1" applyAlignment="1">
      <alignment horizontal="left"/>
    </xf>
    <xf numFmtId="0" fontId="11" fillId="0" borderId="4" xfId="0" applyFont="1" applyBorder="1" applyAlignment="1">
      <alignment horizontal="left"/>
    </xf>
    <xf numFmtId="175" fontId="3" fillId="0" borderId="0" xfId="0" applyNumberFormat="1" applyFont="1"/>
    <xf numFmtId="0" fontId="2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7" fillId="0" borderId="0" xfId="0" applyFont="1"/>
    <xf numFmtId="165" fontId="7" fillId="0" borderId="0" xfId="2" applyNumberFormat="1" applyFont="1" applyFill="1" applyAlignment="1">
      <alignment horizontal="center"/>
    </xf>
    <xf numFmtId="10" fontId="7" fillId="0" borderId="0" xfId="3" applyNumberFormat="1" applyFont="1" applyFill="1" applyAlignment="1"/>
    <xf numFmtId="165" fontId="7" fillId="0" borderId="0" xfId="2" applyNumberFormat="1" applyFont="1" applyFill="1" applyAlignment="1"/>
    <xf numFmtId="43" fontId="7" fillId="0" borderId="0" xfId="1" applyFont="1" applyFill="1"/>
    <xf numFmtId="167" fontId="7" fillId="0" borderId="0" xfId="1" applyNumberFormat="1" applyFont="1" applyFill="1"/>
    <xf numFmtId="0" fontId="7" fillId="0" borderId="5" xfId="0" applyFont="1" applyBorder="1" applyAlignment="1">
      <alignment vertical="center"/>
    </xf>
    <xf numFmtId="165" fontId="7" fillId="0" borderId="0" xfId="0" applyNumberFormat="1" applyFont="1"/>
    <xf numFmtId="165" fontId="7" fillId="0" borderId="5" xfId="2" applyNumberFormat="1" applyFont="1" applyFill="1" applyBorder="1"/>
    <xf numFmtId="0" fontId="7" fillId="0" borderId="5" xfId="0" applyFont="1" applyBorder="1"/>
    <xf numFmtId="165" fontId="7" fillId="0" borderId="3" xfId="2" applyNumberFormat="1" applyFont="1" applyFill="1" applyBorder="1" applyAlignment="1">
      <alignment vertical="center"/>
    </xf>
    <xf numFmtId="0" fontId="7" fillId="0" borderId="3" xfId="0" applyFont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44" fontId="7" fillId="0" borderId="0" xfId="0" applyNumberFormat="1" applyFont="1"/>
    <xf numFmtId="0" fontId="7" fillId="0" borderId="6" xfId="0" applyFont="1" applyBorder="1"/>
    <xf numFmtId="0" fontId="11" fillId="0" borderId="0" xfId="0" applyFont="1" applyAlignment="1">
      <alignment horizontal="right" wrapText="1"/>
    </xf>
    <xf numFmtId="164" fontId="7" fillId="0" borderId="0" xfId="1" applyNumberFormat="1" applyFont="1" applyFill="1"/>
    <xf numFmtId="43" fontId="7" fillId="0" borderId="0" xfId="1" applyFont="1" applyFill="1" applyAlignment="1">
      <alignment horizontal="center"/>
    </xf>
    <xf numFmtId="43" fontId="7" fillId="0" borderId="0" xfId="1" applyFont="1" applyFill="1" applyBorder="1"/>
    <xf numFmtId="165" fontId="7" fillId="0" borderId="0" xfId="2" applyNumberFormat="1" applyFont="1" applyFill="1" applyBorder="1"/>
    <xf numFmtId="165" fontId="7" fillId="0" borderId="5" xfId="0" applyNumberFormat="1" applyFont="1" applyBorder="1" applyAlignment="1">
      <alignment vertical="center"/>
    </xf>
    <xf numFmtId="165" fontId="7" fillId="0" borderId="5" xfId="0" applyNumberFormat="1" applyFont="1" applyBorder="1"/>
    <xf numFmtId="173" fontId="7" fillId="0" borderId="0" xfId="0" applyNumberFormat="1" applyFont="1"/>
    <xf numFmtId="165" fontId="4" fillId="4" borderId="0" xfId="2" applyNumberFormat="1" applyFont="1" applyFill="1"/>
    <xf numFmtId="165" fontId="4" fillId="4" borderId="0" xfId="2" applyNumberFormat="1" applyFont="1" applyFill="1" applyBorder="1"/>
    <xf numFmtId="43" fontId="4" fillId="0" borderId="0" xfId="1" applyFont="1" applyFill="1"/>
    <xf numFmtId="164" fontId="4" fillId="0" borderId="0" xfId="1" applyNumberFormat="1" applyFont="1" applyFill="1"/>
    <xf numFmtId="43" fontId="7" fillId="0" borderId="0" xfId="0" applyNumberFormat="1" applyFont="1"/>
    <xf numFmtId="43" fontId="14" fillId="0" borderId="0" xfId="1" applyFont="1" applyFill="1"/>
    <xf numFmtId="167" fontId="14" fillId="0" borderId="0" xfId="1" applyNumberFormat="1" applyFont="1" applyFill="1"/>
    <xf numFmtId="0" fontId="7" fillId="0" borderId="0" xfId="0" applyFont="1" applyAlignment="1">
      <alignment horizontal="right"/>
    </xf>
    <xf numFmtId="168" fontId="3" fillId="0" borderId="0" xfId="0" applyNumberFormat="1" applyFont="1" applyAlignment="1">
      <alignment vertical="center"/>
    </xf>
    <xf numFmtId="10" fontId="7" fillId="0" borderId="0" xfId="3" applyNumberFormat="1" applyFont="1"/>
    <xf numFmtId="43" fontId="3" fillId="0" borderId="0" xfId="0" applyNumberFormat="1" applyFont="1" applyAlignment="1">
      <alignment horizontal="center"/>
    </xf>
    <xf numFmtId="0" fontId="11" fillId="0" borderId="0" xfId="0" applyFont="1" applyAlignment="1">
      <alignment vertical="top" wrapText="1"/>
    </xf>
    <xf numFmtId="0" fontId="3" fillId="0" borderId="0" xfId="0" applyFont="1" applyAlignment="1">
      <alignment horizontal="right"/>
    </xf>
    <xf numFmtId="10" fontId="3" fillId="0" borderId="0" xfId="3" applyNumberFormat="1" applyFont="1" applyAlignment="1">
      <alignment horizontal="right"/>
    </xf>
    <xf numFmtId="6" fontId="7" fillId="0" borderId="0" xfId="0" applyNumberFormat="1" applyFont="1"/>
    <xf numFmtId="167" fontId="3" fillId="0" borderId="0" xfId="1" applyNumberFormat="1" applyFont="1"/>
    <xf numFmtId="6" fontId="3" fillId="0" borderId="1" xfId="0" applyNumberFormat="1" applyFont="1" applyBorder="1"/>
    <xf numFmtId="0" fontId="11" fillId="0" borderId="4" xfId="0" applyFont="1" applyBorder="1" applyAlignment="1">
      <alignment horizontal="right" wrapText="1"/>
    </xf>
    <xf numFmtId="0" fontId="13" fillId="0" borderId="4" xfId="0" applyFont="1" applyBorder="1" applyAlignment="1">
      <alignment horizontal="right" wrapText="1"/>
    </xf>
    <xf numFmtId="43" fontId="3" fillId="0" borderId="0" xfId="1" applyFont="1" applyFill="1"/>
    <xf numFmtId="167" fontId="3" fillId="0" borderId="0" xfId="1" applyNumberFormat="1" applyFont="1" applyFill="1"/>
    <xf numFmtId="168" fontId="3" fillId="0" borderId="0" xfId="1" applyNumberFormat="1" applyFont="1" applyFill="1"/>
    <xf numFmtId="43" fontId="3" fillId="0" borderId="0" xfId="1" applyFont="1" applyFill="1" applyAlignment="1">
      <alignment horizontal="center"/>
    </xf>
    <xf numFmtId="165" fontId="3" fillId="0" borderId="5" xfId="0" applyNumberFormat="1" applyFont="1" applyBorder="1" applyAlignment="1">
      <alignment vertical="center"/>
    </xf>
    <xf numFmtId="165" fontId="3" fillId="0" borderId="5" xfId="0" applyNumberFormat="1" applyFont="1" applyBorder="1"/>
    <xf numFmtId="165" fontId="3" fillId="0" borderId="3" xfId="0" applyNumberFormat="1" applyFont="1" applyBorder="1" applyAlignment="1">
      <alignment vertical="center"/>
    </xf>
    <xf numFmtId="173" fontId="3" fillId="0" borderId="0" xfId="0" applyNumberFormat="1" applyFont="1"/>
    <xf numFmtId="2" fontId="3" fillId="0" borderId="0" xfId="0" applyNumberFormat="1" applyFont="1"/>
    <xf numFmtId="165" fontId="3" fillId="0" borderId="0" xfId="2" applyNumberFormat="1" applyFont="1" applyFill="1"/>
    <xf numFmtId="165" fontId="3" fillId="0" borderId="5" xfId="2" applyNumberFormat="1" applyFont="1" applyFill="1" applyBorder="1" applyAlignment="1">
      <alignment vertical="center"/>
    </xf>
    <xf numFmtId="10" fontId="3" fillId="0" borderId="5" xfId="3" applyNumberFormat="1" applyFont="1" applyFill="1" applyBorder="1" applyAlignment="1">
      <alignment vertical="center"/>
    </xf>
    <xf numFmtId="165" fontId="3" fillId="0" borderId="5" xfId="2" applyNumberFormat="1" applyFont="1" applyFill="1" applyBorder="1"/>
    <xf numFmtId="166" fontId="3" fillId="0" borderId="0" xfId="0" applyNumberFormat="1" applyFont="1"/>
    <xf numFmtId="174" fontId="3" fillId="0" borderId="0" xfId="0" applyNumberFormat="1" applyFont="1"/>
    <xf numFmtId="164" fontId="3" fillId="0" borderId="0" xfId="1" applyNumberFormat="1" applyFont="1" applyFill="1"/>
    <xf numFmtId="164" fontId="3" fillId="0" borderId="0" xfId="1" applyNumberFormat="1" applyFont="1" applyFill="1" applyBorder="1"/>
    <xf numFmtId="164" fontId="3" fillId="0" borderId="0" xfId="0" applyNumberFormat="1" applyFont="1"/>
    <xf numFmtId="0" fontId="15" fillId="0" borderId="0" xfId="0" applyFont="1"/>
    <xf numFmtId="0" fontId="3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65" fontId="3" fillId="0" borderId="2" xfId="2" applyNumberFormat="1" applyFont="1" applyBorder="1" applyAlignment="1">
      <alignment horizontal="right"/>
    </xf>
    <xf numFmtId="10" fontId="3" fillId="0" borderId="2" xfId="0" applyNumberFormat="1" applyFont="1" applyBorder="1" applyAlignment="1">
      <alignment horizontal="right"/>
    </xf>
    <xf numFmtId="0" fontId="7" fillId="0" borderId="2" xfId="0" applyFont="1" applyBorder="1" applyAlignment="1">
      <alignment horizontal="left"/>
    </xf>
    <xf numFmtId="164" fontId="3" fillId="0" borderId="2" xfId="1" applyNumberFormat="1" applyFont="1" applyBorder="1"/>
    <xf numFmtId="44" fontId="3" fillId="0" borderId="2" xfId="2" applyFont="1" applyBorder="1" applyAlignment="1">
      <alignment horizontal="right"/>
    </xf>
    <xf numFmtId="10" fontId="3" fillId="0" borderId="2" xfId="3" applyNumberFormat="1" applyFont="1" applyBorder="1"/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0000FF"/>
      <color rgb="FFFFFFCC"/>
      <color rgb="FFFFFF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V226"/>
  <sheetViews>
    <sheetView topLeftCell="A8" zoomScaleNormal="100" workbookViewId="0">
      <selection activeCell="E317" sqref="E317"/>
    </sheetView>
  </sheetViews>
  <sheetFormatPr defaultColWidth="8.85546875" defaultRowHeight="12.75" x14ac:dyDescent="0.2"/>
  <cols>
    <col min="1" max="1" width="6" style="2" customWidth="1"/>
    <col min="2" max="2" width="52" style="2" bestFit="1" customWidth="1"/>
    <col min="3" max="3" width="7.28515625" style="20" bestFit="1" customWidth="1"/>
    <col min="4" max="4" width="13.85546875" style="2" hidden="1" customWidth="1"/>
    <col min="5" max="5" width="12.7109375" style="2" bestFit="1" customWidth="1"/>
    <col min="6" max="6" width="8.5703125" style="2" bestFit="1" customWidth="1"/>
    <col min="7" max="7" width="12.7109375" style="2" bestFit="1" customWidth="1"/>
    <col min="8" max="8" width="10.42578125" style="2" bestFit="1" customWidth="1"/>
    <col min="9" max="9" width="11.28515625" style="2" bestFit="1" customWidth="1"/>
    <col min="10" max="10" width="12.7109375" style="2" bestFit="1" customWidth="1"/>
    <col min="11" max="11" width="11.42578125" style="2" customWidth="1"/>
    <col min="12" max="12" width="11.28515625" style="2" bestFit="1" customWidth="1"/>
    <col min="13" max="14" width="7.7109375" style="2" bestFit="1" customWidth="1"/>
    <col min="15" max="15" width="10" style="2" customWidth="1"/>
    <col min="16" max="16" width="48.28515625" style="2" customWidth="1"/>
    <col min="17" max="17" width="9.85546875" style="2" bestFit="1" customWidth="1"/>
    <col min="18" max="18" width="14.5703125" style="2" customWidth="1"/>
    <col min="19" max="19" width="9" style="2" customWidth="1"/>
    <col min="20" max="20" width="14.7109375" style="2" customWidth="1"/>
    <col min="21" max="21" width="10" style="2" customWidth="1"/>
    <col min="22" max="16384" width="8.85546875" style="2"/>
  </cols>
  <sheetData>
    <row r="1" spans="1:22" x14ac:dyDescent="0.2">
      <c r="A1" s="1" t="s">
        <v>59</v>
      </c>
    </row>
    <row r="2" spans="1:22" x14ac:dyDescent="0.2">
      <c r="A2" s="1" t="s">
        <v>0</v>
      </c>
      <c r="K2" s="35" t="s">
        <v>35</v>
      </c>
      <c r="L2" s="144">
        <v>1824623.4330548942</v>
      </c>
      <c r="Q2" s="140" t="s">
        <v>123</v>
      </c>
      <c r="R2" s="92">
        <v>185565</v>
      </c>
    </row>
    <row r="3" spans="1:22" x14ac:dyDescent="0.2">
      <c r="A3" s="1"/>
      <c r="K3" s="35" t="s">
        <v>127</v>
      </c>
      <c r="L3" s="144">
        <v>185565</v>
      </c>
      <c r="Q3" s="140" t="s">
        <v>124</v>
      </c>
      <c r="R3" s="92">
        <v>383003.69328600075</v>
      </c>
    </row>
    <row r="4" spans="1:22" x14ac:dyDescent="0.2">
      <c r="A4" s="1"/>
      <c r="K4" s="35" t="s">
        <v>128</v>
      </c>
      <c r="L4" s="144">
        <f>L2-L3</f>
        <v>1639058.4330548942</v>
      </c>
      <c r="M4" s="4"/>
      <c r="Q4" s="140" t="s">
        <v>125</v>
      </c>
      <c r="R4" s="92">
        <v>1256054.7251268923</v>
      </c>
    </row>
    <row r="5" spans="1:22" x14ac:dyDescent="0.2">
      <c r="A5" s="1"/>
      <c r="K5" s="35"/>
      <c r="L5" s="142"/>
      <c r="M5" s="4"/>
      <c r="Q5" s="141" t="s">
        <v>126</v>
      </c>
      <c r="R5" s="92">
        <f>SUM(R2:R4)</f>
        <v>1824623.4184128931</v>
      </c>
    </row>
    <row r="6" spans="1:22" x14ac:dyDescent="0.2">
      <c r="M6" s="4"/>
    </row>
    <row r="7" spans="1:22" s="12" customFormat="1" ht="31.9" customHeight="1" x14ac:dyDescent="0.2">
      <c r="A7" s="10" t="s">
        <v>1</v>
      </c>
      <c r="B7" s="10" t="s">
        <v>2</v>
      </c>
      <c r="C7" s="11" t="s">
        <v>11</v>
      </c>
      <c r="D7" s="13" t="s">
        <v>108</v>
      </c>
      <c r="E7" s="13" t="s">
        <v>3</v>
      </c>
      <c r="F7" s="13" t="s">
        <v>20</v>
      </c>
      <c r="G7" s="13" t="s">
        <v>30</v>
      </c>
      <c r="H7" s="13" t="s">
        <v>31</v>
      </c>
      <c r="I7" s="13" t="s">
        <v>32</v>
      </c>
      <c r="J7" s="13" t="s">
        <v>4</v>
      </c>
      <c r="K7" s="13" t="s">
        <v>22</v>
      </c>
      <c r="L7" s="13" t="s">
        <v>43</v>
      </c>
      <c r="M7" s="11" t="s">
        <v>41</v>
      </c>
      <c r="N7" s="11" t="s">
        <v>42</v>
      </c>
      <c r="O7" s="13" t="s">
        <v>34</v>
      </c>
      <c r="Q7" s="2"/>
      <c r="R7" s="2"/>
      <c r="S7" s="2"/>
      <c r="T7" s="2"/>
      <c r="U7" s="2"/>
      <c r="V7" s="2"/>
    </row>
    <row r="8" spans="1:22" x14ac:dyDescent="0.2">
      <c r="A8" s="3">
        <v>1</v>
      </c>
      <c r="B8" s="44" t="s">
        <v>5</v>
      </c>
      <c r="C8" s="73"/>
      <c r="D8" s="44"/>
      <c r="E8" s="45"/>
      <c r="F8" s="46"/>
      <c r="G8" s="46"/>
      <c r="H8" s="12"/>
      <c r="I8" s="12"/>
      <c r="J8" s="45"/>
      <c r="K8" s="46"/>
      <c r="L8" s="45"/>
      <c r="M8" s="47"/>
      <c r="N8" s="47"/>
    </row>
    <row r="9" spans="1:22" x14ac:dyDescent="0.2">
      <c r="A9" s="3">
        <f>A8+1</f>
        <v>2</v>
      </c>
      <c r="B9" s="2" t="str">
        <f>'Billing Detail'!B7</f>
        <v xml:space="preserve">Domestic Farm &amp; Home </v>
      </c>
      <c r="C9" s="20">
        <f>'Billing Detail'!C7</f>
        <v>1</v>
      </c>
      <c r="D9" s="48">
        <f>'Billing Detail'!G10</f>
        <v>17400902.735059999</v>
      </c>
      <c r="E9" s="48">
        <f>'Billing Detail'!I10</f>
        <v>18976012.331840001</v>
      </c>
      <c r="F9" s="47">
        <f t="shared" ref="F9:F22" si="0">E9/E$27</f>
        <v>0.56728295328483558</v>
      </c>
      <c r="G9" s="106">
        <f>E9</f>
        <v>18976012.331840001</v>
      </c>
      <c r="H9" s="107">
        <f t="shared" ref="H9:H26" si="1">G9/G$27</f>
        <v>0.64040333715081088</v>
      </c>
      <c r="I9" s="108">
        <f t="shared" ref="I9:I26" si="2">ROUND(L$4*H9,2)</f>
        <v>1049658.49</v>
      </c>
      <c r="J9" s="48">
        <f>'Billing Detail'!M10</f>
        <v>20025949.221239999</v>
      </c>
      <c r="K9" s="47">
        <f t="shared" ref="K9:K22" si="3">J9/J$27</f>
        <v>0.57068238928238979</v>
      </c>
      <c r="L9" s="48">
        <f>'Billing Detail'!N10</f>
        <v>1049936.8893999988</v>
      </c>
      <c r="M9" s="47">
        <f>IF(E9=0,0,L9/E9)</f>
        <v>5.5329690508173913E-2</v>
      </c>
      <c r="N9" s="47">
        <f>'Billing Detail'!O16</f>
        <v>5.1036830826461953E-2</v>
      </c>
      <c r="O9" s="14">
        <f>J9-I9-E9</f>
        <v>278.39939999952912</v>
      </c>
    </row>
    <row r="10" spans="1:22" x14ac:dyDescent="0.2">
      <c r="A10" s="3">
        <f>A9+1</f>
        <v>3</v>
      </c>
      <c r="B10" s="2" t="str">
        <f>'Billing Detail'!B19</f>
        <v>Commercial &amp; Small Power &lt;50 KVA</v>
      </c>
      <c r="C10" s="20">
        <f>'Billing Detail'!C19</f>
        <v>2</v>
      </c>
      <c r="D10" s="48">
        <f>'Billing Detail'!G22</f>
        <v>2160804.60299</v>
      </c>
      <c r="E10" s="48">
        <f>'Billing Detail'!I22</f>
        <v>2348660.6033600001</v>
      </c>
      <c r="F10" s="47">
        <f t="shared" si="0"/>
        <v>7.021259788613414E-2</v>
      </c>
      <c r="G10" s="106">
        <f t="shared" ref="G10:G26" si="4">E10</f>
        <v>2348660.6033600001</v>
      </c>
      <c r="H10" s="107">
        <f t="shared" si="1"/>
        <v>7.9262706090396887E-2</v>
      </c>
      <c r="I10" s="108">
        <f t="shared" si="2"/>
        <v>129916.21</v>
      </c>
      <c r="J10" s="48">
        <f>'Billing Detail'!M22</f>
        <v>2478643.7134599998</v>
      </c>
      <c r="K10" s="47">
        <f t="shared" si="3"/>
        <v>7.0634270613093131E-2</v>
      </c>
      <c r="L10" s="48">
        <f>'Billing Detail'!N22</f>
        <v>129983.11009999982</v>
      </c>
      <c r="M10" s="47">
        <f t="shared" ref="M10:M26" si="5">IF(E10=0,0,L10/E10)</f>
        <v>5.5343505108420364E-2</v>
      </c>
      <c r="N10" s="47">
        <f>'Billing Detail'!O28</f>
        <v>5.0793965736888422E-2</v>
      </c>
      <c r="O10" s="14">
        <f t="shared" ref="O10:O27" si="6">J10-I10-E10</f>
        <v>66.900099999736995</v>
      </c>
    </row>
    <row r="11" spans="1:22" x14ac:dyDescent="0.2">
      <c r="A11" s="3">
        <f t="shared" ref="A11:A45" si="7">A10+1</f>
        <v>4</v>
      </c>
      <c r="B11" s="2" t="str">
        <f>'Billing Detail'!B31</f>
        <v>Large Power 50-999 KVA</v>
      </c>
      <c r="C11" s="20">
        <f>'Billing Detail'!C31</f>
        <v>4</v>
      </c>
      <c r="D11" s="48">
        <f>'Billing Detail'!G35</f>
        <v>1922192.6526799998</v>
      </c>
      <c r="E11" s="48">
        <f>'Billing Detail'!I35</f>
        <v>2140954.6642999998</v>
      </c>
      <c r="F11" s="47">
        <f t="shared" si="0"/>
        <v>6.4003282859127514E-2</v>
      </c>
      <c r="G11" s="106">
        <f t="shared" si="4"/>
        <v>2140954.6642999998</v>
      </c>
      <c r="H11" s="107">
        <f t="shared" si="1"/>
        <v>7.2253036503658732E-2</v>
      </c>
      <c r="I11" s="108">
        <f t="shared" si="2"/>
        <v>118426.95</v>
      </c>
      <c r="J11" s="48">
        <f>'Billing Detail'!M35</f>
        <v>2259756.2738399999</v>
      </c>
      <c r="K11" s="47">
        <f t="shared" si="3"/>
        <v>6.4396603392117752E-2</v>
      </c>
      <c r="L11" s="48">
        <f>'Billing Detail'!N35</f>
        <v>118801.60954</v>
      </c>
      <c r="M11" s="47">
        <f t="shared" si="5"/>
        <v>5.5490016449667806E-2</v>
      </c>
      <c r="N11" s="47">
        <f>'Billing Detail'!O41</f>
        <v>5.097940381174846E-2</v>
      </c>
      <c r="O11" s="14">
        <f t="shared" si="6"/>
        <v>374.65953999990597</v>
      </c>
    </row>
    <row r="12" spans="1:22" x14ac:dyDescent="0.2">
      <c r="A12" s="3">
        <f t="shared" si="7"/>
        <v>5</v>
      </c>
      <c r="B12" s="2" t="str">
        <f>'Billing Detail'!B44</f>
        <v>All Electric Schools</v>
      </c>
      <c r="C12" s="20">
        <f>'Billing Detail'!C44</f>
        <v>7</v>
      </c>
      <c r="D12" s="48">
        <f>'Billing Detail'!G48</f>
        <v>459653.14874999999</v>
      </c>
      <c r="E12" s="48">
        <f>'Billing Detail'!I48</f>
        <v>513298.06140000001</v>
      </c>
      <c r="F12" s="47">
        <f t="shared" si="0"/>
        <v>1.5344912044444176E-2</v>
      </c>
      <c r="G12" s="106">
        <f t="shared" si="4"/>
        <v>513298.06140000001</v>
      </c>
      <c r="H12" s="107">
        <f t="shared" si="1"/>
        <v>1.7322806589983274E-2</v>
      </c>
      <c r="I12" s="108">
        <f t="shared" si="2"/>
        <v>28393.09</v>
      </c>
      <c r="J12" s="48">
        <f>'Billing Detail'!M48</f>
        <v>541782.00514999998</v>
      </c>
      <c r="K12" s="47">
        <f t="shared" si="3"/>
        <v>1.54392406448967E-2</v>
      </c>
      <c r="L12" s="48">
        <f>'Billing Detail'!N48</f>
        <v>28483.943749999999</v>
      </c>
      <c r="M12" s="47">
        <f>IF(E12=0,0,L12/E12)</f>
        <v>5.5492015053224979E-2</v>
      </c>
      <c r="N12" s="47">
        <f>'Billing Detail'!O54</f>
        <v>5.0683862155201154E-2</v>
      </c>
      <c r="O12" s="14">
        <f>J12-I12-E12</f>
        <v>90.853749999951106</v>
      </c>
    </row>
    <row r="13" spans="1:22" x14ac:dyDescent="0.2">
      <c r="A13" s="3">
        <f t="shared" si="7"/>
        <v>6</v>
      </c>
      <c r="B13" s="2" t="str">
        <f>'Billing Detail'!B57</f>
        <v>Large Power /Pri Discount</v>
      </c>
      <c r="C13" s="20">
        <f>'Billing Detail'!C57</f>
        <v>14</v>
      </c>
      <c r="D13" s="48">
        <f>'Billing Detail'!G61</f>
        <v>610037.255</v>
      </c>
      <c r="E13" s="48">
        <f>'Billing Detail'!I61</f>
        <v>687116.26639999996</v>
      </c>
      <c r="F13" s="47">
        <f t="shared" si="0"/>
        <v>2.0541162075417244E-2</v>
      </c>
      <c r="G13" s="106">
        <f t="shared" si="4"/>
        <v>687116.26639999996</v>
      </c>
      <c r="H13" s="107">
        <f t="shared" si="1"/>
        <v>2.3188831368687147E-2</v>
      </c>
      <c r="I13" s="108">
        <f t="shared" si="2"/>
        <v>38007.85</v>
      </c>
      <c r="J13" s="48">
        <f>'Billing Detail'!M61</f>
        <v>725976.77220000001</v>
      </c>
      <c r="K13" s="47">
        <f t="shared" si="3"/>
        <v>2.068826572690969E-2</v>
      </c>
      <c r="L13" s="48">
        <f>'Billing Detail'!N61</f>
        <v>38860.50579999997</v>
      </c>
      <c r="M13" s="47">
        <f t="shared" si="5"/>
        <v>5.655593922059414E-2</v>
      </c>
      <c r="N13" s="47">
        <f>'Billing Detail'!O61</f>
        <v>5.655593922059414E-2</v>
      </c>
      <c r="O13" s="14">
        <f t="shared" si="6"/>
        <v>852.65580000006594</v>
      </c>
    </row>
    <row r="14" spans="1:22" x14ac:dyDescent="0.2">
      <c r="A14" s="3">
        <f t="shared" si="7"/>
        <v>7</v>
      </c>
      <c r="B14" s="2" t="str">
        <f>'Billing Detail'!B70</f>
        <v>Small Commercial Demand &amp; Energy Rate</v>
      </c>
      <c r="C14" s="20">
        <f>'Billing Detail'!C70</f>
        <v>16</v>
      </c>
      <c r="D14" s="48">
        <f>'Billing Detail'!G74</f>
        <v>17733.73976</v>
      </c>
      <c r="E14" s="48">
        <f>'Billing Detail'!I74</f>
        <v>20062.264759999998</v>
      </c>
      <c r="F14" s="47">
        <f t="shared" si="0"/>
        <v>5.9975618710675284E-4</v>
      </c>
      <c r="G14" s="106">
        <f t="shared" si="4"/>
        <v>20062.264759999998</v>
      </c>
      <c r="H14" s="107">
        <f t="shared" si="1"/>
        <v>6.7706223406850598E-4</v>
      </c>
      <c r="I14" s="108">
        <f t="shared" si="2"/>
        <v>1109.74</v>
      </c>
      <c r="J14" s="48">
        <f>'Billing Detail'!M74</f>
        <v>21171.388578759997</v>
      </c>
      <c r="K14" s="47">
        <f t="shared" si="3"/>
        <v>6.0332414134647112E-4</v>
      </c>
      <c r="L14" s="48">
        <f>'Billing Detail'!N74</f>
        <v>1109.1238187599993</v>
      </c>
      <c r="M14" s="47">
        <f t="shared" ref="M14:M15" si="8">IF(E14=0,0,L14/E14)</f>
        <v>5.528407844419253E-2</v>
      </c>
      <c r="N14" s="67">
        <f>'Billing Detail'!O80</f>
        <v>5.0954981360975274E-2</v>
      </c>
      <c r="O14" s="14">
        <f t="shared" si="6"/>
        <v>-0.61618124000233365</v>
      </c>
    </row>
    <row r="15" spans="1:22" x14ac:dyDescent="0.2">
      <c r="A15" s="3">
        <f t="shared" si="7"/>
        <v>8</v>
      </c>
      <c r="B15" s="2" t="str">
        <f>'Billing Detail'!B83</f>
        <v>Water Pumping Service</v>
      </c>
      <c r="C15" s="20">
        <f>'Billing Detail'!C83</f>
        <v>17</v>
      </c>
      <c r="D15" s="48">
        <f>'Billing Detail'!G87</f>
        <v>1991.5612000000001</v>
      </c>
      <c r="E15" s="48">
        <f>'Billing Detail'!I87</f>
        <v>2137.7572</v>
      </c>
      <c r="F15" s="47">
        <f t="shared" si="0"/>
        <v>6.3907695495491422E-5</v>
      </c>
      <c r="G15" s="106">
        <f t="shared" si="4"/>
        <v>2137.7572</v>
      </c>
      <c r="H15" s="107">
        <f t="shared" si="1"/>
        <v>7.2145128331365616E-5</v>
      </c>
      <c r="I15" s="108">
        <f t="shared" si="2"/>
        <v>118.25</v>
      </c>
      <c r="J15" s="48">
        <f>'Billing Detail'!M87</f>
        <v>2256.0567999999998</v>
      </c>
      <c r="K15" s="47">
        <f t="shared" si="3"/>
        <v>6.429117894772438E-5</v>
      </c>
      <c r="L15" s="48">
        <f>'Billing Detail'!N87</f>
        <v>118.2995999999996</v>
      </c>
      <c r="M15" s="47">
        <f t="shared" si="8"/>
        <v>5.5338183400808851E-2</v>
      </c>
      <c r="N15" s="47">
        <f>'Billing Detail'!O93</f>
        <v>5.0526856374939005E-2</v>
      </c>
      <c r="O15" s="14">
        <f t="shared" si="6"/>
        <v>4.959999999982756E-2</v>
      </c>
    </row>
    <row r="16" spans="1:22" x14ac:dyDescent="0.2">
      <c r="A16" s="3">
        <f t="shared" si="7"/>
        <v>9</v>
      </c>
      <c r="B16" s="2" t="str">
        <f>'Billing Detail'!B96</f>
        <v>General Service Rate</v>
      </c>
      <c r="C16" s="20">
        <f>'Billing Detail'!C96</f>
        <v>18</v>
      </c>
      <c r="D16" s="48">
        <f>'Billing Detail'!G99</f>
        <v>1665300.03003</v>
      </c>
      <c r="E16" s="48">
        <f>'Billing Detail'!I99</f>
        <v>1737865.5582600001</v>
      </c>
      <c r="F16" s="47">
        <f t="shared" si="0"/>
        <v>5.1953038871478147E-2</v>
      </c>
      <c r="G16" s="106">
        <f t="shared" si="4"/>
        <v>1737865.5582600001</v>
      </c>
      <c r="H16" s="107">
        <f t="shared" si="1"/>
        <v>5.8649566809237295E-2</v>
      </c>
      <c r="I16" s="108">
        <f t="shared" si="2"/>
        <v>96130.07</v>
      </c>
      <c r="J16" s="48">
        <f>'Billing Detail'!M99</f>
        <v>1833890.0313500001</v>
      </c>
      <c r="K16" s="47">
        <f t="shared" si="3"/>
        <v>5.226063110466489E-2</v>
      </c>
      <c r="L16" s="48">
        <f>'Billing Detail'!N99</f>
        <v>96024.473089999985</v>
      </c>
      <c r="M16" s="47">
        <f t="shared" ref="M16:M21" si="9">IF(E16=0,0,L16/E16)</f>
        <v>5.5254258670125435E-2</v>
      </c>
      <c r="N16" s="47">
        <f>'Billing Detail'!O105</f>
        <v>5.0613828316932022E-2</v>
      </c>
      <c r="O16" s="14">
        <f t="shared" ref="O16:O21" si="10">J16-I16-E16</f>
        <v>-105.59691000008024</v>
      </c>
    </row>
    <row r="17" spans="1:15" x14ac:dyDescent="0.2">
      <c r="A17" s="3">
        <f t="shared" si="7"/>
        <v>10</v>
      </c>
      <c r="B17" s="2" t="str">
        <f>'Billing Detail'!B108</f>
        <v>Temporary Service Rate</v>
      </c>
      <c r="C17" s="20">
        <f>'Billing Detail'!C108</f>
        <v>19</v>
      </c>
      <c r="D17" s="48">
        <f>'Billing Detail'!G111</f>
        <v>36840.486559999998</v>
      </c>
      <c r="E17" s="48">
        <f>'Billing Detail'!I111</f>
        <v>38657.136920000004</v>
      </c>
      <c r="F17" s="47">
        <f t="shared" si="0"/>
        <v>1.1556450540832603E-3</v>
      </c>
      <c r="G17" s="106">
        <f t="shared" si="4"/>
        <v>38657.136920000004</v>
      </c>
      <c r="H17" s="107">
        <f t="shared" si="1"/>
        <v>1.3046028351660199E-3</v>
      </c>
      <c r="I17" s="108">
        <f t="shared" si="2"/>
        <v>2138.3200000000002</v>
      </c>
      <c r="J17" s="48">
        <f>'Billing Detail'!M111</f>
        <v>40796.558720000001</v>
      </c>
      <c r="K17" s="47">
        <f t="shared" si="3"/>
        <v>1.1625854708617557E-3</v>
      </c>
      <c r="L17" s="48">
        <f>'Billing Detail'!N111</f>
        <v>2139.4217999999964</v>
      </c>
      <c r="M17" s="47">
        <f t="shared" si="9"/>
        <v>5.5343514043150098E-2</v>
      </c>
      <c r="N17" s="47">
        <f>'Billing Detail'!O117</f>
        <v>5.0724067710998334E-2</v>
      </c>
      <c r="O17" s="14">
        <f t="shared" si="10"/>
        <v>1.1017999999967287</v>
      </c>
    </row>
    <row r="18" spans="1:15" x14ac:dyDescent="0.2">
      <c r="A18" s="3">
        <f t="shared" si="7"/>
        <v>11</v>
      </c>
      <c r="B18" s="2" t="str">
        <f>'Billing Detail'!B120</f>
        <v>Residential Inclining Block Rate</v>
      </c>
      <c r="C18" s="20">
        <f>'Billing Detail'!C120</f>
        <v>20</v>
      </c>
      <c r="D18" s="48">
        <f>'Billing Detail'!G125</f>
        <v>10106.795459999999</v>
      </c>
      <c r="E18" s="48">
        <f>'Billing Detail'!I125</f>
        <v>10759.66671</v>
      </c>
      <c r="F18" s="47">
        <f t="shared" si="0"/>
        <v>3.2165743786790002E-4</v>
      </c>
      <c r="G18" s="106">
        <f t="shared" si="4"/>
        <v>10759.66671</v>
      </c>
      <c r="H18" s="107">
        <f t="shared" si="1"/>
        <v>3.6311772711871695E-4</v>
      </c>
      <c r="I18" s="108">
        <f t="shared" si="2"/>
        <v>595.16999999999996</v>
      </c>
      <c r="J18" s="48">
        <f>'Billing Detail'!M125</f>
        <v>11355.478210000001</v>
      </c>
      <c r="K18" s="47">
        <f t="shared" si="3"/>
        <v>3.2359871508381131E-4</v>
      </c>
      <c r="L18" s="48">
        <f>'Billing Detail'!N125</f>
        <v>595.81150000000014</v>
      </c>
      <c r="M18" s="47">
        <f t="shared" si="9"/>
        <v>5.5374531206087901E-2</v>
      </c>
      <c r="N18" s="47">
        <f>'Billing Detail'!O131</f>
        <v>5.0354258528137602E-2</v>
      </c>
      <c r="O18" s="14">
        <f t="shared" si="10"/>
        <v>0.6415000000015425</v>
      </c>
    </row>
    <row r="19" spans="1:15" x14ac:dyDescent="0.2">
      <c r="A19" s="3">
        <f t="shared" si="7"/>
        <v>12</v>
      </c>
      <c r="B19" s="2" t="str">
        <f>'Billing Detail'!B134</f>
        <v>Prepay Metering Program (Residential) Sch 21</v>
      </c>
      <c r="C19" s="20">
        <f>'Billing Detail'!C134</f>
        <v>21</v>
      </c>
      <c r="D19" s="48">
        <f>'Billing Detail'!G137</f>
        <v>2013281.1336300003</v>
      </c>
      <c r="E19" s="48">
        <f>'Billing Detail'!I137</f>
        <v>2198769.7963200002</v>
      </c>
      <c r="F19" s="47">
        <f t="shared" si="0"/>
        <v>6.5731651194018789E-2</v>
      </c>
      <c r="G19" s="106">
        <f t="shared" si="4"/>
        <v>2198769.7963200002</v>
      </c>
      <c r="H19" s="107">
        <f t="shared" si="1"/>
        <v>7.4204184238807411E-2</v>
      </c>
      <c r="I19" s="108">
        <f t="shared" si="2"/>
        <v>121624.99</v>
      </c>
      <c r="J19" s="48">
        <f>'Billing Detail'!M137</f>
        <v>2320424.4200199996</v>
      </c>
      <c r="K19" s="47">
        <f t="shared" si="3"/>
        <v>6.6125472382687955E-2</v>
      </c>
      <c r="L19" s="48">
        <f>'Billing Detail'!N137</f>
        <v>121654.62369999965</v>
      </c>
      <c r="M19" s="47">
        <f t="shared" si="9"/>
        <v>5.5328495008258025E-2</v>
      </c>
      <c r="N19" s="47">
        <f>'Billing Detail'!O143</f>
        <v>4.9229684278864393E-2</v>
      </c>
      <c r="O19" s="14">
        <f t="shared" si="10"/>
        <v>29.633699999190867</v>
      </c>
    </row>
    <row r="20" spans="1:15" x14ac:dyDescent="0.2">
      <c r="A20" s="3">
        <f t="shared" si="7"/>
        <v>13</v>
      </c>
      <c r="B20" s="2" t="str">
        <f>'Billing Detail'!B146</f>
        <v>Prepay Metering Program (General Service) Sch 21</v>
      </c>
      <c r="C20" s="20">
        <f>'Billing Detail'!C146</f>
        <v>32</v>
      </c>
      <c r="D20" s="48">
        <f>'Billing Detail'!G149</f>
        <v>54657.096390000006</v>
      </c>
      <c r="E20" s="48">
        <f>'Billing Detail'!I149</f>
        <v>57772.96938000001</v>
      </c>
      <c r="F20" s="47">
        <f t="shared" si="0"/>
        <v>1.727107893734326E-3</v>
      </c>
      <c r="G20" s="106">
        <f t="shared" si="4"/>
        <v>57772.96938000001</v>
      </c>
      <c r="H20" s="107">
        <f t="shared" si="1"/>
        <v>1.9497248284342848E-3</v>
      </c>
      <c r="I20" s="108">
        <f t="shared" si="2"/>
        <v>3195.71</v>
      </c>
      <c r="J20" s="48">
        <f>'Billing Detail'!M149</f>
        <v>60966.057550000005</v>
      </c>
      <c r="K20" s="47">
        <f t="shared" si="3"/>
        <v>1.7373586142353835E-3</v>
      </c>
      <c r="L20" s="48">
        <f>'Billing Detail'!N149</f>
        <v>3193.0881699999991</v>
      </c>
      <c r="M20" s="47">
        <f t="shared" si="9"/>
        <v>5.5269587218160027E-2</v>
      </c>
      <c r="N20" s="47">
        <f>'Billing Detail'!O155</f>
        <v>4.6803768338772971E-2</v>
      </c>
      <c r="O20" s="14">
        <f t="shared" si="10"/>
        <v>-2.6218300000036834</v>
      </c>
    </row>
    <row r="21" spans="1:15" x14ac:dyDescent="0.2">
      <c r="A21" s="3">
        <f t="shared" si="7"/>
        <v>14</v>
      </c>
      <c r="B21" s="2" t="str">
        <f>'Billing Detail'!B158</f>
        <v>Schedule NM - Residential Net Metering</v>
      </c>
      <c r="C21" s="20">
        <f>'Billing Detail'!C158</f>
        <v>22</v>
      </c>
      <c r="D21" s="48">
        <f>'Billing Detail'!G161</f>
        <v>73744.979230000012</v>
      </c>
      <c r="E21" s="48">
        <f>'Billing Detail'!I161</f>
        <v>80571.754720000012</v>
      </c>
      <c r="F21" s="47">
        <f t="shared" si="0"/>
        <v>2.4086716518523172E-3</v>
      </c>
      <c r="G21" s="106">
        <f t="shared" si="4"/>
        <v>80571.754720000012</v>
      </c>
      <c r="H21" s="107">
        <f t="shared" si="1"/>
        <v>2.7191392849280145E-3</v>
      </c>
      <c r="I21" s="108">
        <f t="shared" si="2"/>
        <v>4456.83</v>
      </c>
      <c r="J21" s="48">
        <f>'Billing Detail'!M161</f>
        <v>85029.642419999989</v>
      </c>
      <c r="K21" s="47">
        <f t="shared" si="3"/>
        <v>2.4231020941871836E-3</v>
      </c>
      <c r="L21" s="48">
        <f>'Billing Detail'!N161</f>
        <v>4457.8876999999866</v>
      </c>
      <c r="M21" s="47">
        <f t="shared" si="9"/>
        <v>5.5328169474425294E-2</v>
      </c>
      <c r="N21" s="47">
        <f>'Billing Detail'!O167</f>
        <v>5.2617158636291184E-2</v>
      </c>
      <c r="O21" s="14">
        <f t="shared" si="10"/>
        <v>1.057699999975739</v>
      </c>
    </row>
    <row r="22" spans="1:15" x14ac:dyDescent="0.2">
      <c r="A22" s="3">
        <f t="shared" si="7"/>
        <v>15</v>
      </c>
      <c r="B22" s="2" t="str">
        <f>'Billing Detail'!B170</f>
        <v>Small Commercial TOD</v>
      </c>
      <c r="C22" s="20">
        <f>'Billing Detail'!C170</f>
        <v>11</v>
      </c>
      <c r="D22" s="48">
        <f>'Billing Detail'!G174</f>
        <v>29993.664770000003</v>
      </c>
      <c r="E22" s="48">
        <f>'Billing Detail'!I174</f>
        <v>32438.957929999997</v>
      </c>
      <c r="F22" s="47">
        <f t="shared" si="0"/>
        <v>9.6975421043208102E-4</v>
      </c>
      <c r="G22" s="106">
        <f t="shared" ref="G22" si="11">E22</f>
        <v>32438.957929999997</v>
      </c>
      <c r="H22" s="107">
        <f t="shared" si="1"/>
        <v>1.0947514445492782E-3</v>
      </c>
      <c r="I22" s="108">
        <f t="shared" si="2"/>
        <v>1794.36</v>
      </c>
      <c r="J22" s="48">
        <f>'Billing Detail'!M174</f>
        <v>34231.710059999998</v>
      </c>
      <c r="K22" s="47">
        <f t="shared" si="3"/>
        <v>9.7550602323225066E-4</v>
      </c>
      <c r="L22" s="48">
        <f>'Billing Detail'!N174</f>
        <v>1792.7521300000017</v>
      </c>
      <c r="M22" s="47">
        <f t="shared" ref="M22" si="12">IF(E22=0,0,L22/E22)</f>
        <v>5.5265404451911811E-2</v>
      </c>
      <c r="N22" s="47">
        <f>'Billing Detail'!O180</f>
        <v>5.0610098086228419E-2</v>
      </c>
      <c r="O22" s="14">
        <f t="shared" ref="O22" si="13">J22-I22-E22</f>
        <v>-1.6078699999998207</v>
      </c>
    </row>
    <row r="23" spans="1:15" x14ac:dyDescent="0.2">
      <c r="A23" s="3">
        <f t="shared" si="7"/>
        <v>16</v>
      </c>
      <c r="B23" s="3" t="str">
        <f>'Billing Detail'!B211</f>
        <v>Net Metering Large Power</v>
      </c>
      <c r="C23" s="20">
        <f>'Billing Detail'!C211</f>
        <v>35</v>
      </c>
      <c r="D23" s="48">
        <f>'Billing Detail'!G215</f>
        <v>12600.095199999998</v>
      </c>
      <c r="E23" s="48">
        <f>'Billing Detail'!I215</f>
        <v>14252.109999999999</v>
      </c>
      <c r="F23" s="47">
        <f t="shared" ref="F23:F25" si="14">E23/E$27</f>
        <v>4.260631216904558E-4</v>
      </c>
      <c r="G23" s="106">
        <f t="shared" ref="G23:G25" si="15">E23</f>
        <v>14252.109999999999</v>
      </c>
      <c r="H23" s="107">
        <f t="shared" si="1"/>
        <v>4.8098086393662438E-4</v>
      </c>
      <c r="I23" s="108">
        <f t="shared" si="2"/>
        <v>788.36</v>
      </c>
      <c r="J23" s="48">
        <f>'Billing Detail'!M215</f>
        <v>15042.165599999998</v>
      </c>
      <c r="K23" s="47">
        <f t="shared" ref="K23:K25" si="16">J23/J$27</f>
        <v>4.286587821507437E-4</v>
      </c>
      <c r="L23" s="48">
        <f>'Billing Detail'!N215</f>
        <v>790.05559999999946</v>
      </c>
      <c r="M23" s="47">
        <f t="shared" ref="M23:M25" si="17">IF(E23=0,0,L23/E23)</f>
        <v>5.5434290080556461E-2</v>
      </c>
      <c r="N23" s="47">
        <f>'Billing Detail'!O221</f>
        <v>5.0916978606809958E-2</v>
      </c>
      <c r="O23" s="14">
        <f t="shared" ref="O23:O25" si="18">J23-I23-E23</f>
        <v>1.6955999999991036</v>
      </c>
    </row>
    <row r="24" spans="1:15" x14ac:dyDescent="0.2">
      <c r="A24" s="3">
        <f t="shared" si="7"/>
        <v>17</v>
      </c>
      <c r="B24" s="3" t="str">
        <f>'Billing Detail'!B224</f>
        <v>Special Contract</v>
      </c>
      <c r="C24" s="20">
        <f>'Billing Detail'!C224</f>
        <v>36</v>
      </c>
      <c r="D24" s="48">
        <f>'Billing Detail'!G229</f>
        <v>3004283.49975</v>
      </c>
      <c r="E24" s="48">
        <f>'Billing Detail'!I229</f>
        <v>3819355.6157999998</v>
      </c>
      <c r="F24" s="47">
        <f t="shared" si="14"/>
        <v>0.11417864277736568</v>
      </c>
      <c r="G24" s="106">
        <v>0</v>
      </c>
      <c r="H24" s="107">
        <f t="shared" si="1"/>
        <v>0</v>
      </c>
      <c r="I24" s="108">
        <f t="shared" si="2"/>
        <v>0</v>
      </c>
      <c r="J24" s="48">
        <f>'Billing Detail'!M229</f>
        <v>3819355.6157999998</v>
      </c>
      <c r="K24" s="47">
        <f t="shared" si="16"/>
        <v>0.10884073280441958</v>
      </c>
      <c r="L24" s="48">
        <f>'Billing Detail'!N229</f>
        <v>0</v>
      </c>
      <c r="M24" s="47">
        <f t="shared" si="17"/>
        <v>0</v>
      </c>
      <c r="N24" s="47">
        <f>'Billing Detail'!O235</f>
        <v>0</v>
      </c>
      <c r="O24" s="14">
        <f t="shared" si="18"/>
        <v>0</v>
      </c>
    </row>
    <row r="25" spans="1:15" x14ac:dyDescent="0.2">
      <c r="A25" s="3">
        <f t="shared" si="7"/>
        <v>18</v>
      </c>
      <c r="B25" s="3" t="str">
        <f>'Billing Detail'!B238</f>
        <v>Net Metering Small Commercial</v>
      </c>
      <c r="C25" s="20">
        <f>'Billing Detail'!C238</f>
        <v>38</v>
      </c>
      <c r="D25" s="48">
        <f>'Billing Detail'!G241</f>
        <v>826.95939999999996</v>
      </c>
      <c r="E25" s="48">
        <f>'Billing Detail'!I241</f>
        <v>876.24160000000006</v>
      </c>
      <c r="F25" s="47">
        <f t="shared" si="14"/>
        <v>2.6195014734733296E-5</v>
      </c>
      <c r="G25" s="106">
        <f t="shared" si="15"/>
        <v>876.24160000000006</v>
      </c>
      <c r="H25" s="107">
        <f t="shared" si="1"/>
        <v>2.9571441827575714E-5</v>
      </c>
      <c r="I25" s="108">
        <f t="shared" si="2"/>
        <v>48.47</v>
      </c>
      <c r="J25" s="48">
        <f>'Billing Detail'!M241</f>
        <v>924.76760000000002</v>
      </c>
      <c r="K25" s="47">
        <f t="shared" si="16"/>
        <v>2.6353236876242481E-5</v>
      </c>
      <c r="L25" s="48">
        <f>'Billing Detail'!N241</f>
        <v>48.52600000000001</v>
      </c>
      <c r="M25" s="47">
        <f t="shared" si="17"/>
        <v>5.5379703497300294E-2</v>
      </c>
      <c r="N25" s="47">
        <f>'Billing Detail'!O247</f>
        <v>5.2962140680699772E-2</v>
      </c>
      <c r="O25" s="14">
        <f t="shared" si="18"/>
        <v>5.5999999999926331E-2</v>
      </c>
    </row>
    <row r="26" spans="1:15" x14ac:dyDescent="0.2">
      <c r="A26" s="3">
        <f t="shared" si="7"/>
        <v>19</v>
      </c>
      <c r="B26" s="2" t="str">
        <f>'Billing Detail'!B250</f>
        <v>Outdoor Lighting - Security Lights</v>
      </c>
      <c r="C26" s="20">
        <f>'Billing Detail'!C250</f>
        <v>6</v>
      </c>
      <c r="D26" s="48">
        <f>'Billing Detail'!G257</f>
        <v>724456.78999999992</v>
      </c>
      <c r="E26" s="48">
        <f>'Billing Detail'!I257</f>
        <v>771139.02999999991</v>
      </c>
      <c r="F26" s="47">
        <f>E26/E$27</f>
        <v>2.3053000740181632E-2</v>
      </c>
      <c r="G26" s="106">
        <f t="shared" si="4"/>
        <v>771139.02999999991</v>
      </c>
      <c r="H26" s="107">
        <f t="shared" si="1"/>
        <v>2.602443546005823E-2</v>
      </c>
      <c r="I26" s="108">
        <f t="shared" si="2"/>
        <v>42655.57</v>
      </c>
      <c r="J26" s="48">
        <f>'Billing Detail'!M257</f>
        <v>813682.04999999993</v>
      </c>
      <c r="K26" s="47">
        <f>J26/J$27</f>
        <v>2.3187615791899041E-2</v>
      </c>
      <c r="L26" s="48">
        <f>'Billing Detail'!N263</f>
        <v>42543.020000000019</v>
      </c>
      <c r="M26" s="47">
        <f t="shared" si="5"/>
        <v>5.5169065946512941E-2</v>
      </c>
      <c r="N26" s="47">
        <f>'Billing Detail'!O263</f>
        <v>5.5076040644164791E-2</v>
      </c>
      <c r="O26" s="14">
        <f t="shared" si="6"/>
        <v>-112.54999999993015</v>
      </c>
    </row>
    <row r="27" spans="1:15" ht="16.149999999999999" customHeight="1" x14ac:dyDescent="0.2">
      <c r="A27" s="3">
        <f t="shared" si="7"/>
        <v>20</v>
      </c>
      <c r="B27" s="49" t="s">
        <v>129</v>
      </c>
      <c r="C27" s="74"/>
      <c r="D27" s="50">
        <f>SUM(D9:D26)</f>
        <v>30199407.225859996</v>
      </c>
      <c r="E27" s="50">
        <f>SUM(E9:E26)</f>
        <v>33450700.786899995</v>
      </c>
      <c r="F27" s="51">
        <f>E27/E$27</f>
        <v>1</v>
      </c>
      <c r="G27" s="50">
        <f>SUM(G9:G26)</f>
        <v>29631345.171099994</v>
      </c>
      <c r="H27" s="51">
        <v>1</v>
      </c>
      <c r="I27" s="50">
        <f>SUM(I9:I26)</f>
        <v>1639058.4300000004</v>
      </c>
      <c r="J27" s="50">
        <f>SUM(J9:J26)</f>
        <v>35091233.928598754</v>
      </c>
      <c r="K27" s="51">
        <f>J27/J$27</f>
        <v>1</v>
      </c>
      <c r="L27" s="50">
        <f>J27-E27</f>
        <v>1640533.141698759</v>
      </c>
      <c r="M27" s="51">
        <f t="shared" ref="M27" si="19">L27/E27</f>
        <v>4.9043311593078093E-2</v>
      </c>
      <c r="N27" s="51"/>
      <c r="O27" s="52">
        <f t="shared" si="6"/>
        <v>1474.7116987593472</v>
      </c>
    </row>
    <row r="28" spans="1:15" ht="16.149999999999999" customHeight="1" x14ac:dyDescent="0.2">
      <c r="A28" s="3">
        <f t="shared" si="7"/>
        <v>21</v>
      </c>
      <c r="D28" s="53"/>
      <c r="E28" s="53"/>
      <c r="F28" s="54"/>
      <c r="G28" s="53"/>
      <c r="H28" s="54"/>
      <c r="I28" s="53"/>
      <c r="J28" s="53"/>
      <c r="K28" s="54"/>
      <c r="L28" s="53"/>
      <c r="M28" s="54"/>
      <c r="N28" s="54"/>
      <c r="O28" s="14"/>
    </row>
    <row r="29" spans="1:15" ht="16.149999999999999" customHeight="1" x14ac:dyDescent="0.2">
      <c r="A29" s="3">
        <f t="shared" si="7"/>
        <v>22</v>
      </c>
      <c r="B29" s="3" t="str">
        <f>'Billing Detail'!B183</f>
        <v>Large Industrial MLF 1,000 - 4,999 KVA</v>
      </c>
      <c r="C29" s="20" t="str">
        <f>'Billing Detail'!C183</f>
        <v>14(a)</v>
      </c>
      <c r="D29" s="48">
        <f>'Billing Detail'!G188</f>
        <v>1140592.2067999998</v>
      </c>
      <c r="E29" s="48">
        <f>'Billing Detail'!I188</f>
        <v>1363646.7452</v>
      </c>
      <c r="F29" s="54">
        <f>E29/E31</f>
        <v>0.64956451913176771</v>
      </c>
      <c r="G29" s="53">
        <f>E29</f>
        <v>1363646.7452</v>
      </c>
      <c r="H29" s="54">
        <f>G29/G31</f>
        <v>0.64956451913176771</v>
      </c>
      <c r="I29" s="108">
        <f>ROUND(L$3*H29,2)</f>
        <v>120536.44</v>
      </c>
      <c r="J29" s="48">
        <f>'Billing Detail'!M188</f>
        <v>1484386.6004000001</v>
      </c>
      <c r="K29" s="54">
        <f>J29/J31</f>
        <v>0.64956499924940692</v>
      </c>
      <c r="L29" s="48">
        <f>'Billing Detail'!N188</f>
        <v>120739.85520000009</v>
      </c>
      <c r="M29" s="47">
        <f t="shared" ref="M29:M31" si="20">IF(E29=0,0,L29/E29)</f>
        <v>8.8541886397632774E-2</v>
      </c>
      <c r="N29" s="47">
        <f>'Billing Detail'!O194</f>
        <v>8.0957866582567081E-2</v>
      </c>
      <c r="O29" s="14">
        <f>J29-I29-E29</f>
        <v>203.41520000016317</v>
      </c>
    </row>
    <row r="30" spans="1:15" ht="16.149999999999999" customHeight="1" x14ac:dyDescent="0.2">
      <c r="A30" s="3">
        <f t="shared" si="7"/>
        <v>23</v>
      </c>
      <c r="B30" s="3" t="str">
        <f>'Billing Detail'!B197</f>
        <v>Large Industrial MLF 1,000 - 4,999 KVA</v>
      </c>
      <c r="C30" s="20" t="str">
        <f>'Billing Detail'!C197</f>
        <v>14(a)</v>
      </c>
      <c r="D30" s="48">
        <f>'Billing Detail'!G202</f>
        <v>615179.29399999999</v>
      </c>
      <c r="E30" s="48">
        <f>'Billing Detail'!I202</f>
        <v>735677.80999999994</v>
      </c>
      <c r="F30" s="54">
        <f>E30/E31</f>
        <v>0.35043548086823234</v>
      </c>
      <c r="G30" s="53">
        <f>E30</f>
        <v>735677.80999999994</v>
      </c>
      <c r="H30" s="54">
        <f>G30/G31</f>
        <v>0.35043548086823234</v>
      </c>
      <c r="I30" s="108">
        <f>ROUND(L$3*H30,2)</f>
        <v>65028.56</v>
      </c>
      <c r="J30" s="48">
        <f>'Billing Detail'!M202</f>
        <v>800814.42200000014</v>
      </c>
      <c r="K30" s="54">
        <f>J30/J31</f>
        <v>0.35043500075059308</v>
      </c>
      <c r="L30" s="48">
        <f>'Billing Detail'!N202</f>
        <v>65136.612000000103</v>
      </c>
      <c r="M30" s="47">
        <f t="shared" si="20"/>
        <v>8.853959044924857E-2</v>
      </c>
      <c r="N30" s="47">
        <f>'Billing Detail'!O208</f>
        <v>8.1624586285368533E-2</v>
      </c>
      <c r="O30" s="14">
        <f>J30-I30-E30</f>
        <v>108.05200000025798</v>
      </c>
    </row>
    <row r="31" spans="1:15" ht="16.149999999999999" customHeight="1" x14ac:dyDescent="0.2">
      <c r="A31" s="3">
        <f t="shared" si="7"/>
        <v>24</v>
      </c>
      <c r="B31" s="49" t="s">
        <v>130</v>
      </c>
      <c r="C31" s="74"/>
      <c r="D31" s="50">
        <f>SUM(D29:D30)</f>
        <v>1755771.5007999998</v>
      </c>
      <c r="E31" s="50">
        <f t="shared" ref="E31:O31" si="21">SUM(E29:E30)</f>
        <v>2099324.5551999998</v>
      </c>
      <c r="F31" s="51">
        <f t="shared" ref="F31" si="22">SUM(F29:F30)</f>
        <v>1</v>
      </c>
      <c r="G31" s="50">
        <f t="shared" ref="G31:I31" si="23">SUM(G29:G30)</f>
        <v>2099324.5551999998</v>
      </c>
      <c r="H31" s="51">
        <f>G31/G31</f>
        <v>1</v>
      </c>
      <c r="I31" s="50">
        <f t="shared" si="23"/>
        <v>185565</v>
      </c>
      <c r="J31" s="50">
        <f t="shared" si="21"/>
        <v>2285201.0224000001</v>
      </c>
      <c r="K31" s="51">
        <f>J31/J31</f>
        <v>1</v>
      </c>
      <c r="L31" s="50">
        <f t="shared" si="21"/>
        <v>185876.46720000019</v>
      </c>
      <c r="M31" s="51">
        <f t="shared" si="20"/>
        <v>8.8541081815856709E-2</v>
      </c>
      <c r="N31" s="50"/>
      <c r="O31" s="50">
        <f t="shared" si="21"/>
        <v>311.46720000042114</v>
      </c>
    </row>
    <row r="32" spans="1:15" ht="16.149999999999999" customHeight="1" x14ac:dyDescent="0.2">
      <c r="A32" s="3">
        <f t="shared" si="7"/>
        <v>25</v>
      </c>
      <c r="D32" s="53"/>
      <c r="E32" s="53"/>
      <c r="F32" s="54"/>
      <c r="G32" s="53"/>
      <c r="H32" s="54"/>
      <c r="I32" s="53"/>
      <c r="J32" s="53"/>
      <c r="K32" s="54"/>
      <c r="L32" s="53"/>
      <c r="M32" s="54"/>
      <c r="N32" s="54"/>
      <c r="O32" s="14"/>
    </row>
    <row r="33" spans="1:19" ht="16.149999999999999" customHeight="1" x14ac:dyDescent="0.2">
      <c r="A33" s="3">
        <f t="shared" si="7"/>
        <v>26</v>
      </c>
      <c r="B33" s="18" t="s">
        <v>40</v>
      </c>
      <c r="C33" s="75"/>
      <c r="D33" s="55">
        <f>D27+D31</f>
        <v>31955178.726659995</v>
      </c>
      <c r="E33" s="55">
        <f>E27+E31</f>
        <v>35550025.342099994</v>
      </c>
      <c r="F33" s="96">
        <f t="shared" ref="F33:M33" si="24">F27</f>
        <v>1</v>
      </c>
      <c r="G33" s="55">
        <f>G27+G31</f>
        <v>31730669.726299994</v>
      </c>
      <c r="H33" s="96">
        <f t="shared" si="24"/>
        <v>1</v>
      </c>
      <c r="I33" s="55">
        <f>I27+I31</f>
        <v>1824623.4300000004</v>
      </c>
      <c r="J33" s="55">
        <f>J27+J31</f>
        <v>37376434.950998753</v>
      </c>
      <c r="K33" s="96">
        <f t="shared" si="24"/>
        <v>1</v>
      </c>
      <c r="L33" s="55">
        <f>L27+L31</f>
        <v>1826409.6088987594</v>
      </c>
      <c r="M33" s="96">
        <f t="shared" si="24"/>
        <v>4.9043311593078093E-2</v>
      </c>
      <c r="N33" s="55"/>
      <c r="O33" s="55">
        <f>O27+O31</f>
        <v>1786.1788987597683</v>
      </c>
    </row>
    <row r="34" spans="1:19" ht="12.6" customHeight="1" x14ac:dyDescent="0.2">
      <c r="A34" s="3">
        <f t="shared" si="7"/>
        <v>27</v>
      </c>
      <c r="S34" s="48"/>
    </row>
    <row r="35" spans="1:19" x14ac:dyDescent="0.2">
      <c r="A35" s="3">
        <f t="shared" si="7"/>
        <v>28</v>
      </c>
      <c r="B35" s="44" t="s">
        <v>7</v>
      </c>
      <c r="C35" s="73"/>
      <c r="D35" s="44"/>
    </row>
    <row r="36" spans="1:19" x14ac:dyDescent="0.2">
      <c r="A36" s="3">
        <f t="shared" si="7"/>
        <v>29</v>
      </c>
      <c r="B36" s="2" t="str">
        <f>'Billing Detail'!D11</f>
        <v xml:space="preserve">    FAC</v>
      </c>
      <c r="D36" s="48">
        <f>'Billing Detail'!G268</f>
        <v>3185351.0199999996</v>
      </c>
      <c r="E36" s="48">
        <f>'Billing Detail'!I268</f>
        <v>-362813.35544000001</v>
      </c>
      <c r="F36" s="56"/>
      <c r="G36" s="57"/>
      <c r="H36" s="57"/>
      <c r="I36" s="57"/>
      <c r="J36" s="48">
        <f>'Billing Detail'!M268</f>
        <v>-362813.35544000001</v>
      </c>
      <c r="K36" s="58"/>
      <c r="L36" s="58"/>
      <c r="M36" s="57"/>
      <c r="N36" s="57"/>
    </row>
    <row r="37" spans="1:19" x14ac:dyDescent="0.2">
      <c r="A37" s="3">
        <f t="shared" si="7"/>
        <v>30</v>
      </c>
      <c r="B37" s="2" t="str">
        <f>'Billing Detail'!D12</f>
        <v xml:space="preserve">    ES</v>
      </c>
      <c r="D37" s="48">
        <f>'Billing Detail'!G269</f>
        <v>3382506.8299999991</v>
      </c>
      <c r="E37" s="48">
        <f>'Billing Detail'!I269</f>
        <v>3382506.8299999991</v>
      </c>
      <c r="F37" s="57"/>
      <c r="G37" s="57"/>
      <c r="H37" s="57"/>
      <c r="I37" s="57"/>
      <c r="J37" s="48">
        <f>'Billing Detail'!M269</f>
        <v>3382506.8299999991</v>
      </c>
      <c r="K37" s="58"/>
      <c r="L37" s="58"/>
      <c r="M37" s="57"/>
      <c r="N37" s="57"/>
    </row>
    <row r="38" spans="1:19" x14ac:dyDescent="0.2">
      <c r="A38" s="3">
        <f t="shared" si="7"/>
        <v>31</v>
      </c>
      <c r="B38" s="2" t="str">
        <f>'Billing Detail'!D13</f>
        <v xml:space="preserve">    Misc Adj</v>
      </c>
      <c r="D38" s="48">
        <f>'Billing Detail'!G270</f>
        <v>137110.90999999997</v>
      </c>
      <c r="E38" s="48">
        <f>'Billing Detail'!I270</f>
        <v>140210</v>
      </c>
      <c r="F38" s="57"/>
      <c r="G38" s="57"/>
      <c r="H38" s="57"/>
      <c r="I38" s="57"/>
      <c r="J38" s="48">
        <f>'Billing Detail'!M270</f>
        <v>140210</v>
      </c>
      <c r="K38" s="58"/>
      <c r="L38" s="58"/>
      <c r="M38" s="57"/>
      <c r="N38" s="57"/>
    </row>
    <row r="39" spans="1:19" x14ac:dyDescent="0.2">
      <c r="A39" s="3">
        <f t="shared" si="7"/>
        <v>32</v>
      </c>
      <c r="B39" s="2" t="str">
        <f>'Billing Detail'!D14</f>
        <v xml:space="preserve">    Green Power</v>
      </c>
      <c r="D39" s="48">
        <f>'Billing Detail'!G271</f>
        <v>1075</v>
      </c>
      <c r="E39" s="48">
        <f>'Billing Detail'!I271</f>
        <v>1075</v>
      </c>
      <c r="F39" s="57"/>
      <c r="G39" s="57"/>
      <c r="H39" s="57"/>
      <c r="I39" s="57"/>
      <c r="J39" s="48">
        <f>'Billing Detail'!M271</f>
        <v>1075</v>
      </c>
      <c r="K39" s="58"/>
      <c r="L39" s="58"/>
      <c r="M39" s="57"/>
      <c r="N39" s="66"/>
    </row>
    <row r="40" spans="1:19" x14ac:dyDescent="0.2">
      <c r="A40" s="3">
        <f t="shared" si="7"/>
        <v>33</v>
      </c>
      <c r="B40" s="49" t="s">
        <v>8</v>
      </c>
      <c r="C40" s="74"/>
      <c r="D40" s="50">
        <f>SUM(D36:D39)</f>
        <v>6706043.7599999988</v>
      </c>
      <c r="E40" s="50">
        <f>SUM(E36:E39)</f>
        <v>3160978.4745599991</v>
      </c>
      <c r="F40" s="59"/>
      <c r="G40" s="59"/>
      <c r="H40" s="59"/>
      <c r="I40" s="59"/>
      <c r="J40" s="50">
        <f>SUM(J36:J39)</f>
        <v>3160978.4745599991</v>
      </c>
      <c r="K40" s="60"/>
      <c r="L40" s="60"/>
      <c r="M40" s="59"/>
      <c r="N40" s="57"/>
    </row>
    <row r="41" spans="1:19" x14ac:dyDescent="0.2">
      <c r="A41" s="3">
        <f t="shared" si="7"/>
        <v>34</v>
      </c>
    </row>
    <row r="42" spans="1:19" ht="18" customHeight="1" thickBot="1" x14ac:dyDescent="0.25">
      <c r="A42" s="3">
        <f t="shared" si="7"/>
        <v>35</v>
      </c>
      <c r="B42" s="61" t="s">
        <v>9</v>
      </c>
      <c r="C42" s="76"/>
      <c r="D42" s="62">
        <f>D33+D40</f>
        <v>38661222.486659996</v>
      </c>
      <c r="E42" s="62">
        <f>E33+E40</f>
        <v>38711003.816659994</v>
      </c>
      <c r="F42" s="63"/>
      <c r="G42" s="63"/>
      <c r="H42" s="63"/>
      <c r="I42" s="63"/>
      <c r="J42" s="62">
        <f>J33+J40</f>
        <v>40537413.425558753</v>
      </c>
      <c r="K42" s="64"/>
      <c r="L42" s="63">
        <f t="shared" ref="L42" si="25">J42-E42</f>
        <v>1826409.6088987589</v>
      </c>
      <c r="M42" s="61"/>
      <c r="N42" s="65">
        <f>L42/E42</f>
        <v>4.7180631573101442E-2</v>
      </c>
    </row>
    <row r="43" spans="1:19" ht="18" customHeight="1" thickTop="1" x14ac:dyDescent="0.2">
      <c r="A43" s="3">
        <f t="shared" si="7"/>
        <v>36</v>
      </c>
      <c r="B43" s="2" t="s">
        <v>10</v>
      </c>
      <c r="D43" s="53">
        <v>38844166</v>
      </c>
      <c r="L43" s="53">
        <f>L2</f>
        <v>1824623.4330548942</v>
      </c>
    </row>
    <row r="44" spans="1:19" ht="15" customHeight="1" x14ac:dyDescent="0.2">
      <c r="A44" s="3">
        <f t="shared" si="7"/>
        <v>37</v>
      </c>
      <c r="B44" s="49" t="s">
        <v>36</v>
      </c>
      <c r="C44" s="74"/>
      <c r="D44" s="50">
        <f>D42-D43</f>
        <v>-182943.51334000379</v>
      </c>
      <c r="E44" s="49"/>
      <c r="F44" s="49"/>
      <c r="G44" s="49"/>
      <c r="H44" s="49"/>
      <c r="I44" s="49"/>
      <c r="J44" s="49"/>
      <c r="K44" s="49"/>
      <c r="L44" s="50">
        <f>L42-L43</f>
        <v>1786.1758438646793</v>
      </c>
    </row>
    <row r="45" spans="1:19" ht="15" customHeight="1" x14ac:dyDescent="0.2">
      <c r="A45" s="3">
        <f t="shared" si="7"/>
        <v>38</v>
      </c>
      <c r="B45" s="2" t="s">
        <v>36</v>
      </c>
      <c r="D45" s="47">
        <f>D44/D43</f>
        <v>-4.7096779820167533E-3</v>
      </c>
      <c r="L45" s="47">
        <f>L44/L43</f>
        <v>9.7892847998458312E-4</v>
      </c>
    </row>
    <row r="46" spans="1:19" x14ac:dyDescent="0.2">
      <c r="A46" s="3"/>
    </row>
    <row r="199" spans="2:2" x14ac:dyDescent="0.2">
      <c r="B199" s="165"/>
    </row>
    <row r="226" spans="2:2" x14ac:dyDescent="0.2">
      <c r="B226" s="165"/>
    </row>
  </sheetData>
  <printOptions horizontalCentered="1"/>
  <pageMargins left="0.7" right="0.7" top="0.75" bottom="0.75" header="0.3" footer="0.3"/>
  <pageSetup scale="67" orientation="landscape" r:id="rId1"/>
  <headerFooter>
    <oddHeader>&amp;R&amp;"Arial,Bold"&amp;10Exhibit 4
Page &amp;P of &amp;N</oddHeader>
  </headerFooter>
  <ignoredErrors>
    <ignoredError sqref="J27 F27 J14:J15 J9 G26 G9 G22 G13:G21 J10:J11 G10:G12 G23:G25 G29:K31 F33:K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sheetPr>
    <pageSetUpPr fitToPage="1"/>
  </sheetPr>
  <dimension ref="A1:T328"/>
  <sheetViews>
    <sheetView view="pageBreakPreview" zoomScale="75" zoomScaleNormal="75" zoomScaleSheetLayoutView="75" workbookViewId="0">
      <pane xSplit="4" ySplit="5" topLeftCell="E179" activePane="bottomRight" state="frozen"/>
      <selection activeCell="G49" sqref="G48:G49"/>
      <selection pane="topRight" activeCell="G49" sqref="G48:G49"/>
      <selection pane="bottomLeft" activeCell="G49" sqref="G48:G49"/>
      <selection pane="bottomRight" activeCell="L187" sqref="L187"/>
    </sheetView>
  </sheetViews>
  <sheetFormatPr defaultColWidth="8.85546875" defaultRowHeight="12.75" x14ac:dyDescent="0.2"/>
  <cols>
    <col min="1" max="1" width="7.42578125" style="6" customWidth="1"/>
    <col min="2" max="2" width="28.28515625" style="2" customWidth="1"/>
    <col min="3" max="3" width="6.7109375" style="20" customWidth="1"/>
    <col min="4" max="4" width="35.5703125" style="2" bestFit="1" customWidth="1"/>
    <col min="5" max="5" width="16.85546875" style="105" bestFit="1" customWidth="1"/>
    <col min="6" max="6" width="10" style="105" customWidth="1"/>
    <col min="7" max="7" width="13.85546875" style="105" customWidth="1"/>
    <col min="8" max="8" width="12.28515625" style="2" bestFit="1" customWidth="1"/>
    <col min="9" max="9" width="15.28515625" style="2" bestFit="1" customWidth="1"/>
    <col min="10" max="10" width="8.5703125" style="2" bestFit="1" customWidth="1"/>
    <col min="11" max="11" width="13.42578125" style="2" bestFit="1" customWidth="1"/>
    <col min="12" max="12" width="9.85546875" style="2" bestFit="1" customWidth="1"/>
    <col min="13" max="13" width="13.85546875" style="2" bestFit="1" customWidth="1"/>
    <col min="14" max="14" width="12" style="2" bestFit="1" customWidth="1"/>
    <col min="15" max="15" width="8.85546875" style="2" bestFit="1" customWidth="1"/>
    <col min="16" max="16" width="16.28515625" style="2" bestFit="1" customWidth="1"/>
    <col min="17" max="17" width="11.5703125" style="2" bestFit="1" customWidth="1"/>
    <col min="18" max="18" width="11.140625" style="2" bestFit="1" customWidth="1"/>
    <col min="19" max="19" width="12.42578125" style="2" bestFit="1" customWidth="1"/>
    <col min="20" max="20" width="13.5703125" style="2" bestFit="1" customWidth="1"/>
    <col min="21" max="21" width="8.85546875" style="2" customWidth="1"/>
    <col min="22" max="16384" width="8.85546875" style="2"/>
  </cols>
  <sheetData>
    <row r="1" spans="1:20" x14ac:dyDescent="0.2">
      <c r="A1" s="41" t="str">
        <f>Summary!A1</f>
        <v>GRAYSON RECC</v>
      </c>
      <c r="F1" s="109"/>
      <c r="G1" s="109"/>
    </row>
    <row r="2" spans="1:20" ht="14.45" customHeight="1" x14ac:dyDescent="0.2">
      <c r="A2" s="41" t="str">
        <f>Summary!A2</f>
        <v>Billing Analysis for Pass-Through Rate Increase</v>
      </c>
      <c r="P2" s="36"/>
    </row>
    <row r="5" spans="1:20" ht="38.450000000000003" customHeight="1" x14ac:dyDescent="0.2">
      <c r="A5" s="22" t="s">
        <v>1</v>
      </c>
      <c r="B5" s="22" t="s">
        <v>12</v>
      </c>
      <c r="C5" s="11" t="s">
        <v>11</v>
      </c>
      <c r="D5" s="22" t="s">
        <v>13</v>
      </c>
      <c r="E5" s="145" t="s">
        <v>14</v>
      </c>
      <c r="F5" s="146" t="s">
        <v>91</v>
      </c>
      <c r="G5" s="146" t="s">
        <v>92</v>
      </c>
      <c r="H5" s="13" t="s">
        <v>23</v>
      </c>
      <c r="I5" s="13" t="s">
        <v>24</v>
      </c>
      <c r="J5" s="13" t="s">
        <v>49</v>
      </c>
      <c r="K5" s="13" t="s">
        <v>10</v>
      </c>
      <c r="L5" s="13" t="s">
        <v>21</v>
      </c>
      <c r="M5" s="13" t="s">
        <v>4</v>
      </c>
      <c r="N5" s="13" t="s">
        <v>15</v>
      </c>
      <c r="O5" s="11" t="s">
        <v>16</v>
      </c>
      <c r="P5" s="13" t="s">
        <v>22</v>
      </c>
      <c r="Q5" s="13" t="s">
        <v>25</v>
      </c>
      <c r="R5" s="13" t="s">
        <v>37</v>
      </c>
      <c r="T5" s="13" t="s">
        <v>33</v>
      </c>
    </row>
    <row r="6" spans="1:20" ht="30.6" customHeight="1" thickBot="1" x14ac:dyDescent="0.25">
      <c r="A6" s="42"/>
      <c r="B6" s="30"/>
      <c r="C6" s="31"/>
      <c r="D6" s="30"/>
      <c r="E6" s="120"/>
      <c r="F6" s="120"/>
      <c r="G6" s="120"/>
      <c r="H6" s="32"/>
      <c r="I6" s="32"/>
      <c r="J6" s="32"/>
      <c r="K6" s="32"/>
      <c r="L6" s="32"/>
      <c r="M6" s="32"/>
      <c r="N6" s="32"/>
      <c r="O6" s="31"/>
      <c r="P6" s="32"/>
      <c r="Q6" s="32"/>
      <c r="R6" s="32"/>
    </row>
    <row r="7" spans="1:20" x14ac:dyDescent="0.2">
      <c r="A7" s="43">
        <v>1</v>
      </c>
      <c r="B7" s="33" t="s">
        <v>97</v>
      </c>
      <c r="C7" s="34">
        <v>1</v>
      </c>
      <c r="D7" s="33"/>
      <c r="E7" s="119"/>
      <c r="F7" s="119"/>
      <c r="G7" s="119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spans="1:20" x14ac:dyDescent="0.2">
      <c r="A8" s="43">
        <f>A7+1</f>
        <v>2</v>
      </c>
      <c r="C8" s="2"/>
      <c r="D8" s="2" t="s">
        <v>17</v>
      </c>
      <c r="E8" s="162">
        <v>127964</v>
      </c>
      <c r="F8" s="133">
        <f>H8</f>
        <v>21.84</v>
      </c>
      <c r="G8" s="98">
        <f>F8*E8</f>
        <v>2794733.76</v>
      </c>
      <c r="H8" s="147">
        <v>21.84</v>
      </c>
      <c r="I8" s="156">
        <f>H8*E8</f>
        <v>2794733.76</v>
      </c>
      <c r="J8" s="39">
        <f>I8/I10</f>
        <v>0.14727718928126401</v>
      </c>
      <c r="K8" s="39"/>
      <c r="L8" s="147">
        <f>ROUND(H8*S10,2)</f>
        <v>23.05</v>
      </c>
      <c r="M8" s="5">
        <f>L8*E8</f>
        <v>2949570.2</v>
      </c>
      <c r="N8" s="5">
        <f t="shared" ref="N8:N13" si="0">M8-I8</f>
        <v>154836.44000000041</v>
      </c>
      <c r="O8" s="4">
        <f>IF(I8=0,0,N8/I8)</f>
        <v>5.5402930402930553E-2</v>
      </c>
      <c r="P8" s="4">
        <f>M8/M10</f>
        <v>0.14728741032018675</v>
      </c>
      <c r="Q8" s="16">
        <f>P8-J8</f>
        <v>1.0221038922730852E-5</v>
      </c>
      <c r="R8" s="16"/>
      <c r="T8" s="4">
        <f>L8/H8-1</f>
        <v>5.5402930402930428E-2</v>
      </c>
    </row>
    <row r="9" spans="1:20" x14ac:dyDescent="0.2">
      <c r="A9" s="43">
        <f t="shared" ref="A9:A57" si="1">A8+1</f>
        <v>3</v>
      </c>
      <c r="B9" s="17"/>
      <c r="D9" s="2" t="s">
        <v>47</v>
      </c>
      <c r="E9" s="162">
        <v>133597082</v>
      </c>
      <c r="F9" s="134">
        <f>H9-$H$322</f>
        <v>0.10933000000000001</v>
      </c>
      <c r="G9" s="98">
        <f t="shared" ref="G9" si="2">F9*E9</f>
        <v>14606168.975060001</v>
      </c>
      <c r="H9" s="148">
        <v>0.12112000000000001</v>
      </c>
      <c r="I9" s="156">
        <f t="shared" ref="I9" si="3">H9*E9</f>
        <v>16181278.571840001</v>
      </c>
      <c r="J9" s="39">
        <f>I9/I10</f>
        <v>0.85272281071873601</v>
      </c>
      <c r="K9" s="39"/>
      <c r="L9" s="154">
        <f>ROUND(H9*S10,5)</f>
        <v>0.12781999999999999</v>
      </c>
      <c r="M9" s="5">
        <f t="shared" ref="M9" si="4">L9*E9</f>
        <v>17076379.02124</v>
      </c>
      <c r="N9" s="5">
        <f t="shared" si="0"/>
        <v>895100.44939999841</v>
      </c>
      <c r="O9" s="4">
        <f t="shared" ref="O9" si="5">IF(I9=0,0,N9/I9)</f>
        <v>5.5317040951122748E-2</v>
      </c>
      <c r="P9" s="4">
        <f>M9/M10</f>
        <v>0.85271258967981334</v>
      </c>
      <c r="Q9" s="16">
        <f t="shared" ref="Q9:Q10" si="6">P9-J9</f>
        <v>-1.0221038922675341E-5</v>
      </c>
      <c r="R9" s="16"/>
      <c r="T9" s="4">
        <f>L9/H9-1</f>
        <v>5.5317040951122776E-2</v>
      </c>
    </row>
    <row r="10" spans="1:20" s="6" customFormat="1" ht="20.45" customHeight="1" x14ac:dyDescent="0.25">
      <c r="A10" s="43">
        <f t="shared" si="1"/>
        <v>4</v>
      </c>
      <c r="B10" s="136"/>
      <c r="C10" s="21"/>
      <c r="D10" s="23" t="s">
        <v>6</v>
      </c>
      <c r="E10" s="23"/>
      <c r="F10" s="111"/>
      <c r="G10" s="24">
        <f>SUM(G8:G9)</f>
        <v>17400902.735059999</v>
      </c>
      <c r="H10" s="23"/>
      <c r="I10" s="157">
        <f>SUM(I8:I9)</f>
        <v>18976012.331840001</v>
      </c>
      <c r="J10" s="158">
        <f>SUM(J8:J9)</f>
        <v>1</v>
      </c>
      <c r="K10" s="40">
        <f>I10+Summary!I9</f>
        <v>20025670.821839999</v>
      </c>
      <c r="L10" s="23"/>
      <c r="M10" s="157">
        <f>SUM(M8:M9)</f>
        <v>20025949.221239999</v>
      </c>
      <c r="N10" s="157">
        <f>SUM(N8:N9)</f>
        <v>1049936.8893999988</v>
      </c>
      <c r="O10" s="25">
        <f t="shared" ref="O10" si="7">N10/I10</f>
        <v>5.5329690508173913E-2</v>
      </c>
      <c r="P10" s="25">
        <f>SUM(P8:P9)</f>
        <v>1</v>
      </c>
      <c r="Q10" s="26">
        <f t="shared" si="6"/>
        <v>0</v>
      </c>
      <c r="R10" s="37">
        <f>M10-K10</f>
        <v>278.39939999952912</v>
      </c>
      <c r="S10" s="77">
        <f>K10/I10</f>
        <v>1.0553150193857519</v>
      </c>
    </row>
    <row r="11" spans="1:20" x14ac:dyDescent="0.2">
      <c r="A11" s="43">
        <f t="shared" si="1"/>
        <v>5</v>
      </c>
      <c r="D11" s="2" t="s">
        <v>26</v>
      </c>
      <c r="E11" s="2"/>
      <c r="G11" s="128">
        <v>1343242.99</v>
      </c>
      <c r="I11" s="14">
        <f>G11-($H$322*E9)</f>
        <v>-231866.60678000003</v>
      </c>
      <c r="K11" s="14"/>
      <c r="M11" s="5">
        <f>I11</f>
        <v>-231866.60678000003</v>
      </c>
      <c r="N11" s="5">
        <f t="shared" si="0"/>
        <v>0</v>
      </c>
      <c r="O11" s="17">
        <v>0</v>
      </c>
      <c r="R11" s="38"/>
    </row>
    <row r="12" spans="1:20" x14ac:dyDescent="0.2">
      <c r="A12" s="43">
        <f t="shared" si="1"/>
        <v>6</v>
      </c>
      <c r="D12" s="2" t="s">
        <v>27</v>
      </c>
      <c r="E12" s="2"/>
      <c r="G12" s="128">
        <v>1826986.46</v>
      </c>
      <c r="I12" s="14">
        <f>G12</f>
        <v>1826986.46</v>
      </c>
      <c r="M12" s="5">
        <f t="shared" ref="M12:M14" si="8">I12</f>
        <v>1826986.46</v>
      </c>
      <c r="N12" s="5">
        <f t="shared" si="0"/>
        <v>0</v>
      </c>
      <c r="O12" s="17">
        <v>0</v>
      </c>
    </row>
    <row r="13" spans="1:20" x14ac:dyDescent="0.2">
      <c r="A13" s="43">
        <f t="shared" si="1"/>
        <v>7</v>
      </c>
      <c r="D13" s="2" t="s">
        <v>29</v>
      </c>
      <c r="E13" s="2"/>
      <c r="G13" s="128">
        <v>0</v>
      </c>
      <c r="I13" s="14">
        <f>G13</f>
        <v>0</v>
      </c>
      <c r="M13" s="5">
        <f t="shared" si="8"/>
        <v>0</v>
      </c>
      <c r="N13" s="5">
        <f t="shared" si="0"/>
        <v>0</v>
      </c>
      <c r="O13" s="17">
        <v>0</v>
      </c>
    </row>
    <row r="14" spans="1:20" x14ac:dyDescent="0.2">
      <c r="A14" s="43">
        <f t="shared" si="1"/>
        <v>8</v>
      </c>
      <c r="D14" s="2" t="s">
        <v>76</v>
      </c>
      <c r="E14" s="2"/>
      <c r="G14" s="128">
        <v>1009</v>
      </c>
      <c r="I14" s="14">
        <f>G14</f>
        <v>1009</v>
      </c>
      <c r="M14" s="5">
        <f t="shared" si="8"/>
        <v>1009</v>
      </c>
      <c r="N14" s="5"/>
      <c r="O14" s="17">
        <v>0</v>
      </c>
    </row>
    <row r="15" spans="1:20" x14ac:dyDescent="0.2">
      <c r="A15" s="43">
        <f t="shared" si="1"/>
        <v>9</v>
      </c>
      <c r="D15" s="18" t="s">
        <v>8</v>
      </c>
      <c r="E15" s="18"/>
      <c r="F15" s="114"/>
      <c r="G15" s="113">
        <f>SUM(G11:G14)</f>
        <v>3171238.45</v>
      </c>
      <c r="H15" s="18"/>
      <c r="I15" s="159">
        <f>SUM(I11:I14)</f>
        <v>1596128.8532199999</v>
      </c>
      <c r="J15" s="18"/>
      <c r="K15" s="18"/>
      <c r="L15" s="18"/>
      <c r="M15" s="19">
        <f>SUM(M11:M14)</f>
        <v>1596128.8532199999</v>
      </c>
      <c r="N15" s="19">
        <f>M15-I15</f>
        <v>0</v>
      </c>
      <c r="O15" s="27">
        <v>0</v>
      </c>
    </row>
    <row r="16" spans="1:20" s="6" customFormat="1" ht="26.45" customHeight="1" thickBot="1" x14ac:dyDescent="0.25">
      <c r="A16" s="43">
        <f t="shared" si="1"/>
        <v>10</v>
      </c>
      <c r="C16" s="21"/>
      <c r="D16" s="7" t="s">
        <v>19</v>
      </c>
      <c r="E16" s="7"/>
      <c r="F16" s="116"/>
      <c r="G16" s="115">
        <f>G10+G15</f>
        <v>20572141.185059998</v>
      </c>
      <c r="H16" s="7"/>
      <c r="I16" s="153">
        <f>I15+I10</f>
        <v>20572141.185060002</v>
      </c>
      <c r="J16" s="7"/>
      <c r="K16" s="7"/>
      <c r="L16" s="7"/>
      <c r="M16" s="8">
        <f>M15+M10</f>
        <v>21622078.07446</v>
      </c>
      <c r="N16" s="8">
        <f>M16-I16</f>
        <v>1049936.8893999979</v>
      </c>
      <c r="O16" s="9">
        <f>N16/I16</f>
        <v>5.1036830826461953E-2</v>
      </c>
      <c r="P16" s="2"/>
      <c r="Q16" s="2"/>
      <c r="R16" s="2"/>
    </row>
    <row r="17" spans="1:20" ht="13.5" thickTop="1" x14ac:dyDescent="0.2">
      <c r="A17" s="43">
        <f t="shared" si="1"/>
        <v>11</v>
      </c>
      <c r="D17" s="2" t="s">
        <v>18</v>
      </c>
      <c r="E17" s="147">
        <f>E9/E8</f>
        <v>1044.0208339845581</v>
      </c>
      <c r="G17" s="118">
        <f>G16/E8</f>
        <v>160.76506818370791</v>
      </c>
      <c r="I17" s="15">
        <f>I16/E8</f>
        <v>160.76506818370794</v>
      </c>
      <c r="M17" s="15">
        <f>M16/E8</f>
        <v>168.97000777140445</v>
      </c>
      <c r="N17" s="15">
        <f>M17-I17</f>
        <v>8.204939587696515</v>
      </c>
      <c r="O17" s="4">
        <f>N17/I17</f>
        <v>5.1036830826461904E-2</v>
      </c>
    </row>
    <row r="18" spans="1:20" ht="13.5" thickBot="1" x14ac:dyDescent="0.25">
      <c r="A18" s="43">
        <f t="shared" si="1"/>
        <v>12</v>
      </c>
      <c r="E18" s="2"/>
    </row>
    <row r="19" spans="1:20" x14ac:dyDescent="0.2">
      <c r="A19" s="43">
        <f t="shared" si="1"/>
        <v>13</v>
      </c>
      <c r="B19" s="33" t="s">
        <v>109</v>
      </c>
      <c r="C19" s="34">
        <v>2</v>
      </c>
      <c r="D19" s="33"/>
      <c r="E19" s="33"/>
      <c r="F19" s="119"/>
      <c r="G19" s="119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</row>
    <row r="20" spans="1:20" x14ac:dyDescent="0.2">
      <c r="A20" s="43">
        <f t="shared" si="1"/>
        <v>14</v>
      </c>
      <c r="C20" s="2"/>
      <c r="D20" s="2" t="s">
        <v>17</v>
      </c>
      <c r="E20" s="162">
        <v>13584</v>
      </c>
      <c r="F20" s="133">
        <f>H20</f>
        <v>30.83</v>
      </c>
      <c r="G20" s="98">
        <f>F20*E20</f>
        <v>418794.72</v>
      </c>
      <c r="H20" s="147">
        <v>30.83</v>
      </c>
      <c r="I20" s="156">
        <f>H20*E20</f>
        <v>418794.72</v>
      </c>
      <c r="J20" s="39">
        <f>I20/I22</f>
        <v>0.17831214923129854</v>
      </c>
      <c r="K20" s="39"/>
      <c r="L20" s="147">
        <f>ROUND(H20*S22,2)</f>
        <v>32.54</v>
      </c>
      <c r="M20" s="5">
        <f>L20*E20</f>
        <v>442023.36</v>
      </c>
      <c r="N20" s="5">
        <f>M20-I20</f>
        <v>23228.640000000014</v>
      </c>
      <c r="O20" s="4">
        <f>IF(I20=0,0,N20/I20)</f>
        <v>5.5465455724943276E-2</v>
      </c>
      <c r="P20" s="4">
        <f>M20/M$22</f>
        <v>0.17833275415891406</v>
      </c>
      <c r="Q20" s="16">
        <f>P20-J20</f>
        <v>2.0604927615519575E-5</v>
      </c>
      <c r="R20" s="16"/>
      <c r="T20" s="4">
        <f>L20/H20-1</f>
        <v>5.5465455724943213E-2</v>
      </c>
    </row>
    <row r="21" spans="1:20" x14ac:dyDescent="0.2">
      <c r="A21" s="43">
        <f t="shared" si="1"/>
        <v>15</v>
      </c>
      <c r="D21" s="2" t="s">
        <v>47</v>
      </c>
      <c r="E21" s="162">
        <v>15933503</v>
      </c>
      <c r="F21" s="134">
        <f>H21-$H$322</f>
        <v>0.10933000000000001</v>
      </c>
      <c r="G21" s="98">
        <f t="shared" ref="G21" si="9">F21*E21</f>
        <v>1742009.8829900001</v>
      </c>
      <c r="H21" s="149">
        <v>0.12112000000000001</v>
      </c>
      <c r="I21" s="156">
        <f t="shared" ref="I21" si="10">H21*E21</f>
        <v>1929865.8833600001</v>
      </c>
      <c r="J21" s="39">
        <f>I21/I22</f>
        <v>0.82168785076870143</v>
      </c>
      <c r="K21" s="39"/>
      <c r="L21" s="160">
        <f>ROUND(H21*S22,5)</f>
        <v>0.12781999999999999</v>
      </c>
      <c r="M21" s="5">
        <f t="shared" ref="M21" si="11">L21*E21</f>
        <v>2036620.3534599999</v>
      </c>
      <c r="N21" s="5">
        <f t="shared" ref="N21" si="12">M21-I21</f>
        <v>106754.4700999998</v>
      </c>
      <c r="O21" s="4">
        <f t="shared" ref="O21" si="13">IF(I21=0,0,N21/I21)</f>
        <v>5.5317040951122748E-2</v>
      </c>
      <c r="P21" s="4">
        <f>M21/M$22</f>
        <v>0.82166724584108597</v>
      </c>
      <c r="Q21" s="16">
        <f t="shared" ref="Q21" si="14">P21-J21</f>
        <v>-2.0604927615464064E-5</v>
      </c>
      <c r="R21" s="16"/>
      <c r="T21" s="4">
        <f>L21/H21-1</f>
        <v>5.5317040951122776E-2</v>
      </c>
    </row>
    <row r="22" spans="1:20" s="6" customFormat="1" ht="20.45" customHeight="1" x14ac:dyDescent="0.25">
      <c r="A22" s="43">
        <f t="shared" si="1"/>
        <v>16</v>
      </c>
      <c r="C22" s="21"/>
      <c r="D22" s="23" t="s">
        <v>6</v>
      </c>
      <c r="E22" s="23"/>
      <c r="F22" s="111"/>
      <c r="G22" s="24">
        <f>SUM(G20:G21)</f>
        <v>2160804.60299</v>
      </c>
      <c r="H22" s="23"/>
      <c r="I22" s="157">
        <f>SUM(I20:I21)</f>
        <v>2348660.6033600001</v>
      </c>
      <c r="J22" s="158">
        <f>SUM(J20:J21)</f>
        <v>1</v>
      </c>
      <c r="K22" s="40">
        <f>I22+Summary!I10</f>
        <v>2478576.81336</v>
      </c>
      <c r="L22" s="23"/>
      <c r="M22" s="157">
        <f>SUM(M20:M21)</f>
        <v>2478643.7134599998</v>
      </c>
      <c r="N22" s="157">
        <f>SUM(N20:N21)</f>
        <v>129983.11009999982</v>
      </c>
      <c r="O22" s="25">
        <f t="shared" ref="O22" si="15">N22/I22</f>
        <v>5.5343505108420364E-2</v>
      </c>
      <c r="P22" s="25">
        <f>SUM(P20:P21)</f>
        <v>1</v>
      </c>
      <c r="Q22" s="26">
        <f t="shared" ref="Q22" si="16">P22-J22</f>
        <v>0</v>
      </c>
      <c r="R22" s="37">
        <f>M22-K22</f>
        <v>66.900099999736995</v>
      </c>
      <c r="S22" s="77">
        <f>K22/I22</f>
        <v>1.055315020745927</v>
      </c>
    </row>
    <row r="23" spans="1:20" x14ac:dyDescent="0.2">
      <c r="A23" s="43">
        <f t="shared" si="1"/>
        <v>17</v>
      </c>
      <c r="D23" s="2" t="s">
        <v>26</v>
      </c>
      <c r="E23" s="2"/>
      <c r="G23" s="128">
        <v>170894.72</v>
      </c>
      <c r="I23" s="14">
        <f>G23-($H$322*E21)</f>
        <v>-16961.280369999993</v>
      </c>
      <c r="K23" s="14"/>
      <c r="M23" s="5">
        <f>I23</f>
        <v>-16961.280369999993</v>
      </c>
      <c r="N23" s="5">
        <f t="shared" ref="N23:N29" si="17">M23-I23</f>
        <v>0</v>
      </c>
      <c r="O23" s="17">
        <v>0</v>
      </c>
    </row>
    <row r="24" spans="1:20" x14ac:dyDescent="0.2">
      <c r="A24" s="43">
        <f t="shared" si="1"/>
        <v>18</v>
      </c>
      <c r="D24" s="2" t="s">
        <v>27</v>
      </c>
      <c r="E24" s="2"/>
      <c r="G24" s="128">
        <v>227294.29</v>
      </c>
      <c r="I24" s="14">
        <f t="shared" ref="I24:I26" si="18">G24</f>
        <v>227294.29</v>
      </c>
      <c r="M24" s="5">
        <f t="shared" ref="M24:M26" si="19">I24</f>
        <v>227294.29</v>
      </c>
      <c r="N24" s="5">
        <f t="shared" si="17"/>
        <v>0</v>
      </c>
      <c r="O24" s="17">
        <v>0</v>
      </c>
    </row>
    <row r="25" spans="1:20" x14ac:dyDescent="0.2">
      <c r="A25" s="43">
        <f t="shared" si="1"/>
        <v>19</v>
      </c>
      <c r="D25" s="2" t="s">
        <v>29</v>
      </c>
      <c r="E25" s="2"/>
      <c r="G25" s="128">
        <v>0</v>
      </c>
      <c r="I25" s="14">
        <f t="shared" si="18"/>
        <v>0</v>
      </c>
      <c r="M25" s="5">
        <f t="shared" si="19"/>
        <v>0</v>
      </c>
      <c r="N25" s="5">
        <f t="shared" si="17"/>
        <v>0</v>
      </c>
      <c r="O25" s="17">
        <v>0</v>
      </c>
    </row>
    <row r="26" spans="1:20" x14ac:dyDescent="0.2">
      <c r="A26" s="43">
        <f t="shared" si="1"/>
        <v>20</v>
      </c>
      <c r="D26" s="2" t="s">
        <v>76</v>
      </c>
      <c r="E26" s="2"/>
      <c r="G26" s="128">
        <v>33</v>
      </c>
      <c r="I26" s="14">
        <f t="shared" si="18"/>
        <v>33</v>
      </c>
      <c r="M26" s="5">
        <f t="shared" si="19"/>
        <v>33</v>
      </c>
      <c r="N26" s="5"/>
      <c r="O26" s="17"/>
    </row>
    <row r="27" spans="1:20" x14ac:dyDescent="0.2">
      <c r="A27" s="43">
        <f t="shared" si="1"/>
        <v>21</v>
      </c>
      <c r="D27" s="18" t="s">
        <v>8</v>
      </c>
      <c r="E27" s="18"/>
      <c r="F27" s="114"/>
      <c r="G27" s="113">
        <f>SUM(G23:G26)</f>
        <v>398222.01</v>
      </c>
      <c r="H27" s="18"/>
      <c r="I27" s="159">
        <f>SUM(I23:I26)</f>
        <v>210366.00963000002</v>
      </c>
      <c r="J27" s="18"/>
      <c r="K27" s="18"/>
      <c r="L27" s="18"/>
      <c r="M27" s="19">
        <f>SUM(M23:M26)</f>
        <v>210366.00963000002</v>
      </c>
      <c r="N27" s="19">
        <f t="shared" si="17"/>
        <v>0</v>
      </c>
      <c r="O27" s="27">
        <f t="shared" ref="O27" si="20">N27-J27</f>
        <v>0</v>
      </c>
    </row>
    <row r="28" spans="1:20" s="6" customFormat="1" ht="26.45" customHeight="1" thickBot="1" x14ac:dyDescent="0.25">
      <c r="A28" s="43">
        <f t="shared" si="1"/>
        <v>22</v>
      </c>
      <c r="C28" s="21"/>
      <c r="D28" s="7" t="s">
        <v>19</v>
      </c>
      <c r="E28" s="7"/>
      <c r="F28" s="116"/>
      <c r="G28" s="115">
        <f>G22+G27</f>
        <v>2559026.6129900003</v>
      </c>
      <c r="H28" s="7"/>
      <c r="I28" s="153">
        <f>I27+I22</f>
        <v>2559026.6129900003</v>
      </c>
      <c r="J28" s="7"/>
      <c r="K28" s="7"/>
      <c r="L28" s="7"/>
      <c r="M28" s="8">
        <f>M27+M22</f>
        <v>2689009.72309</v>
      </c>
      <c r="N28" s="8">
        <f t="shared" si="17"/>
        <v>129983.1100999997</v>
      </c>
      <c r="O28" s="9">
        <f>N28/I28</f>
        <v>5.0793965736888422E-2</v>
      </c>
      <c r="P28" s="2"/>
      <c r="Q28" s="2"/>
      <c r="R28" s="2"/>
    </row>
    <row r="29" spans="1:20" ht="13.5" thickTop="1" x14ac:dyDescent="0.2">
      <c r="A29" s="43">
        <f t="shared" si="1"/>
        <v>23</v>
      </c>
      <c r="D29" s="2" t="s">
        <v>18</v>
      </c>
      <c r="E29" s="147">
        <f>E21/E20</f>
        <v>1172.9610571260307</v>
      </c>
      <c r="G29" s="118">
        <f>G28/E20</f>
        <v>188.38535136852181</v>
      </c>
      <c r="I29" s="15">
        <f>I28/E20</f>
        <v>188.38535136852181</v>
      </c>
      <c r="M29" s="15">
        <f>M28/E20</f>
        <v>197.95419045126619</v>
      </c>
      <c r="N29" s="15">
        <f t="shared" si="17"/>
        <v>9.5688390827443754</v>
      </c>
      <c r="O29" s="4">
        <f>N29/I29</f>
        <v>5.079396573688838E-2</v>
      </c>
    </row>
    <row r="30" spans="1:20" ht="13.5" thickBot="1" x14ac:dyDescent="0.25">
      <c r="A30" s="43">
        <f t="shared" si="1"/>
        <v>24</v>
      </c>
      <c r="E30" s="2"/>
    </row>
    <row r="31" spans="1:20" x14ac:dyDescent="0.2">
      <c r="A31" s="43">
        <f t="shared" si="1"/>
        <v>25</v>
      </c>
      <c r="B31" s="33" t="s">
        <v>110</v>
      </c>
      <c r="C31" s="34">
        <v>4</v>
      </c>
      <c r="D31" s="33"/>
      <c r="E31" s="33"/>
      <c r="F31" s="119"/>
      <c r="G31" s="119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</row>
    <row r="32" spans="1:20" x14ac:dyDescent="0.2">
      <c r="A32" s="43">
        <f t="shared" si="1"/>
        <v>26</v>
      </c>
      <c r="C32" s="2"/>
      <c r="D32" s="2" t="s">
        <v>17</v>
      </c>
      <c r="E32" s="162">
        <v>801</v>
      </c>
      <c r="F32" s="133">
        <f>H32</f>
        <v>69.36</v>
      </c>
      <c r="G32" s="98">
        <f>F32*E32</f>
        <v>55557.36</v>
      </c>
      <c r="H32" s="147">
        <v>69.36</v>
      </c>
      <c r="I32" s="156">
        <f>H32*E32</f>
        <v>55557.36</v>
      </c>
      <c r="J32" s="39">
        <f>I32/I35</f>
        <v>2.5949806843838456E-2</v>
      </c>
      <c r="K32" s="39"/>
      <c r="L32" s="147">
        <f>ROUND(H32*S35,2)</f>
        <v>73.2</v>
      </c>
      <c r="M32" s="5">
        <f>L32*E32</f>
        <v>58633.200000000004</v>
      </c>
      <c r="N32" s="5">
        <f>M32-I32</f>
        <v>3075.8400000000038</v>
      </c>
      <c r="O32" s="4">
        <f>M32/M35</f>
        <v>2.5946691985664769E-2</v>
      </c>
      <c r="P32" s="4">
        <f>M32/M$35</f>
        <v>2.5946691985664769E-2</v>
      </c>
      <c r="Q32" s="16">
        <f>P32-J32</f>
        <v>-3.1148581736868686E-6</v>
      </c>
      <c r="R32" s="16"/>
    </row>
    <row r="33" spans="1:20" x14ac:dyDescent="0.2">
      <c r="A33" s="43">
        <f t="shared" si="1"/>
        <v>27</v>
      </c>
      <c r="D33" s="2" t="s">
        <v>48</v>
      </c>
      <c r="E33" s="162">
        <v>85463.99</v>
      </c>
      <c r="F33" s="133">
        <f>H33</f>
        <v>8.7799999999999994</v>
      </c>
      <c r="G33" s="98">
        <f t="shared" ref="G33" si="21">F33*E33</f>
        <v>750373.83219999995</v>
      </c>
      <c r="H33" s="147">
        <v>8.7799999999999994</v>
      </c>
      <c r="I33" s="156">
        <f t="shared" ref="I33" si="22">H33*E33</f>
        <v>750373.83219999995</v>
      </c>
      <c r="J33" s="39">
        <f>I33/I35</f>
        <v>0.35048562433961672</v>
      </c>
      <c r="K33" s="39"/>
      <c r="L33" s="147">
        <f>ROUND(H33*S35,2)</f>
        <v>9.27</v>
      </c>
      <c r="M33" s="5">
        <f t="shared" ref="M33" si="23">L33*E33</f>
        <v>792251.18729999999</v>
      </c>
      <c r="N33" s="5">
        <f t="shared" ref="N33" si="24">M33-I33</f>
        <v>41877.355100000044</v>
      </c>
      <c r="O33" s="4">
        <f>M33/M35</f>
        <v>0.35059143168290841</v>
      </c>
      <c r="P33" s="4">
        <f>M33/M$35</f>
        <v>0.35059143168290841</v>
      </c>
      <c r="Q33" s="16">
        <f t="shared" ref="Q33" si="25">P33-J33</f>
        <v>1.0580734329168617E-4</v>
      </c>
      <c r="R33" s="16"/>
      <c r="T33" s="4">
        <f>L33/H33-1</f>
        <v>5.580865603644658E-2</v>
      </c>
    </row>
    <row r="34" spans="1:20" x14ac:dyDescent="0.2">
      <c r="A34" s="43">
        <f t="shared" si="1"/>
        <v>28</v>
      </c>
      <c r="D34" s="2" t="s">
        <v>47</v>
      </c>
      <c r="E34" s="162">
        <v>18554878</v>
      </c>
      <c r="F34" s="134">
        <f>H34-$H$322</f>
        <v>6.0159999999999998E-2</v>
      </c>
      <c r="G34" s="98">
        <f t="shared" ref="G34" si="26">F34*E34</f>
        <v>1116261.4604799999</v>
      </c>
      <c r="H34" s="148">
        <v>7.195E-2</v>
      </c>
      <c r="I34" s="156">
        <f t="shared" ref="I34" si="27">H34*E34</f>
        <v>1335023.4720999999</v>
      </c>
      <c r="J34" s="39">
        <f>I34/I35</f>
        <v>0.62356456881654487</v>
      </c>
      <c r="K34" s="39"/>
      <c r="L34" s="154">
        <f>ROUND(H34*S35,5)</f>
        <v>7.5929999999999997E-2</v>
      </c>
      <c r="M34" s="5">
        <f t="shared" ref="M34" si="28">L34*E34</f>
        <v>1408871.8865399999</v>
      </c>
      <c r="N34" s="5">
        <f t="shared" ref="N34" si="29">M34-I34</f>
        <v>73848.414439999964</v>
      </c>
      <c r="O34" s="4">
        <f>N34/N35</f>
        <v>0.62161122838268879</v>
      </c>
      <c r="P34" s="4">
        <f>M34/M$35</f>
        <v>0.6234618763314268</v>
      </c>
      <c r="Q34" s="16">
        <f t="shared" ref="Q34" si="30">P34-J34</f>
        <v>-1.0269248511807216E-4</v>
      </c>
      <c r="R34" s="16"/>
      <c r="T34" s="4">
        <f>L34/H34-1</f>
        <v>5.5316191799861025E-2</v>
      </c>
    </row>
    <row r="35" spans="1:20" s="6" customFormat="1" ht="20.45" customHeight="1" x14ac:dyDescent="0.25">
      <c r="A35" s="43">
        <f t="shared" si="1"/>
        <v>29</v>
      </c>
      <c r="C35" s="21"/>
      <c r="D35" s="23" t="s">
        <v>6</v>
      </c>
      <c r="E35" s="23"/>
      <c r="F35" s="111"/>
      <c r="G35" s="24">
        <f>SUM(G32:G34)</f>
        <v>1922192.6526799998</v>
      </c>
      <c r="H35" s="23"/>
      <c r="I35" s="157">
        <f>SUM(I32:I34)</f>
        <v>2140954.6642999998</v>
      </c>
      <c r="J35" s="158">
        <f>SUM(J32:J34)</f>
        <v>1</v>
      </c>
      <c r="K35" s="40">
        <f>I35+Summary!I11</f>
        <v>2259381.6143</v>
      </c>
      <c r="L35" s="23"/>
      <c r="M35" s="157">
        <f>SUM(M32:M34)</f>
        <v>2259756.2738399999</v>
      </c>
      <c r="N35" s="157">
        <f>SUM(N32:N34)</f>
        <v>118801.60954</v>
      </c>
      <c r="O35" s="25">
        <f>SUM(O32:O34)</f>
        <v>0.99814935205126198</v>
      </c>
      <c r="P35" s="25">
        <f>SUM(P32:P34)</f>
        <v>1</v>
      </c>
      <c r="Q35" s="26">
        <f t="shared" ref="Q35" si="31">P35-J35</f>
        <v>0</v>
      </c>
      <c r="R35" s="37">
        <f>M35-K35</f>
        <v>374.65953999990597</v>
      </c>
      <c r="S35" s="77">
        <f>K35/I35</f>
        <v>1.0553150199650401</v>
      </c>
    </row>
    <row r="36" spans="1:20" x14ac:dyDescent="0.2">
      <c r="A36" s="43">
        <f t="shared" si="1"/>
        <v>30</v>
      </c>
      <c r="D36" s="2" t="s">
        <v>26</v>
      </c>
      <c r="E36" s="2"/>
      <c r="G36" s="128">
        <v>208909.26</v>
      </c>
      <c r="I36" s="14">
        <f>G36-($H$322*E34)</f>
        <v>-9852.7516199999955</v>
      </c>
      <c r="K36" s="14"/>
      <c r="M36" s="5">
        <f>I36</f>
        <v>-9852.7516199999955</v>
      </c>
      <c r="N36" s="5">
        <f t="shared" ref="N36:N42" si="32">M36-I36</f>
        <v>0</v>
      </c>
      <c r="O36" s="17">
        <v>0</v>
      </c>
    </row>
    <row r="37" spans="1:20" x14ac:dyDescent="0.2">
      <c r="A37" s="43">
        <f t="shared" si="1"/>
        <v>31</v>
      </c>
      <c r="D37" s="2" t="s">
        <v>27</v>
      </c>
      <c r="E37" s="2"/>
      <c r="G37" s="128">
        <v>199282.53</v>
      </c>
      <c r="I37" s="14">
        <f t="shared" ref="I37:I39" si="33">G37</f>
        <v>199282.53</v>
      </c>
      <c r="M37" s="5">
        <f t="shared" ref="M37:M39" si="34">I37</f>
        <v>199282.53</v>
      </c>
      <c r="N37" s="5">
        <f t="shared" si="32"/>
        <v>0</v>
      </c>
      <c r="O37" s="17">
        <v>0</v>
      </c>
    </row>
    <row r="38" spans="1:20" x14ac:dyDescent="0.2">
      <c r="A38" s="43">
        <f t="shared" si="1"/>
        <v>32</v>
      </c>
      <c r="D38" s="2" t="s">
        <v>29</v>
      </c>
      <c r="E38" s="2"/>
      <c r="G38" s="128">
        <v>0</v>
      </c>
      <c r="I38" s="14">
        <f t="shared" si="33"/>
        <v>0</v>
      </c>
      <c r="M38" s="5">
        <f t="shared" si="34"/>
        <v>0</v>
      </c>
      <c r="N38" s="5">
        <f t="shared" si="32"/>
        <v>0</v>
      </c>
      <c r="O38" s="17">
        <v>0</v>
      </c>
    </row>
    <row r="39" spans="1:20" x14ac:dyDescent="0.2">
      <c r="A39" s="43">
        <f t="shared" si="1"/>
        <v>33</v>
      </c>
      <c r="D39" s="2" t="s">
        <v>38</v>
      </c>
      <c r="E39" s="2"/>
      <c r="G39" s="128">
        <v>0</v>
      </c>
      <c r="I39" s="14">
        <f t="shared" si="33"/>
        <v>0</v>
      </c>
      <c r="M39" s="5">
        <f t="shared" si="34"/>
        <v>0</v>
      </c>
      <c r="N39" s="5"/>
      <c r="O39" s="17"/>
    </row>
    <row r="40" spans="1:20" x14ac:dyDescent="0.2">
      <c r="A40" s="43">
        <f t="shared" si="1"/>
        <v>34</v>
      </c>
      <c r="D40" s="18" t="s">
        <v>8</v>
      </c>
      <c r="E40" s="18"/>
      <c r="F40" s="114"/>
      <c r="G40" s="113">
        <f>SUM(G36:G39)</f>
        <v>408191.79000000004</v>
      </c>
      <c r="H40" s="18"/>
      <c r="I40" s="159">
        <f>SUM(I36:I39)</f>
        <v>189429.77838</v>
      </c>
      <c r="J40" s="18"/>
      <c r="K40" s="18"/>
      <c r="L40" s="18"/>
      <c r="M40" s="19">
        <f>SUM(M36:M39)</f>
        <v>189429.77838</v>
      </c>
      <c r="N40" s="19">
        <f t="shared" si="32"/>
        <v>0</v>
      </c>
      <c r="O40" s="27">
        <f t="shared" ref="O40" si="35">N40-J40</f>
        <v>0</v>
      </c>
    </row>
    <row r="41" spans="1:20" s="6" customFormat="1" ht="26.45" customHeight="1" thickBot="1" x14ac:dyDescent="0.25">
      <c r="A41" s="43">
        <f t="shared" si="1"/>
        <v>35</v>
      </c>
      <c r="C41" s="21"/>
      <c r="D41" s="7" t="s">
        <v>19</v>
      </c>
      <c r="E41" s="7"/>
      <c r="F41" s="116"/>
      <c r="G41" s="115">
        <f>G35+G40</f>
        <v>2330384.4426799999</v>
      </c>
      <c r="H41" s="7"/>
      <c r="I41" s="153">
        <f>I40+I35</f>
        <v>2330384.4426799999</v>
      </c>
      <c r="J41" s="7"/>
      <c r="K41" s="7"/>
      <c r="L41" s="7"/>
      <c r="M41" s="8">
        <f>M40+M35</f>
        <v>2449186.05222</v>
      </c>
      <c r="N41" s="8">
        <f t="shared" si="32"/>
        <v>118801.60954000009</v>
      </c>
      <c r="O41" s="9">
        <f>N41/I41</f>
        <v>5.097940381174846E-2</v>
      </c>
      <c r="P41" s="2"/>
      <c r="Q41" s="2"/>
      <c r="R41" s="2"/>
    </row>
    <row r="42" spans="1:20" ht="13.5" thickTop="1" x14ac:dyDescent="0.2">
      <c r="A42" s="43">
        <f t="shared" si="1"/>
        <v>36</v>
      </c>
      <c r="D42" s="2" t="s">
        <v>18</v>
      </c>
      <c r="E42" s="147">
        <f>E34/E32</f>
        <v>23164.641697877654</v>
      </c>
      <c r="G42" s="118">
        <f>G41/E32</f>
        <v>2909.3438735081145</v>
      </c>
      <c r="I42" s="15">
        <f>I41/E32</f>
        <v>2909.3438735081145</v>
      </c>
      <c r="M42" s="15">
        <f>M41/E32</f>
        <v>3057.6604896629215</v>
      </c>
      <c r="N42" s="15">
        <f t="shared" si="32"/>
        <v>148.31661615480698</v>
      </c>
      <c r="O42" s="4">
        <f>N42/I42</f>
        <v>5.0979403811748591E-2</v>
      </c>
    </row>
    <row r="43" spans="1:20" ht="13.5" thickBot="1" x14ac:dyDescent="0.25">
      <c r="A43" s="43">
        <f t="shared" si="1"/>
        <v>37</v>
      </c>
      <c r="E43" s="2"/>
    </row>
    <row r="44" spans="1:20" x14ac:dyDescent="0.2">
      <c r="A44" s="43">
        <f t="shared" si="1"/>
        <v>38</v>
      </c>
      <c r="B44" s="33" t="s">
        <v>66</v>
      </c>
      <c r="C44" s="34">
        <v>7</v>
      </c>
      <c r="D44" s="33"/>
      <c r="E44" s="33"/>
      <c r="F44" s="119"/>
      <c r="G44" s="119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</row>
    <row r="45" spans="1:20" x14ac:dyDescent="0.2">
      <c r="A45" s="43">
        <f t="shared" si="1"/>
        <v>39</v>
      </c>
      <c r="C45" s="2"/>
      <c r="D45" s="2" t="s">
        <v>17</v>
      </c>
      <c r="E45" s="162">
        <v>101</v>
      </c>
      <c r="F45" s="133">
        <f>H45</f>
        <v>38.53</v>
      </c>
      <c r="G45" s="98">
        <f>F45*E45</f>
        <v>3891.53</v>
      </c>
      <c r="H45" s="147">
        <v>38.53</v>
      </c>
      <c r="I45" s="156">
        <f>H45*E45</f>
        <v>3891.53</v>
      </c>
      <c r="J45" s="39">
        <f>I45/I48</f>
        <v>7.5814235288284692E-3</v>
      </c>
      <c r="K45" s="39"/>
      <c r="L45" s="147">
        <f>ROUND(H45*S48,2)</f>
        <v>40.659999999999997</v>
      </c>
      <c r="M45" s="5">
        <f>L45*E45</f>
        <v>4106.66</v>
      </c>
      <c r="N45" s="5">
        <f>M45-I45</f>
        <v>215.12999999999965</v>
      </c>
      <c r="O45" s="4">
        <f>IF(I45=0,0,N45/I45)</f>
        <v>5.5281598754217398E-2</v>
      </c>
      <c r="P45" s="4">
        <f>M45/M$48</f>
        <v>7.5799121435622674E-3</v>
      </c>
      <c r="Q45" s="16">
        <f>P45-J45</f>
        <v>-1.5113852662018007E-6</v>
      </c>
      <c r="R45" s="16"/>
      <c r="T45" s="4"/>
    </row>
    <row r="46" spans="1:20" x14ac:dyDescent="0.2">
      <c r="A46" s="43">
        <f t="shared" si="1"/>
        <v>40</v>
      </c>
      <c r="D46" s="2" t="s">
        <v>48</v>
      </c>
      <c r="E46" s="162">
        <v>16318.8</v>
      </c>
      <c r="F46" s="133">
        <f>H46</f>
        <v>6.78</v>
      </c>
      <c r="G46" s="98">
        <f t="shared" ref="G46" si="36">F46*E46</f>
        <v>110641.46399999999</v>
      </c>
      <c r="H46" s="147">
        <v>6.78</v>
      </c>
      <c r="I46" s="156">
        <f t="shared" ref="I46" si="37">H46*E46</f>
        <v>110641.46399999999</v>
      </c>
      <c r="J46" s="39">
        <f>I46/I48</f>
        <v>0.21555013026589231</v>
      </c>
      <c r="K46" s="39"/>
      <c r="L46" s="147">
        <f>ROUND(H46*S48,2)</f>
        <v>7.16</v>
      </c>
      <c r="M46" s="5">
        <f t="shared" ref="M46" si="38">L46*E46</f>
        <v>116842.60799999999</v>
      </c>
      <c r="N46" s="5">
        <f t="shared" ref="N46" si="39">M46-I46</f>
        <v>6201.1440000000002</v>
      </c>
      <c r="O46" s="4">
        <f t="shared" ref="O46" si="40">IF(I46=0,0,N46/I46)</f>
        <v>5.6047197640118E-2</v>
      </c>
      <c r="P46" s="4">
        <f>M46/M$48</f>
        <v>0.21566350836560264</v>
      </c>
      <c r="Q46" s="16">
        <f t="shared" ref="Q46" si="41">P46-J46</f>
        <v>1.1337809971032065E-4</v>
      </c>
      <c r="R46" s="16"/>
      <c r="T46" s="4">
        <f>L46/H46-1</f>
        <v>5.6047197640118007E-2</v>
      </c>
    </row>
    <row r="47" spans="1:20" x14ac:dyDescent="0.2">
      <c r="A47" s="43">
        <f t="shared" si="1"/>
        <v>41</v>
      </c>
      <c r="D47" s="2" t="s">
        <v>47</v>
      </c>
      <c r="E47" s="162">
        <v>4550035</v>
      </c>
      <c r="F47" s="134">
        <f>H47-$H$322</f>
        <v>7.5850000000000001E-2</v>
      </c>
      <c r="G47" s="98">
        <f t="shared" ref="G47" si="42">F47*E47</f>
        <v>345120.15474999999</v>
      </c>
      <c r="H47" s="148">
        <v>8.7639999999999996E-2</v>
      </c>
      <c r="I47" s="156">
        <f t="shared" ref="I47" si="43">H47*E47</f>
        <v>398765.0674</v>
      </c>
      <c r="J47" s="39">
        <f>I47/I48</f>
        <v>0.77686844620527917</v>
      </c>
      <c r="K47" s="39"/>
      <c r="L47" s="154">
        <f>ROUND(H47*S48,5)</f>
        <v>9.2490000000000003E-2</v>
      </c>
      <c r="M47" s="5">
        <f t="shared" ref="M47" si="44">L47*E47</f>
        <v>420832.73715</v>
      </c>
      <c r="N47" s="5">
        <f t="shared" ref="N47" si="45">M47-I47</f>
        <v>22067.669750000001</v>
      </c>
      <c r="O47" s="4">
        <f t="shared" ref="O47" si="46">IF(I47=0,0,N47/I47)</f>
        <v>5.5340027384755824E-2</v>
      </c>
      <c r="P47" s="4">
        <f>M47/M$48</f>
        <v>0.7767565794908351</v>
      </c>
      <c r="Q47" s="16">
        <f t="shared" ref="Q47" si="47">P47-J47</f>
        <v>-1.1186671444407548E-4</v>
      </c>
      <c r="R47" s="16"/>
      <c r="T47" s="4">
        <f>L47/H47-1</f>
        <v>5.5340027384755963E-2</v>
      </c>
    </row>
    <row r="48" spans="1:20" s="6" customFormat="1" ht="20.45" customHeight="1" x14ac:dyDescent="0.25">
      <c r="A48" s="43">
        <f t="shared" si="1"/>
        <v>42</v>
      </c>
      <c r="C48" s="21"/>
      <c r="D48" s="23" t="s">
        <v>6</v>
      </c>
      <c r="E48" s="23"/>
      <c r="F48" s="111"/>
      <c r="G48" s="24">
        <f>SUM(G45:G47)</f>
        <v>459653.14874999999</v>
      </c>
      <c r="H48" s="23"/>
      <c r="I48" s="157">
        <f>SUM(I45:I47)</f>
        <v>513298.06140000001</v>
      </c>
      <c r="J48" s="158">
        <f>SUM(J45:J47)</f>
        <v>1</v>
      </c>
      <c r="K48" s="40">
        <f>I48+Summary!I12</f>
        <v>541691.15139999997</v>
      </c>
      <c r="L48" s="23"/>
      <c r="M48" s="157">
        <f>SUM(M45:M47)</f>
        <v>541782.00514999998</v>
      </c>
      <c r="N48" s="157">
        <f>SUM(N45:N47)</f>
        <v>28483.943749999999</v>
      </c>
      <c r="O48" s="25">
        <f t="shared" ref="O48" si="48">N48/I48</f>
        <v>5.5492015053224979E-2</v>
      </c>
      <c r="P48" s="25">
        <f>SUM(P45:P47)</f>
        <v>1</v>
      </c>
      <c r="Q48" s="26">
        <f t="shared" ref="Q48" si="49">P48-J48</f>
        <v>0</v>
      </c>
      <c r="R48" s="37">
        <f>M48-K48</f>
        <v>90.853750000009313</v>
      </c>
      <c r="S48" s="77">
        <f>K48/I48</f>
        <v>1.0553150150666046</v>
      </c>
    </row>
    <row r="49" spans="1:20" x14ac:dyDescent="0.2">
      <c r="A49" s="43">
        <f t="shared" si="1"/>
        <v>43</v>
      </c>
      <c r="D49" s="2" t="s">
        <v>26</v>
      </c>
      <c r="E49" s="2"/>
      <c r="G49" s="128">
        <v>53198.82</v>
      </c>
      <c r="I49" s="14">
        <f>G49-($H$322*E47)</f>
        <v>-446.09264999999868</v>
      </c>
      <c r="K49" s="14"/>
      <c r="M49" s="5">
        <f>I49</f>
        <v>-446.09264999999868</v>
      </c>
      <c r="N49" s="5">
        <f t="shared" ref="N49:N55" si="50">M49-I49</f>
        <v>0</v>
      </c>
      <c r="O49" s="17">
        <v>0</v>
      </c>
    </row>
    <row r="50" spans="1:20" x14ac:dyDescent="0.2">
      <c r="A50" s="43">
        <f t="shared" si="1"/>
        <v>44</v>
      </c>
      <c r="D50" s="2" t="s">
        <v>27</v>
      </c>
      <c r="E50" s="2"/>
      <c r="G50" s="128">
        <v>49140.4</v>
      </c>
      <c r="I50" s="14">
        <f t="shared" ref="I50:I52" si="51">G50</f>
        <v>49140.4</v>
      </c>
      <c r="M50" s="5">
        <f t="shared" ref="M50:M52" si="52">I50</f>
        <v>49140.4</v>
      </c>
      <c r="N50" s="5">
        <f t="shared" si="50"/>
        <v>0</v>
      </c>
      <c r="O50" s="17">
        <v>0</v>
      </c>
    </row>
    <row r="51" spans="1:20" x14ac:dyDescent="0.2">
      <c r="A51" s="43">
        <f t="shared" si="1"/>
        <v>45</v>
      </c>
      <c r="D51" s="2" t="s">
        <v>29</v>
      </c>
      <c r="E51" s="2"/>
      <c r="G51" s="128">
        <v>0</v>
      </c>
      <c r="I51" s="14">
        <f t="shared" si="51"/>
        <v>0</v>
      </c>
      <c r="M51" s="5">
        <f t="shared" si="52"/>
        <v>0</v>
      </c>
      <c r="N51" s="5">
        <f t="shared" si="50"/>
        <v>0</v>
      </c>
      <c r="O51" s="17">
        <v>0</v>
      </c>
    </row>
    <row r="52" spans="1:20" x14ac:dyDescent="0.2">
      <c r="A52" s="43">
        <f t="shared" si="1"/>
        <v>46</v>
      </c>
      <c r="D52" s="2" t="s">
        <v>38</v>
      </c>
      <c r="E52" s="2"/>
      <c r="G52" s="128">
        <v>0</v>
      </c>
      <c r="I52" s="14">
        <f t="shared" si="51"/>
        <v>0</v>
      </c>
      <c r="M52" s="5">
        <f t="shared" si="52"/>
        <v>0</v>
      </c>
      <c r="N52" s="5"/>
      <c r="O52" s="17"/>
    </row>
    <row r="53" spans="1:20" x14ac:dyDescent="0.2">
      <c r="A53" s="43">
        <f t="shared" si="1"/>
        <v>47</v>
      </c>
      <c r="D53" s="18" t="s">
        <v>8</v>
      </c>
      <c r="E53" s="18"/>
      <c r="F53" s="114"/>
      <c r="G53" s="113">
        <f>SUM(G49:G52)</f>
        <v>102339.22</v>
      </c>
      <c r="H53" s="18"/>
      <c r="I53" s="159">
        <f>SUM(I49:I52)</f>
        <v>48694.307350000003</v>
      </c>
      <c r="J53" s="18"/>
      <c r="K53" s="18"/>
      <c r="L53" s="18"/>
      <c r="M53" s="19">
        <f>SUM(M49:M52)</f>
        <v>48694.307350000003</v>
      </c>
      <c r="N53" s="19">
        <f t="shared" si="50"/>
        <v>0</v>
      </c>
      <c r="O53" s="27">
        <f t="shared" ref="O53" si="53">N53-J53</f>
        <v>0</v>
      </c>
    </row>
    <row r="54" spans="1:20" s="6" customFormat="1" ht="26.45" customHeight="1" thickBot="1" x14ac:dyDescent="0.25">
      <c r="A54" s="43">
        <f t="shared" si="1"/>
        <v>48</v>
      </c>
      <c r="C54" s="21"/>
      <c r="D54" s="7" t="s">
        <v>19</v>
      </c>
      <c r="E54" s="7"/>
      <c r="F54" s="116"/>
      <c r="G54" s="115">
        <f>G48+G53</f>
        <v>561992.36875000002</v>
      </c>
      <c r="H54" s="7"/>
      <c r="I54" s="153">
        <f>I53+I48</f>
        <v>561992.36875000002</v>
      </c>
      <c r="J54" s="7"/>
      <c r="K54" s="7"/>
      <c r="L54" s="7"/>
      <c r="M54" s="8">
        <f>M53+M48</f>
        <v>590476.3125</v>
      </c>
      <c r="N54" s="8">
        <f t="shared" si="50"/>
        <v>28483.943749999977</v>
      </c>
      <c r="O54" s="9">
        <f>N54/I54</f>
        <v>5.0683862155201154E-2</v>
      </c>
      <c r="P54" s="2"/>
      <c r="Q54" s="2"/>
      <c r="R54" s="2"/>
    </row>
    <row r="55" spans="1:20" ht="13.5" thickTop="1" x14ac:dyDescent="0.2">
      <c r="A55" s="43">
        <f t="shared" si="1"/>
        <v>49</v>
      </c>
      <c r="D55" s="2" t="s">
        <v>18</v>
      </c>
      <c r="E55" s="147">
        <f>E47/E45</f>
        <v>45049.851485148516</v>
      </c>
      <c r="G55" s="118">
        <f>G54/E45</f>
        <v>5564.2808787128715</v>
      </c>
      <c r="I55" s="15">
        <f>I54/E45</f>
        <v>5564.2808787128715</v>
      </c>
      <c r="M55" s="15">
        <f>M54/E45</f>
        <v>5846.3001237623766</v>
      </c>
      <c r="N55" s="15">
        <f t="shared" si="50"/>
        <v>282.01924504950512</v>
      </c>
      <c r="O55" s="4">
        <f>N55/I55</f>
        <v>5.0683862155201223E-2</v>
      </c>
    </row>
    <row r="56" spans="1:20" ht="13.5" thickBot="1" x14ac:dyDescent="0.25">
      <c r="A56" s="43">
        <f t="shared" si="1"/>
        <v>50</v>
      </c>
      <c r="E56" s="2"/>
    </row>
    <row r="57" spans="1:20" x14ac:dyDescent="0.2">
      <c r="A57" s="43">
        <f t="shared" si="1"/>
        <v>51</v>
      </c>
      <c r="B57" s="166" t="s">
        <v>98</v>
      </c>
      <c r="C57" s="34">
        <v>14</v>
      </c>
      <c r="D57" s="33"/>
      <c r="E57" s="33"/>
      <c r="F57" s="119"/>
      <c r="G57" s="119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</row>
    <row r="58" spans="1:20" x14ac:dyDescent="0.2">
      <c r="A58" s="43">
        <f t="shared" ref="A58:A112" si="54">A57+1</f>
        <v>52</v>
      </c>
      <c r="B58" s="167"/>
      <c r="C58" s="2"/>
      <c r="D58" s="2" t="s">
        <v>17</v>
      </c>
      <c r="E58" s="162">
        <v>72</v>
      </c>
      <c r="F58" s="133">
        <f>H58</f>
        <v>69.36</v>
      </c>
      <c r="G58" s="98">
        <f>F58*E58</f>
        <v>4993.92</v>
      </c>
      <c r="H58" s="147">
        <f>H32</f>
        <v>69.36</v>
      </c>
      <c r="I58" s="156">
        <f>H58*E58</f>
        <v>4993.92</v>
      </c>
      <c r="J58" s="39">
        <f>I58/I61</f>
        <v>7.2679402951185907E-3</v>
      </c>
      <c r="K58" s="39"/>
      <c r="L58" s="147">
        <f>L32</f>
        <v>73.2</v>
      </c>
      <c r="M58" s="5">
        <f>L58*E58</f>
        <v>5270.4000000000005</v>
      </c>
      <c r="N58" s="5">
        <f>M58-I58</f>
        <v>276.48000000000047</v>
      </c>
      <c r="O58" s="4">
        <f>IF(I58=0,0,N58/I58)</f>
        <v>5.536332179930805E-2</v>
      </c>
      <c r="P58" s="4">
        <f>M58/M61</f>
        <v>7.2597364017977879E-3</v>
      </c>
      <c r="Q58" s="16">
        <f>P58-J58</f>
        <v>-8.203893320802777E-6</v>
      </c>
      <c r="R58" s="16"/>
      <c r="T58" s="4"/>
    </row>
    <row r="59" spans="1:20" x14ac:dyDescent="0.2">
      <c r="A59" s="43">
        <f t="shared" si="54"/>
        <v>53</v>
      </c>
      <c r="D59" s="2" t="s">
        <v>67</v>
      </c>
      <c r="E59" s="162">
        <v>25641.1</v>
      </c>
      <c r="F59" s="133">
        <f>H59</f>
        <v>8.629999999999999</v>
      </c>
      <c r="G59" s="98">
        <f t="shared" ref="G59" si="55">F59*E59</f>
        <v>221282.69299999997</v>
      </c>
      <c r="H59" s="147">
        <f>H33-0.15</f>
        <v>8.629999999999999</v>
      </c>
      <c r="I59" s="156">
        <f t="shared" ref="I59" si="56">H59*E59</f>
        <v>221282.69299999997</v>
      </c>
      <c r="J59" s="39">
        <f>I59/I61</f>
        <v>0.32204548752624318</v>
      </c>
      <c r="K59" s="39"/>
      <c r="L59" s="147">
        <f>L33-0.15</f>
        <v>9.1199999999999992</v>
      </c>
      <c r="M59" s="5">
        <f t="shared" ref="M59" si="57">L59*E59</f>
        <v>233846.83199999997</v>
      </c>
      <c r="N59" s="5">
        <f t="shared" ref="N59" si="58">M59-I59</f>
        <v>12564.138999999996</v>
      </c>
      <c r="O59" s="4">
        <f t="shared" ref="O59" si="59">IF(I59=0,0,N59/I59)</f>
        <v>5.6778679026651208E-2</v>
      </c>
      <c r="P59" s="4">
        <f>M59/M61</f>
        <v>0.32211338014486401</v>
      </c>
      <c r="Q59" s="16">
        <f t="shared" ref="Q59" si="60">P59-J59</f>
        <v>6.7892618620835066E-5</v>
      </c>
      <c r="R59" s="16"/>
      <c r="T59" s="4">
        <f>L59/H59-1</f>
        <v>5.6778679026651346E-2</v>
      </c>
    </row>
    <row r="60" spans="1:20" x14ac:dyDescent="0.2">
      <c r="A60" s="43">
        <f t="shared" si="54"/>
        <v>54</v>
      </c>
      <c r="B60" s="102"/>
      <c r="D60" s="2" t="s">
        <v>47</v>
      </c>
      <c r="E60" s="162">
        <v>6537660</v>
      </c>
      <c r="F60" s="134">
        <f>H60-$H$322</f>
        <v>5.8699999999999995E-2</v>
      </c>
      <c r="G60" s="98">
        <f t="shared" ref="G60" si="61">F60*E60</f>
        <v>383760.64199999999</v>
      </c>
      <c r="H60" s="148">
        <f>H34-0.00146</f>
        <v>7.0489999999999997E-2</v>
      </c>
      <c r="I60" s="156">
        <f t="shared" ref="I60" si="62">H60*E60</f>
        <v>460839.65340000001</v>
      </c>
      <c r="J60" s="39">
        <f>IF(I61=0,0,I60/I61)</f>
        <v>0.67068657217863825</v>
      </c>
      <c r="K60" s="39"/>
      <c r="L60" s="148">
        <f>L34-0.00146</f>
        <v>7.4469999999999995E-2</v>
      </c>
      <c r="M60" s="5">
        <f t="shared" ref="M60" si="63">L60*E60</f>
        <v>486859.54019999999</v>
      </c>
      <c r="N60" s="5">
        <f t="shared" ref="N60" si="64">M60-I60</f>
        <v>26019.886799999978</v>
      </c>
      <c r="O60" s="4">
        <f t="shared" ref="O60" si="65">IF(I60=0,0,N60/I60)</f>
        <v>5.6461909490707854E-2</v>
      </c>
      <c r="P60" s="4">
        <f>IF(M61=0,0,M60/M61)</f>
        <v>0.6706268834533381</v>
      </c>
      <c r="Q60" s="16">
        <f t="shared" ref="Q60" si="66">P60-J60</f>
        <v>-5.9688725300155454E-5</v>
      </c>
      <c r="R60" s="16"/>
      <c r="T60" s="4">
        <f>L60/H60-1</f>
        <v>5.6461909490707951E-2</v>
      </c>
    </row>
    <row r="61" spans="1:20" s="6" customFormat="1" ht="20.45" customHeight="1" x14ac:dyDescent="0.25">
      <c r="A61" s="43">
        <f t="shared" si="54"/>
        <v>55</v>
      </c>
      <c r="C61" s="21"/>
      <c r="D61" s="23" t="s">
        <v>6</v>
      </c>
      <c r="E61" s="23"/>
      <c r="F61" s="111"/>
      <c r="G61" s="24">
        <f>SUM(G58:G60)</f>
        <v>610037.255</v>
      </c>
      <c r="H61" s="23"/>
      <c r="I61" s="157">
        <f>SUM(I58:I60)</f>
        <v>687116.26639999996</v>
      </c>
      <c r="J61" s="158">
        <f>SUM(J58:J60)</f>
        <v>1</v>
      </c>
      <c r="K61" s="40">
        <f>I61+Summary!I13</f>
        <v>725124.11639999994</v>
      </c>
      <c r="L61" s="23"/>
      <c r="M61" s="157">
        <f>SUM(M58:M60)</f>
        <v>725976.77220000001</v>
      </c>
      <c r="N61" s="157">
        <f>SUM(N58:N60)</f>
        <v>38860.50579999997</v>
      </c>
      <c r="O61" s="25">
        <f>IF(I61=0,0,N61/I61)</f>
        <v>5.655593922059414E-2</v>
      </c>
      <c r="P61" s="25">
        <f>SUM(P58:P60)</f>
        <v>0.99999999999999989</v>
      </c>
      <c r="Q61" s="26">
        <f t="shared" ref="Q61" si="67">P61-J61</f>
        <v>0</v>
      </c>
      <c r="R61" s="37">
        <f>M61-K61</f>
        <v>852.65580000006594</v>
      </c>
      <c r="S61" s="77">
        <f>IF(I61=0,0,K61/I61)</f>
        <v>1.0553150199734522</v>
      </c>
    </row>
    <row r="62" spans="1:20" x14ac:dyDescent="0.2">
      <c r="A62" s="43">
        <f t="shared" si="54"/>
        <v>56</v>
      </c>
      <c r="D62" s="2" t="s">
        <v>26</v>
      </c>
      <c r="E62" s="2"/>
      <c r="G62" s="128">
        <v>66862.69</v>
      </c>
      <c r="I62" s="14">
        <f>G62-($H$322*E60)</f>
        <v>-10216.321400000001</v>
      </c>
      <c r="K62" s="14"/>
      <c r="M62" s="5">
        <f>I62</f>
        <v>-10216.321400000001</v>
      </c>
      <c r="N62" s="5">
        <f t="shared" ref="N62:N67" si="68">M62-I62</f>
        <v>0</v>
      </c>
      <c r="O62" s="17">
        <v>0</v>
      </c>
    </row>
    <row r="63" spans="1:20" x14ac:dyDescent="0.2">
      <c r="A63" s="43">
        <f t="shared" si="54"/>
        <v>57</v>
      </c>
      <c r="D63" s="2" t="s">
        <v>27</v>
      </c>
      <c r="E63" s="2"/>
      <c r="G63" s="128">
        <v>65796.490000000005</v>
      </c>
      <c r="I63" s="14">
        <f t="shared" ref="I63:I65" si="69">G63</f>
        <v>65796.490000000005</v>
      </c>
      <c r="M63" s="5">
        <f t="shared" ref="M63:M65" si="70">I63</f>
        <v>65796.490000000005</v>
      </c>
      <c r="N63" s="5">
        <f t="shared" si="68"/>
        <v>0</v>
      </c>
      <c r="O63" s="17">
        <v>0</v>
      </c>
    </row>
    <row r="64" spans="1:20" x14ac:dyDescent="0.2">
      <c r="A64" s="43">
        <f t="shared" si="54"/>
        <v>58</v>
      </c>
      <c r="D64" s="2" t="s">
        <v>29</v>
      </c>
      <c r="E64" s="2"/>
      <c r="F64" s="109"/>
      <c r="G64" s="128">
        <f>F64*E64</f>
        <v>0</v>
      </c>
      <c r="I64" s="14">
        <f t="shared" si="69"/>
        <v>0</v>
      </c>
      <c r="M64" s="5">
        <f t="shared" si="70"/>
        <v>0</v>
      </c>
      <c r="N64" s="5">
        <f t="shared" si="68"/>
        <v>0</v>
      </c>
      <c r="O64" s="17">
        <v>0</v>
      </c>
    </row>
    <row r="65" spans="1:20" x14ac:dyDescent="0.2">
      <c r="A65" s="43">
        <f t="shared" si="54"/>
        <v>59</v>
      </c>
      <c r="D65" s="2" t="s">
        <v>38</v>
      </c>
      <c r="E65" s="2"/>
      <c r="G65" s="128">
        <v>0</v>
      </c>
      <c r="I65" s="14">
        <f t="shared" si="69"/>
        <v>0</v>
      </c>
      <c r="M65" s="5">
        <f t="shared" si="70"/>
        <v>0</v>
      </c>
      <c r="N65" s="5"/>
      <c r="O65" s="17"/>
    </row>
    <row r="66" spans="1:20" x14ac:dyDescent="0.2">
      <c r="A66" s="43">
        <f t="shared" si="54"/>
        <v>60</v>
      </c>
      <c r="D66" s="18" t="s">
        <v>8</v>
      </c>
      <c r="E66" s="18"/>
      <c r="F66" s="114"/>
      <c r="G66" s="113">
        <f>SUM(G62:G65)</f>
        <v>132659.18</v>
      </c>
      <c r="H66" s="18"/>
      <c r="I66" s="159">
        <f>SUM(I62:I65)</f>
        <v>55580.168600000005</v>
      </c>
      <c r="J66" s="18"/>
      <c r="K66" s="18"/>
      <c r="L66" s="18"/>
      <c r="M66" s="19">
        <f>SUM(M62:M65)</f>
        <v>55580.168600000005</v>
      </c>
      <c r="N66" s="19">
        <f t="shared" si="68"/>
        <v>0</v>
      </c>
      <c r="O66" s="27">
        <f t="shared" ref="O66" si="71">N66-J66</f>
        <v>0</v>
      </c>
    </row>
    <row r="67" spans="1:20" s="6" customFormat="1" ht="26.45" customHeight="1" thickBot="1" x14ac:dyDescent="0.25">
      <c r="A67" s="43">
        <f t="shared" si="54"/>
        <v>61</v>
      </c>
      <c r="C67" s="21"/>
      <c r="D67" s="7" t="s">
        <v>19</v>
      </c>
      <c r="E67" s="7"/>
      <c r="F67" s="116"/>
      <c r="G67" s="115">
        <f>G61+G66</f>
        <v>742696.43500000006</v>
      </c>
      <c r="H67" s="7"/>
      <c r="I67" s="153">
        <f>I66+I61</f>
        <v>742696.43499999994</v>
      </c>
      <c r="J67" s="7"/>
      <c r="K67" s="7"/>
      <c r="L67" s="7"/>
      <c r="M67" s="8">
        <f>M66+M61</f>
        <v>781556.94079999998</v>
      </c>
      <c r="N67" s="8">
        <f t="shared" si="68"/>
        <v>38860.505800000043</v>
      </c>
      <c r="O67" s="9">
        <f>IF(I67=0,0,N67/I67)</f>
        <v>5.2323538889748472E-2</v>
      </c>
      <c r="P67" s="2"/>
      <c r="Q67" s="2"/>
      <c r="R67" s="2"/>
    </row>
    <row r="68" spans="1:20" ht="13.5" thickTop="1" x14ac:dyDescent="0.2">
      <c r="A68" s="43">
        <f t="shared" si="54"/>
        <v>62</v>
      </c>
      <c r="D68" s="2" t="s">
        <v>18</v>
      </c>
      <c r="E68" s="2">
        <f>E60/E58</f>
        <v>90800.833333333328</v>
      </c>
      <c r="G68" s="118">
        <f>G67</f>
        <v>742696.43500000006</v>
      </c>
      <c r="I68" s="15">
        <f>I67/E58</f>
        <v>10315.228263888888</v>
      </c>
      <c r="M68" s="15">
        <f>M67/E58</f>
        <v>10854.957511111112</v>
      </c>
      <c r="N68" s="15">
        <f>M68-I68</f>
        <v>539.72924722222342</v>
      </c>
      <c r="O68" s="4"/>
    </row>
    <row r="69" spans="1:20" ht="13.5" thickBot="1" x14ac:dyDescent="0.25">
      <c r="A69" s="43">
        <f t="shared" si="54"/>
        <v>63</v>
      </c>
      <c r="E69" s="2"/>
    </row>
    <row r="70" spans="1:20" x14ac:dyDescent="0.2">
      <c r="A70" s="43">
        <f t="shared" si="54"/>
        <v>64</v>
      </c>
      <c r="B70" s="168" t="s">
        <v>99</v>
      </c>
      <c r="C70" s="34">
        <v>16</v>
      </c>
      <c r="D70" s="33"/>
      <c r="E70" s="33"/>
      <c r="F70" s="119"/>
      <c r="G70" s="119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</row>
    <row r="71" spans="1:20" x14ac:dyDescent="0.2">
      <c r="A71" s="43">
        <f t="shared" si="54"/>
        <v>65</v>
      </c>
      <c r="B71" s="169"/>
      <c r="C71" s="2"/>
      <c r="D71" s="2" t="s">
        <v>17</v>
      </c>
      <c r="E71" s="162">
        <v>60</v>
      </c>
      <c r="F71" s="133">
        <f>H71</f>
        <v>30.83</v>
      </c>
      <c r="G71" s="98">
        <f>F71*E71</f>
        <v>1849.8</v>
      </c>
      <c r="H71" s="147">
        <v>30.83</v>
      </c>
      <c r="I71" s="156">
        <f>H71*E71</f>
        <v>1849.8</v>
      </c>
      <c r="J71" s="39">
        <f>IF(I74=0,0,I71/I74)</f>
        <v>9.2202950271502659E-2</v>
      </c>
      <c r="K71" s="39"/>
      <c r="L71" s="147">
        <f>ROUND(H71*S74,2)</f>
        <v>32.54</v>
      </c>
      <c r="M71" s="5">
        <f>L71*E71</f>
        <v>1952.3999999999999</v>
      </c>
      <c r="N71" s="5">
        <f>M71-I71</f>
        <v>102.59999999999991</v>
      </c>
      <c r="O71" s="4">
        <f>IF(I71=0,0,N71/I71)</f>
        <v>5.5465455724943193E-2</v>
      </c>
      <c r="P71" s="4">
        <f>IF(M$74=0,0,M71/M$74)</f>
        <v>9.2218797682393272E-2</v>
      </c>
      <c r="Q71" s="16">
        <f>P71-J71</f>
        <v>1.584741089061259E-5</v>
      </c>
      <c r="R71" s="16"/>
      <c r="T71" s="4">
        <f t="shared" ref="T71:T73" si="72">L71/H71-1</f>
        <v>5.5465455724943213E-2</v>
      </c>
    </row>
    <row r="72" spans="1:20" x14ac:dyDescent="0.2">
      <c r="A72" s="43">
        <f t="shared" si="54"/>
        <v>66</v>
      </c>
      <c r="D72" s="2" t="s">
        <v>47</v>
      </c>
      <c r="E72" s="162">
        <v>197500</v>
      </c>
      <c r="F72" s="134">
        <f>H72-$H$322</f>
        <v>6.404E-2</v>
      </c>
      <c r="G72" s="98">
        <f t="shared" ref="G72" si="73">F72*E72</f>
        <v>12647.9</v>
      </c>
      <c r="H72" s="149">
        <v>7.5829999999999995E-2</v>
      </c>
      <c r="I72" s="156">
        <f t="shared" ref="I72" si="74">H72*E72</f>
        <v>14976.424999999999</v>
      </c>
      <c r="J72" s="39">
        <f>IF(I75=0,0,I72/I$74)</f>
        <v>0.74649722646766625</v>
      </c>
      <c r="K72" s="39"/>
      <c r="L72" s="160">
        <f>ROUND(H72*S74,5)</f>
        <v>8.0019999999999994E-2</v>
      </c>
      <c r="M72" s="5">
        <f t="shared" ref="M72" si="75">L72*E72</f>
        <v>15803.949999999999</v>
      </c>
      <c r="N72" s="5">
        <f t="shared" ref="N72:N80" si="76">M72-I72</f>
        <v>827.52499999999964</v>
      </c>
      <c r="O72" s="4">
        <f t="shared" ref="O72" si="77">IF(I72=0,0,N72/I72)</f>
        <v>5.5255176051694561E-2</v>
      </c>
      <c r="P72" s="4">
        <f>IF(M$74=0,0,M72/M$74)</f>
        <v>0.74647678120910632</v>
      </c>
      <c r="Q72" s="16">
        <f t="shared" ref="Q72:Q74" si="78">P72-J72</f>
        <v>-2.044525855993129E-5</v>
      </c>
      <c r="R72" s="16"/>
      <c r="T72" s="4">
        <f t="shared" si="72"/>
        <v>5.525517605169461E-2</v>
      </c>
    </row>
    <row r="73" spans="1:20" x14ac:dyDescent="0.2">
      <c r="A73" s="43">
        <f t="shared" si="54"/>
        <v>67</v>
      </c>
      <c r="D73" s="2" t="s">
        <v>48</v>
      </c>
      <c r="E73" s="162">
        <v>477.29199999999997</v>
      </c>
      <c r="F73" s="133">
        <f>H73</f>
        <v>6.78</v>
      </c>
      <c r="G73" s="98">
        <f t="shared" ref="G73" si="79">F73*E73</f>
        <v>3236.0397600000001</v>
      </c>
      <c r="H73" s="147">
        <v>6.78</v>
      </c>
      <c r="I73" s="156">
        <f t="shared" ref="I73" si="80">H73*E73</f>
        <v>3236.0397600000001</v>
      </c>
      <c r="J73" s="39">
        <f>IF(I76=0,0,I73/I$74)</f>
        <v>0.16129982326083112</v>
      </c>
      <c r="K73" s="39"/>
      <c r="L73" s="147">
        <f>ROUND(H73*S74,5)</f>
        <v>7.15503</v>
      </c>
      <c r="M73" s="5">
        <f t="shared" ref="M73" si="81">L73*E73</f>
        <v>3415.0385787599998</v>
      </c>
      <c r="N73" s="5">
        <f t="shared" ref="N73" si="82">M73-I73</f>
        <v>178.99881875999972</v>
      </c>
      <c r="O73" s="4">
        <f t="shared" ref="O73" si="83">IF(I73=0,0,N73/I73)</f>
        <v>5.5314159292035307E-2</v>
      </c>
      <c r="P73" s="4">
        <f>IF(M$74=0,0,M73/M$74)</f>
        <v>0.16130442110850046</v>
      </c>
      <c r="Q73" s="16">
        <f t="shared" ref="Q73" si="84">P73-J73</f>
        <v>4.5978476693464554E-6</v>
      </c>
      <c r="R73" s="16"/>
      <c r="T73" s="4">
        <f t="shared" si="72"/>
        <v>5.5314159292035425E-2</v>
      </c>
    </row>
    <row r="74" spans="1:20" s="6" customFormat="1" ht="20.45" customHeight="1" x14ac:dyDescent="0.25">
      <c r="A74" s="43">
        <f t="shared" si="54"/>
        <v>68</v>
      </c>
      <c r="C74" s="21"/>
      <c r="D74" s="23" t="s">
        <v>6</v>
      </c>
      <c r="E74" s="23"/>
      <c r="F74" s="111"/>
      <c r="G74" s="24">
        <f>SUM(G71:G73)</f>
        <v>17733.73976</v>
      </c>
      <c r="H74" s="23"/>
      <c r="I74" s="157">
        <f>SUM(I71:I73)</f>
        <v>20062.264759999998</v>
      </c>
      <c r="J74" s="158">
        <f>SUM(J71:J73)</f>
        <v>1</v>
      </c>
      <c r="K74" s="40">
        <f>I74+Summary!I14</f>
        <v>21172.00476</v>
      </c>
      <c r="L74" s="23"/>
      <c r="M74" s="157">
        <f>SUM(M71:M73)</f>
        <v>21171.388578759997</v>
      </c>
      <c r="N74" s="157">
        <f>SUM(N71:N73)</f>
        <v>1109.1238187599993</v>
      </c>
      <c r="O74" s="25">
        <f>IF(I74=0,0,N74/I74)</f>
        <v>5.528407844419253E-2</v>
      </c>
      <c r="P74" s="25">
        <f>SUM(P71:P73)</f>
        <v>1</v>
      </c>
      <c r="Q74" s="26">
        <f t="shared" si="78"/>
        <v>0</v>
      </c>
      <c r="R74" s="37">
        <f>M74-K74</f>
        <v>-0.61618124000233365</v>
      </c>
      <c r="S74" s="77">
        <f>IF(I74=0,0,K74/I74)</f>
        <v>1.0553147918879324</v>
      </c>
    </row>
    <row r="75" spans="1:20" x14ac:dyDescent="0.2">
      <c r="A75" s="43">
        <f t="shared" si="54"/>
        <v>69</v>
      </c>
      <c r="D75" s="2" t="s">
        <v>26</v>
      </c>
      <c r="E75" s="2"/>
      <c r="G75" s="128">
        <v>2113.44</v>
      </c>
      <c r="I75" s="14">
        <f>G75-($H$322*E72)</f>
        <v>-215.08500000000004</v>
      </c>
      <c r="K75" s="14"/>
      <c r="M75" s="5">
        <f>I75</f>
        <v>-215.08500000000004</v>
      </c>
      <c r="N75" s="5">
        <f t="shared" si="76"/>
        <v>0</v>
      </c>
      <c r="O75" s="17">
        <v>0</v>
      </c>
    </row>
    <row r="76" spans="1:20" x14ac:dyDescent="0.2">
      <c r="A76" s="43">
        <f t="shared" si="54"/>
        <v>70</v>
      </c>
      <c r="D76" s="2" t="s">
        <v>27</v>
      </c>
      <c r="E76" s="2"/>
      <c r="G76" s="128">
        <v>1919.56</v>
      </c>
      <c r="I76" s="14">
        <f t="shared" ref="I76:I78" si="85">G76</f>
        <v>1919.56</v>
      </c>
      <c r="M76" s="5">
        <f t="shared" ref="M76:M78" si="86">I76</f>
        <v>1919.56</v>
      </c>
      <c r="N76" s="5">
        <f t="shared" si="76"/>
        <v>0</v>
      </c>
      <c r="O76" s="17">
        <v>0</v>
      </c>
    </row>
    <row r="77" spans="1:20" x14ac:dyDescent="0.2">
      <c r="A77" s="43">
        <f t="shared" si="54"/>
        <v>71</v>
      </c>
      <c r="D77" s="2" t="s">
        <v>29</v>
      </c>
      <c r="E77" s="2"/>
      <c r="G77" s="128">
        <v>0</v>
      </c>
      <c r="I77" s="14">
        <f t="shared" si="85"/>
        <v>0</v>
      </c>
      <c r="M77" s="5">
        <f t="shared" si="86"/>
        <v>0</v>
      </c>
      <c r="N77" s="5">
        <f t="shared" si="76"/>
        <v>0</v>
      </c>
      <c r="O77" s="17">
        <v>0</v>
      </c>
    </row>
    <row r="78" spans="1:20" x14ac:dyDescent="0.2">
      <c r="A78" s="43">
        <f t="shared" si="54"/>
        <v>72</v>
      </c>
      <c r="D78" s="2" t="s">
        <v>38</v>
      </c>
      <c r="E78" s="2"/>
      <c r="G78" s="128">
        <v>0</v>
      </c>
      <c r="I78" s="14">
        <f t="shared" si="85"/>
        <v>0</v>
      </c>
      <c r="M78" s="5">
        <f t="shared" si="86"/>
        <v>0</v>
      </c>
      <c r="N78" s="5"/>
      <c r="O78" s="17"/>
    </row>
    <row r="79" spans="1:20" x14ac:dyDescent="0.2">
      <c r="A79" s="43">
        <f t="shared" si="54"/>
        <v>73</v>
      </c>
      <c r="D79" s="18" t="s">
        <v>8</v>
      </c>
      <c r="E79" s="18"/>
      <c r="F79" s="114"/>
      <c r="G79" s="113">
        <f>SUM(G75:G78)</f>
        <v>4033</v>
      </c>
      <c r="H79" s="18"/>
      <c r="I79" s="159">
        <f>SUM(I75:I78)</f>
        <v>1704.4749999999999</v>
      </c>
      <c r="J79" s="18"/>
      <c r="K79" s="18"/>
      <c r="L79" s="18"/>
      <c r="M79" s="19">
        <f>SUM(M75:M78)</f>
        <v>1704.4749999999999</v>
      </c>
      <c r="N79" s="19">
        <f t="shared" si="76"/>
        <v>0</v>
      </c>
      <c r="O79" s="27">
        <f t="shared" ref="O79" si="87">N79-J79</f>
        <v>0</v>
      </c>
    </row>
    <row r="80" spans="1:20" s="6" customFormat="1" ht="26.45" customHeight="1" thickBot="1" x14ac:dyDescent="0.25">
      <c r="A80" s="43">
        <f t="shared" si="54"/>
        <v>74</v>
      </c>
      <c r="C80" s="21"/>
      <c r="D80" s="7" t="s">
        <v>19</v>
      </c>
      <c r="E80" s="7"/>
      <c r="F80" s="116"/>
      <c r="G80" s="115">
        <f>G74+G79</f>
        <v>21766.73976</v>
      </c>
      <c r="H80" s="7"/>
      <c r="I80" s="153">
        <f>I79+I74</f>
        <v>21766.739759999997</v>
      </c>
      <c r="J80" s="7"/>
      <c r="K80" s="7"/>
      <c r="L80" s="7"/>
      <c r="M80" s="8">
        <f>M79+M74</f>
        <v>22875.863578759996</v>
      </c>
      <c r="N80" s="8">
        <f t="shared" si="76"/>
        <v>1109.1238187599993</v>
      </c>
      <c r="O80" s="9">
        <f>IF(I80=0,0,N80/I80)</f>
        <v>5.0954981360975274E-2</v>
      </c>
      <c r="P80" s="2"/>
      <c r="Q80" s="2"/>
      <c r="R80" s="2"/>
    </row>
    <row r="81" spans="1:20" ht="13.5" thickTop="1" x14ac:dyDescent="0.2">
      <c r="A81" s="43">
        <f t="shared" si="54"/>
        <v>75</v>
      </c>
      <c r="D81" s="20"/>
      <c r="E81" s="150">
        <f>E72/E71</f>
        <v>3291.6666666666665</v>
      </c>
      <c r="F81" s="122"/>
      <c r="G81" s="122">
        <f>G80/E71</f>
        <v>362.77899600000001</v>
      </c>
      <c r="H81" s="150"/>
      <c r="I81" s="150">
        <f>I80/E71</f>
        <v>362.77899599999995</v>
      </c>
      <c r="J81" s="150"/>
      <c r="K81" s="90"/>
      <c r="L81" s="150"/>
      <c r="M81" s="90">
        <f>M80/E71</f>
        <v>381.26439297933325</v>
      </c>
      <c r="N81" s="90">
        <f>M81-I81</f>
        <v>18.485396979333302</v>
      </c>
      <c r="O81" s="20"/>
      <c r="P81" s="20"/>
      <c r="Q81" s="20"/>
    </row>
    <row r="82" spans="1:20" ht="13.5" thickBot="1" x14ac:dyDescent="0.25">
      <c r="A82" s="43">
        <f t="shared" si="54"/>
        <v>76</v>
      </c>
      <c r="E82" s="2"/>
    </row>
    <row r="83" spans="1:20" x14ac:dyDescent="0.2">
      <c r="A83" s="43">
        <f t="shared" si="54"/>
        <v>77</v>
      </c>
      <c r="B83" s="166" t="s">
        <v>100</v>
      </c>
      <c r="C83" s="34">
        <v>17</v>
      </c>
      <c r="D83" s="33"/>
      <c r="E83" s="33"/>
      <c r="F83" s="119"/>
      <c r="G83" s="119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</row>
    <row r="84" spans="1:20" x14ac:dyDescent="0.2">
      <c r="A84" s="43">
        <f t="shared" si="54"/>
        <v>78</v>
      </c>
      <c r="B84" s="167"/>
      <c r="C84" s="2"/>
      <c r="D84" s="2" t="s">
        <v>17</v>
      </c>
      <c r="E84" s="162">
        <v>12</v>
      </c>
      <c r="F84" s="133">
        <f>H84</f>
        <v>46.24</v>
      </c>
      <c r="G84" s="98">
        <f>F84*E84</f>
        <v>554.88</v>
      </c>
      <c r="H84" s="147">
        <v>46.24</v>
      </c>
      <c r="I84" s="156">
        <f>H84*E84</f>
        <v>554.88</v>
      </c>
      <c r="J84" s="39">
        <f>I84/I87</f>
        <v>0.25956175004345677</v>
      </c>
      <c r="K84" s="39"/>
      <c r="L84" s="147">
        <f>ROUND(H84*S87,2)</f>
        <v>48.8</v>
      </c>
      <c r="M84" s="5">
        <f>L84*E84</f>
        <v>585.59999999999991</v>
      </c>
      <c r="N84" s="5">
        <f>M84-I84</f>
        <v>30.719999999999914</v>
      </c>
      <c r="O84" s="4">
        <f>IF(I84=0,0,N84/I84)</f>
        <v>5.5363321799307801E-2</v>
      </c>
      <c r="P84" s="4">
        <f>M84/M$87</f>
        <v>0.25956793286410162</v>
      </c>
      <c r="Q84" s="16">
        <f>P84-J84</f>
        <v>6.1828206448510947E-6</v>
      </c>
      <c r="R84" s="16"/>
      <c r="T84" s="4">
        <f t="shared" ref="T84:T86" si="88">L84/H84-1</f>
        <v>5.5363321799307919E-2</v>
      </c>
    </row>
    <row r="85" spans="1:20" x14ac:dyDescent="0.2">
      <c r="A85" s="43">
        <f t="shared" si="54"/>
        <v>79</v>
      </c>
      <c r="D85" s="2" t="s">
        <v>69</v>
      </c>
      <c r="E85" s="162">
        <v>7880</v>
      </c>
      <c r="F85" s="134">
        <f>H85-$H$322</f>
        <v>0.14203000000000002</v>
      </c>
      <c r="G85" s="98">
        <f t="shared" ref="G85" si="89">F85*E85</f>
        <v>1119.1964</v>
      </c>
      <c r="H85" s="148">
        <v>0.15382000000000001</v>
      </c>
      <c r="I85" s="156">
        <f t="shared" ref="I85" si="90">H85*E85</f>
        <v>1212.1016000000002</v>
      </c>
      <c r="J85" s="39">
        <f>I85/I87</f>
        <v>0.56699685071812655</v>
      </c>
      <c r="K85" s="39"/>
      <c r="L85" s="148">
        <f>ROUND(H85*S$87,5)</f>
        <v>0.16233</v>
      </c>
      <c r="M85" s="5">
        <f t="shared" ref="M85" si="91">L85*E85</f>
        <v>1279.1604</v>
      </c>
      <c r="N85" s="5">
        <f t="shared" ref="N85" si="92">M85-I85</f>
        <v>67.058799999999792</v>
      </c>
      <c r="O85" s="4">
        <f t="shared" ref="O85" si="93">IF(I85=0,0,N85/I85)</f>
        <v>5.5324405148875128E-2</v>
      </c>
      <c r="P85" s="4">
        <f>M85/M$87</f>
        <v>0.56698944813800789</v>
      </c>
      <c r="Q85" s="16">
        <f t="shared" ref="Q85" si="94">P85-J85</f>
        <v>-7.4025801186650142E-6</v>
      </c>
      <c r="R85" s="16"/>
      <c r="T85" s="4">
        <f t="shared" ref="T85" si="95">L85/H85-1</f>
        <v>5.5324405148875266E-2</v>
      </c>
    </row>
    <row r="86" spans="1:20" x14ac:dyDescent="0.2">
      <c r="A86" s="43">
        <f t="shared" si="54"/>
        <v>80</v>
      </c>
      <c r="B86" s="68"/>
      <c r="D86" s="2" t="s">
        <v>70</v>
      </c>
      <c r="E86" s="162">
        <v>4520</v>
      </c>
      <c r="F86" s="134">
        <f>H86-$H$322</f>
        <v>7.0240000000000011E-2</v>
      </c>
      <c r="G86" s="98">
        <f t="shared" ref="G86" si="96">F86*E86</f>
        <v>317.48480000000006</v>
      </c>
      <c r="H86" s="148">
        <v>8.2030000000000006E-2</v>
      </c>
      <c r="I86" s="156">
        <f t="shared" ref="I86" si="97">H86*E86</f>
        <v>370.77560000000005</v>
      </c>
      <c r="J86" s="39">
        <f>I86/I87</f>
        <v>0.17344139923841681</v>
      </c>
      <c r="K86" s="39"/>
      <c r="L86" s="154">
        <f>ROUND(H86*S87,5)</f>
        <v>8.6569999999999994E-2</v>
      </c>
      <c r="M86" s="5">
        <f t="shared" ref="M86" si="98">L86*E86</f>
        <v>391.29639999999995</v>
      </c>
      <c r="N86" s="5">
        <f t="shared" ref="N86:N94" si="99">M86-I86</f>
        <v>20.520799999999895</v>
      </c>
      <c r="O86" s="4">
        <f t="shared" ref="O86" si="100">IF(I86=0,0,N86/I86)</f>
        <v>5.5345605266365672E-2</v>
      </c>
      <c r="P86" s="4">
        <f>M86/M$87</f>
        <v>0.17344261899789046</v>
      </c>
      <c r="Q86" s="16">
        <f t="shared" ref="Q86:Q87" si="101">P86-J86</f>
        <v>1.219759473647386E-6</v>
      </c>
      <c r="R86" s="16"/>
      <c r="T86" s="4">
        <f t="shared" si="88"/>
        <v>5.5345605266365894E-2</v>
      </c>
    </row>
    <row r="87" spans="1:20" s="6" customFormat="1" ht="20.45" customHeight="1" x14ac:dyDescent="0.25">
      <c r="A87" s="43">
        <f t="shared" si="54"/>
        <v>81</v>
      </c>
      <c r="C87" s="21"/>
      <c r="D87" s="23" t="s">
        <v>6</v>
      </c>
      <c r="E87" s="23"/>
      <c r="F87" s="111"/>
      <c r="G87" s="24">
        <f>SUM(G84:G86)</f>
        <v>1991.5612000000001</v>
      </c>
      <c r="H87" s="23"/>
      <c r="I87" s="157">
        <f>SUM(I84:I86)</f>
        <v>2137.7572</v>
      </c>
      <c r="J87" s="158">
        <f>SUM(J84:J86)</f>
        <v>1</v>
      </c>
      <c r="K87" s="40">
        <f>I87+Summary!I15</f>
        <v>2256.0072</v>
      </c>
      <c r="L87" s="23"/>
      <c r="M87" s="157">
        <f>SUM(M84:M86)</f>
        <v>2256.0567999999998</v>
      </c>
      <c r="N87" s="157">
        <f>SUM(N84:N86)</f>
        <v>118.2995999999996</v>
      </c>
      <c r="O87" s="25">
        <f t="shared" ref="O87" si="102">N87/I87</f>
        <v>5.5338183400808851E-2</v>
      </c>
      <c r="P87" s="25">
        <f>SUM(P84:P86)</f>
        <v>1</v>
      </c>
      <c r="Q87" s="26">
        <f t="shared" si="101"/>
        <v>0</v>
      </c>
      <c r="R87" s="37">
        <f>M87-K87</f>
        <v>4.959999999982756E-2</v>
      </c>
      <c r="S87" s="77">
        <f>K87/I87</f>
        <v>1.0553149815142711</v>
      </c>
    </row>
    <row r="88" spans="1:20" x14ac:dyDescent="0.2">
      <c r="A88" s="43">
        <f t="shared" si="54"/>
        <v>82</v>
      </c>
      <c r="D88" s="2" t="s">
        <v>26</v>
      </c>
      <c r="E88" s="2"/>
      <c r="G88" s="128">
        <v>129.28</v>
      </c>
      <c r="I88" s="14">
        <f>G88-($H$322*(E85+E86))</f>
        <v>-16.915999999999997</v>
      </c>
      <c r="K88" s="14"/>
      <c r="M88" s="5">
        <f>I88</f>
        <v>-16.915999999999997</v>
      </c>
      <c r="N88" s="5">
        <f t="shared" si="99"/>
        <v>0</v>
      </c>
      <c r="O88" s="17">
        <v>0</v>
      </c>
    </row>
    <row r="89" spans="1:20" x14ac:dyDescent="0.2">
      <c r="A89" s="43">
        <f t="shared" si="54"/>
        <v>83</v>
      </c>
      <c r="D89" s="2" t="s">
        <v>27</v>
      </c>
      <c r="E89" s="2"/>
      <c r="G89" s="128">
        <v>220.48</v>
      </c>
      <c r="I89" s="14">
        <f t="shared" ref="I89:I91" si="103">G89</f>
        <v>220.48</v>
      </c>
      <c r="M89" s="5">
        <f t="shared" ref="M89:M91" si="104">I89</f>
        <v>220.48</v>
      </c>
      <c r="N89" s="5">
        <f t="shared" si="99"/>
        <v>0</v>
      </c>
      <c r="O89" s="17">
        <v>0</v>
      </c>
    </row>
    <row r="90" spans="1:20" x14ac:dyDescent="0.2">
      <c r="A90" s="43">
        <f t="shared" si="54"/>
        <v>84</v>
      </c>
      <c r="D90" s="2" t="s">
        <v>29</v>
      </c>
      <c r="E90" s="2"/>
      <c r="G90" s="128">
        <v>0</v>
      </c>
      <c r="I90" s="14">
        <f t="shared" si="103"/>
        <v>0</v>
      </c>
      <c r="M90" s="5">
        <f t="shared" si="104"/>
        <v>0</v>
      </c>
      <c r="N90" s="5">
        <f t="shared" si="99"/>
        <v>0</v>
      </c>
      <c r="O90" s="17">
        <v>0</v>
      </c>
    </row>
    <row r="91" spans="1:20" x14ac:dyDescent="0.2">
      <c r="A91" s="43">
        <f t="shared" si="54"/>
        <v>85</v>
      </c>
      <c r="D91" s="2" t="s">
        <v>38</v>
      </c>
      <c r="E91" s="2"/>
      <c r="G91" s="128">
        <v>0</v>
      </c>
      <c r="I91" s="14">
        <f t="shared" si="103"/>
        <v>0</v>
      </c>
      <c r="M91" s="5">
        <f t="shared" si="104"/>
        <v>0</v>
      </c>
      <c r="N91" s="5"/>
      <c r="O91" s="17"/>
    </row>
    <row r="92" spans="1:20" x14ac:dyDescent="0.2">
      <c r="A92" s="43">
        <f t="shared" si="54"/>
        <v>86</v>
      </c>
      <c r="D92" s="18" t="s">
        <v>8</v>
      </c>
      <c r="E92" s="18"/>
      <c r="F92" s="114"/>
      <c r="G92" s="113">
        <f>SUM(G88:G91)</f>
        <v>349.76</v>
      </c>
      <c r="H92" s="18"/>
      <c r="I92" s="159">
        <f>SUM(I88:I91)</f>
        <v>203.56399999999999</v>
      </c>
      <c r="J92" s="18"/>
      <c r="K92" s="18"/>
      <c r="L92" s="18"/>
      <c r="M92" s="19">
        <f>SUM(M88:M91)</f>
        <v>203.56399999999999</v>
      </c>
      <c r="N92" s="19">
        <f t="shared" si="99"/>
        <v>0</v>
      </c>
      <c r="O92" s="27">
        <f t="shared" ref="O92" si="105">N92-J92</f>
        <v>0</v>
      </c>
    </row>
    <row r="93" spans="1:20" s="6" customFormat="1" ht="26.45" customHeight="1" thickBot="1" x14ac:dyDescent="0.25">
      <c r="A93" s="43">
        <f t="shared" si="54"/>
        <v>87</v>
      </c>
      <c r="C93" s="21"/>
      <c r="D93" s="7" t="s">
        <v>19</v>
      </c>
      <c r="E93" s="7"/>
      <c r="F93" s="116"/>
      <c r="G93" s="115">
        <f>G87+G92</f>
        <v>2341.3212000000003</v>
      </c>
      <c r="H93" s="7"/>
      <c r="I93" s="153">
        <f>I92+I87</f>
        <v>2341.3211999999999</v>
      </c>
      <c r="J93" s="7"/>
      <c r="K93" s="7"/>
      <c r="L93" s="7"/>
      <c r="M93" s="8">
        <f>M92+M87</f>
        <v>2459.6207999999997</v>
      </c>
      <c r="N93" s="8">
        <f t="shared" si="99"/>
        <v>118.29959999999983</v>
      </c>
      <c r="O93" s="9">
        <f>N93/I93</f>
        <v>5.0526856374939005E-2</v>
      </c>
      <c r="P93" s="2"/>
      <c r="Q93" s="2"/>
      <c r="R93" s="2"/>
    </row>
    <row r="94" spans="1:20" ht="13.5" thickTop="1" x14ac:dyDescent="0.2">
      <c r="A94" s="43">
        <f t="shared" si="54"/>
        <v>88</v>
      </c>
      <c r="D94" s="2" t="s">
        <v>18</v>
      </c>
      <c r="E94" s="147">
        <f>(E85+E86)/E84</f>
        <v>1033.3333333333333</v>
      </c>
      <c r="G94" s="118">
        <f>G93/E84</f>
        <v>195.11010000000002</v>
      </c>
      <c r="I94" s="15">
        <f>I93/E84</f>
        <v>195.11009999999999</v>
      </c>
      <c r="M94" s="15">
        <f>M93/E84</f>
        <v>204.96839999999997</v>
      </c>
      <c r="N94" s="15">
        <f t="shared" si="99"/>
        <v>9.8582999999999856</v>
      </c>
      <c r="O94" s="4">
        <f>N94/I94</f>
        <v>5.0526856374939005E-2</v>
      </c>
    </row>
    <row r="95" spans="1:20" ht="13.5" thickBot="1" x14ac:dyDescent="0.25">
      <c r="A95" s="43">
        <f t="shared" si="54"/>
        <v>89</v>
      </c>
      <c r="E95" s="2"/>
    </row>
    <row r="96" spans="1:20" x14ac:dyDescent="0.2">
      <c r="A96" s="43">
        <f t="shared" si="54"/>
        <v>90</v>
      </c>
      <c r="B96" s="166" t="s">
        <v>101</v>
      </c>
      <c r="C96" s="34">
        <v>18</v>
      </c>
      <c r="D96" s="33"/>
      <c r="E96" s="33"/>
      <c r="F96" s="119"/>
      <c r="G96" s="119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</row>
    <row r="97" spans="1:20" x14ac:dyDescent="0.2">
      <c r="A97" s="43">
        <f t="shared" si="54"/>
        <v>91</v>
      </c>
      <c r="B97" s="167"/>
      <c r="C97" s="2"/>
      <c r="D97" s="2" t="s">
        <v>17</v>
      </c>
      <c r="E97" s="162">
        <v>27742</v>
      </c>
      <c r="F97" s="133">
        <f>H97</f>
        <v>28.26</v>
      </c>
      <c r="G97" s="98">
        <f>F97*E97</f>
        <v>783988.92</v>
      </c>
      <c r="H97" s="147">
        <v>28.26</v>
      </c>
      <c r="I97" s="156">
        <f>H97*E97</f>
        <v>783988.92</v>
      </c>
      <c r="J97" s="39">
        <f>I97/I99</f>
        <v>0.45112173164013436</v>
      </c>
      <c r="K97" s="39"/>
      <c r="L97" s="147">
        <f>ROUND(H97*S99,2)</f>
        <v>29.82</v>
      </c>
      <c r="M97" s="5">
        <f>L97*E97</f>
        <v>827266.44000000006</v>
      </c>
      <c r="N97" s="5">
        <f>M97-I97</f>
        <v>43277.520000000019</v>
      </c>
      <c r="O97" s="4">
        <f>IF(I97=0,0,N97/I97)</f>
        <v>5.5201698513800447E-2</v>
      </c>
      <c r="P97" s="4">
        <f>M97/M$99</f>
        <v>0.4510992621466054</v>
      </c>
      <c r="Q97" s="16">
        <f>P97-J97</f>
        <v>-2.2469493528964879E-5</v>
      </c>
      <c r="R97" s="16"/>
      <c r="T97" s="4">
        <f t="shared" ref="T97:T98" si="106">L97/H97-1</f>
        <v>5.5201698513800412E-2</v>
      </c>
    </row>
    <row r="98" spans="1:20" x14ac:dyDescent="0.2">
      <c r="A98" s="43">
        <f t="shared" si="54"/>
        <v>92</v>
      </c>
      <c r="D98" s="2" t="s">
        <v>47</v>
      </c>
      <c r="E98" s="162">
        <v>6154837</v>
      </c>
      <c r="F98" s="134">
        <f>H98-$H$322</f>
        <v>0.14319000000000001</v>
      </c>
      <c r="G98" s="98">
        <f t="shared" ref="G98" si="107">F98*E98</f>
        <v>881311.1100300001</v>
      </c>
      <c r="H98" s="148">
        <v>0.15498000000000001</v>
      </c>
      <c r="I98" s="156">
        <f>H98*E98</f>
        <v>953876.63826000004</v>
      </c>
      <c r="J98" s="39">
        <f>I98/I99</f>
        <v>0.54887826835986564</v>
      </c>
      <c r="K98" s="39"/>
      <c r="L98" s="148">
        <f>ROUND(H98*S99,5)</f>
        <v>0.16355</v>
      </c>
      <c r="M98" s="5">
        <f t="shared" ref="M98" si="108">L98*E98</f>
        <v>1006623.59135</v>
      </c>
      <c r="N98" s="5">
        <f t="shared" ref="N98:N102" si="109">M98-I98</f>
        <v>52746.953089999966</v>
      </c>
      <c r="O98" s="4">
        <f t="shared" ref="O98" si="110">IF(I98=0,0,N98/I98)</f>
        <v>5.5297457736482092E-2</v>
      </c>
      <c r="P98" s="4">
        <f>M98/M$99</f>
        <v>0.54890073785339466</v>
      </c>
      <c r="Q98" s="16">
        <f t="shared" ref="Q98:Q99" si="111">P98-J98</f>
        <v>2.246949352902039E-5</v>
      </c>
      <c r="R98" s="16"/>
      <c r="T98" s="4">
        <f t="shared" si="106"/>
        <v>5.5297457736481981E-2</v>
      </c>
    </row>
    <row r="99" spans="1:20" s="6" customFormat="1" ht="20.45" customHeight="1" x14ac:dyDescent="0.25">
      <c r="A99" s="43">
        <f t="shared" si="54"/>
        <v>93</v>
      </c>
      <c r="C99" s="21"/>
      <c r="D99" s="23" t="s">
        <v>6</v>
      </c>
      <c r="E99" s="23"/>
      <c r="F99" s="111"/>
      <c r="G99" s="24">
        <f>SUM(G97:G98)</f>
        <v>1665300.03003</v>
      </c>
      <c r="H99" s="23"/>
      <c r="I99" s="157">
        <f>SUM(I97:I98)</f>
        <v>1737865.5582600001</v>
      </c>
      <c r="J99" s="158">
        <f>SUM(J97:J98)</f>
        <v>1</v>
      </c>
      <c r="K99" s="40">
        <f>I99+Summary!I16</f>
        <v>1833995.6282600001</v>
      </c>
      <c r="L99" s="23"/>
      <c r="M99" s="157">
        <f>SUM(M97:M98)</f>
        <v>1833890.0313500001</v>
      </c>
      <c r="N99" s="157">
        <f>SUM(N97:N98)</f>
        <v>96024.473089999985</v>
      </c>
      <c r="O99" s="25">
        <f t="shared" ref="O99" si="112">N99/I99</f>
        <v>5.5254258670125435E-2</v>
      </c>
      <c r="P99" s="25">
        <f>SUM(P97:P98)</f>
        <v>1</v>
      </c>
      <c r="Q99" s="26">
        <f t="shared" si="111"/>
        <v>0</v>
      </c>
      <c r="R99" s="37">
        <f>M99-K99</f>
        <v>-105.59691000008024</v>
      </c>
      <c r="S99" s="77">
        <f>K99/I99</f>
        <v>1.0553150210861237</v>
      </c>
    </row>
    <row r="100" spans="1:20" x14ac:dyDescent="0.2">
      <c r="A100" s="43">
        <f t="shared" si="54"/>
        <v>94</v>
      </c>
      <c r="D100" s="2" t="s">
        <v>26</v>
      </c>
      <c r="E100" s="2"/>
      <c r="G100" s="128">
        <v>62162.879999999997</v>
      </c>
      <c r="I100" s="14">
        <f>G100-($H$322*E98)</f>
        <v>-10402.648229999999</v>
      </c>
      <c r="K100" s="14"/>
      <c r="M100" s="5">
        <f>I100</f>
        <v>-10402.648229999999</v>
      </c>
      <c r="N100" s="5">
        <f t="shared" si="109"/>
        <v>0</v>
      </c>
      <c r="O100" s="17">
        <v>0</v>
      </c>
    </row>
    <row r="101" spans="1:20" x14ac:dyDescent="0.2">
      <c r="A101" s="43">
        <f t="shared" si="54"/>
        <v>95</v>
      </c>
      <c r="D101" s="2" t="s">
        <v>27</v>
      </c>
      <c r="E101" s="2"/>
      <c r="G101" s="128">
        <v>169702.47</v>
      </c>
      <c r="I101" s="14">
        <f t="shared" ref="I101:I103" si="113">G101</f>
        <v>169702.47</v>
      </c>
      <c r="M101" s="5">
        <f t="shared" ref="M101:M103" si="114">I101</f>
        <v>169702.47</v>
      </c>
      <c r="N101" s="5">
        <f t="shared" si="109"/>
        <v>0</v>
      </c>
      <c r="O101" s="17">
        <v>0</v>
      </c>
    </row>
    <row r="102" spans="1:20" x14ac:dyDescent="0.2">
      <c r="A102" s="43">
        <f t="shared" si="54"/>
        <v>96</v>
      </c>
      <c r="D102" s="2" t="s">
        <v>29</v>
      </c>
      <c r="E102" s="2"/>
      <c r="G102" s="128">
        <v>0</v>
      </c>
      <c r="I102" s="14">
        <f t="shared" si="113"/>
        <v>0</v>
      </c>
      <c r="M102" s="5">
        <f t="shared" si="114"/>
        <v>0</v>
      </c>
      <c r="N102" s="5">
        <f t="shared" si="109"/>
        <v>0</v>
      </c>
      <c r="O102" s="17">
        <v>0</v>
      </c>
    </row>
    <row r="103" spans="1:20" x14ac:dyDescent="0.2">
      <c r="A103" s="43">
        <f t="shared" si="54"/>
        <v>97</v>
      </c>
      <c r="D103" s="2" t="s">
        <v>76</v>
      </c>
      <c r="E103" s="2"/>
      <c r="G103" s="128">
        <v>33</v>
      </c>
      <c r="I103" s="14">
        <f t="shared" si="113"/>
        <v>33</v>
      </c>
      <c r="M103" s="5">
        <f t="shared" si="114"/>
        <v>33</v>
      </c>
      <c r="N103" s="5"/>
      <c r="O103" s="17"/>
    </row>
    <row r="104" spans="1:20" x14ac:dyDescent="0.2">
      <c r="A104" s="43">
        <f t="shared" si="54"/>
        <v>98</v>
      </c>
      <c r="D104" s="18" t="s">
        <v>8</v>
      </c>
      <c r="E104" s="18"/>
      <c r="F104" s="114"/>
      <c r="G104" s="113">
        <f>SUM(G100:G103)</f>
        <v>231898.35</v>
      </c>
      <c r="H104" s="18"/>
      <c r="I104" s="159">
        <f>SUM(I100:I103)</f>
        <v>159332.82177000001</v>
      </c>
      <c r="J104" s="18"/>
      <c r="K104" s="18"/>
      <c r="L104" s="18"/>
      <c r="M104" s="19">
        <f>SUM(M100:M103)</f>
        <v>159332.82177000001</v>
      </c>
      <c r="N104" s="19">
        <f t="shared" ref="N104:N105" si="115">M104-I104</f>
        <v>0</v>
      </c>
      <c r="O104" s="27">
        <f t="shared" ref="O104" si="116">N104-J104</f>
        <v>0</v>
      </c>
    </row>
    <row r="105" spans="1:20" s="6" customFormat="1" ht="26.45" customHeight="1" thickBot="1" x14ac:dyDescent="0.25">
      <c r="A105" s="43">
        <f t="shared" si="54"/>
        <v>99</v>
      </c>
      <c r="C105" s="21"/>
      <c r="D105" s="7" t="s">
        <v>19</v>
      </c>
      <c r="E105" s="7"/>
      <c r="F105" s="116"/>
      <c r="G105" s="115">
        <f>G99+G104</f>
        <v>1897198.3800300001</v>
      </c>
      <c r="H105" s="7"/>
      <c r="I105" s="153">
        <f>I104+I99</f>
        <v>1897198.3800300001</v>
      </c>
      <c r="J105" s="7"/>
      <c r="K105" s="7"/>
      <c r="L105" s="7"/>
      <c r="M105" s="8">
        <f>M104+M99</f>
        <v>1993222.8531200001</v>
      </c>
      <c r="N105" s="8">
        <f t="shared" si="115"/>
        <v>96024.473089999985</v>
      </c>
      <c r="O105" s="9">
        <f>N105/I105</f>
        <v>5.0613828316932022E-2</v>
      </c>
      <c r="P105" s="2"/>
      <c r="Q105" s="2"/>
      <c r="R105" s="2"/>
    </row>
    <row r="106" spans="1:20" ht="13.5" thickTop="1" x14ac:dyDescent="0.2">
      <c r="A106" s="43">
        <f t="shared" si="54"/>
        <v>100</v>
      </c>
      <c r="E106" s="150">
        <f>E98/E97</f>
        <v>221.85988753514528</v>
      </c>
      <c r="F106" s="122"/>
      <c r="G106" s="122">
        <f>G105/E97</f>
        <v>68.387224426140875</v>
      </c>
      <c r="H106" s="150"/>
      <c r="I106" s="150">
        <f>I105/E97</f>
        <v>68.387224426140875</v>
      </c>
      <c r="J106" s="150"/>
      <c r="K106" s="90"/>
      <c r="L106" s="150"/>
      <c r="M106" s="90">
        <f>M105/E97</f>
        <v>71.848563662317062</v>
      </c>
      <c r="N106" s="90">
        <f>M106-I106</f>
        <v>3.4613392361761868</v>
      </c>
      <c r="O106" s="4"/>
    </row>
    <row r="107" spans="1:20" ht="13.5" thickBot="1" x14ac:dyDescent="0.25">
      <c r="A107" s="43">
        <f t="shared" si="54"/>
        <v>101</v>
      </c>
      <c r="E107" s="2"/>
    </row>
    <row r="108" spans="1:20" x14ac:dyDescent="0.2">
      <c r="A108" s="43">
        <f t="shared" si="54"/>
        <v>102</v>
      </c>
      <c r="B108" s="166" t="s">
        <v>102</v>
      </c>
      <c r="C108" s="34">
        <v>19</v>
      </c>
      <c r="D108" s="33"/>
      <c r="E108" s="33"/>
      <c r="F108" s="119"/>
      <c r="G108" s="119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</row>
    <row r="109" spans="1:20" x14ac:dyDescent="0.2">
      <c r="A109" s="43">
        <f t="shared" si="54"/>
        <v>103</v>
      </c>
      <c r="B109" s="167"/>
      <c r="C109" s="2"/>
      <c r="D109" s="2" t="s">
        <v>17</v>
      </c>
      <c r="E109" s="162">
        <v>366</v>
      </c>
      <c r="F109" s="133">
        <f>H109</f>
        <v>56.52</v>
      </c>
      <c r="G109" s="98">
        <f>F109*E109</f>
        <v>20686.32</v>
      </c>
      <c r="H109" s="147">
        <v>56.52</v>
      </c>
      <c r="I109" s="156">
        <f>H109*E109</f>
        <v>20686.32</v>
      </c>
      <c r="J109" s="39">
        <f>I109/I111</f>
        <v>0.53512292032412623</v>
      </c>
      <c r="K109" s="39"/>
      <c r="L109" s="147">
        <f>ROUND(H109*S111,2)</f>
        <v>59.65</v>
      </c>
      <c r="M109" s="5">
        <f>L109*E109</f>
        <v>21831.899999999998</v>
      </c>
      <c r="N109" s="5">
        <f t="shared" ref="N109:N114" si="117">M109-I109</f>
        <v>1145.5799999999981</v>
      </c>
      <c r="O109" s="4">
        <f>IF(I109=0,0,N109/I109)</f>
        <v>5.5378627034677899E-2</v>
      </c>
      <c r="P109" s="4">
        <f>M109/M111</f>
        <v>0.53514072473218632</v>
      </c>
      <c r="Q109" s="16">
        <f>P109-J109</f>
        <v>1.7804408060095867E-5</v>
      </c>
      <c r="R109" s="16"/>
      <c r="T109" s="4">
        <f>L109/H109-1</f>
        <v>5.5378627034677885E-2</v>
      </c>
    </row>
    <row r="110" spans="1:20" x14ac:dyDescent="0.2">
      <c r="A110" s="43">
        <f t="shared" si="54"/>
        <v>104</v>
      </c>
      <c r="B110" s="17"/>
      <c r="D110" s="2" t="s">
        <v>47</v>
      </c>
      <c r="E110" s="162">
        <v>154084</v>
      </c>
      <c r="F110" s="134">
        <f>H110-$H$322</f>
        <v>0.10484</v>
      </c>
      <c r="G110" s="98">
        <f t="shared" ref="G110" si="118">F110*E110</f>
        <v>16154.16656</v>
      </c>
      <c r="H110" s="148">
        <v>0.11663</v>
      </c>
      <c r="I110" s="156">
        <f t="shared" ref="I110" si="119">H110*E110</f>
        <v>17970.816920000001</v>
      </c>
      <c r="J110" s="39">
        <f>I110/I111</f>
        <v>0.46487707967587372</v>
      </c>
      <c r="K110" s="39"/>
      <c r="L110" s="154">
        <f>ROUND(H110*S111,5)</f>
        <v>0.12307999999999999</v>
      </c>
      <c r="M110" s="5">
        <f t="shared" ref="M110" si="120">L110*E110</f>
        <v>18964.658719999999</v>
      </c>
      <c r="N110" s="5">
        <f t="shared" si="117"/>
        <v>993.84179999999833</v>
      </c>
      <c r="O110" s="4">
        <f t="shared" ref="O110" si="121">IF(I110=0,0,N110/I110)</f>
        <v>5.5303095258509724E-2</v>
      </c>
      <c r="P110" s="4">
        <f>M110/M111</f>
        <v>0.46485927526781357</v>
      </c>
      <c r="Q110" s="16">
        <f t="shared" ref="Q110:Q111" si="122">P110-J110</f>
        <v>-1.7804408060151378E-5</v>
      </c>
      <c r="R110" s="16"/>
      <c r="T110" s="4">
        <f>L110/H110-1</f>
        <v>5.5303095258509849E-2</v>
      </c>
    </row>
    <row r="111" spans="1:20" s="6" customFormat="1" ht="20.45" customHeight="1" x14ac:dyDescent="0.25">
      <c r="A111" s="43">
        <f t="shared" si="54"/>
        <v>105</v>
      </c>
      <c r="C111" s="21"/>
      <c r="D111" s="23" t="s">
        <v>6</v>
      </c>
      <c r="E111" s="23"/>
      <c r="F111" s="111"/>
      <c r="G111" s="24">
        <f>SUM(G109:G110)</f>
        <v>36840.486559999998</v>
      </c>
      <c r="H111" s="23"/>
      <c r="I111" s="157">
        <f>SUM(I109:I110)</f>
        <v>38657.136920000004</v>
      </c>
      <c r="J111" s="158">
        <f>SUM(J109:J110)</f>
        <v>1</v>
      </c>
      <c r="K111" s="40">
        <f>I111+Summary!I17</f>
        <v>40795.456920000004</v>
      </c>
      <c r="L111" s="23"/>
      <c r="M111" s="157">
        <f>SUM(M109:M110)</f>
        <v>40796.558720000001</v>
      </c>
      <c r="N111" s="157">
        <f>SUM(N109:N110)</f>
        <v>2139.4217999999964</v>
      </c>
      <c r="O111" s="25">
        <f t="shared" ref="O111" si="123">N111/I111</f>
        <v>5.5343514043150098E-2</v>
      </c>
      <c r="P111" s="25">
        <f>SUM(P109:P110)</f>
        <v>0.99999999999999989</v>
      </c>
      <c r="Q111" s="26">
        <f t="shared" si="122"/>
        <v>0</v>
      </c>
      <c r="R111" s="37">
        <f>M111-K111</f>
        <v>1.1017999999967287</v>
      </c>
      <c r="S111" s="77">
        <f>K111/I111</f>
        <v>1.0553150121910271</v>
      </c>
    </row>
    <row r="112" spans="1:20" x14ac:dyDescent="0.2">
      <c r="A112" s="43">
        <f t="shared" si="54"/>
        <v>106</v>
      </c>
      <c r="D112" s="2" t="s">
        <v>26</v>
      </c>
      <c r="E112" s="2"/>
      <c r="G112" s="128">
        <v>1631.2</v>
      </c>
      <c r="I112" s="14">
        <f>G112-($H$322*E110)</f>
        <v>-185.45036000000005</v>
      </c>
      <c r="K112" s="14"/>
      <c r="M112" s="5">
        <f>I112</f>
        <v>-185.45036000000005</v>
      </c>
      <c r="N112" s="5">
        <f t="shared" si="117"/>
        <v>0</v>
      </c>
      <c r="O112" s="17">
        <v>0</v>
      </c>
      <c r="R112" s="38"/>
    </row>
    <row r="113" spans="1:20" x14ac:dyDescent="0.2">
      <c r="A113" s="43">
        <f t="shared" ref="A113:A171" si="124">A112+1</f>
        <v>107</v>
      </c>
      <c r="D113" s="2" t="s">
        <v>27</v>
      </c>
      <c r="E113" s="2"/>
      <c r="G113" s="128">
        <v>3705.96</v>
      </c>
      <c r="I113" s="14">
        <f>G113</f>
        <v>3705.96</v>
      </c>
      <c r="M113" s="5">
        <f t="shared" ref="M113:M115" si="125">I113</f>
        <v>3705.96</v>
      </c>
      <c r="N113" s="5">
        <f t="shared" si="117"/>
        <v>0</v>
      </c>
      <c r="O113" s="17">
        <v>0</v>
      </c>
    </row>
    <row r="114" spans="1:20" x14ac:dyDescent="0.2">
      <c r="A114" s="43">
        <f t="shared" si="124"/>
        <v>108</v>
      </c>
      <c r="D114" s="2" t="s">
        <v>39</v>
      </c>
      <c r="E114" s="2"/>
      <c r="G114" s="128">
        <v>0</v>
      </c>
      <c r="I114" s="14">
        <f>G114</f>
        <v>0</v>
      </c>
      <c r="M114" s="5">
        <f t="shared" si="125"/>
        <v>0</v>
      </c>
      <c r="N114" s="5">
        <f t="shared" si="117"/>
        <v>0</v>
      </c>
      <c r="O114" s="17">
        <v>0</v>
      </c>
    </row>
    <row r="115" spans="1:20" x14ac:dyDescent="0.2">
      <c r="A115" s="43">
        <f t="shared" si="124"/>
        <v>109</v>
      </c>
      <c r="D115" s="2" t="s">
        <v>38</v>
      </c>
      <c r="E115" s="2"/>
      <c r="G115" s="128">
        <v>0</v>
      </c>
      <c r="I115" s="14">
        <f>G115</f>
        <v>0</v>
      </c>
      <c r="M115" s="5">
        <f t="shared" si="125"/>
        <v>0</v>
      </c>
      <c r="N115" s="5"/>
      <c r="O115" s="17">
        <v>0</v>
      </c>
    </row>
    <row r="116" spans="1:20" x14ac:dyDescent="0.2">
      <c r="A116" s="43">
        <f t="shared" si="124"/>
        <v>110</v>
      </c>
      <c r="D116" s="18" t="s">
        <v>8</v>
      </c>
      <c r="E116" s="18"/>
      <c r="F116" s="114"/>
      <c r="G116" s="113">
        <f>SUM(G112:G115)</f>
        <v>5337.16</v>
      </c>
      <c r="H116" s="18"/>
      <c r="I116" s="159">
        <f>SUM(I112:I115)</f>
        <v>3520.5096400000002</v>
      </c>
      <c r="J116" s="18"/>
      <c r="K116" s="18"/>
      <c r="L116" s="18"/>
      <c r="M116" s="19">
        <f>SUM(M112:M115)</f>
        <v>3520.5096400000002</v>
      </c>
      <c r="N116" s="19">
        <f>M116-I116</f>
        <v>0</v>
      </c>
      <c r="O116" s="27">
        <v>0</v>
      </c>
    </row>
    <row r="117" spans="1:20" s="6" customFormat="1" ht="26.45" customHeight="1" thickBot="1" x14ac:dyDescent="0.25">
      <c r="A117" s="43">
        <f t="shared" si="124"/>
        <v>111</v>
      </c>
      <c r="C117" s="21"/>
      <c r="D117" s="7" t="s">
        <v>19</v>
      </c>
      <c r="E117" s="7"/>
      <c r="F117" s="116"/>
      <c r="G117" s="115">
        <f>G111+G116</f>
        <v>42177.646559999994</v>
      </c>
      <c r="H117" s="7"/>
      <c r="I117" s="153">
        <f>I116+I111</f>
        <v>42177.646560000008</v>
      </c>
      <c r="J117" s="7"/>
      <c r="K117" s="7"/>
      <c r="L117" s="7"/>
      <c r="M117" s="8">
        <f>M116+M111</f>
        <v>44317.068360000005</v>
      </c>
      <c r="N117" s="8">
        <f>M117-I117</f>
        <v>2139.4217999999964</v>
      </c>
      <c r="O117" s="9">
        <f>N117/I117</f>
        <v>5.0724067710998334E-2</v>
      </c>
      <c r="P117" s="2"/>
      <c r="Q117" s="2"/>
      <c r="R117" s="2"/>
    </row>
    <row r="118" spans="1:20" ht="13.5" thickTop="1" x14ac:dyDescent="0.2">
      <c r="A118" s="43">
        <f t="shared" si="124"/>
        <v>112</v>
      </c>
      <c r="D118" s="2" t="s">
        <v>18</v>
      </c>
      <c r="E118" s="147">
        <f>E110/E109</f>
        <v>420.99453551912569</v>
      </c>
      <c r="G118" s="118">
        <f>G117/E109</f>
        <v>115.23947147540981</v>
      </c>
      <c r="I118" s="15">
        <f>I117/E109</f>
        <v>115.23947147540986</v>
      </c>
      <c r="M118" s="15">
        <f>M117/E109</f>
        <v>121.08488622950821</v>
      </c>
      <c r="N118" s="15">
        <f>M118-I118</f>
        <v>5.845414754098357</v>
      </c>
      <c r="O118" s="4">
        <f>N118/I118</f>
        <v>5.072406771099839E-2</v>
      </c>
    </row>
    <row r="119" spans="1:20" ht="13.5" thickBot="1" x14ac:dyDescent="0.25">
      <c r="A119" s="43">
        <f t="shared" si="124"/>
        <v>113</v>
      </c>
      <c r="E119" s="2"/>
    </row>
    <row r="120" spans="1:20" x14ac:dyDescent="0.2">
      <c r="A120" s="43">
        <f t="shared" si="124"/>
        <v>114</v>
      </c>
      <c r="B120" s="166" t="s">
        <v>120</v>
      </c>
      <c r="C120" s="34">
        <v>20</v>
      </c>
      <c r="D120" s="33"/>
      <c r="E120" s="33"/>
      <c r="F120" s="119"/>
      <c r="G120" s="119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</row>
    <row r="121" spans="1:20" x14ac:dyDescent="0.2">
      <c r="A121" s="43">
        <f t="shared" si="124"/>
        <v>115</v>
      </c>
      <c r="B121" s="167"/>
      <c r="C121" s="2"/>
      <c r="D121" s="2" t="s">
        <v>17</v>
      </c>
      <c r="E121" s="162">
        <v>241</v>
      </c>
      <c r="F121" s="133">
        <f>H121</f>
        <v>21.84</v>
      </c>
      <c r="G121" s="98">
        <f>F121*E121</f>
        <v>5263.44</v>
      </c>
      <c r="H121" s="147">
        <v>21.84</v>
      </c>
      <c r="I121" s="156">
        <f>H121*E121</f>
        <v>5263.44</v>
      </c>
      <c r="J121" s="39">
        <f>I121/I125</f>
        <v>0.48918243862592653</v>
      </c>
      <c r="K121" s="39"/>
      <c r="L121" s="147">
        <f>ROUND(H121*S125,2)</f>
        <v>23.05</v>
      </c>
      <c r="M121" s="5">
        <f>L121*E121</f>
        <v>5555.05</v>
      </c>
      <c r="N121" s="5">
        <f>M121-I121</f>
        <v>291.61000000000058</v>
      </c>
      <c r="O121" s="4">
        <f>IF(I121=0,0,N121/I121)</f>
        <v>5.5402930402930518E-2</v>
      </c>
      <c r="P121" s="4">
        <f>M121/M125</f>
        <v>0.48919560209344981</v>
      </c>
      <c r="Q121" s="16">
        <f>P121-J121</f>
        <v>1.316346752328057E-5</v>
      </c>
      <c r="R121" s="16"/>
    </row>
    <row r="122" spans="1:20" x14ac:dyDescent="0.2">
      <c r="A122" s="43">
        <f t="shared" si="124"/>
        <v>116</v>
      </c>
      <c r="B122" s="99"/>
      <c r="D122" s="2" t="s">
        <v>71</v>
      </c>
      <c r="E122" s="162">
        <v>45708</v>
      </c>
      <c r="F122" s="134">
        <f>H122-$H$322</f>
        <v>8.0509999999999998E-2</v>
      </c>
      <c r="G122" s="98">
        <f t="shared" ref="G122" si="126">F122*E122</f>
        <v>3679.9510799999998</v>
      </c>
      <c r="H122" s="148">
        <v>9.2299999999999993E-2</v>
      </c>
      <c r="I122" s="156">
        <f t="shared" ref="I122" si="127">H122*E122</f>
        <v>4218.8483999999999</v>
      </c>
      <c r="J122" s="39">
        <f>I122/I125</f>
        <v>0.39209842774023995</v>
      </c>
      <c r="K122" s="39"/>
      <c r="L122" s="148">
        <f>ROUND(H122*S125,5)</f>
        <v>9.7409999999999997E-2</v>
      </c>
      <c r="M122" s="5">
        <f t="shared" ref="M122" si="128">L122*E122</f>
        <v>4452.4162799999995</v>
      </c>
      <c r="N122" s="5">
        <f t="shared" ref="N122" si="129">M122-I122</f>
        <v>233.5678799999996</v>
      </c>
      <c r="O122" s="4">
        <f t="shared" ref="O122" si="130">IF(I122=0,0,N122/I122)</f>
        <v>5.5362946912242597E-2</v>
      </c>
      <c r="P122" s="4">
        <f>M122/M125</f>
        <v>0.39209412388102316</v>
      </c>
      <c r="Q122" s="16">
        <f t="shared" ref="Q122" si="131">P122-J122</f>
        <v>-4.3038592167921053E-6</v>
      </c>
      <c r="R122" s="16"/>
      <c r="T122" s="4">
        <f>L122/H122-1</f>
        <v>5.536294691224275E-2</v>
      </c>
    </row>
    <row r="123" spans="1:20" ht="12.6" customHeight="1" x14ac:dyDescent="0.2">
      <c r="A123" s="43">
        <f t="shared" si="124"/>
        <v>117</v>
      </c>
      <c r="B123" s="99"/>
      <c r="D123" s="2" t="s">
        <v>72</v>
      </c>
      <c r="E123" s="162">
        <v>7736</v>
      </c>
      <c r="F123" s="134">
        <f t="shared" ref="F123:F124" si="132">H123-$H$322</f>
        <v>0.10106000000000001</v>
      </c>
      <c r="G123" s="98">
        <f t="shared" ref="G123:G124" si="133">F123*E123</f>
        <v>781.80016000000012</v>
      </c>
      <c r="H123" s="148">
        <v>0.11285000000000001</v>
      </c>
      <c r="I123" s="156">
        <f t="shared" ref="I123:I124" si="134">H123*E123</f>
        <v>873.00760000000002</v>
      </c>
      <c r="J123" s="39">
        <f>I123/I125</f>
        <v>8.1137048528522687E-2</v>
      </c>
      <c r="K123" s="39"/>
      <c r="L123" s="148">
        <f>ROUND(H123*S125,5)</f>
        <v>0.11909</v>
      </c>
      <c r="M123" s="5">
        <f t="shared" ref="M123:M124" si="135">L123*E123</f>
        <v>921.28024000000005</v>
      </c>
      <c r="N123" s="5">
        <f t="shared" ref="N123:N128" si="136">M123-I123</f>
        <v>48.272640000000024</v>
      </c>
      <c r="O123" s="4">
        <f t="shared" ref="O123:O124" si="137">IF(I123=0,0,N123/I123)</f>
        <v>5.5294638901196305E-2</v>
      </c>
      <c r="P123" s="4">
        <f>M123/M125</f>
        <v>8.1130906419131774E-2</v>
      </c>
      <c r="Q123" s="16">
        <f t="shared" ref="Q123:Q125" si="138">P123-J123</f>
        <v>-6.1421093909136415E-6</v>
      </c>
      <c r="R123" s="16"/>
      <c r="T123" s="4">
        <f>L123/H123-1</f>
        <v>5.5294638901196347E-2</v>
      </c>
    </row>
    <row r="124" spans="1:20" x14ac:dyDescent="0.2">
      <c r="A124" s="43">
        <f t="shared" si="124"/>
        <v>118</v>
      </c>
      <c r="B124" s="99"/>
      <c r="D124" s="2" t="s">
        <v>73</v>
      </c>
      <c r="E124" s="162">
        <v>1931</v>
      </c>
      <c r="F124" s="134">
        <f t="shared" si="132"/>
        <v>0.19762000000000002</v>
      </c>
      <c r="G124" s="98">
        <f t="shared" si="133"/>
        <v>381.60422000000005</v>
      </c>
      <c r="H124" s="148">
        <v>0.20941000000000001</v>
      </c>
      <c r="I124" s="156">
        <f t="shared" si="134"/>
        <v>404.37071000000003</v>
      </c>
      <c r="J124" s="39">
        <f>I124/I125</f>
        <v>3.7582085105310852E-2</v>
      </c>
      <c r="K124" s="39"/>
      <c r="L124" s="148">
        <f>ROUND(H124*S125,5)</f>
        <v>0.22098999999999999</v>
      </c>
      <c r="M124" s="5">
        <f t="shared" si="135"/>
        <v>426.73168999999996</v>
      </c>
      <c r="N124" s="5">
        <f t="shared" si="136"/>
        <v>22.360979999999927</v>
      </c>
      <c r="O124" s="4">
        <f t="shared" si="137"/>
        <v>5.5298218805214468E-2</v>
      </c>
      <c r="P124" s="4">
        <f>M124/M125</f>
        <v>3.7579367606395145E-2</v>
      </c>
      <c r="Q124" s="16">
        <f t="shared" si="138"/>
        <v>-2.717498915706662E-6</v>
      </c>
      <c r="R124" s="16"/>
      <c r="T124" s="4">
        <f>L124/H124-1</f>
        <v>5.5298218805214461E-2</v>
      </c>
    </row>
    <row r="125" spans="1:20" s="6" customFormat="1" ht="20.45" customHeight="1" x14ac:dyDescent="0.25">
      <c r="A125" s="43">
        <f t="shared" si="124"/>
        <v>119</v>
      </c>
      <c r="C125" s="21"/>
      <c r="D125" s="23" t="s">
        <v>6</v>
      </c>
      <c r="E125" s="23"/>
      <c r="F125" s="111"/>
      <c r="G125" s="24">
        <f>SUM(G121:G124)</f>
        <v>10106.795459999999</v>
      </c>
      <c r="H125" s="23"/>
      <c r="I125" s="157">
        <f>SUM(I121:I124)</f>
        <v>10759.66671</v>
      </c>
      <c r="J125" s="158">
        <f>SUM(J121:J124)</f>
        <v>0.99999999999999989</v>
      </c>
      <c r="K125" s="40">
        <f>I125+Summary!I18</f>
        <v>11354.83671</v>
      </c>
      <c r="L125" s="23"/>
      <c r="M125" s="157">
        <f>SUM(M121:M124)</f>
        <v>11355.478210000001</v>
      </c>
      <c r="N125" s="157">
        <f>SUM(N121:N124)</f>
        <v>595.81150000000014</v>
      </c>
      <c r="O125" s="25">
        <f t="shared" ref="O125" si="139">N125/I125</f>
        <v>5.5374531206087901E-2</v>
      </c>
      <c r="P125" s="25">
        <f>SUM(P121:P124)</f>
        <v>0.99999999999999989</v>
      </c>
      <c r="Q125" s="26">
        <f t="shared" si="138"/>
        <v>0</v>
      </c>
      <c r="R125" s="37">
        <f>M125-K125</f>
        <v>0.6415000000015425</v>
      </c>
      <c r="S125" s="77">
        <f>K125/I125</f>
        <v>1.0553149104002311</v>
      </c>
    </row>
    <row r="126" spans="1:20" x14ac:dyDescent="0.2">
      <c r="A126" s="43">
        <f t="shared" si="124"/>
        <v>120</v>
      </c>
      <c r="D126" s="2" t="s">
        <v>26</v>
      </c>
      <c r="E126" s="2"/>
      <c r="G126" s="128">
        <v>589.24</v>
      </c>
      <c r="I126" s="14">
        <f>G126-($H$322*(E122+E123+E124))</f>
        <v>-63.631250000000023</v>
      </c>
      <c r="K126" s="14"/>
      <c r="M126" s="5">
        <f>I126</f>
        <v>-63.631250000000023</v>
      </c>
      <c r="N126" s="5">
        <f t="shared" si="136"/>
        <v>0</v>
      </c>
      <c r="O126" s="17">
        <v>0</v>
      </c>
    </row>
    <row r="127" spans="1:20" x14ac:dyDescent="0.2">
      <c r="A127" s="43">
        <f t="shared" si="124"/>
        <v>121</v>
      </c>
      <c r="D127" s="2" t="s">
        <v>27</v>
      </c>
      <c r="E127" s="2"/>
      <c r="G127" s="128">
        <v>1136.3599999999999</v>
      </c>
      <c r="I127" s="14">
        <f t="shared" ref="I127:I129" si="140">G127</f>
        <v>1136.3599999999999</v>
      </c>
      <c r="M127" s="5">
        <f t="shared" ref="M127:M129" si="141">I127</f>
        <v>1136.3599999999999</v>
      </c>
      <c r="N127" s="5">
        <f t="shared" si="136"/>
        <v>0</v>
      </c>
      <c r="O127" s="17">
        <v>0</v>
      </c>
    </row>
    <row r="128" spans="1:20" x14ac:dyDescent="0.2">
      <c r="A128" s="43">
        <f t="shared" si="124"/>
        <v>122</v>
      </c>
      <c r="D128" s="2" t="s">
        <v>29</v>
      </c>
      <c r="E128" s="2"/>
      <c r="G128" s="128">
        <v>0</v>
      </c>
      <c r="I128" s="14">
        <f t="shared" si="140"/>
        <v>0</v>
      </c>
      <c r="M128" s="5">
        <f t="shared" si="141"/>
        <v>0</v>
      </c>
      <c r="N128" s="5">
        <f t="shared" si="136"/>
        <v>0</v>
      </c>
      <c r="O128" s="17">
        <v>0</v>
      </c>
    </row>
    <row r="129" spans="1:20" x14ac:dyDescent="0.2">
      <c r="A129" s="43">
        <f t="shared" si="124"/>
        <v>123</v>
      </c>
      <c r="D129" s="2" t="s">
        <v>38</v>
      </c>
      <c r="E129" s="2"/>
      <c r="G129" s="128">
        <v>0</v>
      </c>
      <c r="I129" s="14">
        <f t="shared" si="140"/>
        <v>0</v>
      </c>
      <c r="M129" s="5">
        <f t="shared" si="141"/>
        <v>0</v>
      </c>
      <c r="N129" s="5"/>
      <c r="O129" s="17"/>
    </row>
    <row r="130" spans="1:20" x14ac:dyDescent="0.2">
      <c r="A130" s="43">
        <f t="shared" si="124"/>
        <v>124</v>
      </c>
      <c r="D130" s="18" t="s">
        <v>8</v>
      </c>
      <c r="E130" s="18"/>
      <c r="F130" s="114"/>
      <c r="G130" s="113">
        <f>SUM(G126:G129)</f>
        <v>1725.6</v>
      </c>
      <c r="H130" s="18"/>
      <c r="I130" s="159">
        <f>SUM(I126:I129)</f>
        <v>1072.7287499999998</v>
      </c>
      <c r="J130" s="18"/>
      <c r="K130" s="18"/>
      <c r="L130" s="18"/>
      <c r="M130" s="19">
        <f>SUM(M126:M129)</f>
        <v>1072.7287499999998</v>
      </c>
      <c r="N130" s="19">
        <f t="shared" ref="N130:N132" si="142">M130-I130</f>
        <v>0</v>
      </c>
      <c r="O130" s="27">
        <f t="shared" ref="O130" si="143">N130-J130</f>
        <v>0</v>
      </c>
    </row>
    <row r="131" spans="1:20" s="6" customFormat="1" ht="26.45" customHeight="1" thickBot="1" x14ac:dyDescent="0.25">
      <c r="A131" s="43">
        <f t="shared" si="124"/>
        <v>125</v>
      </c>
      <c r="C131" s="21"/>
      <c r="D131" s="7" t="s">
        <v>19</v>
      </c>
      <c r="E131" s="7"/>
      <c r="F131" s="116"/>
      <c r="G131" s="115">
        <f>G125+G130</f>
        <v>11832.39546</v>
      </c>
      <c r="H131" s="7"/>
      <c r="I131" s="153">
        <f>I130+I125</f>
        <v>11832.39546</v>
      </c>
      <c r="J131" s="7"/>
      <c r="K131" s="7"/>
      <c r="L131" s="7"/>
      <c r="M131" s="8">
        <f>M130+M125</f>
        <v>12428.206960000001</v>
      </c>
      <c r="N131" s="8">
        <f t="shared" si="142"/>
        <v>595.81150000000162</v>
      </c>
      <c r="O131" s="9">
        <f>N131/I131</f>
        <v>5.0354258528137602E-2</v>
      </c>
      <c r="P131" s="2"/>
      <c r="Q131" s="2"/>
      <c r="R131" s="2"/>
    </row>
    <row r="132" spans="1:20" ht="13.5" thickTop="1" x14ac:dyDescent="0.2">
      <c r="A132" s="43">
        <f t="shared" si="124"/>
        <v>126</v>
      </c>
      <c r="D132" s="2" t="s">
        <v>18</v>
      </c>
      <c r="E132" s="147">
        <f>(E122+E123+E124)/E121</f>
        <v>229.77178423236515</v>
      </c>
      <c r="G132" s="118">
        <f>G131/E121</f>
        <v>49.097076597510373</v>
      </c>
      <c r="I132" s="15">
        <f>I131/E121</f>
        <v>49.097076597510373</v>
      </c>
      <c r="M132" s="15">
        <f>M131/E121</f>
        <v>51.569323485477184</v>
      </c>
      <c r="N132" s="15">
        <f t="shared" si="142"/>
        <v>2.4722468879668114</v>
      </c>
      <c r="O132" s="4">
        <f>N132/I132</f>
        <v>5.0354258528137595E-2</v>
      </c>
    </row>
    <row r="133" spans="1:20" ht="13.5" thickBot="1" x14ac:dyDescent="0.25">
      <c r="A133" s="43">
        <f t="shared" si="124"/>
        <v>127</v>
      </c>
      <c r="E133" s="2"/>
    </row>
    <row r="134" spans="1:20" x14ac:dyDescent="0.2">
      <c r="A134" s="43">
        <f t="shared" si="124"/>
        <v>128</v>
      </c>
      <c r="B134" s="168" t="s">
        <v>103</v>
      </c>
      <c r="C134" s="34">
        <v>21</v>
      </c>
      <c r="D134" s="33"/>
      <c r="E134" s="33"/>
      <c r="F134" s="119"/>
      <c r="G134" s="119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</row>
    <row r="135" spans="1:20" x14ac:dyDescent="0.2">
      <c r="A135" s="43">
        <f t="shared" si="124"/>
        <v>129</v>
      </c>
      <c r="B135" s="169"/>
      <c r="C135" s="2"/>
      <c r="D135" s="2" t="s">
        <v>17</v>
      </c>
      <c r="E135" s="163">
        <v>13426</v>
      </c>
      <c r="F135" s="133">
        <f>H135</f>
        <v>21.84</v>
      </c>
      <c r="G135" s="124">
        <f>F135*E135</f>
        <v>293223.84000000003</v>
      </c>
      <c r="H135" s="147">
        <f>H8</f>
        <v>21.84</v>
      </c>
      <c r="I135" s="156">
        <f>H135*E135</f>
        <v>293223.84000000003</v>
      </c>
      <c r="J135" s="39">
        <f>I135/I137</f>
        <v>0.13335813530400406</v>
      </c>
      <c r="K135" s="39"/>
      <c r="L135" s="147">
        <f>L8</f>
        <v>23.05</v>
      </c>
      <c r="M135" s="5">
        <f>L135*E135</f>
        <v>309469.3</v>
      </c>
      <c r="N135" s="5">
        <f>M135-I135</f>
        <v>16245.459999999963</v>
      </c>
      <c r="O135" s="4">
        <f>IF(I135=0,0,N135/I135)</f>
        <v>5.5402930402930269E-2</v>
      </c>
      <c r="P135" s="4">
        <f>M135/M137</f>
        <v>0.13336754144198013</v>
      </c>
      <c r="Q135" s="16">
        <f>P135-J135</f>
        <v>9.4061379760645991E-6</v>
      </c>
      <c r="R135" s="16"/>
      <c r="T135" s="4">
        <f>L135/H135-1</f>
        <v>5.5402930402930428E-2</v>
      </c>
    </row>
    <row r="136" spans="1:20" x14ac:dyDescent="0.2">
      <c r="A136" s="43">
        <f t="shared" si="124"/>
        <v>130</v>
      </c>
      <c r="D136" s="2" t="s">
        <v>74</v>
      </c>
      <c r="E136" s="163">
        <v>15732711</v>
      </c>
      <c r="F136" s="134">
        <f>H136-$H$322</f>
        <v>0.10933000000000001</v>
      </c>
      <c r="G136" s="124">
        <f t="shared" ref="G136" si="144">F136*E136</f>
        <v>1720057.2936300002</v>
      </c>
      <c r="H136" s="148">
        <f>H9</f>
        <v>0.12112000000000001</v>
      </c>
      <c r="I136" s="156">
        <f t="shared" ref="I136" si="145">H136*E136</f>
        <v>1905545.9563200001</v>
      </c>
      <c r="J136" s="39">
        <f>I136/I137</f>
        <v>0.86664186469599591</v>
      </c>
      <c r="K136" s="39"/>
      <c r="L136" s="148">
        <f>L9</f>
        <v>0.12781999999999999</v>
      </c>
      <c r="M136" s="5">
        <f t="shared" ref="M136" si="146">L136*E136</f>
        <v>2010955.1200199998</v>
      </c>
      <c r="N136" s="5">
        <f t="shared" ref="N136" si="147">M136-I136</f>
        <v>105409.16369999968</v>
      </c>
      <c r="O136" s="4">
        <f t="shared" ref="O136" si="148">IF(I136=0,0,N136/I136)</f>
        <v>5.5317040951122685E-2</v>
      </c>
      <c r="P136" s="4">
        <f>M136/M137</f>
        <v>0.86663245855801996</v>
      </c>
      <c r="Q136" s="16">
        <f t="shared" ref="Q136" si="149">P136-J136</f>
        <v>-9.4061379759535768E-6</v>
      </c>
      <c r="R136" s="16"/>
      <c r="T136" s="4">
        <f>L136/H136-1</f>
        <v>5.5317040951122776E-2</v>
      </c>
    </row>
    <row r="137" spans="1:20" s="6" customFormat="1" ht="20.45" customHeight="1" x14ac:dyDescent="0.25">
      <c r="A137" s="43">
        <f t="shared" si="124"/>
        <v>131</v>
      </c>
      <c r="C137" s="21"/>
      <c r="D137" s="23" t="s">
        <v>6</v>
      </c>
      <c r="E137" s="23"/>
      <c r="F137" s="111"/>
      <c r="G137" s="24">
        <f>SUM(G135:G136)</f>
        <v>2013281.1336300003</v>
      </c>
      <c r="H137" s="23"/>
      <c r="I137" s="157">
        <f>SUM(I135:I136)</f>
        <v>2198769.7963200002</v>
      </c>
      <c r="J137" s="158">
        <f>SUM(J135:J136)</f>
        <v>1</v>
      </c>
      <c r="K137" s="40">
        <f>I137+Summary!I19</f>
        <v>2320394.7863200004</v>
      </c>
      <c r="L137" s="23"/>
      <c r="M137" s="157">
        <f>SUM(M135:M136)</f>
        <v>2320424.4200199996</v>
      </c>
      <c r="N137" s="157">
        <f>SUM(N135:N136)</f>
        <v>121654.62369999965</v>
      </c>
      <c r="O137" s="25">
        <f t="shared" ref="O137" si="150">N137/I137</f>
        <v>5.5328495008258025E-2</v>
      </c>
      <c r="P137" s="25">
        <f>SUM(P135:P136)</f>
        <v>1</v>
      </c>
      <c r="Q137" s="26">
        <f t="shared" ref="Q137" si="151">P137-J137</f>
        <v>0</v>
      </c>
      <c r="R137" s="37">
        <f>M137-K137</f>
        <v>29.633699999190867</v>
      </c>
      <c r="S137" s="77">
        <f>K137/I137</f>
        <v>1.0553150176082824</v>
      </c>
    </row>
    <row r="138" spans="1:20" x14ac:dyDescent="0.2">
      <c r="A138" s="43">
        <f t="shared" si="124"/>
        <v>132</v>
      </c>
      <c r="D138" s="2" t="s">
        <v>26</v>
      </c>
      <c r="E138" s="2"/>
      <c r="G138" s="129">
        <v>117226.3</v>
      </c>
      <c r="I138" s="14">
        <f>G138-($H$322*E136)</f>
        <v>-68262.362689999994</v>
      </c>
      <c r="K138" s="14"/>
      <c r="M138" s="5">
        <f>I138</f>
        <v>-68262.362689999994</v>
      </c>
      <c r="N138" s="5">
        <f t="shared" ref="N138:N140" si="152">M138-I138</f>
        <v>0</v>
      </c>
      <c r="O138" s="17">
        <v>0</v>
      </c>
    </row>
    <row r="139" spans="1:20" x14ac:dyDescent="0.2">
      <c r="A139" s="43">
        <f t="shared" si="124"/>
        <v>133</v>
      </c>
      <c r="D139" s="2" t="s">
        <v>27</v>
      </c>
      <c r="E139" s="2"/>
      <c r="G139" s="129">
        <v>206396.57</v>
      </c>
      <c r="I139" s="14">
        <f t="shared" ref="I139:I141" si="153">G139</f>
        <v>206396.57</v>
      </c>
      <c r="M139" s="5">
        <f t="shared" ref="M139:M141" si="154">I139</f>
        <v>206396.57</v>
      </c>
      <c r="N139" s="5">
        <f t="shared" si="152"/>
        <v>0</v>
      </c>
      <c r="O139" s="17">
        <v>0</v>
      </c>
    </row>
    <row r="140" spans="1:20" x14ac:dyDescent="0.2">
      <c r="A140" s="43">
        <f t="shared" si="124"/>
        <v>134</v>
      </c>
      <c r="D140" s="2" t="s">
        <v>29</v>
      </c>
      <c r="E140" s="163">
        <v>13426</v>
      </c>
      <c r="F140" s="123">
        <v>10</v>
      </c>
      <c r="G140" s="129">
        <v>131368.07999999999</v>
      </c>
      <c r="H140" s="17">
        <v>10</v>
      </c>
      <c r="I140" s="14">
        <f>H140*E140</f>
        <v>134260</v>
      </c>
      <c r="M140" s="5">
        <f t="shared" si="154"/>
        <v>134260</v>
      </c>
      <c r="N140" s="5">
        <f t="shared" si="152"/>
        <v>0</v>
      </c>
      <c r="O140" s="17">
        <v>0</v>
      </c>
    </row>
    <row r="141" spans="1:20" x14ac:dyDescent="0.2">
      <c r="A141" s="43">
        <f t="shared" si="124"/>
        <v>135</v>
      </c>
      <c r="D141" s="2" t="s">
        <v>38</v>
      </c>
      <c r="E141" s="2"/>
      <c r="G141" s="128">
        <v>0</v>
      </c>
      <c r="I141" s="14">
        <f t="shared" si="153"/>
        <v>0</v>
      </c>
      <c r="M141" s="5">
        <f t="shared" si="154"/>
        <v>0</v>
      </c>
      <c r="N141" s="5"/>
      <c r="O141" s="17"/>
    </row>
    <row r="142" spans="1:20" x14ac:dyDescent="0.2">
      <c r="A142" s="43">
        <f t="shared" si="124"/>
        <v>136</v>
      </c>
      <c r="D142" s="18" t="s">
        <v>8</v>
      </c>
      <c r="E142" s="18"/>
      <c r="F142" s="114"/>
      <c r="G142" s="113">
        <f>SUM(G138:G141)</f>
        <v>454990.94999999995</v>
      </c>
      <c r="H142" s="18"/>
      <c r="I142" s="159">
        <f>SUM(I138:I141)</f>
        <v>272394.20731000003</v>
      </c>
      <c r="J142" s="18"/>
      <c r="K142" s="18"/>
      <c r="L142" s="18"/>
      <c r="M142" s="19">
        <f>SUM(M138:M141)</f>
        <v>272394.20731000003</v>
      </c>
      <c r="N142" s="19">
        <f t="shared" ref="N142:N144" si="155">M142-I142</f>
        <v>0</v>
      </c>
      <c r="O142" s="27">
        <f t="shared" ref="O142" si="156">N142-J142</f>
        <v>0</v>
      </c>
    </row>
    <row r="143" spans="1:20" s="6" customFormat="1" ht="26.45" customHeight="1" thickBot="1" x14ac:dyDescent="0.25">
      <c r="A143" s="43">
        <f t="shared" si="124"/>
        <v>137</v>
      </c>
      <c r="C143" s="21"/>
      <c r="D143" s="7" t="s">
        <v>19</v>
      </c>
      <c r="E143" s="7"/>
      <c r="F143" s="116"/>
      <c r="G143" s="115">
        <f>G137+G142</f>
        <v>2468272.0836300002</v>
      </c>
      <c r="H143" s="7"/>
      <c r="I143" s="153">
        <f>I142+I137</f>
        <v>2471164.0036300002</v>
      </c>
      <c r="J143" s="7"/>
      <c r="K143" s="7"/>
      <c r="L143" s="7"/>
      <c r="M143" s="8">
        <f>M142+M137</f>
        <v>2592818.6273299996</v>
      </c>
      <c r="N143" s="8">
        <f t="shared" si="155"/>
        <v>121654.62369999941</v>
      </c>
      <c r="O143" s="9">
        <f>N143/I143</f>
        <v>4.9229684278864393E-2</v>
      </c>
      <c r="P143" s="2"/>
      <c r="Q143" s="2"/>
      <c r="R143" s="2"/>
    </row>
    <row r="144" spans="1:20" ht="13.5" thickTop="1" x14ac:dyDescent="0.2">
      <c r="A144" s="43">
        <f t="shared" si="124"/>
        <v>138</v>
      </c>
      <c r="D144" s="2" t="s">
        <v>18</v>
      </c>
      <c r="E144" s="147">
        <f>E136/E135</f>
        <v>1171.8092507075824</v>
      </c>
      <c r="G144" s="118">
        <f>G143/E135</f>
        <v>183.84269951065099</v>
      </c>
      <c r="I144" s="15">
        <f>I143/E135</f>
        <v>184.05809650156414</v>
      </c>
      <c r="M144" s="15">
        <f>M143/E135</f>
        <v>193.1192184813049</v>
      </c>
      <c r="N144" s="15">
        <f t="shared" si="155"/>
        <v>9.0611219797407614</v>
      </c>
      <c r="O144" s="4">
        <f>N144/I144</f>
        <v>4.9229684278864413E-2</v>
      </c>
    </row>
    <row r="145" spans="1:20" ht="13.5" thickBot="1" x14ac:dyDescent="0.25">
      <c r="A145" s="43">
        <f t="shared" si="124"/>
        <v>139</v>
      </c>
      <c r="E145" s="2"/>
    </row>
    <row r="146" spans="1:20" x14ac:dyDescent="0.2">
      <c r="A146" s="43">
        <f t="shared" si="124"/>
        <v>140</v>
      </c>
      <c r="B146" s="166" t="s">
        <v>104</v>
      </c>
      <c r="C146" s="34">
        <v>32</v>
      </c>
      <c r="D146" s="33"/>
      <c r="E146" s="33"/>
      <c r="F146" s="119"/>
      <c r="G146" s="119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</row>
    <row r="147" spans="1:20" x14ac:dyDescent="0.2">
      <c r="A147" s="43">
        <f t="shared" si="124"/>
        <v>141</v>
      </c>
      <c r="B147" s="167"/>
      <c r="C147" s="2"/>
      <c r="D147" s="2" t="s">
        <v>17</v>
      </c>
      <c r="E147" s="162">
        <v>595</v>
      </c>
      <c r="F147" s="133">
        <f>H147</f>
        <v>28.26</v>
      </c>
      <c r="G147" s="98">
        <f>F147*E147</f>
        <v>16814.7</v>
      </c>
      <c r="H147" s="147">
        <f>H97</f>
        <v>28.26</v>
      </c>
      <c r="I147" s="156">
        <f>H147*E147</f>
        <v>16814.7</v>
      </c>
      <c r="J147" s="39">
        <f>I147/I149</f>
        <v>0.29104787551080863</v>
      </c>
      <c r="K147" s="39"/>
      <c r="L147" s="147">
        <f>L97</f>
        <v>29.82</v>
      </c>
      <c r="M147" s="5">
        <f>L147*E147</f>
        <v>17742.900000000001</v>
      </c>
      <c r="N147" s="5">
        <f>M147-I147</f>
        <v>928.20000000000073</v>
      </c>
      <c r="O147" s="4">
        <f>IF(I147=0,0,N147/I147)</f>
        <v>5.5201698513800468E-2</v>
      </c>
      <c r="P147" s="4">
        <f>M147/M149</f>
        <v>0.29102915151514502</v>
      </c>
      <c r="Q147" s="16">
        <f>P147-J147</f>
        <v>-1.8723995663605386E-5</v>
      </c>
      <c r="R147" s="16"/>
    </row>
    <row r="148" spans="1:20" x14ac:dyDescent="0.2">
      <c r="A148" s="43">
        <f t="shared" si="124"/>
        <v>142</v>
      </c>
      <c r="D148" s="2" t="s">
        <v>47</v>
      </c>
      <c r="E148" s="162">
        <v>264281</v>
      </c>
      <c r="F148" s="134">
        <f>H148-$H$322</f>
        <v>0.14319000000000001</v>
      </c>
      <c r="G148" s="98">
        <f t="shared" ref="G148" si="157">F148*E148</f>
        <v>37842.396390000002</v>
      </c>
      <c r="H148" s="148">
        <f>H98</f>
        <v>0.15498000000000001</v>
      </c>
      <c r="I148" s="156">
        <f t="shared" ref="I148" si="158">H148*E148</f>
        <v>40958.269380000005</v>
      </c>
      <c r="J148" s="39">
        <f>I148/I149</f>
        <v>0.70895212448919132</v>
      </c>
      <c r="K148" s="39"/>
      <c r="L148" s="154">
        <f>L98</f>
        <v>0.16355</v>
      </c>
      <c r="M148" s="5">
        <f t="shared" ref="M148" si="159">L148*E148</f>
        <v>43223.157550000004</v>
      </c>
      <c r="N148" s="5">
        <f t="shared" ref="N148:N152" si="160">M148-I148</f>
        <v>2264.8881699999984</v>
      </c>
      <c r="O148" s="4">
        <f t="shared" ref="O148" si="161">IF(I148=0,0,N148/I148)</f>
        <v>5.5297457736482078E-2</v>
      </c>
      <c r="P148" s="4">
        <f>M148/M149</f>
        <v>0.70897084848485503</v>
      </c>
      <c r="Q148" s="16">
        <f t="shared" ref="Q148:Q149" si="162">P148-J148</f>
        <v>1.8723995663716408E-5</v>
      </c>
      <c r="R148" s="16"/>
      <c r="T148" s="4">
        <f>L148/H148-1</f>
        <v>5.5297457736481981E-2</v>
      </c>
    </row>
    <row r="149" spans="1:20" s="6" customFormat="1" ht="20.45" customHeight="1" x14ac:dyDescent="0.25">
      <c r="A149" s="43">
        <f t="shared" si="124"/>
        <v>143</v>
      </c>
      <c r="C149" s="21"/>
      <c r="D149" s="23" t="s">
        <v>6</v>
      </c>
      <c r="E149" s="23"/>
      <c r="F149" s="111"/>
      <c r="G149" s="24">
        <f>SUM(G147:G148)</f>
        <v>54657.096390000006</v>
      </c>
      <c r="H149" s="23"/>
      <c r="I149" s="157">
        <f>SUM(I147:I148)</f>
        <v>57772.96938000001</v>
      </c>
      <c r="J149" s="158">
        <f>SUM(J147:J148)</f>
        <v>1</v>
      </c>
      <c r="K149" s="40">
        <f>I149+Summary!I20</f>
        <v>60968.679380000009</v>
      </c>
      <c r="L149" s="23"/>
      <c r="M149" s="157">
        <f>SUM(M147:M148)</f>
        <v>60966.057550000005</v>
      </c>
      <c r="N149" s="157">
        <f>SUM(N147:N148)</f>
        <v>3193.0881699999991</v>
      </c>
      <c r="O149" s="25">
        <f t="shared" ref="O149" si="163">N149/I149</f>
        <v>5.5269587218160027E-2</v>
      </c>
      <c r="P149" s="25">
        <f>SUM(P147:P148)</f>
        <v>1</v>
      </c>
      <c r="Q149" s="26">
        <f t="shared" si="162"/>
        <v>0</v>
      </c>
      <c r="R149" s="37">
        <f>M149-K149</f>
        <v>-2.6218300000036834</v>
      </c>
      <c r="S149" s="77">
        <f>K149/I149</f>
        <v>1.0553149688218431</v>
      </c>
    </row>
    <row r="150" spans="1:20" x14ac:dyDescent="0.2">
      <c r="A150" s="43">
        <f t="shared" si="124"/>
        <v>144</v>
      </c>
      <c r="D150" s="2" t="s">
        <v>26</v>
      </c>
      <c r="E150" s="2"/>
      <c r="G150" s="128">
        <v>2109.41</v>
      </c>
      <c r="I150" s="14">
        <f>G150-($H$322*E148)</f>
        <v>-1006.46299</v>
      </c>
      <c r="K150" s="14"/>
      <c r="M150" s="5">
        <f>I150</f>
        <v>-1006.46299</v>
      </c>
      <c r="N150" s="5">
        <f t="shared" si="160"/>
        <v>0</v>
      </c>
      <c r="O150" s="17">
        <v>0</v>
      </c>
    </row>
    <row r="151" spans="1:20" x14ac:dyDescent="0.2">
      <c r="A151" s="43">
        <f t="shared" si="124"/>
        <v>145</v>
      </c>
      <c r="D151" s="2" t="s">
        <v>27</v>
      </c>
      <c r="E151" s="2"/>
      <c r="G151" s="128">
        <v>5506.38</v>
      </c>
      <c r="I151" s="14">
        <f t="shared" ref="I151:I153" si="164">G151</f>
        <v>5506.38</v>
      </c>
      <c r="M151" s="5">
        <f t="shared" ref="M151:M153" si="165">I151</f>
        <v>5506.38</v>
      </c>
      <c r="N151" s="5">
        <f t="shared" si="160"/>
        <v>0</v>
      </c>
      <c r="O151" s="17">
        <v>0</v>
      </c>
    </row>
    <row r="152" spans="1:20" x14ac:dyDescent="0.2">
      <c r="A152" s="43">
        <f t="shared" si="124"/>
        <v>146</v>
      </c>
      <c r="D152" s="2" t="s">
        <v>29</v>
      </c>
      <c r="E152" s="163">
        <v>595</v>
      </c>
      <c r="F152" s="123">
        <v>10</v>
      </c>
      <c r="G152" s="128">
        <v>5742.83</v>
      </c>
      <c r="H152" s="17">
        <v>10</v>
      </c>
      <c r="I152" s="14">
        <f>H152*E152</f>
        <v>5950</v>
      </c>
      <c r="M152" s="5">
        <f t="shared" si="165"/>
        <v>5950</v>
      </c>
      <c r="N152" s="5">
        <f t="shared" si="160"/>
        <v>0</v>
      </c>
      <c r="O152" s="17">
        <v>0</v>
      </c>
    </row>
    <row r="153" spans="1:20" x14ac:dyDescent="0.2">
      <c r="A153" s="43">
        <f t="shared" si="124"/>
        <v>147</v>
      </c>
      <c r="D153" s="2" t="s">
        <v>38</v>
      </c>
      <c r="E153" s="2"/>
      <c r="F153" s="105" t="s">
        <v>75</v>
      </c>
      <c r="G153" s="98">
        <v>0</v>
      </c>
      <c r="I153" s="14">
        <f t="shared" si="164"/>
        <v>0</v>
      </c>
      <c r="M153" s="5">
        <f t="shared" si="165"/>
        <v>0</v>
      </c>
      <c r="N153" s="5"/>
      <c r="O153" s="17"/>
    </row>
    <row r="154" spans="1:20" x14ac:dyDescent="0.2">
      <c r="A154" s="43">
        <f t="shared" si="124"/>
        <v>148</v>
      </c>
      <c r="D154" s="18" t="s">
        <v>8</v>
      </c>
      <c r="E154" s="18"/>
      <c r="F154" s="114"/>
      <c r="G154" s="113">
        <f>SUM(G150:G153)</f>
        <v>13358.619999999999</v>
      </c>
      <c r="H154" s="18"/>
      <c r="I154" s="159">
        <f>SUM(I150:I153)</f>
        <v>10449.917010000001</v>
      </c>
      <c r="J154" s="18"/>
      <c r="K154" s="18"/>
      <c r="L154" s="18"/>
      <c r="M154" s="19">
        <f>SUM(M150:M153)</f>
        <v>10449.917010000001</v>
      </c>
      <c r="N154" s="19">
        <f t="shared" ref="N154:N156" si="166">M154-I154</f>
        <v>0</v>
      </c>
      <c r="O154" s="27">
        <f t="shared" ref="O154" si="167">N154-J154</f>
        <v>0</v>
      </c>
    </row>
    <row r="155" spans="1:20" s="6" customFormat="1" ht="26.45" customHeight="1" thickBot="1" x14ac:dyDescent="0.25">
      <c r="A155" s="43">
        <f t="shared" si="124"/>
        <v>149</v>
      </c>
      <c r="C155" s="21"/>
      <c r="D155" s="7" t="s">
        <v>19</v>
      </c>
      <c r="E155" s="7"/>
      <c r="F155" s="116"/>
      <c r="G155" s="115">
        <f>G149+G154</f>
        <v>68015.716390000001</v>
      </c>
      <c r="H155" s="7"/>
      <c r="I155" s="153">
        <f>I154+I149</f>
        <v>68222.886390000014</v>
      </c>
      <c r="J155" s="7"/>
      <c r="K155" s="7"/>
      <c r="L155" s="7"/>
      <c r="M155" s="8">
        <f>M154+M149</f>
        <v>71415.974560000002</v>
      </c>
      <c r="N155" s="8">
        <f t="shared" si="166"/>
        <v>3193.0881699999882</v>
      </c>
      <c r="O155" s="9">
        <f>N155/I155</f>
        <v>4.6803768338772971E-2</v>
      </c>
      <c r="P155" s="2"/>
      <c r="Q155" s="2"/>
      <c r="R155" s="2"/>
    </row>
    <row r="156" spans="1:20" ht="13.5" thickTop="1" x14ac:dyDescent="0.2">
      <c r="A156" s="43">
        <f t="shared" si="124"/>
        <v>150</v>
      </c>
      <c r="D156" s="2" t="s">
        <v>18</v>
      </c>
      <c r="E156" s="147">
        <f>E148/E147</f>
        <v>444.16974789915969</v>
      </c>
      <c r="G156" s="118">
        <f>G155/E147</f>
        <v>114.31212838655462</v>
      </c>
      <c r="I156" s="15">
        <f>I155/E147</f>
        <v>114.66031326050422</v>
      </c>
      <c r="M156" s="15">
        <f>M155/E147</f>
        <v>120.026848</v>
      </c>
      <c r="N156" s="15">
        <f t="shared" si="166"/>
        <v>5.3665347394957763</v>
      </c>
      <c r="O156" s="4">
        <f>N156/I156</f>
        <v>4.6803768338772957E-2</v>
      </c>
    </row>
    <row r="157" spans="1:20" ht="13.5" thickBot="1" x14ac:dyDescent="0.25">
      <c r="A157" s="43">
        <f t="shared" si="124"/>
        <v>151</v>
      </c>
      <c r="E157" s="2"/>
    </row>
    <row r="158" spans="1:20" x14ac:dyDescent="0.2">
      <c r="A158" s="43">
        <f t="shared" si="124"/>
        <v>152</v>
      </c>
      <c r="B158" s="166" t="s">
        <v>77</v>
      </c>
      <c r="C158" s="34">
        <v>22</v>
      </c>
      <c r="D158" s="33"/>
      <c r="E158" s="33"/>
      <c r="F158" s="119"/>
      <c r="G158" s="119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</row>
    <row r="159" spans="1:20" x14ac:dyDescent="0.2">
      <c r="A159" s="43">
        <f t="shared" si="124"/>
        <v>153</v>
      </c>
      <c r="B159" s="167"/>
      <c r="C159" s="2"/>
      <c r="D159" s="2" t="s">
        <v>17</v>
      </c>
      <c r="E159" s="162">
        <v>478</v>
      </c>
      <c r="F159" s="133">
        <f>H159</f>
        <v>21.84</v>
      </c>
      <c r="G159" s="98">
        <f>F159*E159</f>
        <v>10439.52</v>
      </c>
      <c r="H159" s="147">
        <f>H8</f>
        <v>21.84</v>
      </c>
      <c r="I159" s="156">
        <f>H159*E159</f>
        <v>10439.52</v>
      </c>
      <c r="J159" s="39">
        <f>I159/I161</f>
        <v>0.12956798615444129</v>
      </c>
      <c r="K159" s="39"/>
      <c r="L159" s="147">
        <f>L8</f>
        <v>23.05</v>
      </c>
      <c r="M159" s="5">
        <f>L159*E159</f>
        <v>11017.9</v>
      </c>
      <c r="N159" s="5">
        <f>M159-I159</f>
        <v>578.3799999999992</v>
      </c>
      <c r="O159" s="4">
        <f>IF(I159=0,0,N159/I159)</f>
        <v>5.5402930402930324E-2</v>
      </c>
      <c r="P159" s="4">
        <f>M159/M161</f>
        <v>0.12957716493240784</v>
      </c>
      <c r="Q159" s="16">
        <f>P159-J159</f>
        <v>9.1787779665508662E-6</v>
      </c>
      <c r="R159" s="16"/>
      <c r="T159" s="4">
        <f>L159/H159-1</f>
        <v>5.5402930402930428E-2</v>
      </c>
    </row>
    <row r="160" spans="1:20" x14ac:dyDescent="0.2">
      <c r="A160" s="43">
        <f t="shared" si="124"/>
        <v>154</v>
      </c>
      <c r="D160" s="2" t="s">
        <v>47</v>
      </c>
      <c r="E160" s="162">
        <v>579031</v>
      </c>
      <c r="F160" s="134">
        <f>H160-$H$322</f>
        <v>0.10933000000000001</v>
      </c>
      <c r="G160" s="98">
        <f t="shared" ref="G160" si="168">F160*E160</f>
        <v>63305.459230000008</v>
      </c>
      <c r="H160" s="148">
        <f>H9</f>
        <v>0.12112000000000001</v>
      </c>
      <c r="I160" s="156">
        <f t="shared" ref="I160" si="169">H160*E160</f>
        <v>70132.234720000008</v>
      </c>
      <c r="J160" s="39">
        <f>I160/I161</f>
        <v>0.87043201384555868</v>
      </c>
      <c r="K160" s="39"/>
      <c r="L160" s="148">
        <f>L9</f>
        <v>0.12781999999999999</v>
      </c>
      <c r="M160" s="5">
        <f t="shared" ref="M160" si="170">L160*E160</f>
        <v>74011.742419999995</v>
      </c>
      <c r="N160" s="5">
        <f t="shared" ref="N160:N164" si="171">M160-I160</f>
        <v>3879.5076999999874</v>
      </c>
      <c r="O160" s="4">
        <f t="shared" ref="O160" si="172">IF(I160=0,0,N160/I160)</f>
        <v>5.5317040951122665E-2</v>
      </c>
      <c r="P160" s="4">
        <f>M160/M161</f>
        <v>0.87042283506759222</v>
      </c>
      <c r="Q160" s="16">
        <f t="shared" ref="Q160:Q161" si="173">P160-J160</f>
        <v>-9.1787779664675995E-6</v>
      </c>
      <c r="R160" s="16"/>
      <c r="T160" s="4">
        <f>L160/H160-1</f>
        <v>5.5317040951122776E-2</v>
      </c>
    </row>
    <row r="161" spans="1:20" s="6" customFormat="1" ht="20.45" customHeight="1" x14ac:dyDescent="0.25">
      <c r="A161" s="43">
        <f t="shared" si="124"/>
        <v>155</v>
      </c>
      <c r="C161" s="21"/>
      <c r="D161" s="23" t="s">
        <v>6</v>
      </c>
      <c r="E161" s="23"/>
      <c r="F161" s="111"/>
      <c r="G161" s="24">
        <f>SUM(G159:G160)</f>
        <v>73744.979230000012</v>
      </c>
      <c r="H161" s="23"/>
      <c r="I161" s="157">
        <f>SUM(I159:I160)</f>
        <v>80571.754720000012</v>
      </c>
      <c r="J161" s="158">
        <f>SUM(J159:J160)</f>
        <v>1</v>
      </c>
      <c r="K161" s="40">
        <f>I161+Summary!I21</f>
        <v>85028.584720000013</v>
      </c>
      <c r="L161" s="23"/>
      <c r="M161" s="157">
        <f>SUM(M159:M160)</f>
        <v>85029.642419999989</v>
      </c>
      <c r="N161" s="157">
        <f>SUM(N159:N160)</f>
        <v>4457.8876999999866</v>
      </c>
      <c r="O161" s="25">
        <f t="shared" ref="O161" si="174">N161/I161</f>
        <v>5.5328169474425294E-2</v>
      </c>
      <c r="P161" s="25">
        <f>SUM(P159:P160)</f>
        <v>1</v>
      </c>
      <c r="Q161" s="26">
        <f t="shared" si="173"/>
        <v>0</v>
      </c>
      <c r="R161" s="37">
        <f>M161-K161</f>
        <v>1.057699999975739</v>
      </c>
      <c r="S161" s="77">
        <f>K161/I161</f>
        <v>1.055315042045295</v>
      </c>
    </row>
    <row r="162" spans="1:20" x14ac:dyDescent="0.2">
      <c r="A162" s="43">
        <f t="shared" si="124"/>
        <v>156</v>
      </c>
      <c r="D162" s="2" t="s">
        <v>26</v>
      </c>
      <c r="E162" s="2"/>
      <c r="G162" s="128">
        <v>5606.94</v>
      </c>
      <c r="I162" s="14">
        <f>G162-($H$322*E160)</f>
        <v>-1219.8354900000004</v>
      </c>
      <c r="K162" s="14"/>
      <c r="M162" s="5">
        <f>I162</f>
        <v>-1219.8354900000004</v>
      </c>
      <c r="N162" s="5">
        <f t="shared" si="171"/>
        <v>0</v>
      </c>
      <c r="O162" s="17">
        <v>0</v>
      </c>
    </row>
    <row r="163" spans="1:20" x14ac:dyDescent="0.2">
      <c r="A163" s="43">
        <f t="shared" si="124"/>
        <v>157</v>
      </c>
      <c r="D163" s="2" t="s">
        <v>27</v>
      </c>
      <c r="E163" s="2"/>
      <c r="G163" s="128">
        <v>5371.16</v>
      </c>
      <c r="I163" s="14">
        <f t="shared" ref="I163:I165" si="175">G163</f>
        <v>5371.16</v>
      </c>
      <c r="M163" s="5">
        <f t="shared" ref="M163:M165" si="176">I163</f>
        <v>5371.16</v>
      </c>
      <c r="N163" s="5">
        <f t="shared" si="171"/>
        <v>0</v>
      </c>
      <c r="O163" s="17">
        <v>0</v>
      </c>
    </row>
    <row r="164" spans="1:20" x14ac:dyDescent="0.2">
      <c r="A164" s="43">
        <f t="shared" si="124"/>
        <v>158</v>
      </c>
      <c r="D164" s="2" t="s">
        <v>29</v>
      </c>
      <c r="E164" s="2"/>
      <c r="G164" s="128">
        <v>0</v>
      </c>
      <c r="I164" s="14">
        <f t="shared" si="175"/>
        <v>0</v>
      </c>
      <c r="M164" s="5">
        <f t="shared" si="176"/>
        <v>0</v>
      </c>
      <c r="N164" s="5">
        <f t="shared" si="171"/>
        <v>0</v>
      </c>
      <c r="O164" s="17">
        <v>0</v>
      </c>
    </row>
    <row r="165" spans="1:20" x14ac:dyDescent="0.2">
      <c r="A165" s="43">
        <f t="shared" si="124"/>
        <v>159</v>
      </c>
      <c r="D165" s="2" t="s">
        <v>38</v>
      </c>
      <c r="E165" s="2"/>
      <c r="G165" s="128">
        <v>0</v>
      </c>
      <c r="I165" s="14">
        <f t="shared" si="175"/>
        <v>0</v>
      </c>
      <c r="M165" s="5">
        <f t="shared" si="176"/>
        <v>0</v>
      </c>
      <c r="N165" s="5"/>
      <c r="O165" s="17"/>
    </row>
    <row r="166" spans="1:20" x14ac:dyDescent="0.2">
      <c r="A166" s="43">
        <f t="shared" si="124"/>
        <v>160</v>
      </c>
      <c r="D166" s="18" t="s">
        <v>8</v>
      </c>
      <c r="E166" s="18"/>
      <c r="F166" s="114"/>
      <c r="G166" s="113">
        <f>SUM(G162:G165)</f>
        <v>10978.099999999999</v>
      </c>
      <c r="H166" s="18"/>
      <c r="I166" s="159">
        <f>SUM(I162:I165)</f>
        <v>4151.3245099999995</v>
      </c>
      <c r="J166" s="18"/>
      <c r="K166" s="18"/>
      <c r="L166" s="18"/>
      <c r="M166" s="19">
        <f>SUM(M162:M165)</f>
        <v>4151.3245099999995</v>
      </c>
      <c r="N166" s="19">
        <f t="shared" ref="N166:N168" si="177">M166-I166</f>
        <v>0</v>
      </c>
      <c r="O166" s="27">
        <f t="shared" ref="O166" si="178">N166-J166</f>
        <v>0</v>
      </c>
    </row>
    <row r="167" spans="1:20" s="6" customFormat="1" ht="26.45" customHeight="1" thickBot="1" x14ac:dyDescent="0.25">
      <c r="A167" s="43">
        <f t="shared" si="124"/>
        <v>161</v>
      </c>
      <c r="C167" s="21"/>
      <c r="D167" s="7" t="s">
        <v>19</v>
      </c>
      <c r="E167" s="7"/>
      <c r="F167" s="116"/>
      <c r="G167" s="115">
        <f>G161+G166</f>
        <v>84723.079230000003</v>
      </c>
      <c r="H167" s="7"/>
      <c r="I167" s="153">
        <f>I166+I161</f>
        <v>84723.079230000018</v>
      </c>
      <c r="J167" s="7"/>
      <c r="K167" s="7"/>
      <c r="L167" s="7"/>
      <c r="M167" s="8">
        <f>M166+M161</f>
        <v>89180.966929999995</v>
      </c>
      <c r="N167" s="8">
        <f t="shared" si="177"/>
        <v>4457.8876999999775</v>
      </c>
      <c r="O167" s="9">
        <f>N167/I167</f>
        <v>5.2617158636291184E-2</v>
      </c>
      <c r="P167" s="2"/>
      <c r="Q167" s="2"/>
      <c r="R167" s="2"/>
    </row>
    <row r="168" spans="1:20" ht="13.5" thickTop="1" x14ac:dyDescent="0.2">
      <c r="A168" s="43">
        <f t="shared" si="124"/>
        <v>162</v>
      </c>
      <c r="E168" s="164">
        <f>E160</f>
        <v>579031</v>
      </c>
      <c r="G168" s="118">
        <f>G167/E159</f>
        <v>177.24493562761506</v>
      </c>
      <c r="I168" s="15">
        <f>I167/E159</f>
        <v>177.24493562761509</v>
      </c>
      <c r="M168" s="15">
        <f>M167/E159</f>
        <v>186.57106052301253</v>
      </c>
      <c r="N168" s="15">
        <f t="shared" si="177"/>
        <v>9.3261248953974416</v>
      </c>
      <c r="O168" s="4">
        <f>N168/I168</f>
        <v>5.2617158636291177E-2</v>
      </c>
    </row>
    <row r="169" spans="1:20" ht="13.5" thickBot="1" x14ac:dyDescent="0.25">
      <c r="A169" s="43">
        <f t="shared" si="124"/>
        <v>163</v>
      </c>
      <c r="E169" s="2"/>
    </row>
    <row r="170" spans="1:20" x14ac:dyDescent="0.2">
      <c r="A170" s="43">
        <f t="shared" si="124"/>
        <v>164</v>
      </c>
      <c r="B170" s="166" t="s">
        <v>131</v>
      </c>
      <c r="C170" s="34">
        <v>11</v>
      </c>
      <c r="D170" s="33"/>
      <c r="E170" s="33"/>
      <c r="F170" s="119"/>
      <c r="G170" s="119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</row>
    <row r="171" spans="1:20" x14ac:dyDescent="0.2">
      <c r="A171" s="43">
        <f t="shared" si="124"/>
        <v>165</v>
      </c>
      <c r="B171" s="167"/>
      <c r="C171" s="2"/>
      <c r="D171" s="2" t="s">
        <v>17</v>
      </c>
      <c r="E171" s="162">
        <v>288</v>
      </c>
      <c r="F171" s="133">
        <f>H171</f>
        <v>28.26</v>
      </c>
      <c r="G171" s="98">
        <f>F171*E171</f>
        <v>8138.88</v>
      </c>
      <c r="H171" s="147">
        <v>28.26</v>
      </c>
      <c r="I171" s="156">
        <f>H171*E171</f>
        <v>8138.88</v>
      </c>
      <c r="J171" s="39">
        <f>I171/I174</f>
        <v>0.25089831854533934</v>
      </c>
      <c r="K171" s="39"/>
      <c r="L171" s="147">
        <f>ROUND(H171*S174,2)</f>
        <v>29.82</v>
      </c>
      <c r="M171" s="5">
        <f>L171*E171</f>
        <v>8588.16</v>
      </c>
      <c r="N171" s="5">
        <f>M171-I171</f>
        <v>449.27999999999975</v>
      </c>
      <c r="O171" s="4">
        <f>IF(I171=0,0,N171/I171)</f>
        <v>5.5201698513800392E-2</v>
      </c>
      <c r="P171" s="4">
        <f>M171/M$174</f>
        <v>0.2508831719171204</v>
      </c>
      <c r="Q171" s="16">
        <f>P171-J171</f>
        <v>-1.5146628218942748E-5</v>
      </c>
      <c r="R171" s="16"/>
      <c r="T171" s="4">
        <f>L171/H171-1</f>
        <v>5.5201698513800412E-2</v>
      </c>
    </row>
    <row r="172" spans="1:20" x14ac:dyDescent="0.2">
      <c r="A172" s="43">
        <f t="shared" ref="A172:A281" si="179">A171+1</f>
        <v>166</v>
      </c>
      <c r="D172" s="2" t="s">
        <v>47</v>
      </c>
      <c r="E172" s="162">
        <v>66951</v>
      </c>
      <c r="F172" s="134">
        <f>H172-$H$322</f>
        <v>0.20122999999999999</v>
      </c>
      <c r="G172" s="98">
        <f t="shared" ref="G172:G173" si="180">F172*E172</f>
        <v>13472.549729999999</v>
      </c>
      <c r="H172" s="148">
        <v>0.21301999999999999</v>
      </c>
      <c r="I172" s="156">
        <f t="shared" ref="I172:I173" si="181">H172*E172</f>
        <v>14261.90202</v>
      </c>
      <c r="J172" s="39">
        <f>I172/I174</f>
        <v>0.43965351941254549</v>
      </c>
      <c r="K172" s="39"/>
      <c r="L172" s="160">
        <f>ROUND(H172*S174,5)</f>
        <v>0.2248</v>
      </c>
      <c r="M172" s="5">
        <f t="shared" ref="M172:M173" si="182">L172*E172</f>
        <v>15050.584800000001</v>
      </c>
      <c r="N172" s="5">
        <f t="shared" ref="N172:N173" si="183">M172-I172</f>
        <v>788.682780000001</v>
      </c>
      <c r="O172" s="4">
        <f t="shared" ref="O172:O173" si="184">IF(I172=0,0,N172/I172)</f>
        <v>5.5299971833630716E-2</v>
      </c>
      <c r="P172" s="4">
        <f t="shared" ref="P172:P173" si="185">M172/M$174</f>
        <v>0.43966792116490605</v>
      </c>
      <c r="Q172" s="16">
        <f t="shared" ref="Q172:Q174" si="186">P172-J172</f>
        <v>1.4401752360559961E-5</v>
      </c>
      <c r="R172" s="16"/>
      <c r="T172" s="4">
        <f>L172/H172-1</f>
        <v>5.5299971833630668E-2</v>
      </c>
    </row>
    <row r="173" spans="1:20" x14ac:dyDescent="0.2">
      <c r="A173" s="43">
        <f t="shared" si="179"/>
        <v>167</v>
      </c>
      <c r="D173" s="2" t="s">
        <v>47</v>
      </c>
      <c r="E173" s="162">
        <v>140453</v>
      </c>
      <c r="F173" s="134">
        <f>H173-$H$322</f>
        <v>5.9680000000000004E-2</v>
      </c>
      <c r="G173" s="98">
        <f t="shared" si="180"/>
        <v>8382.2350400000014</v>
      </c>
      <c r="H173" s="148">
        <v>7.1470000000000006E-2</v>
      </c>
      <c r="I173" s="156">
        <f t="shared" si="181"/>
        <v>10038.17591</v>
      </c>
      <c r="J173" s="39">
        <f>I173/I174</f>
        <v>0.30944816204211528</v>
      </c>
      <c r="K173" s="39"/>
      <c r="L173" s="160">
        <f>ROUND(H173*S174,5)</f>
        <v>7.5420000000000001E-2</v>
      </c>
      <c r="M173" s="5">
        <f t="shared" si="182"/>
        <v>10592.965260000001</v>
      </c>
      <c r="N173" s="5">
        <f t="shared" si="183"/>
        <v>554.78935000000092</v>
      </c>
      <c r="O173" s="4">
        <f t="shared" si="184"/>
        <v>5.5267944592136652E-2</v>
      </c>
      <c r="P173" s="4">
        <f t="shared" si="185"/>
        <v>0.30944890691797361</v>
      </c>
      <c r="Q173" s="16">
        <f t="shared" si="186"/>
        <v>7.4487585832727632E-7</v>
      </c>
      <c r="R173" s="16"/>
      <c r="T173" s="4">
        <f>L173/H173-1</f>
        <v>5.5267944592136464E-2</v>
      </c>
    </row>
    <row r="174" spans="1:20" s="6" customFormat="1" ht="20.45" customHeight="1" x14ac:dyDescent="0.25">
      <c r="A174" s="43">
        <f t="shared" si="179"/>
        <v>168</v>
      </c>
      <c r="C174" s="21"/>
      <c r="D174" s="23" t="s">
        <v>6</v>
      </c>
      <c r="E174" s="23"/>
      <c r="F174" s="111"/>
      <c r="G174" s="24">
        <f>SUM(G171:G173)</f>
        <v>29993.664770000003</v>
      </c>
      <c r="H174" s="23"/>
      <c r="I174" s="157">
        <f>SUM(I171:I173)</f>
        <v>32438.957929999997</v>
      </c>
      <c r="J174" s="158">
        <f>SUM(J171:J173)</f>
        <v>1</v>
      </c>
      <c r="K174" s="40">
        <f>I174+Summary!I22</f>
        <v>34233.317929999997</v>
      </c>
      <c r="L174" s="23"/>
      <c r="M174" s="157">
        <f>SUM(M171:M173)</f>
        <v>34231.710059999998</v>
      </c>
      <c r="N174" s="157">
        <f>SUM(N171:N173)</f>
        <v>1792.7521300000017</v>
      </c>
      <c r="O174" s="25">
        <f t="shared" ref="O174" si="187">N174/I174</f>
        <v>5.5265404451911811E-2</v>
      </c>
      <c r="P174" s="25">
        <f>SUM(P171:P173)</f>
        <v>1</v>
      </c>
      <c r="Q174" s="26">
        <f t="shared" si="186"/>
        <v>0</v>
      </c>
      <c r="R174" s="37">
        <f>M174-K174</f>
        <v>-1.6078699999998207</v>
      </c>
      <c r="S174" s="77">
        <f>K174/I174</f>
        <v>1.0553149704707545</v>
      </c>
    </row>
    <row r="175" spans="1:20" x14ac:dyDescent="0.2">
      <c r="A175" s="43">
        <f t="shared" si="179"/>
        <v>169</v>
      </c>
      <c r="D175" s="2" t="s">
        <v>26</v>
      </c>
      <c r="E175" s="2"/>
      <c r="G175" s="128">
        <v>2405.89</v>
      </c>
      <c r="I175" s="14">
        <f>G175-($H$322*(E172+E173))</f>
        <v>-39.403160000000298</v>
      </c>
      <c r="K175" s="14"/>
      <c r="M175" s="5">
        <f>I175</f>
        <v>-39.403160000000298</v>
      </c>
      <c r="N175" s="5">
        <f t="shared" ref="N175:N177" si="188">M175-I175</f>
        <v>0</v>
      </c>
      <c r="O175" s="17">
        <v>0</v>
      </c>
    </row>
    <row r="176" spans="1:20" x14ac:dyDescent="0.2">
      <c r="A176" s="43">
        <f t="shared" si="179"/>
        <v>170</v>
      </c>
      <c r="D176" s="2" t="s">
        <v>27</v>
      </c>
      <c r="E176" s="2"/>
      <c r="G176" s="128">
        <v>3023.26</v>
      </c>
      <c r="I176" s="14">
        <f t="shared" ref="I176:I178" si="189">G176</f>
        <v>3023.26</v>
      </c>
      <c r="M176" s="5">
        <f t="shared" ref="M176:M178" si="190">I176</f>
        <v>3023.26</v>
      </c>
      <c r="N176" s="5">
        <f t="shared" si="188"/>
        <v>0</v>
      </c>
      <c r="O176" s="17">
        <v>0</v>
      </c>
    </row>
    <row r="177" spans="1:20" x14ac:dyDescent="0.2">
      <c r="A177" s="43">
        <f t="shared" si="179"/>
        <v>171</v>
      </c>
      <c r="D177" s="2" t="s">
        <v>29</v>
      </c>
      <c r="E177" s="2"/>
      <c r="G177" s="128">
        <v>0</v>
      </c>
      <c r="I177" s="14">
        <f t="shared" si="189"/>
        <v>0</v>
      </c>
      <c r="M177" s="5">
        <f t="shared" si="190"/>
        <v>0</v>
      </c>
      <c r="N177" s="5">
        <f t="shared" si="188"/>
        <v>0</v>
      </c>
      <c r="O177" s="17">
        <v>0</v>
      </c>
    </row>
    <row r="178" spans="1:20" x14ac:dyDescent="0.2">
      <c r="A178" s="43">
        <f t="shared" si="179"/>
        <v>172</v>
      </c>
      <c r="D178" s="2" t="s">
        <v>38</v>
      </c>
      <c r="E178" s="2"/>
      <c r="G178" s="128">
        <v>0</v>
      </c>
      <c r="I178" s="14">
        <f t="shared" si="189"/>
        <v>0</v>
      </c>
      <c r="M178" s="5">
        <f t="shared" si="190"/>
        <v>0</v>
      </c>
      <c r="N178" s="5"/>
      <c r="O178" s="17"/>
    </row>
    <row r="179" spans="1:20" x14ac:dyDescent="0.2">
      <c r="A179" s="43">
        <f t="shared" si="179"/>
        <v>173</v>
      </c>
      <c r="D179" s="18" t="s">
        <v>8</v>
      </c>
      <c r="E179" s="18"/>
      <c r="F179" s="114"/>
      <c r="G179" s="113">
        <f>SUM(G175:G178)</f>
        <v>5429.15</v>
      </c>
      <c r="H179" s="18"/>
      <c r="I179" s="159">
        <f>SUM(I175:I178)</f>
        <v>2983.8568399999999</v>
      </c>
      <c r="J179" s="18"/>
      <c r="K179" s="18"/>
      <c r="L179" s="18"/>
      <c r="M179" s="19">
        <f>SUM(M175:M178)</f>
        <v>2983.8568399999999</v>
      </c>
      <c r="N179" s="19">
        <f t="shared" ref="N179:N181" si="191">M179-I179</f>
        <v>0</v>
      </c>
      <c r="O179" s="27">
        <f t="shared" ref="O179" si="192">N179-J179</f>
        <v>0</v>
      </c>
    </row>
    <row r="180" spans="1:20" s="6" customFormat="1" ht="26.45" customHeight="1" thickBot="1" x14ac:dyDescent="0.25">
      <c r="A180" s="43">
        <f t="shared" si="179"/>
        <v>174</v>
      </c>
      <c r="C180" s="21"/>
      <c r="D180" s="7" t="s">
        <v>19</v>
      </c>
      <c r="E180" s="7"/>
      <c r="F180" s="116"/>
      <c r="G180" s="115">
        <f>G174+G179</f>
        <v>35422.814770000005</v>
      </c>
      <c r="H180" s="7"/>
      <c r="I180" s="153">
        <f>I179+I174</f>
        <v>35422.814769999997</v>
      </c>
      <c r="J180" s="7"/>
      <c r="K180" s="7"/>
      <c r="L180" s="7"/>
      <c r="M180" s="8">
        <f>M179+M174</f>
        <v>37215.566899999998</v>
      </c>
      <c r="N180" s="8">
        <f t="shared" si="191"/>
        <v>1792.7521300000008</v>
      </c>
      <c r="O180" s="9">
        <f>N180/I180</f>
        <v>5.0610098086228419E-2</v>
      </c>
      <c r="P180" s="2"/>
      <c r="Q180" s="2"/>
      <c r="R180" s="2"/>
    </row>
    <row r="181" spans="1:20" ht="13.5" thickTop="1" x14ac:dyDescent="0.2">
      <c r="A181" s="43">
        <f t="shared" si="179"/>
        <v>175</v>
      </c>
      <c r="D181" s="2" t="s">
        <v>18</v>
      </c>
      <c r="E181" s="147">
        <f>(E172+E173)/E171</f>
        <v>720.15277777777783</v>
      </c>
      <c r="G181" s="118">
        <f>G180/E171</f>
        <v>122.99588461805557</v>
      </c>
      <c r="I181" s="15">
        <f>I180/E171</f>
        <v>122.99588461805554</v>
      </c>
      <c r="M181" s="15">
        <f>M180/E171</f>
        <v>129.22071840277778</v>
      </c>
      <c r="N181" s="15">
        <f t="shared" si="191"/>
        <v>6.2248337847222359</v>
      </c>
      <c r="O181" s="4">
        <f>N181/I181</f>
        <v>5.0610098086228517E-2</v>
      </c>
    </row>
    <row r="182" spans="1:20" ht="13.5" thickBot="1" x14ac:dyDescent="0.25">
      <c r="A182" s="43">
        <f t="shared" si="179"/>
        <v>176</v>
      </c>
      <c r="E182" s="2"/>
    </row>
    <row r="183" spans="1:20" x14ac:dyDescent="0.2">
      <c r="A183" s="43">
        <f>A166+1</f>
        <v>161</v>
      </c>
      <c r="B183" s="166" t="s">
        <v>122</v>
      </c>
      <c r="C183" s="34" t="s">
        <v>121</v>
      </c>
      <c r="D183" s="33"/>
      <c r="E183" s="33"/>
      <c r="F183" s="119"/>
      <c r="G183" s="119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</row>
    <row r="184" spans="1:20" x14ac:dyDescent="0.2">
      <c r="A184" s="43">
        <f t="shared" si="179"/>
        <v>162</v>
      </c>
      <c r="B184" s="167"/>
      <c r="C184" s="20">
        <v>30</v>
      </c>
      <c r="D184" s="2" t="s">
        <v>17</v>
      </c>
      <c r="E184" s="162">
        <v>12</v>
      </c>
      <c r="F184" s="133">
        <f>H184</f>
        <v>581.73</v>
      </c>
      <c r="G184" s="98">
        <f>F184*E184</f>
        <v>6980.76</v>
      </c>
      <c r="H184" s="147">
        <v>581.73</v>
      </c>
      <c r="I184" s="156">
        <f>H184*E184</f>
        <v>6980.76</v>
      </c>
      <c r="J184" s="39">
        <f>I184/I188</f>
        <v>5.1191850268935768E-3</v>
      </c>
      <c r="K184" s="39"/>
      <c r="L184" s="147">
        <f>ROUND(H184*S188,2)</f>
        <v>633.15</v>
      </c>
      <c r="M184" s="5">
        <f>L184*E184</f>
        <v>7597.7999999999993</v>
      </c>
      <c r="N184" s="5">
        <f>M184-I184</f>
        <v>617.03999999999905</v>
      </c>
      <c r="O184" s="4">
        <f>IF(I184=0,0,N184/I184)</f>
        <v>8.8391521840028742E-2</v>
      </c>
      <c r="P184" s="4">
        <f>M184/M$188</f>
        <v>5.1184778937997735E-3</v>
      </c>
      <c r="Q184" s="16">
        <f>P184-J184</f>
        <v>-7.0713309380330408E-7</v>
      </c>
      <c r="R184" s="16"/>
      <c r="T184" s="4">
        <f>L184/H184-1</f>
        <v>8.8391521840028853E-2</v>
      </c>
    </row>
    <row r="185" spans="1:20" x14ac:dyDescent="0.2">
      <c r="A185" s="43">
        <f t="shared" si="179"/>
        <v>163</v>
      </c>
      <c r="D185" s="2" t="s">
        <v>47</v>
      </c>
      <c r="E185" s="162">
        <v>18918960</v>
      </c>
      <c r="F185" s="134">
        <f>H185-$H$322</f>
        <v>4.6079999999999996E-2</v>
      </c>
      <c r="G185" s="98">
        <f t="shared" ref="G185:G187" si="193">F185*E185</f>
        <v>871785.6767999999</v>
      </c>
      <c r="H185" s="148">
        <v>5.7869999999999998E-2</v>
      </c>
      <c r="I185" s="156">
        <f t="shared" ref="I185:I187" si="194">H185*E185</f>
        <v>1094840.2152</v>
      </c>
      <c r="J185" s="39">
        <f>I185/I188</f>
        <v>0.80287671206183575</v>
      </c>
      <c r="K185" s="39"/>
      <c r="L185" s="160">
        <f>ROUND(H185*S188,5)</f>
        <v>6.2990000000000004E-2</v>
      </c>
      <c r="M185" s="5">
        <f t="shared" ref="M185:M187" si="195">L185*E185</f>
        <v>1191705.2904000001</v>
      </c>
      <c r="N185" s="5">
        <f t="shared" ref="N185:N187" si="196">M185-I185</f>
        <v>96865.075200000079</v>
      </c>
      <c r="O185" s="4">
        <f t="shared" ref="O185:O187" si="197">IF(I185=0,0,N185/I185)</f>
        <v>8.8474166234663976E-2</v>
      </c>
      <c r="P185" s="4">
        <f t="shared" ref="P185:P187" si="198">M185/M$188</f>
        <v>0.80282676364692951</v>
      </c>
      <c r="Q185" s="16">
        <f t="shared" ref="Q185:Q188" si="199">P185-J185</f>
        <v>-4.9948414906242355E-5</v>
      </c>
      <c r="R185" s="16"/>
      <c r="T185" s="4">
        <f>L185/H185-1</f>
        <v>8.8474166234663976E-2</v>
      </c>
    </row>
    <row r="186" spans="1:20" x14ac:dyDescent="0.2">
      <c r="A186" s="43">
        <f t="shared" si="179"/>
        <v>164</v>
      </c>
      <c r="D186" s="2" t="s">
        <v>67</v>
      </c>
      <c r="E186" s="162">
        <v>35239</v>
      </c>
      <c r="F186" s="133">
        <f t="shared" ref="F186:F187" si="200">H186</f>
        <v>7.43</v>
      </c>
      <c r="G186" s="98">
        <f t="shared" si="193"/>
        <v>261825.77</v>
      </c>
      <c r="H186" s="147">
        <v>7.43</v>
      </c>
      <c r="I186" s="156">
        <f t="shared" si="194"/>
        <v>261825.77</v>
      </c>
      <c r="J186" s="39">
        <f>I186/I188</f>
        <v>0.1920041029112706</v>
      </c>
      <c r="K186" s="39"/>
      <c r="L186" s="147">
        <f>ROUND(H186*S188,2)</f>
        <v>8.09</v>
      </c>
      <c r="M186" s="5">
        <f t="shared" si="195"/>
        <v>285083.51</v>
      </c>
      <c r="N186" s="5">
        <f t="shared" si="196"/>
        <v>23257.74000000002</v>
      </c>
      <c r="O186" s="4">
        <f t="shared" si="197"/>
        <v>8.8829071332436144E-2</v>
      </c>
      <c r="P186" s="4">
        <f t="shared" si="198"/>
        <v>0.1920547584592707</v>
      </c>
      <c r="Q186" s="16">
        <f t="shared" si="199"/>
        <v>5.0655548000100303E-5</v>
      </c>
      <c r="R186" s="16"/>
      <c r="T186" s="4">
        <f>L186/H186-1</f>
        <v>8.8829071332436005E-2</v>
      </c>
    </row>
    <row r="187" spans="1:20" x14ac:dyDescent="0.2">
      <c r="A187" s="43">
        <f t="shared" si="179"/>
        <v>165</v>
      </c>
      <c r="D187" s="2" t="s">
        <v>68</v>
      </c>
      <c r="E187" s="162">
        <v>0</v>
      </c>
      <c r="F187" s="133">
        <f t="shared" si="200"/>
        <v>10.79</v>
      </c>
      <c r="G187" s="98">
        <f t="shared" si="193"/>
        <v>0</v>
      </c>
      <c r="H187" s="147">
        <v>10.79</v>
      </c>
      <c r="I187" s="156">
        <f t="shared" si="194"/>
        <v>0</v>
      </c>
      <c r="J187" s="39">
        <f>I187/I188</f>
        <v>0</v>
      </c>
      <c r="K187" s="39"/>
      <c r="L187" s="147">
        <f>ROUND(H187*S188,2)</f>
        <v>11.74</v>
      </c>
      <c r="M187" s="5">
        <f t="shared" si="195"/>
        <v>0</v>
      </c>
      <c r="N187" s="5">
        <f t="shared" si="196"/>
        <v>0</v>
      </c>
      <c r="O187" s="4">
        <f t="shared" si="197"/>
        <v>0</v>
      </c>
      <c r="P187" s="4">
        <f t="shared" si="198"/>
        <v>0</v>
      </c>
      <c r="Q187" s="16">
        <f t="shared" si="199"/>
        <v>0</v>
      </c>
      <c r="R187" s="16"/>
      <c r="T187" s="4">
        <f>L187/H187-1</f>
        <v>8.8044485634847236E-2</v>
      </c>
    </row>
    <row r="188" spans="1:20" s="6" customFormat="1" ht="20.45" customHeight="1" x14ac:dyDescent="0.25">
      <c r="A188" s="43">
        <f t="shared" si="179"/>
        <v>166</v>
      </c>
      <c r="C188" s="21"/>
      <c r="D188" s="23" t="s">
        <v>6</v>
      </c>
      <c r="E188" s="23"/>
      <c r="F188" s="111"/>
      <c r="G188" s="24">
        <f>SUM(G184:G187)</f>
        <v>1140592.2067999998</v>
      </c>
      <c r="H188" s="23"/>
      <c r="I188" s="157">
        <f>SUM(I184:I187)</f>
        <v>1363646.7452</v>
      </c>
      <c r="J188" s="158">
        <f>SUM(J184:J187)</f>
        <v>0.99999999999999989</v>
      </c>
      <c r="K188" s="40">
        <f>I188+Summary!I29</f>
        <v>1484183.1851999999</v>
      </c>
      <c r="L188" s="23"/>
      <c r="M188" s="157">
        <f>SUM(M184:M187)</f>
        <v>1484386.6004000001</v>
      </c>
      <c r="N188" s="157">
        <f>SUM(N184:N187)</f>
        <v>120739.85520000009</v>
      </c>
      <c r="O188" s="25">
        <f t="shared" ref="O188" si="201">N188/I188</f>
        <v>8.8541886397632774E-2</v>
      </c>
      <c r="P188" s="25">
        <f>SUM(P184:P187)</f>
        <v>1</v>
      </c>
      <c r="Q188" s="26">
        <f t="shared" si="199"/>
        <v>0</v>
      </c>
      <c r="R188" s="37">
        <f>M188-K188</f>
        <v>203.41520000016317</v>
      </c>
      <c r="S188" s="77">
        <f>K188/I188</f>
        <v>1.0883927163866192</v>
      </c>
    </row>
    <row r="189" spans="1:20" x14ac:dyDescent="0.2">
      <c r="A189" s="43">
        <f t="shared" si="179"/>
        <v>167</v>
      </c>
      <c r="D189" s="2" t="s">
        <v>26</v>
      </c>
      <c r="E189" s="2"/>
      <c r="G189" s="128">
        <v>218985.32</v>
      </c>
      <c r="I189" s="14">
        <f>G189-($H$322*E185)</f>
        <v>-4069.2183999999834</v>
      </c>
      <c r="K189" s="14"/>
      <c r="M189" s="5">
        <f>I189</f>
        <v>-4069.2183999999834</v>
      </c>
      <c r="N189" s="5">
        <f t="shared" ref="N189:N191" si="202">M189-I189</f>
        <v>0</v>
      </c>
      <c r="O189" s="17">
        <v>0</v>
      </c>
    </row>
    <row r="190" spans="1:20" x14ac:dyDescent="0.2">
      <c r="A190" s="43">
        <f t="shared" si="179"/>
        <v>168</v>
      </c>
      <c r="D190" s="2" t="s">
        <v>27</v>
      </c>
      <c r="E190" s="2"/>
      <c r="G190" s="128">
        <v>131813.74</v>
      </c>
      <c r="I190" s="14">
        <f t="shared" ref="I190:I192" si="203">G190</f>
        <v>131813.74</v>
      </c>
      <c r="M190" s="5">
        <f t="shared" ref="M190:M192" si="204">I190</f>
        <v>131813.74</v>
      </c>
      <c r="N190" s="5">
        <f t="shared" si="202"/>
        <v>0</v>
      </c>
      <c r="O190" s="17">
        <v>0</v>
      </c>
    </row>
    <row r="191" spans="1:20" x14ac:dyDescent="0.2">
      <c r="A191" s="43">
        <f t="shared" si="179"/>
        <v>169</v>
      </c>
      <c r="D191" s="2" t="s">
        <v>29</v>
      </c>
      <c r="E191" s="2"/>
      <c r="G191" s="128">
        <v>0</v>
      </c>
      <c r="I191" s="14">
        <f t="shared" si="203"/>
        <v>0</v>
      </c>
      <c r="M191" s="5">
        <f t="shared" si="204"/>
        <v>0</v>
      </c>
      <c r="N191" s="5">
        <f t="shared" si="202"/>
        <v>0</v>
      </c>
      <c r="O191" s="17">
        <v>0</v>
      </c>
    </row>
    <row r="192" spans="1:20" x14ac:dyDescent="0.2">
      <c r="A192" s="43">
        <f t="shared" si="179"/>
        <v>170</v>
      </c>
      <c r="D192" s="2" t="s">
        <v>38</v>
      </c>
      <c r="E192" s="2"/>
      <c r="G192" s="128">
        <v>0</v>
      </c>
      <c r="I192" s="14">
        <f t="shared" si="203"/>
        <v>0</v>
      </c>
      <c r="M192" s="5">
        <f t="shared" si="204"/>
        <v>0</v>
      </c>
      <c r="N192" s="5"/>
      <c r="O192" s="17"/>
    </row>
    <row r="193" spans="1:20" x14ac:dyDescent="0.2">
      <c r="A193" s="43">
        <f t="shared" si="179"/>
        <v>171</v>
      </c>
      <c r="D193" s="18" t="s">
        <v>8</v>
      </c>
      <c r="E193" s="18"/>
      <c r="F193" s="114"/>
      <c r="G193" s="113">
        <f>SUM(G189:G192)</f>
        <v>350799.06</v>
      </c>
      <c r="H193" s="18"/>
      <c r="I193" s="159">
        <f>SUM(I189:I192)</f>
        <v>127744.52160000001</v>
      </c>
      <c r="J193" s="18"/>
      <c r="K193" s="18"/>
      <c r="L193" s="18"/>
      <c r="M193" s="19">
        <f>SUM(M189:M192)</f>
        <v>127744.52160000001</v>
      </c>
      <c r="N193" s="19">
        <f t="shared" ref="N193:N195" si="205">M193-I193</f>
        <v>0</v>
      </c>
      <c r="O193" s="27">
        <f t="shared" ref="O193" si="206">N193-J193</f>
        <v>0</v>
      </c>
    </row>
    <row r="194" spans="1:20" s="6" customFormat="1" ht="26.45" customHeight="1" thickBot="1" x14ac:dyDescent="0.25">
      <c r="A194" s="43">
        <f t="shared" si="179"/>
        <v>172</v>
      </c>
      <c r="C194" s="21"/>
      <c r="D194" s="7" t="s">
        <v>19</v>
      </c>
      <c r="E194" s="7"/>
      <c r="F194" s="116"/>
      <c r="G194" s="115">
        <f>G188+G193</f>
        <v>1491391.2667999999</v>
      </c>
      <c r="H194" s="7"/>
      <c r="I194" s="153">
        <f>I193+I188</f>
        <v>1491391.2668000001</v>
      </c>
      <c r="J194" s="7"/>
      <c r="K194" s="7"/>
      <c r="L194" s="7"/>
      <c r="M194" s="8">
        <f>M193+M188</f>
        <v>1612131.1220000002</v>
      </c>
      <c r="N194" s="8">
        <f t="shared" si="205"/>
        <v>120739.85520000011</v>
      </c>
      <c r="O194" s="9">
        <f>N194/I194</f>
        <v>8.0957866582567081E-2</v>
      </c>
      <c r="P194" s="2"/>
      <c r="Q194" s="2"/>
      <c r="R194" s="2"/>
    </row>
    <row r="195" spans="1:20" ht="13.5" thickTop="1" x14ac:dyDescent="0.2">
      <c r="A195" s="43">
        <f t="shared" si="179"/>
        <v>173</v>
      </c>
      <c r="D195" s="2" t="s">
        <v>18</v>
      </c>
      <c r="E195" s="147">
        <f>E185/E184</f>
        <v>1576580</v>
      </c>
      <c r="G195" s="118">
        <f>G194/E184</f>
        <v>124282.60556666665</v>
      </c>
      <c r="I195" s="15">
        <f>I194/E184</f>
        <v>124282.60556666668</v>
      </c>
      <c r="M195" s="15">
        <f>M194/E184</f>
        <v>134344.26016666667</v>
      </c>
      <c r="N195" s="15">
        <f t="shared" si="205"/>
        <v>10061.654599999994</v>
      </c>
      <c r="O195" s="4">
        <f>N195/I195</f>
        <v>8.0957866582566956E-2</v>
      </c>
    </row>
    <row r="196" spans="1:20" ht="13.5" thickBot="1" x14ac:dyDescent="0.25">
      <c r="A196" s="43">
        <f t="shared" si="179"/>
        <v>174</v>
      </c>
      <c r="E196" s="2"/>
    </row>
    <row r="197" spans="1:20" ht="12.75" customHeight="1" x14ac:dyDescent="0.2">
      <c r="A197" s="43">
        <f t="shared" si="179"/>
        <v>175</v>
      </c>
      <c r="B197" s="166" t="s">
        <v>122</v>
      </c>
      <c r="C197" s="34" t="s">
        <v>121</v>
      </c>
      <c r="D197" s="33"/>
      <c r="E197" s="33"/>
      <c r="F197" s="119"/>
      <c r="G197" s="119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</row>
    <row r="198" spans="1:20" x14ac:dyDescent="0.2">
      <c r="A198" s="43">
        <f t="shared" si="179"/>
        <v>176</v>
      </c>
      <c r="B198" s="167"/>
      <c r="C198" s="20">
        <v>31</v>
      </c>
      <c r="D198" s="2" t="s">
        <v>17</v>
      </c>
      <c r="E198" s="162">
        <v>12</v>
      </c>
      <c r="F198" s="133">
        <f>H198</f>
        <v>581.73</v>
      </c>
      <c r="G198" s="98">
        <f>F198*E198</f>
        <v>6980.76</v>
      </c>
      <c r="H198" s="147">
        <f>H184</f>
        <v>581.73</v>
      </c>
      <c r="I198" s="156">
        <f>H198*E198</f>
        <v>6980.76</v>
      </c>
      <c r="J198" s="39">
        <f>I198/I202</f>
        <v>9.488882096362266E-3</v>
      </c>
      <c r="K198" s="39"/>
      <c r="L198" s="147">
        <f>ROUND(H198*S202,2)</f>
        <v>633.15</v>
      </c>
      <c r="M198" s="5">
        <f>L198*E198</f>
        <v>7597.7999999999993</v>
      </c>
      <c r="N198" s="5">
        <f>M198-I198</f>
        <v>617.03999999999905</v>
      </c>
      <c r="O198" s="4">
        <f>IF(I198=0,0,N198/I198)</f>
        <v>8.8391521840028742E-2</v>
      </c>
      <c r="P198" s="4">
        <f>M198/M$202</f>
        <v>9.4875913710754795E-3</v>
      </c>
      <c r="Q198" s="16">
        <f>P198-J198</f>
        <v>-1.2907252867865038E-6</v>
      </c>
      <c r="R198" s="16"/>
      <c r="T198" s="4">
        <f>L198/H198-1</f>
        <v>8.8391521840028853E-2</v>
      </c>
    </row>
    <row r="199" spans="1:20" x14ac:dyDescent="0.2">
      <c r="A199" s="43">
        <f t="shared" si="179"/>
        <v>177</v>
      </c>
      <c r="B199" s="165" t="s">
        <v>94</v>
      </c>
      <c r="D199" s="2" t="s">
        <v>47</v>
      </c>
      <c r="E199" s="162">
        <v>10220400</v>
      </c>
      <c r="F199" s="134">
        <f>H199-$H$322</f>
        <v>4.6079999999999996E-2</v>
      </c>
      <c r="G199" s="98">
        <f t="shared" ref="G199:G201" si="207">F199*E199</f>
        <v>470956.03199999995</v>
      </c>
      <c r="H199" s="148">
        <f t="shared" ref="H199:H201" si="208">H185</f>
        <v>5.7869999999999998E-2</v>
      </c>
      <c r="I199" s="156">
        <f t="shared" ref="I199:I201" si="209">H199*E199</f>
        <v>591454.54799999995</v>
      </c>
      <c r="J199" s="39">
        <f>I199/I202</f>
        <v>0.80395866228451285</v>
      </c>
      <c r="K199" s="39"/>
      <c r="L199" s="160">
        <f>ROUND(H199*S202,5)</f>
        <v>6.2990000000000004E-2</v>
      </c>
      <c r="M199" s="5">
        <f t="shared" ref="M199:M201" si="210">L199*E199</f>
        <v>643782.99600000004</v>
      </c>
      <c r="N199" s="5">
        <f t="shared" ref="N199:N201" si="211">M199-I199</f>
        <v>52328.448000000091</v>
      </c>
      <c r="O199" s="4">
        <f t="shared" ref="O199:O201" si="212">IF(I199=0,0,N199/I199)</f>
        <v>8.8474166234664059E-2</v>
      </c>
      <c r="P199" s="4">
        <f t="shared" ref="P199:P201" si="213">M199/M$202</f>
        <v>0.80391034216414237</v>
      </c>
      <c r="Q199" s="16">
        <f t="shared" ref="Q199:Q202" si="214">P199-J199</f>
        <v>-4.8320120370481945E-5</v>
      </c>
      <c r="R199" s="16"/>
      <c r="T199" s="4">
        <f>L199/H199-1</f>
        <v>8.8474166234663976E-2</v>
      </c>
    </row>
    <row r="200" spans="1:20" x14ac:dyDescent="0.2">
      <c r="A200" s="43">
        <f t="shared" si="179"/>
        <v>178</v>
      </c>
      <c r="D200" s="2" t="s">
        <v>67</v>
      </c>
      <c r="E200" s="162">
        <v>18471.400000000001</v>
      </c>
      <c r="F200" s="133">
        <f t="shared" ref="F200:F201" si="215">H200</f>
        <v>7.43</v>
      </c>
      <c r="G200" s="98">
        <f t="shared" si="207"/>
        <v>137242.50200000001</v>
      </c>
      <c r="H200" s="147">
        <f t="shared" si="208"/>
        <v>7.43</v>
      </c>
      <c r="I200" s="156">
        <f t="shared" si="209"/>
        <v>137242.50200000001</v>
      </c>
      <c r="J200" s="39">
        <f>I200/I202</f>
        <v>0.18655245561912492</v>
      </c>
      <c r="K200" s="39"/>
      <c r="L200" s="147">
        <f>ROUND(H200*S202,2)</f>
        <v>8.09</v>
      </c>
      <c r="M200" s="5">
        <f t="shared" si="210"/>
        <v>149433.62600000002</v>
      </c>
      <c r="N200" s="5">
        <f t="shared" si="211"/>
        <v>12191.124000000011</v>
      </c>
      <c r="O200" s="4">
        <f t="shared" si="212"/>
        <v>8.8829071332436144E-2</v>
      </c>
      <c r="P200" s="4">
        <f t="shared" si="213"/>
        <v>0.186602066464782</v>
      </c>
      <c r="Q200" s="16">
        <f t="shared" si="214"/>
        <v>4.9610845657077629E-5</v>
      </c>
      <c r="R200" s="16"/>
      <c r="T200" s="4">
        <f>L200/H200-1</f>
        <v>8.8829071332436005E-2</v>
      </c>
    </row>
    <row r="201" spans="1:20" x14ac:dyDescent="0.2">
      <c r="A201" s="43">
        <f t="shared" si="179"/>
        <v>179</v>
      </c>
      <c r="D201" s="2" t="s">
        <v>68</v>
      </c>
      <c r="E201" s="162">
        <v>0</v>
      </c>
      <c r="F201" s="133">
        <f t="shared" si="215"/>
        <v>10.79</v>
      </c>
      <c r="G201" s="98">
        <f t="shared" si="207"/>
        <v>0</v>
      </c>
      <c r="H201" s="147">
        <f t="shared" si="208"/>
        <v>10.79</v>
      </c>
      <c r="I201" s="156">
        <f t="shared" si="209"/>
        <v>0</v>
      </c>
      <c r="J201" s="39">
        <f>I201/I202</f>
        <v>0</v>
      </c>
      <c r="K201" s="39"/>
      <c r="L201" s="147">
        <f>ROUND(H201*S202,2)</f>
        <v>11.74</v>
      </c>
      <c r="M201" s="5">
        <f t="shared" si="210"/>
        <v>0</v>
      </c>
      <c r="N201" s="5">
        <f t="shared" si="211"/>
        <v>0</v>
      </c>
      <c r="O201" s="4">
        <f t="shared" si="212"/>
        <v>0</v>
      </c>
      <c r="P201" s="4">
        <f t="shared" si="213"/>
        <v>0</v>
      </c>
      <c r="Q201" s="16">
        <f t="shared" si="214"/>
        <v>0</v>
      </c>
      <c r="R201" s="16"/>
      <c r="T201" s="4">
        <f>L201/H201-1</f>
        <v>8.8044485634847236E-2</v>
      </c>
    </row>
    <row r="202" spans="1:20" s="6" customFormat="1" ht="20.45" customHeight="1" x14ac:dyDescent="0.25">
      <c r="A202" s="43">
        <f t="shared" si="179"/>
        <v>180</v>
      </c>
      <c r="C202" s="21"/>
      <c r="D202" s="23" t="s">
        <v>6</v>
      </c>
      <c r="E202" s="23"/>
      <c r="F202" s="111"/>
      <c r="G202" s="24">
        <f>SUM(G198:G201)</f>
        <v>615179.29399999999</v>
      </c>
      <c r="H202" s="23"/>
      <c r="I202" s="157">
        <f>SUM(I198:I201)</f>
        <v>735677.80999999994</v>
      </c>
      <c r="J202" s="158">
        <f>SUM(J198:J201)</f>
        <v>1</v>
      </c>
      <c r="K202" s="40">
        <f>I202+Summary!I30</f>
        <v>800706.36999999988</v>
      </c>
      <c r="L202" s="23"/>
      <c r="M202" s="157">
        <f>SUM(M198:M201)</f>
        <v>800814.42200000014</v>
      </c>
      <c r="N202" s="157">
        <f>SUM(N198:N201)</f>
        <v>65136.612000000103</v>
      </c>
      <c r="O202" s="25">
        <f t="shared" ref="O202" si="216">N202/I202</f>
        <v>8.853959044924857E-2</v>
      </c>
      <c r="P202" s="25">
        <f>SUM(P198:P201)</f>
        <v>0.99999999999999978</v>
      </c>
      <c r="Q202" s="26">
        <f t="shared" si="214"/>
        <v>0</v>
      </c>
      <c r="R202" s="37">
        <f>M202-K202</f>
        <v>108.05200000025798</v>
      </c>
      <c r="S202" s="77">
        <f>K202/I202</f>
        <v>1.0883927163713147</v>
      </c>
    </row>
    <row r="203" spans="1:20" x14ac:dyDescent="0.2">
      <c r="A203" s="43">
        <f t="shared" si="179"/>
        <v>181</v>
      </c>
      <c r="D203" s="2" t="s">
        <v>26</v>
      </c>
      <c r="E203" s="2"/>
      <c r="G203" s="128">
        <v>113301.54</v>
      </c>
      <c r="I203" s="14">
        <f>G203-($H$322*E199)</f>
        <v>-7196.9760000000097</v>
      </c>
      <c r="K203" s="14"/>
      <c r="M203" s="5">
        <f>I203</f>
        <v>-7196.9760000000097</v>
      </c>
      <c r="N203" s="5">
        <f t="shared" ref="N203:N205" si="217">M203-I203</f>
        <v>0</v>
      </c>
      <c r="O203" s="17">
        <v>0</v>
      </c>
    </row>
    <row r="204" spans="1:20" x14ac:dyDescent="0.2">
      <c r="A204" s="43">
        <f t="shared" si="179"/>
        <v>182</v>
      </c>
      <c r="D204" s="2" t="s">
        <v>27</v>
      </c>
      <c r="E204" s="2"/>
      <c r="G204" s="128">
        <v>69521.52</v>
      </c>
      <c r="I204" s="14">
        <f t="shared" ref="I204:I206" si="218">G204</f>
        <v>69521.52</v>
      </c>
      <c r="M204" s="5">
        <f t="shared" ref="M204:M206" si="219">I204</f>
        <v>69521.52</v>
      </c>
      <c r="N204" s="5">
        <f t="shared" si="217"/>
        <v>0</v>
      </c>
      <c r="O204" s="17">
        <v>0</v>
      </c>
    </row>
    <row r="205" spans="1:20" x14ac:dyDescent="0.2">
      <c r="A205" s="43">
        <f t="shared" si="179"/>
        <v>183</v>
      </c>
      <c r="D205" s="2" t="s">
        <v>29</v>
      </c>
      <c r="E205" s="2"/>
      <c r="G205" s="128">
        <v>0</v>
      </c>
      <c r="I205" s="14">
        <f t="shared" si="218"/>
        <v>0</v>
      </c>
      <c r="M205" s="5">
        <f t="shared" si="219"/>
        <v>0</v>
      </c>
      <c r="N205" s="5">
        <f t="shared" si="217"/>
        <v>0</v>
      </c>
      <c r="O205" s="17">
        <v>0</v>
      </c>
    </row>
    <row r="206" spans="1:20" x14ac:dyDescent="0.2">
      <c r="A206" s="43">
        <f t="shared" si="179"/>
        <v>184</v>
      </c>
      <c r="D206" s="2" t="s">
        <v>38</v>
      </c>
      <c r="E206" s="2"/>
      <c r="G206" s="128">
        <v>0</v>
      </c>
      <c r="I206" s="14">
        <f t="shared" si="218"/>
        <v>0</v>
      </c>
      <c r="M206" s="5">
        <f t="shared" si="219"/>
        <v>0</v>
      </c>
      <c r="N206" s="5"/>
      <c r="O206" s="17"/>
    </row>
    <row r="207" spans="1:20" x14ac:dyDescent="0.2">
      <c r="A207" s="43">
        <f t="shared" si="179"/>
        <v>185</v>
      </c>
      <c r="D207" s="18" t="s">
        <v>8</v>
      </c>
      <c r="E207" s="18"/>
      <c r="F207" s="114"/>
      <c r="G207" s="113">
        <f>SUM(G203:G206)</f>
        <v>182823.06</v>
      </c>
      <c r="H207" s="18"/>
      <c r="I207" s="159">
        <f>SUM(I203:I206)</f>
        <v>62324.543999999994</v>
      </c>
      <c r="J207" s="18"/>
      <c r="K207" s="18"/>
      <c r="L207" s="18"/>
      <c r="M207" s="19">
        <f>SUM(M203:M206)</f>
        <v>62324.543999999994</v>
      </c>
      <c r="N207" s="19">
        <f t="shared" ref="N207:N209" si="220">M207-I207</f>
        <v>0</v>
      </c>
      <c r="O207" s="27">
        <f t="shared" ref="O207" si="221">N207-J207</f>
        <v>0</v>
      </c>
    </row>
    <row r="208" spans="1:20" s="6" customFormat="1" ht="26.45" customHeight="1" thickBot="1" x14ac:dyDescent="0.25">
      <c r="A208" s="43">
        <f t="shared" si="179"/>
        <v>186</v>
      </c>
      <c r="C208" s="21"/>
      <c r="D208" s="7" t="s">
        <v>19</v>
      </c>
      <c r="E208" s="7"/>
      <c r="F208" s="116"/>
      <c r="G208" s="115">
        <f>G202+G207</f>
        <v>798002.35400000005</v>
      </c>
      <c r="H208" s="7"/>
      <c r="I208" s="153">
        <f>I207+I202</f>
        <v>798002.35399999993</v>
      </c>
      <c r="J208" s="7"/>
      <c r="K208" s="7"/>
      <c r="L208" s="7"/>
      <c r="M208" s="8">
        <f>M207+M202</f>
        <v>863138.96600000013</v>
      </c>
      <c r="N208" s="8">
        <f t="shared" si="220"/>
        <v>65136.612000000197</v>
      </c>
      <c r="O208" s="9">
        <f>N208/I208</f>
        <v>8.1624586285368533E-2</v>
      </c>
      <c r="P208" s="2"/>
      <c r="Q208" s="2"/>
      <c r="R208" s="2"/>
    </row>
    <row r="209" spans="1:20" ht="13.5" thickTop="1" x14ac:dyDescent="0.2">
      <c r="A209" s="43">
        <f t="shared" si="179"/>
        <v>187</v>
      </c>
      <c r="D209" s="2" t="s">
        <v>18</v>
      </c>
      <c r="E209" s="147">
        <f>E199/E198</f>
        <v>851700</v>
      </c>
      <c r="G209" s="118">
        <f>G208/E198</f>
        <v>66500.196166666676</v>
      </c>
      <c r="I209" s="15">
        <f>I208/E198</f>
        <v>66500.196166666661</v>
      </c>
      <c r="M209" s="15">
        <f>M208/E198</f>
        <v>71928.247166666682</v>
      </c>
      <c r="N209" s="15">
        <f t="shared" si="220"/>
        <v>5428.0510000000213</v>
      </c>
      <c r="O209" s="4">
        <f>N209/I209</f>
        <v>8.1624586285368603E-2</v>
      </c>
    </row>
    <row r="210" spans="1:20" ht="13.5" thickBot="1" x14ac:dyDescent="0.25">
      <c r="A210" s="43">
        <f t="shared" si="179"/>
        <v>188</v>
      </c>
      <c r="E210" s="2"/>
    </row>
    <row r="211" spans="1:20" ht="12.75" customHeight="1" x14ac:dyDescent="0.2">
      <c r="A211" s="43">
        <f>A182+1</f>
        <v>177</v>
      </c>
      <c r="B211" s="166" t="s">
        <v>95</v>
      </c>
      <c r="C211" s="34">
        <v>35</v>
      </c>
      <c r="D211" s="33"/>
      <c r="E211" s="33"/>
      <c r="F211" s="119"/>
      <c r="G211" s="119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</row>
    <row r="212" spans="1:20" x14ac:dyDescent="0.2">
      <c r="A212" s="43">
        <f t="shared" si="179"/>
        <v>178</v>
      </c>
      <c r="B212" s="167"/>
      <c r="C212" s="2"/>
      <c r="D212" s="2" t="s">
        <v>17</v>
      </c>
      <c r="E212" s="162">
        <v>12</v>
      </c>
      <c r="F212" s="133">
        <f>H212</f>
        <v>69.36</v>
      </c>
      <c r="G212" s="98">
        <f>F212*E212</f>
        <v>832.31999999999994</v>
      </c>
      <c r="H212" s="147">
        <f>H32</f>
        <v>69.36</v>
      </c>
      <c r="I212" s="156">
        <f>H212*E212</f>
        <v>832.31999999999994</v>
      </c>
      <c r="J212" s="39">
        <f>I212/I215</f>
        <v>5.8399773787881235E-2</v>
      </c>
      <c r="K212" s="39"/>
      <c r="L212" s="147">
        <f>ROUND(H212*S215,2)</f>
        <v>73.2</v>
      </c>
      <c r="M212" s="5">
        <f>L212*E212</f>
        <v>878.40000000000009</v>
      </c>
      <c r="N212" s="5">
        <f>M212-I212</f>
        <v>46.080000000000155</v>
      </c>
      <c r="O212" s="4">
        <f>IF(I212=0,0,N212/I212)</f>
        <v>5.5363321799308148E-2</v>
      </c>
      <c r="P212" s="4">
        <f>M212/M$215</f>
        <v>5.839584693842223E-2</v>
      </c>
      <c r="Q212" s="16">
        <f>P212-J212</f>
        <v>-3.9268494590044556E-6</v>
      </c>
      <c r="R212" s="16"/>
      <c r="T212" s="4">
        <f>L212/H212-1</f>
        <v>5.5363321799307919E-2</v>
      </c>
    </row>
    <row r="213" spans="1:20" x14ac:dyDescent="0.2">
      <c r="A213" s="43">
        <f t="shared" si="179"/>
        <v>179</v>
      </c>
      <c r="D213" s="2" t="s">
        <v>47</v>
      </c>
      <c r="E213" s="162">
        <v>140120</v>
      </c>
      <c r="F213" s="134">
        <f>H213-$H$322</f>
        <v>6.0159999999999998E-2</v>
      </c>
      <c r="G213" s="98">
        <f t="shared" ref="G213" si="222">F213*E213</f>
        <v>8429.6191999999992</v>
      </c>
      <c r="H213" s="148">
        <f>H34</f>
        <v>7.195E-2</v>
      </c>
      <c r="I213" s="156">
        <f t="shared" ref="I213" si="223">H213*E213</f>
        <v>10081.634</v>
      </c>
      <c r="J213" s="39">
        <f>I213/I215</f>
        <v>0.70737834608349226</v>
      </c>
      <c r="K213" s="39"/>
      <c r="L213" s="160">
        <f>ROUND(H213*S215,5)</f>
        <v>7.5929999999999997E-2</v>
      </c>
      <c r="M213" s="5">
        <f t="shared" ref="M213" si="224">L213*E213</f>
        <v>10639.311599999999</v>
      </c>
      <c r="N213" s="5">
        <f t="shared" ref="N213" si="225">M213-I213</f>
        <v>557.67759999999907</v>
      </c>
      <c r="O213" s="4">
        <f t="shared" ref="O213" si="226">IF(I213=0,0,N213/I213)</f>
        <v>5.5316191799860921E-2</v>
      </c>
      <c r="P213" s="4">
        <f>M213/M$215</f>
        <v>0.70729919367461291</v>
      </c>
      <c r="Q213" s="16">
        <f t="shared" ref="Q213:Q215" si="227">P213-J213</f>
        <v>-7.9152408879346048E-5</v>
      </c>
      <c r="R213" s="16"/>
      <c r="T213" s="4">
        <f>L213/H213-1</f>
        <v>5.5316191799861025E-2</v>
      </c>
    </row>
    <row r="214" spans="1:20" x14ac:dyDescent="0.2">
      <c r="A214" s="43">
        <f t="shared" si="179"/>
        <v>180</v>
      </c>
      <c r="D214" s="2" t="s">
        <v>48</v>
      </c>
      <c r="E214" s="162">
        <v>380.2</v>
      </c>
      <c r="F214" s="133">
        <f>H214</f>
        <v>8.7799999999999994</v>
      </c>
      <c r="G214" s="98">
        <f t="shared" ref="G214" si="228">F214*E214</f>
        <v>3338.1559999999995</v>
      </c>
      <c r="H214" s="147">
        <f>H33</f>
        <v>8.7799999999999994</v>
      </c>
      <c r="I214" s="156">
        <f t="shared" ref="I214" si="229">H214*E214</f>
        <v>3338.1559999999995</v>
      </c>
      <c r="J214" s="39">
        <f>I214/I215</f>
        <v>0.23422188012862655</v>
      </c>
      <c r="K214" s="39"/>
      <c r="L214" s="147">
        <f>ROUND(H214*S215,2)</f>
        <v>9.27</v>
      </c>
      <c r="M214" s="5">
        <f t="shared" ref="M214" si="230">L214*E214</f>
        <v>3524.4539999999997</v>
      </c>
      <c r="N214" s="5">
        <f t="shared" ref="N214" si="231">M214-I214</f>
        <v>186.29800000000023</v>
      </c>
      <c r="O214" s="4">
        <f t="shared" ref="O214" si="232">IF(I214=0,0,N214/I214)</f>
        <v>5.5808656036446545E-2</v>
      </c>
      <c r="P214" s="4">
        <f>M214/M$215</f>
        <v>0.23430495938696488</v>
      </c>
      <c r="Q214" s="16">
        <f t="shared" ref="Q214" si="233">P214-J214</f>
        <v>8.3079258338336626E-5</v>
      </c>
      <c r="R214" s="16"/>
      <c r="T214" s="4">
        <f>L214/H214-1</f>
        <v>5.580865603644658E-2</v>
      </c>
    </row>
    <row r="215" spans="1:20" s="6" customFormat="1" ht="20.45" customHeight="1" x14ac:dyDescent="0.25">
      <c r="A215" s="43">
        <f t="shared" si="179"/>
        <v>181</v>
      </c>
      <c r="C215" s="21"/>
      <c r="D215" s="23" t="s">
        <v>6</v>
      </c>
      <c r="E215" s="23"/>
      <c r="F215" s="111"/>
      <c r="G215" s="24">
        <f>SUM(G212:G214)</f>
        <v>12600.095199999998</v>
      </c>
      <c r="H215" s="23"/>
      <c r="I215" s="157">
        <f>SUM(I212:I214)</f>
        <v>14252.109999999999</v>
      </c>
      <c r="J215" s="158">
        <f>SUM(J212:J214)</f>
        <v>1</v>
      </c>
      <c r="K215" s="40">
        <f>I215+Summary!I23</f>
        <v>15040.47</v>
      </c>
      <c r="L215" s="23"/>
      <c r="M215" s="157">
        <f>SUM(M212:M214)</f>
        <v>15042.165599999998</v>
      </c>
      <c r="N215" s="157">
        <f>SUM(N212:N214)</f>
        <v>790.05559999999946</v>
      </c>
      <c r="O215" s="25">
        <f t="shared" ref="O215" si="234">N215/I215</f>
        <v>5.5434290080556461E-2</v>
      </c>
      <c r="P215" s="25">
        <f>SUM(P212:P214)</f>
        <v>1</v>
      </c>
      <c r="Q215" s="26">
        <f t="shared" si="227"/>
        <v>0</v>
      </c>
      <c r="R215" s="37">
        <f>M215-K215</f>
        <v>1.6955999999991036</v>
      </c>
      <c r="S215" s="77">
        <f>K215/I215</f>
        <v>1.0553153182230561</v>
      </c>
    </row>
    <row r="216" spans="1:20" x14ac:dyDescent="0.2">
      <c r="A216" s="43">
        <f t="shared" si="179"/>
        <v>182</v>
      </c>
      <c r="D216" s="2" t="s">
        <v>26</v>
      </c>
      <c r="E216" s="2"/>
      <c r="G216" s="128">
        <v>1582.53</v>
      </c>
      <c r="I216" s="14">
        <f>G216-($H$322*E213)</f>
        <v>-69.48479999999995</v>
      </c>
      <c r="K216" s="14"/>
      <c r="M216" s="5">
        <f>I216</f>
        <v>-69.48479999999995</v>
      </c>
      <c r="N216" s="5">
        <f t="shared" ref="N216:N218" si="235">M216-I216</f>
        <v>0</v>
      </c>
      <c r="O216" s="17">
        <v>0</v>
      </c>
    </row>
    <row r="217" spans="1:20" x14ac:dyDescent="0.2">
      <c r="A217" s="43">
        <f t="shared" si="179"/>
        <v>183</v>
      </c>
      <c r="D217" s="2" t="s">
        <v>27</v>
      </c>
      <c r="E217" s="2"/>
      <c r="G217" s="128">
        <v>1333.92</v>
      </c>
      <c r="I217" s="14">
        <f t="shared" ref="I217:I219" si="236">G217</f>
        <v>1333.92</v>
      </c>
      <c r="M217" s="5">
        <f t="shared" ref="M217:M219" si="237">I217</f>
        <v>1333.92</v>
      </c>
      <c r="N217" s="5">
        <f t="shared" si="235"/>
        <v>0</v>
      </c>
      <c r="O217" s="17">
        <v>0</v>
      </c>
    </row>
    <row r="218" spans="1:20" x14ac:dyDescent="0.2">
      <c r="A218" s="43">
        <f t="shared" si="179"/>
        <v>184</v>
      </c>
      <c r="D218" s="2" t="s">
        <v>29</v>
      </c>
      <c r="E218" s="2"/>
      <c r="G218" s="128">
        <v>0</v>
      </c>
      <c r="I218" s="14">
        <f t="shared" si="236"/>
        <v>0</v>
      </c>
      <c r="M218" s="5">
        <f t="shared" si="237"/>
        <v>0</v>
      </c>
      <c r="N218" s="5">
        <f t="shared" si="235"/>
        <v>0</v>
      </c>
      <c r="O218" s="17">
        <v>0</v>
      </c>
    </row>
    <row r="219" spans="1:20" x14ac:dyDescent="0.2">
      <c r="A219" s="43">
        <f t="shared" si="179"/>
        <v>185</v>
      </c>
      <c r="D219" s="2" t="s">
        <v>38</v>
      </c>
      <c r="E219" s="2"/>
      <c r="G219" s="128">
        <v>0</v>
      </c>
      <c r="I219" s="14">
        <f t="shared" si="236"/>
        <v>0</v>
      </c>
      <c r="M219" s="5">
        <f t="shared" si="237"/>
        <v>0</v>
      </c>
      <c r="N219" s="5"/>
      <c r="O219" s="17"/>
    </row>
    <row r="220" spans="1:20" x14ac:dyDescent="0.2">
      <c r="A220" s="43">
        <f t="shared" si="179"/>
        <v>186</v>
      </c>
      <c r="D220" s="18" t="s">
        <v>8</v>
      </c>
      <c r="E220" s="18"/>
      <c r="F220" s="114"/>
      <c r="G220" s="113">
        <f>SUM(G216:G219)</f>
        <v>2916.45</v>
      </c>
      <c r="H220" s="18"/>
      <c r="I220" s="159">
        <f>SUM(I216:I219)</f>
        <v>1264.4352000000001</v>
      </c>
      <c r="J220" s="18"/>
      <c r="K220" s="18"/>
      <c r="L220" s="18"/>
      <c r="M220" s="19">
        <f>SUM(M216:M219)</f>
        <v>1264.4352000000001</v>
      </c>
      <c r="N220" s="19">
        <f t="shared" ref="N220:N222" si="238">M220-I220</f>
        <v>0</v>
      </c>
      <c r="O220" s="27">
        <f t="shared" ref="O220" si="239">N220-J220</f>
        <v>0</v>
      </c>
    </row>
    <row r="221" spans="1:20" s="6" customFormat="1" ht="26.45" customHeight="1" thickBot="1" x14ac:dyDescent="0.25">
      <c r="A221" s="43">
        <f t="shared" si="179"/>
        <v>187</v>
      </c>
      <c r="C221" s="21"/>
      <c r="D221" s="7" t="s">
        <v>19</v>
      </c>
      <c r="E221" s="7"/>
      <c r="F221" s="116"/>
      <c r="G221" s="115">
        <f>G215+G220</f>
        <v>15516.545199999997</v>
      </c>
      <c r="H221" s="7"/>
      <c r="I221" s="153">
        <f>I220+I215</f>
        <v>15516.545199999999</v>
      </c>
      <c r="J221" s="7"/>
      <c r="K221" s="7"/>
      <c r="L221" s="7"/>
      <c r="M221" s="8">
        <f>M220+M215</f>
        <v>16306.600799999998</v>
      </c>
      <c r="N221" s="8">
        <f t="shared" si="238"/>
        <v>790.05559999999969</v>
      </c>
      <c r="O221" s="9">
        <f>N221/I221</f>
        <v>5.0916978606809958E-2</v>
      </c>
      <c r="P221" s="2"/>
      <c r="Q221" s="2"/>
      <c r="R221" s="2"/>
    </row>
    <row r="222" spans="1:20" ht="13.5" thickTop="1" x14ac:dyDescent="0.2">
      <c r="A222" s="43">
        <f t="shared" si="179"/>
        <v>188</v>
      </c>
      <c r="D222" s="2" t="s">
        <v>18</v>
      </c>
      <c r="E222" s="147">
        <f>E213/E212</f>
        <v>11676.666666666666</v>
      </c>
      <c r="G222" s="118">
        <f>G221/E212</f>
        <v>1293.045433333333</v>
      </c>
      <c r="I222" s="15">
        <f>I221/E212</f>
        <v>1293.0454333333332</v>
      </c>
      <c r="M222" s="15">
        <f>M221/E212</f>
        <v>1358.8833999999999</v>
      </c>
      <c r="N222" s="15">
        <f t="shared" si="238"/>
        <v>65.837966666666716</v>
      </c>
      <c r="O222" s="4">
        <f>N222/I222</f>
        <v>5.0916978606810021E-2</v>
      </c>
    </row>
    <row r="223" spans="1:20" ht="13.5" thickBot="1" x14ac:dyDescent="0.25">
      <c r="A223" s="43">
        <f t="shared" si="179"/>
        <v>189</v>
      </c>
      <c r="E223" s="2"/>
    </row>
    <row r="224" spans="1:20" ht="12.75" customHeight="1" x14ac:dyDescent="0.2">
      <c r="A224" s="43">
        <f t="shared" si="179"/>
        <v>190</v>
      </c>
      <c r="B224" s="166" t="s">
        <v>105</v>
      </c>
      <c r="C224" s="34">
        <v>36</v>
      </c>
      <c r="D224" s="33"/>
      <c r="E224" s="33"/>
      <c r="F224" s="119"/>
      <c r="G224" s="119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</row>
    <row r="225" spans="1:20" x14ac:dyDescent="0.2">
      <c r="A225" s="43">
        <f t="shared" si="179"/>
        <v>191</v>
      </c>
      <c r="B225" s="167"/>
      <c r="C225" s="2"/>
      <c r="D225" s="2" t="s">
        <v>17</v>
      </c>
      <c r="E225" s="162">
        <v>12</v>
      </c>
      <c r="F225" s="133">
        <f>H225</f>
        <v>566.12</v>
      </c>
      <c r="G225" s="98">
        <f>F225*E225</f>
        <v>6793.4400000000005</v>
      </c>
      <c r="H225" s="147">
        <v>566.12</v>
      </c>
      <c r="I225" s="156">
        <f>H225*E225</f>
        <v>6793.4400000000005</v>
      </c>
      <c r="J225" s="39">
        <f>I225/I229</f>
        <v>1.7786874759440411E-3</v>
      </c>
      <c r="K225" s="39"/>
      <c r="L225" s="147">
        <f>ROUND(H225*S229,2)</f>
        <v>566.12</v>
      </c>
      <c r="M225" s="5">
        <f>L225*E225</f>
        <v>6793.4400000000005</v>
      </c>
      <c r="N225" s="5">
        <f>M225-I225</f>
        <v>0</v>
      </c>
      <c r="O225" s="4">
        <f>IF(I225=0,0,N225/I225)</f>
        <v>0</v>
      </c>
      <c r="P225" s="4">
        <f>M225/M$215</f>
        <v>0.45162645995600537</v>
      </c>
      <c r="Q225" s="16">
        <f>P225-J225</f>
        <v>0.4498477724800613</v>
      </c>
      <c r="R225" s="16"/>
      <c r="T225" s="4">
        <f>L225/H225-1</f>
        <v>0</v>
      </c>
    </row>
    <row r="226" spans="1:20" x14ac:dyDescent="0.2">
      <c r="A226" s="43">
        <f t="shared" si="179"/>
        <v>192</v>
      </c>
      <c r="B226" s="165" t="s">
        <v>106</v>
      </c>
      <c r="D226" s="2" t="s">
        <v>47</v>
      </c>
      <c r="E226" s="162">
        <v>69132495</v>
      </c>
      <c r="F226" s="134">
        <f>H226-$H$322</f>
        <v>3.3049999999999996E-2</v>
      </c>
      <c r="G226" s="98">
        <f t="shared" ref="G226:G228" si="240">F226*E226</f>
        <v>2284828.9597499999</v>
      </c>
      <c r="H226" s="148">
        <v>4.4839999999999998E-2</v>
      </c>
      <c r="I226" s="156">
        <f t="shared" ref="I226:I228" si="241">H226*E226</f>
        <v>3099901.0757999998</v>
      </c>
      <c r="J226" s="39">
        <f>I226/I229</f>
        <v>0.81162933950854332</v>
      </c>
      <c r="K226" s="39"/>
      <c r="L226" s="160">
        <f>ROUND(H226*S229,5)</f>
        <v>4.4839999999999998E-2</v>
      </c>
      <c r="M226" s="5">
        <f t="shared" ref="M226:M228" si="242">L226*E226</f>
        <v>3099901.0757999998</v>
      </c>
      <c r="N226" s="5">
        <f t="shared" ref="N226:N228" si="243">M226-I226</f>
        <v>0</v>
      </c>
      <c r="O226" s="4">
        <f t="shared" ref="O226:O228" si="244">IF(I226=0,0,N226/I226)</f>
        <v>0</v>
      </c>
      <c r="P226" s="4">
        <f t="shared" ref="P226:P228" si="245">M226/M$215</f>
        <v>206.08077043108739</v>
      </c>
      <c r="Q226" s="16">
        <f t="shared" ref="Q226:Q229" si="246">P226-J226</f>
        <v>205.26914109157883</v>
      </c>
      <c r="R226" s="16"/>
      <c r="T226" s="4">
        <f>L226/H226-1</f>
        <v>0</v>
      </c>
    </row>
    <row r="227" spans="1:20" x14ac:dyDescent="0.2">
      <c r="A227" s="43">
        <f t="shared" si="179"/>
        <v>193</v>
      </c>
      <c r="D227" s="2" t="s">
        <v>67</v>
      </c>
      <c r="E227" s="162">
        <v>98570</v>
      </c>
      <c r="F227" s="133">
        <f>H227</f>
        <v>7.23</v>
      </c>
      <c r="G227" s="98">
        <f t="shared" si="240"/>
        <v>712661.10000000009</v>
      </c>
      <c r="H227" s="147">
        <v>7.23</v>
      </c>
      <c r="I227" s="156">
        <f t="shared" si="241"/>
        <v>712661.10000000009</v>
      </c>
      <c r="J227" s="39">
        <f>I227/I229</f>
        <v>0.18659197301551261</v>
      </c>
      <c r="K227" s="39"/>
      <c r="L227" s="147">
        <f>ROUND(H227*S229,2)</f>
        <v>7.23</v>
      </c>
      <c r="M227" s="5">
        <f t="shared" si="242"/>
        <v>712661.10000000009</v>
      </c>
      <c r="N227" s="5">
        <f t="shared" si="243"/>
        <v>0</v>
      </c>
      <c r="O227" s="4">
        <f t="shared" si="244"/>
        <v>0</v>
      </c>
      <c r="P227" s="4">
        <f t="shared" si="245"/>
        <v>47.377559784343831</v>
      </c>
      <c r="Q227" s="16">
        <f t="shared" si="246"/>
        <v>47.190967811328321</v>
      </c>
      <c r="R227" s="16"/>
      <c r="T227" s="4">
        <f>L227/H227-1</f>
        <v>0</v>
      </c>
    </row>
    <row r="228" spans="1:20" x14ac:dyDescent="0.2">
      <c r="A228" s="43">
        <f t="shared" si="179"/>
        <v>194</v>
      </c>
      <c r="D228" s="2" t="s">
        <v>68</v>
      </c>
      <c r="E228" s="162">
        <v>0</v>
      </c>
      <c r="F228" s="133">
        <f>H228</f>
        <v>10.5</v>
      </c>
      <c r="G228" s="98">
        <f t="shared" si="240"/>
        <v>0</v>
      </c>
      <c r="H228" s="147">
        <v>10.5</v>
      </c>
      <c r="I228" s="156">
        <f t="shared" si="241"/>
        <v>0</v>
      </c>
      <c r="J228" s="39">
        <f>I228/I229</f>
        <v>0</v>
      </c>
      <c r="K228" s="39"/>
      <c r="L228" s="147">
        <f>ROUND(H228*S229,2)</f>
        <v>10.5</v>
      </c>
      <c r="M228" s="5">
        <f t="shared" si="242"/>
        <v>0</v>
      </c>
      <c r="N228" s="5">
        <f t="shared" si="243"/>
        <v>0</v>
      </c>
      <c r="O228" s="4">
        <f t="shared" si="244"/>
        <v>0</v>
      </c>
      <c r="P228" s="4">
        <f t="shared" si="245"/>
        <v>0</v>
      </c>
      <c r="Q228" s="16">
        <f t="shared" si="246"/>
        <v>0</v>
      </c>
      <c r="R228" s="16"/>
      <c r="T228" s="4">
        <f>L228/H228-1</f>
        <v>0</v>
      </c>
    </row>
    <row r="229" spans="1:20" s="6" customFormat="1" ht="20.45" customHeight="1" x14ac:dyDescent="0.25">
      <c r="A229" s="43">
        <f t="shared" si="179"/>
        <v>195</v>
      </c>
      <c r="C229" s="21"/>
      <c r="D229" s="23" t="s">
        <v>6</v>
      </c>
      <c r="E229" s="23"/>
      <c r="F229" s="111"/>
      <c r="G229" s="24">
        <f>SUM(G225:G228)</f>
        <v>3004283.49975</v>
      </c>
      <c r="H229" s="23"/>
      <c r="I229" s="157">
        <f>SUM(I225:I228)</f>
        <v>3819355.6157999998</v>
      </c>
      <c r="J229" s="158">
        <f>SUM(J225:J228)</f>
        <v>1</v>
      </c>
      <c r="K229" s="40">
        <f>I229+Summary!I24</f>
        <v>3819355.6157999998</v>
      </c>
      <c r="L229" s="23"/>
      <c r="M229" s="157">
        <f>SUM(M225:M228)</f>
        <v>3819355.6157999998</v>
      </c>
      <c r="N229" s="157">
        <f>SUM(N225:N228)</f>
        <v>0</v>
      </c>
      <c r="O229" s="25">
        <f t="shared" ref="O229" si="247">N229/I229</f>
        <v>0</v>
      </c>
      <c r="P229" s="25">
        <f>SUM(P225:P228)</f>
        <v>253.90995667538721</v>
      </c>
      <c r="Q229" s="26">
        <f t="shared" si="246"/>
        <v>252.90995667538721</v>
      </c>
      <c r="R229" s="37">
        <f>M229-K229</f>
        <v>0</v>
      </c>
      <c r="S229" s="77">
        <f>K229/I229</f>
        <v>1</v>
      </c>
    </row>
    <row r="230" spans="1:20" x14ac:dyDescent="0.2">
      <c r="A230" s="43">
        <f t="shared" si="179"/>
        <v>196</v>
      </c>
      <c r="D230" s="2" t="s">
        <v>26</v>
      </c>
      <c r="E230" s="2"/>
      <c r="G230" s="128">
        <v>813927.53</v>
      </c>
      <c r="I230" s="14">
        <f>G230-($H$322*E226)</f>
        <v>-1144.5860499999253</v>
      </c>
      <c r="K230" s="14"/>
      <c r="M230" s="5">
        <f>I230</f>
        <v>-1144.5860499999253</v>
      </c>
      <c r="N230" s="5">
        <f t="shared" ref="N230:N232" si="248">M230-I230</f>
        <v>0</v>
      </c>
      <c r="O230" s="17">
        <v>0</v>
      </c>
    </row>
    <row r="231" spans="1:20" x14ac:dyDescent="0.2">
      <c r="A231" s="43">
        <f t="shared" si="179"/>
        <v>197</v>
      </c>
      <c r="D231" s="2" t="s">
        <v>27</v>
      </c>
      <c r="E231" s="2"/>
      <c r="G231" s="128">
        <v>413434.56</v>
      </c>
      <c r="I231" s="14">
        <f t="shared" ref="I231:I233" si="249">G231</f>
        <v>413434.56</v>
      </c>
      <c r="M231" s="5">
        <f t="shared" ref="M231:M233" si="250">I231</f>
        <v>413434.56</v>
      </c>
      <c r="N231" s="5">
        <f t="shared" si="248"/>
        <v>0</v>
      </c>
      <c r="O231" s="17">
        <v>0</v>
      </c>
    </row>
    <row r="232" spans="1:20" x14ac:dyDescent="0.2">
      <c r="A232" s="43">
        <f t="shared" si="179"/>
        <v>198</v>
      </c>
      <c r="D232" s="2" t="s">
        <v>29</v>
      </c>
      <c r="E232" s="2"/>
      <c r="G232" s="128">
        <v>0</v>
      </c>
      <c r="I232" s="14">
        <f t="shared" si="249"/>
        <v>0</v>
      </c>
      <c r="M232" s="5">
        <f t="shared" si="250"/>
        <v>0</v>
      </c>
      <c r="N232" s="5">
        <f t="shared" si="248"/>
        <v>0</v>
      </c>
      <c r="O232" s="17">
        <v>0</v>
      </c>
    </row>
    <row r="233" spans="1:20" x14ac:dyDescent="0.2">
      <c r="A233" s="43">
        <f t="shared" si="179"/>
        <v>199</v>
      </c>
      <c r="D233" s="2" t="s">
        <v>38</v>
      </c>
      <c r="E233" s="2"/>
      <c r="G233" s="128">
        <v>0</v>
      </c>
      <c r="I233" s="14">
        <f t="shared" si="249"/>
        <v>0</v>
      </c>
      <c r="M233" s="5">
        <f t="shared" si="250"/>
        <v>0</v>
      </c>
      <c r="N233" s="5"/>
      <c r="O233" s="17"/>
    </row>
    <row r="234" spans="1:20" x14ac:dyDescent="0.2">
      <c r="A234" s="43">
        <f t="shared" si="179"/>
        <v>200</v>
      </c>
      <c r="D234" s="18" t="s">
        <v>8</v>
      </c>
      <c r="E234" s="18"/>
      <c r="F234" s="114"/>
      <c r="G234" s="113">
        <f>SUM(G230:G233)</f>
        <v>1227362.0900000001</v>
      </c>
      <c r="H234" s="18"/>
      <c r="I234" s="159">
        <f>SUM(I230:I233)</f>
        <v>412289.97395000007</v>
      </c>
      <c r="J234" s="18"/>
      <c r="K234" s="18"/>
      <c r="L234" s="18"/>
      <c r="M234" s="19">
        <f>SUM(M230:M233)</f>
        <v>412289.97395000007</v>
      </c>
      <c r="N234" s="19">
        <f t="shared" ref="N234:N236" si="251">M234-I234</f>
        <v>0</v>
      </c>
      <c r="O234" s="27">
        <f t="shared" ref="O234" si="252">N234-J234</f>
        <v>0</v>
      </c>
    </row>
    <row r="235" spans="1:20" s="6" customFormat="1" ht="26.45" customHeight="1" thickBot="1" x14ac:dyDescent="0.25">
      <c r="A235" s="43">
        <f t="shared" si="179"/>
        <v>201</v>
      </c>
      <c r="C235" s="21"/>
      <c r="D235" s="7" t="s">
        <v>19</v>
      </c>
      <c r="E235" s="7"/>
      <c r="F235" s="116"/>
      <c r="G235" s="115">
        <f>G229+G234</f>
        <v>4231645.5897500003</v>
      </c>
      <c r="H235" s="7"/>
      <c r="I235" s="153">
        <f>I234+I229</f>
        <v>4231645.5897500003</v>
      </c>
      <c r="J235" s="7"/>
      <c r="K235" s="7"/>
      <c r="L235" s="7"/>
      <c r="M235" s="8">
        <f>M234+M229</f>
        <v>4231645.5897500003</v>
      </c>
      <c r="N235" s="8">
        <f t="shared" si="251"/>
        <v>0</v>
      </c>
      <c r="O235" s="9">
        <f>N235/I235</f>
        <v>0</v>
      </c>
      <c r="P235" s="2"/>
      <c r="Q235" s="2"/>
      <c r="R235" s="2"/>
    </row>
    <row r="236" spans="1:20" ht="13.5" thickTop="1" x14ac:dyDescent="0.2">
      <c r="A236" s="43">
        <f t="shared" si="179"/>
        <v>202</v>
      </c>
      <c r="D236" s="2" t="s">
        <v>18</v>
      </c>
      <c r="E236" s="147">
        <f>E226/E225</f>
        <v>5761041.25</v>
      </c>
      <c r="G236" s="118">
        <f>G235/E225</f>
        <v>352637.13247916667</v>
      </c>
      <c r="I236" s="15">
        <f>I235/E225</f>
        <v>352637.13247916667</v>
      </c>
      <c r="M236" s="15">
        <f>M235/E225</f>
        <v>352637.13247916667</v>
      </c>
      <c r="N236" s="15">
        <f t="shared" si="251"/>
        <v>0</v>
      </c>
      <c r="O236" s="4">
        <f>N236/I236</f>
        <v>0</v>
      </c>
    </row>
    <row r="237" spans="1:20" ht="13.5" thickBot="1" x14ac:dyDescent="0.25">
      <c r="A237" s="43">
        <f t="shared" si="179"/>
        <v>203</v>
      </c>
      <c r="E237" s="2"/>
    </row>
    <row r="238" spans="1:20" ht="12.75" customHeight="1" x14ac:dyDescent="0.2">
      <c r="A238" s="43">
        <f>A223+1</f>
        <v>190</v>
      </c>
      <c r="B238" s="166" t="s">
        <v>96</v>
      </c>
      <c r="C238" s="34">
        <v>38</v>
      </c>
      <c r="D238" s="33"/>
      <c r="E238" s="33"/>
      <c r="F238" s="119"/>
      <c r="G238" s="119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</row>
    <row r="239" spans="1:20" x14ac:dyDescent="0.2">
      <c r="A239" s="43">
        <f t="shared" si="179"/>
        <v>191</v>
      </c>
      <c r="B239" s="167"/>
      <c r="C239" s="2"/>
      <c r="D239" s="2" t="s">
        <v>17</v>
      </c>
      <c r="E239" s="162">
        <v>12</v>
      </c>
      <c r="F239" s="133">
        <f>H239</f>
        <v>30.83</v>
      </c>
      <c r="G239" s="98">
        <f>F239*E239</f>
        <v>369.96</v>
      </c>
      <c r="H239" s="147">
        <f>H20</f>
        <v>30.83</v>
      </c>
      <c r="I239" s="156">
        <f>H239*E239</f>
        <v>369.96</v>
      </c>
      <c r="J239" s="39">
        <f>I239/I241</f>
        <v>0.42221232135064113</v>
      </c>
      <c r="K239" s="39"/>
      <c r="L239" s="147">
        <f>ROUND(H239*S241,2)</f>
        <v>32.54</v>
      </c>
      <c r="M239" s="5">
        <f>L239*E239</f>
        <v>390.48</v>
      </c>
      <c r="N239" s="5">
        <f>M239-I239</f>
        <v>20.520000000000039</v>
      </c>
      <c r="O239" s="4">
        <f>IF(I239=0,0,N239/I239)</f>
        <v>5.5465455724943345E-2</v>
      </c>
      <c r="P239" s="4">
        <f>M239/M$215</f>
        <v>2.5959028133555453E-2</v>
      </c>
      <c r="Q239" s="16">
        <f>P239-J239</f>
        <v>-0.39625329321708569</v>
      </c>
      <c r="R239" s="16"/>
      <c r="T239" s="4">
        <f>L239/H239-1</f>
        <v>5.5465455724943213E-2</v>
      </c>
    </row>
    <row r="240" spans="1:20" x14ac:dyDescent="0.2">
      <c r="A240" s="43">
        <f t="shared" si="179"/>
        <v>192</v>
      </c>
      <c r="D240" s="2" t="s">
        <v>47</v>
      </c>
      <c r="E240" s="162">
        <v>4180</v>
      </c>
      <c r="F240" s="134">
        <f>H240-$H$322</f>
        <v>0.10933000000000001</v>
      </c>
      <c r="G240" s="98">
        <f t="shared" ref="G240" si="253">F240*E240</f>
        <v>456.99940000000004</v>
      </c>
      <c r="H240" s="148">
        <f>H21</f>
        <v>0.12112000000000001</v>
      </c>
      <c r="I240" s="156">
        <f t="shared" ref="I240" si="254">H240*E240</f>
        <v>506.28160000000003</v>
      </c>
      <c r="J240" s="39">
        <f>I240/I241</f>
        <v>0.57778767864935876</v>
      </c>
      <c r="K240" s="39"/>
      <c r="L240" s="160">
        <f>ROUND(H240*S241,5)</f>
        <v>0.12781999999999999</v>
      </c>
      <c r="M240" s="5">
        <f t="shared" ref="M240" si="255">L240*E240</f>
        <v>534.2876</v>
      </c>
      <c r="N240" s="5">
        <f t="shared" ref="N240" si="256">M240-I240</f>
        <v>28.005999999999972</v>
      </c>
      <c r="O240" s="4">
        <f t="shared" ref="O240" si="257">IF(I240=0,0,N240/I240)</f>
        <v>5.5317040951122796E-2</v>
      </c>
      <c r="P240" s="4">
        <f>M240/M$215</f>
        <v>3.5519327084126771E-2</v>
      </c>
      <c r="Q240" s="16">
        <f t="shared" ref="Q240:Q241" si="258">P240-J240</f>
        <v>-0.54226835156523201</v>
      </c>
      <c r="R240" s="16"/>
      <c r="T240" s="4">
        <f>L240/H240-1</f>
        <v>5.5317040951122776E-2</v>
      </c>
    </row>
    <row r="241" spans="1:20" s="6" customFormat="1" ht="20.45" customHeight="1" x14ac:dyDescent="0.25">
      <c r="A241" s="43">
        <f t="shared" si="179"/>
        <v>193</v>
      </c>
      <c r="C241" s="21"/>
      <c r="D241" s="23" t="s">
        <v>6</v>
      </c>
      <c r="E241" s="23"/>
      <c r="F241" s="111"/>
      <c r="G241" s="24">
        <f>SUM(G239:G240)</f>
        <v>826.95939999999996</v>
      </c>
      <c r="H241" s="23"/>
      <c r="I241" s="157">
        <f>SUM(I239:I240)</f>
        <v>876.24160000000006</v>
      </c>
      <c r="J241" s="158">
        <f>SUM(J239:J240)</f>
        <v>0.99999999999999989</v>
      </c>
      <c r="K241" s="40">
        <f>I241+Summary!I25</f>
        <v>924.71160000000009</v>
      </c>
      <c r="L241" s="23"/>
      <c r="M241" s="157">
        <f>SUM(M239:M240)</f>
        <v>924.76760000000002</v>
      </c>
      <c r="N241" s="157">
        <f>SUM(N239:N240)</f>
        <v>48.52600000000001</v>
      </c>
      <c r="O241" s="25">
        <f t="shared" ref="O241" si="259">N241/I241</f>
        <v>5.5379703497300294E-2</v>
      </c>
      <c r="P241" s="25">
        <f>SUM(P239:P240)</f>
        <v>6.1478355217682225E-2</v>
      </c>
      <c r="Q241" s="26">
        <f t="shared" si="258"/>
        <v>-0.9385216447823177</v>
      </c>
      <c r="R241" s="37">
        <f>M241-K241</f>
        <v>5.5999999999926331E-2</v>
      </c>
      <c r="S241" s="77">
        <f>K241/I241</f>
        <v>1.0553157941827915</v>
      </c>
    </row>
    <row r="242" spans="1:20" x14ac:dyDescent="0.2">
      <c r="A242" s="43">
        <f t="shared" si="179"/>
        <v>194</v>
      </c>
      <c r="D242" s="2" t="s">
        <v>26</v>
      </c>
      <c r="E242" s="2"/>
      <c r="G242" s="128">
        <v>57.5</v>
      </c>
      <c r="I242" s="14">
        <f>G242-($H$322*E240)</f>
        <v>8.2177999999999969</v>
      </c>
      <c r="K242" s="14"/>
      <c r="M242" s="5">
        <f>I242</f>
        <v>8.2177999999999969</v>
      </c>
      <c r="N242" s="5">
        <f t="shared" ref="N242:N244" si="260">M242-I242</f>
        <v>0</v>
      </c>
      <c r="O242" s="17">
        <v>0</v>
      </c>
    </row>
    <row r="243" spans="1:20" x14ac:dyDescent="0.2">
      <c r="A243" s="43">
        <f t="shared" si="179"/>
        <v>195</v>
      </c>
      <c r="D243" s="2" t="s">
        <v>27</v>
      </c>
      <c r="E243" s="2"/>
      <c r="G243" s="128">
        <v>31.78</v>
      </c>
      <c r="I243" s="14">
        <f t="shared" ref="I243:I245" si="261">G243</f>
        <v>31.78</v>
      </c>
      <c r="M243" s="5">
        <f t="shared" ref="M243:M245" si="262">I243</f>
        <v>31.78</v>
      </c>
      <c r="N243" s="5">
        <f t="shared" si="260"/>
        <v>0</v>
      </c>
      <c r="O243" s="17">
        <v>0</v>
      </c>
    </row>
    <row r="244" spans="1:20" x14ac:dyDescent="0.2">
      <c r="A244" s="43">
        <f t="shared" si="179"/>
        <v>196</v>
      </c>
      <c r="D244" s="2" t="s">
        <v>29</v>
      </c>
      <c r="E244" s="2"/>
      <c r="G244" s="128">
        <v>0</v>
      </c>
      <c r="I244" s="14">
        <f t="shared" si="261"/>
        <v>0</v>
      </c>
      <c r="M244" s="5">
        <f t="shared" si="262"/>
        <v>0</v>
      </c>
      <c r="N244" s="5">
        <f t="shared" si="260"/>
        <v>0</v>
      </c>
      <c r="O244" s="17">
        <v>0</v>
      </c>
    </row>
    <row r="245" spans="1:20" x14ac:dyDescent="0.2">
      <c r="A245" s="43">
        <f t="shared" si="179"/>
        <v>197</v>
      </c>
      <c r="D245" s="2" t="s">
        <v>38</v>
      </c>
      <c r="E245" s="2"/>
      <c r="G245" s="128">
        <v>0</v>
      </c>
      <c r="I245" s="14">
        <f t="shared" si="261"/>
        <v>0</v>
      </c>
      <c r="M245" s="5">
        <f t="shared" si="262"/>
        <v>0</v>
      </c>
      <c r="N245" s="5"/>
      <c r="O245" s="17"/>
    </row>
    <row r="246" spans="1:20" x14ac:dyDescent="0.2">
      <c r="A246" s="43">
        <f t="shared" si="179"/>
        <v>198</v>
      </c>
      <c r="D246" s="18" t="s">
        <v>8</v>
      </c>
      <c r="E246" s="18"/>
      <c r="F246" s="114"/>
      <c r="G246" s="113">
        <f>SUM(G242:G245)</f>
        <v>89.28</v>
      </c>
      <c r="H246" s="18"/>
      <c r="I246" s="159">
        <f>SUM(I242:I245)</f>
        <v>39.997799999999998</v>
      </c>
      <c r="J246" s="18"/>
      <c r="K246" s="18"/>
      <c r="L246" s="18"/>
      <c r="M246" s="19">
        <f>SUM(M242:M245)</f>
        <v>39.997799999999998</v>
      </c>
      <c r="N246" s="19">
        <f t="shared" ref="N246:N248" si="263">M246-I246</f>
        <v>0</v>
      </c>
      <c r="O246" s="27">
        <f t="shared" ref="O246" si="264">N246-J246</f>
        <v>0</v>
      </c>
    </row>
    <row r="247" spans="1:20" s="6" customFormat="1" ht="26.45" customHeight="1" thickBot="1" x14ac:dyDescent="0.25">
      <c r="A247" s="43">
        <f t="shared" si="179"/>
        <v>199</v>
      </c>
      <c r="C247" s="21"/>
      <c r="D247" s="7" t="s">
        <v>19</v>
      </c>
      <c r="E247" s="7"/>
      <c r="F247" s="116"/>
      <c r="G247" s="115">
        <f>G241+G246</f>
        <v>916.23939999999993</v>
      </c>
      <c r="H247" s="7"/>
      <c r="I247" s="153">
        <f>I246+I241</f>
        <v>916.23940000000005</v>
      </c>
      <c r="J247" s="7"/>
      <c r="K247" s="7"/>
      <c r="L247" s="7"/>
      <c r="M247" s="8">
        <f>M246+M241</f>
        <v>964.7654</v>
      </c>
      <c r="N247" s="8">
        <f t="shared" si="263"/>
        <v>48.525999999999954</v>
      </c>
      <c r="O247" s="9">
        <f>N247/I247</f>
        <v>5.2962140680699772E-2</v>
      </c>
      <c r="P247" s="2"/>
      <c r="Q247" s="2"/>
      <c r="R247" s="2"/>
    </row>
    <row r="248" spans="1:20" ht="13.5" thickTop="1" x14ac:dyDescent="0.2">
      <c r="A248" s="43">
        <f t="shared" si="179"/>
        <v>200</v>
      </c>
      <c r="D248" s="2" t="s">
        <v>18</v>
      </c>
      <c r="E248" s="147">
        <f>E240/E239</f>
        <v>348.33333333333331</v>
      </c>
      <c r="G248" s="118">
        <f>G247/E239</f>
        <v>76.353283333333323</v>
      </c>
      <c r="I248" s="15">
        <f>I247/E239</f>
        <v>76.353283333333337</v>
      </c>
      <c r="M248" s="15">
        <f>M247/E239</f>
        <v>80.397116666666662</v>
      </c>
      <c r="N248" s="15">
        <f t="shared" si="263"/>
        <v>4.0438333333333247</v>
      </c>
      <c r="O248" s="4">
        <f>N248/I248</f>
        <v>5.296214068069971E-2</v>
      </c>
    </row>
    <row r="249" spans="1:20" ht="13.5" thickBot="1" x14ac:dyDescent="0.25">
      <c r="A249" s="43">
        <f t="shared" si="179"/>
        <v>201</v>
      </c>
      <c r="E249" s="2"/>
    </row>
    <row r="250" spans="1:20" x14ac:dyDescent="0.2">
      <c r="A250" s="43">
        <f>A223+1</f>
        <v>190</v>
      </c>
      <c r="B250" s="33" t="s">
        <v>111</v>
      </c>
      <c r="C250" s="34">
        <v>6</v>
      </c>
      <c r="D250" s="33"/>
      <c r="E250" s="33"/>
      <c r="F250" s="119"/>
      <c r="G250" s="119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</row>
    <row r="251" spans="1:20" x14ac:dyDescent="0.2">
      <c r="A251" s="43">
        <f t="shared" si="179"/>
        <v>191</v>
      </c>
      <c r="B251" s="99"/>
      <c r="C251" s="100"/>
      <c r="D251" s="2" t="s">
        <v>60</v>
      </c>
      <c r="E251" s="162">
        <v>16448</v>
      </c>
      <c r="F251" s="130">
        <v>12.72</v>
      </c>
      <c r="G251" s="98">
        <f t="shared" ref="G251" si="265">F251*E251</f>
        <v>209218.56</v>
      </c>
      <c r="H251" s="147">
        <v>13.6</v>
      </c>
      <c r="I251" s="156">
        <f t="shared" ref="I251" si="266">H251*E251</f>
        <v>223692.79999999999</v>
      </c>
      <c r="J251" s="39">
        <f t="shared" ref="J251:J256" si="267">I251/I$257</f>
        <v>0.2900810246888943</v>
      </c>
      <c r="K251" s="39"/>
      <c r="L251" s="147">
        <f t="shared" ref="L251:L256" si="268">ROUND(H251*S$257,2)</f>
        <v>14.35</v>
      </c>
      <c r="M251" s="5">
        <f t="shared" ref="M251" si="269">L251*E251</f>
        <v>236028.79999999999</v>
      </c>
      <c r="N251" s="5">
        <f t="shared" ref="N251" si="270">M251-I251</f>
        <v>12336</v>
      </c>
      <c r="O251" s="4">
        <f t="shared" ref="O251" si="271">IF(I251=0,0,N251/I251)</f>
        <v>5.5147058823529417E-2</v>
      </c>
      <c r="P251" s="4">
        <f t="shared" ref="P251:P256" si="272">M251/M$257</f>
        <v>0.29007497461692811</v>
      </c>
      <c r="Q251" s="16">
        <f t="shared" ref="Q251" si="273">P251-J251</f>
        <v>-6.0500719661904512E-6</v>
      </c>
      <c r="R251" s="16"/>
      <c r="T251" s="4">
        <f>L251/H251-1</f>
        <v>5.5147058823529438E-2</v>
      </c>
    </row>
    <row r="252" spans="1:20" x14ac:dyDescent="0.2">
      <c r="A252" s="43">
        <f t="shared" si="179"/>
        <v>192</v>
      </c>
      <c r="B252" s="99"/>
      <c r="C252" s="100"/>
      <c r="D252" s="2" t="s">
        <v>61</v>
      </c>
      <c r="E252" s="162">
        <v>0</v>
      </c>
      <c r="F252" s="130">
        <v>15.29</v>
      </c>
      <c r="G252" s="98">
        <f t="shared" ref="G252:G255" si="274">F252*E252</f>
        <v>0</v>
      </c>
      <c r="H252" s="147">
        <v>16.170000000000002</v>
      </c>
      <c r="I252" s="156">
        <f t="shared" ref="I252:I255" si="275">H252*E252</f>
        <v>0</v>
      </c>
      <c r="J252" s="39">
        <f t="shared" si="267"/>
        <v>0</v>
      </c>
      <c r="K252" s="39"/>
      <c r="L252" s="147">
        <f t="shared" si="268"/>
        <v>17.059999999999999</v>
      </c>
      <c r="M252" s="5">
        <f t="shared" ref="M252:M255" si="276">L252*E252</f>
        <v>0</v>
      </c>
      <c r="N252" s="5">
        <f t="shared" ref="N252:N255" si="277">M252-I252</f>
        <v>0</v>
      </c>
      <c r="O252" s="4">
        <f t="shared" ref="O252:O255" si="278">IF(I252=0,0,N252/I252)</f>
        <v>0</v>
      </c>
      <c r="P252" s="4">
        <f t="shared" si="272"/>
        <v>0</v>
      </c>
      <c r="Q252" s="16">
        <f t="shared" ref="Q252:Q255" si="279">P252-J252</f>
        <v>0</v>
      </c>
      <c r="R252" s="16"/>
      <c r="T252" s="4">
        <f t="shared" ref="T252:T256" si="280">L252/H252-1</f>
        <v>5.5040197897340493E-2</v>
      </c>
    </row>
    <row r="253" spans="1:20" x14ac:dyDescent="0.2">
      <c r="A253" s="43">
        <f t="shared" si="179"/>
        <v>193</v>
      </c>
      <c r="B253" s="99"/>
      <c r="C253" s="100"/>
      <c r="D253" s="2" t="s">
        <v>65</v>
      </c>
      <c r="E253" s="162">
        <v>1799</v>
      </c>
      <c r="F253" s="130">
        <v>21.92</v>
      </c>
      <c r="G253" s="98">
        <f t="shared" si="274"/>
        <v>39434.080000000002</v>
      </c>
      <c r="H253" s="147">
        <v>22.8</v>
      </c>
      <c r="I253" s="156">
        <f t="shared" si="275"/>
        <v>41017.200000000004</v>
      </c>
      <c r="J253" s="39">
        <f t="shared" si="267"/>
        <v>5.3190408479259585E-2</v>
      </c>
      <c r="K253" s="39"/>
      <c r="L253" s="147">
        <f t="shared" si="268"/>
        <v>24.06</v>
      </c>
      <c r="M253" s="5">
        <f t="shared" si="276"/>
        <v>43283.939999999995</v>
      </c>
      <c r="N253" s="5">
        <f t="shared" si="277"/>
        <v>2266.7399999999907</v>
      </c>
      <c r="O253" s="4">
        <f t="shared" si="278"/>
        <v>5.5263157894736611E-2</v>
      </c>
      <c r="P253" s="4">
        <f t="shared" si="272"/>
        <v>5.3195151595147025E-2</v>
      </c>
      <c r="Q253" s="16">
        <f t="shared" si="279"/>
        <v>4.7431158874400303E-6</v>
      </c>
      <c r="R253" s="16"/>
      <c r="T253" s="4">
        <f t="shared" si="280"/>
        <v>5.5263157894736681E-2</v>
      </c>
    </row>
    <row r="254" spans="1:20" x14ac:dyDescent="0.2">
      <c r="A254" s="43">
        <f t="shared" si="179"/>
        <v>194</v>
      </c>
      <c r="B254" s="99"/>
      <c r="C254" s="100"/>
      <c r="D254" s="2" t="s">
        <v>62</v>
      </c>
      <c r="E254" s="162">
        <v>32106</v>
      </c>
      <c r="F254" s="130">
        <v>12.72</v>
      </c>
      <c r="G254" s="98">
        <f t="shared" si="274"/>
        <v>408388.32</v>
      </c>
      <c r="H254" s="147">
        <v>13.6</v>
      </c>
      <c r="I254" s="156">
        <f t="shared" si="275"/>
        <v>436641.6</v>
      </c>
      <c r="J254" s="39">
        <f t="shared" si="267"/>
        <v>0.56622941261318338</v>
      </c>
      <c r="K254" s="39"/>
      <c r="L254" s="147">
        <f t="shared" si="268"/>
        <v>14.35</v>
      </c>
      <c r="M254" s="5">
        <f t="shared" si="276"/>
        <v>460721.1</v>
      </c>
      <c r="N254" s="5">
        <f t="shared" si="277"/>
        <v>24079.5</v>
      </c>
      <c r="O254" s="4">
        <f t="shared" si="278"/>
        <v>5.5147058823529417E-2</v>
      </c>
      <c r="P254" s="4">
        <f t="shared" si="272"/>
        <v>0.56621760305514912</v>
      </c>
      <c r="Q254" s="16">
        <f t="shared" si="279"/>
        <v>-1.1809558034259204E-5</v>
      </c>
      <c r="R254" s="16"/>
      <c r="T254" s="4">
        <f t="shared" si="280"/>
        <v>5.5147058823529438E-2</v>
      </c>
    </row>
    <row r="255" spans="1:20" x14ac:dyDescent="0.2">
      <c r="A255" s="43">
        <f t="shared" si="179"/>
        <v>195</v>
      </c>
      <c r="B255" s="99"/>
      <c r="C255" s="100"/>
      <c r="D255" s="2" t="s">
        <v>63</v>
      </c>
      <c r="E255" s="162">
        <v>2389</v>
      </c>
      <c r="F255" s="130">
        <v>26.59</v>
      </c>
      <c r="G255" s="98">
        <f t="shared" si="274"/>
        <v>63523.51</v>
      </c>
      <c r="H255" s="147">
        <v>27.47</v>
      </c>
      <c r="I255" s="156">
        <f t="shared" si="275"/>
        <v>65625.83</v>
      </c>
      <c r="J255" s="39">
        <f t="shared" si="267"/>
        <v>8.5102462003511875E-2</v>
      </c>
      <c r="K255" s="39"/>
      <c r="L255" s="147">
        <f t="shared" si="268"/>
        <v>28.99</v>
      </c>
      <c r="M255" s="5">
        <f t="shared" si="276"/>
        <v>69257.11</v>
      </c>
      <c r="N255" s="5">
        <f t="shared" si="277"/>
        <v>3631.2799999999988</v>
      </c>
      <c r="O255" s="4">
        <f t="shared" si="278"/>
        <v>5.5333090644339257E-2</v>
      </c>
      <c r="P255" s="4">
        <f t="shared" si="272"/>
        <v>8.5115691073681679E-2</v>
      </c>
      <c r="Q255" s="16">
        <f t="shared" si="279"/>
        <v>1.3229070169804014E-5</v>
      </c>
      <c r="R255" s="16"/>
      <c r="T255" s="4">
        <f t="shared" si="280"/>
        <v>5.5333090644339222E-2</v>
      </c>
    </row>
    <row r="256" spans="1:20" x14ac:dyDescent="0.2">
      <c r="A256" s="43">
        <f t="shared" si="179"/>
        <v>196</v>
      </c>
      <c r="B256" s="99"/>
      <c r="C256" s="100"/>
      <c r="D256" s="2" t="s">
        <v>64</v>
      </c>
      <c r="E256" s="162">
        <v>306</v>
      </c>
      <c r="F256" s="130">
        <v>12.72</v>
      </c>
      <c r="G256" s="98">
        <f t="shared" ref="G256" si="281">F256*E256</f>
        <v>3892.32</v>
      </c>
      <c r="H256" s="147">
        <v>13.6</v>
      </c>
      <c r="I256" s="156">
        <f t="shared" ref="I256" si="282">H256*E256</f>
        <v>4161.5999999999995</v>
      </c>
      <c r="J256" s="39">
        <f t="shared" si="267"/>
        <v>5.3966922151508787E-3</v>
      </c>
      <c r="K256" s="39"/>
      <c r="L256" s="147">
        <f t="shared" si="268"/>
        <v>14.35</v>
      </c>
      <c r="M256" s="5">
        <f t="shared" ref="M256" si="283">L256*E256</f>
        <v>4391.0999999999995</v>
      </c>
      <c r="N256" s="5">
        <f t="shared" ref="N256" si="284">M256-I256</f>
        <v>229.5</v>
      </c>
      <c r="O256" s="4">
        <f t="shared" ref="O256" si="285">IF(I256=0,0,N256/I256)</f>
        <v>5.5147058823529417E-2</v>
      </c>
      <c r="P256" s="4">
        <f t="shared" si="272"/>
        <v>5.3965796590941138E-3</v>
      </c>
      <c r="Q256" s="16">
        <f t="shared" ref="Q256" si="286">P256-J256</f>
        <v>-1.125560567648981E-7</v>
      </c>
      <c r="R256" s="16"/>
      <c r="T256" s="4">
        <f t="shared" si="280"/>
        <v>5.5147058823529438E-2</v>
      </c>
    </row>
    <row r="257" spans="1:19" s="6" customFormat="1" ht="24.6" customHeight="1" x14ac:dyDescent="0.25">
      <c r="A257" s="43">
        <f t="shared" si="179"/>
        <v>197</v>
      </c>
      <c r="C257" s="21"/>
      <c r="D257" s="23" t="s">
        <v>6</v>
      </c>
      <c r="E257" s="111"/>
      <c r="F257" s="111"/>
      <c r="G257" s="24">
        <f>SUM(G251:G256)</f>
        <v>724456.78999999992</v>
      </c>
      <c r="H257" s="23"/>
      <c r="I257" s="157">
        <f>SUM(I251:I256)</f>
        <v>771139.02999999991</v>
      </c>
      <c r="J257" s="158">
        <f>SUM(J251:J256)</f>
        <v>1</v>
      </c>
      <c r="K257" s="40">
        <f>I257+Summary!I26</f>
        <v>813794.59999999986</v>
      </c>
      <c r="L257" s="23"/>
      <c r="M257" s="157">
        <f>SUM(M251:M256)</f>
        <v>813682.04999999993</v>
      </c>
      <c r="N257" s="157">
        <f>SUM(N251:N256)</f>
        <v>42543.01999999999</v>
      </c>
      <c r="O257" s="25">
        <f t="shared" ref="O257" si="287">N257/I257</f>
        <v>5.5169065946512906E-2</v>
      </c>
      <c r="P257" s="25">
        <f>SUM(P251:P256)</f>
        <v>1</v>
      </c>
      <c r="Q257" s="26">
        <f t="shared" ref="Q257" si="288">P257-J257</f>
        <v>0</v>
      </c>
      <c r="R257" s="37">
        <f>M257-K257</f>
        <v>-112.54999999993015</v>
      </c>
      <c r="S257" s="77">
        <f>K257/I257</f>
        <v>1.0553150188753899</v>
      </c>
    </row>
    <row r="258" spans="1:19" x14ac:dyDescent="0.2">
      <c r="A258" s="43">
        <f t="shared" si="179"/>
        <v>198</v>
      </c>
      <c r="D258" s="2" t="s">
        <v>26</v>
      </c>
      <c r="G258" s="128">
        <v>413.54</v>
      </c>
      <c r="I258" s="14">
        <f>G258</f>
        <v>413.54</v>
      </c>
      <c r="K258" s="14"/>
      <c r="M258" s="5">
        <f>I258</f>
        <v>413.54</v>
      </c>
      <c r="N258" s="5">
        <f>M258-I258</f>
        <v>0</v>
      </c>
      <c r="O258" s="17">
        <v>0</v>
      </c>
    </row>
    <row r="259" spans="1:19" x14ac:dyDescent="0.2">
      <c r="A259" s="43">
        <f t="shared" si="179"/>
        <v>199</v>
      </c>
      <c r="D259" s="2" t="s">
        <v>27</v>
      </c>
      <c r="G259" s="128">
        <v>888.94</v>
      </c>
      <c r="I259" s="14">
        <f t="shared" ref="I259:I261" si="289">G259</f>
        <v>888.94</v>
      </c>
      <c r="M259" s="5">
        <f t="shared" ref="M259:M260" si="290">I259</f>
        <v>888.94</v>
      </c>
      <c r="N259" s="5">
        <f>M259-I259</f>
        <v>0</v>
      </c>
      <c r="O259" s="17">
        <v>0</v>
      </c>
    </row>
    <row r="260" spans="1:19" x14ac:dyDescent="0.2">
      <c r="A260" s="43">
        <f t="shared" si="179"/>
        <v>200</v>
      </c>
      <c r="D260" s="2" t="s">
        <v>29</v>
      </c>
      <c r="G260" s="128">
        <v>0</v>
      </c>
      <c r="I260" s="14">
        <f t="shared" si="289"/>
        <v>0</v>
      </c>
      <c r="M260" s="5">
        <f t="shared" si="290"/>
        <v>0</v>
      </c>
      <c r="N260" s="5">
        <f>M260-I260</f>
        <v>0</v>
      </c>
      <c r="O260" s="17">
        <v>0</v>
      </c>
    </row>
    <row r="261" spans="1:19" x14ac:dyDescent="0.2">
      <c r="A261" s="43">
        <f t="shared" si="179"/>
        <v>201</v>
      </c>
      <c r="D261" s="2" t="s">
        <v>76</v>
      </c>
      <c r="G261" s="128">
        <v>0</v>
      </c>
      <c r="I261" s="14">
        <f t="shared" si="289"/>
        <v>0</v>
      </c>
      <c r="M261" s="5">
        <f>I261</f>
        <v>0</v>
      </c>
      <c r="N261" s="5"/>
      <c r="O261" s="17"/>
    </row>
    <row r="262" spans="1:19" x14ac:dyDescent="0.2">
      <c r="A262" s="43">
        <f t="shared" si="179"/>
        <v>202</v>
      </c>
      <c r="D262" s="18" t="s">
        <v>8</v>
      </c>
      <c r="E262" s="114"/>
      <c r="F262" s="114"/>
      <c r="G262" s="113">
        <f>SUM(G258:G260)</f>
        <v>1302.48</v>
      </c>
      <c r="H262" s="18"/>
      <c r="I262" s="159">
        <f>SUM(I258:I260)</f>
        <v>1302.48</v>
      </c>
      <c r="J262" s="18"/>
      <c r="K262" s="18"/>
      <c r="L262" s="18"/>
      <c r="M262" s="19">
        <f>SUM(M258:M260)</f>
        <v>1302.48</v>
      </c>
      <c r="N262" s="19">
        <f>M262-I262</f>
        <v>0</v>
      </c>
      <c r="O262" s="27">
        <f>N262-J262</f>
        <v>0</v>
      </c>
    </row>
    <row r="263" spans="1:19" s="6" customFormat="1" ht="26.45" customHeight="1" thickBot="1" x14ac:dyDescent="0.25">
      <c r="A263" s="43">
        <f t="shared" si="179"/>
        <v>203</v>
      </c>
      <c r="C263" s="21"/>
      <c r="D263" s="7" t="s">
        <v>19</v>
      </c>
      <c r="E263" s="116"/>
      <c r="F263" s="116"/>
      <c r="G263" s="115">
        <f>G257+G262</f>
        <v>725759.2699999999</v>
      </c>
      <c r="H263" s="7"/>
      <c r="I263" s="153">
        <f>I262+I257</f>
        <v>772441.50999999989</v>
      </c>
      <c r="J263" s="7"/>
      <c r="K263" s="7"/>
      <c r="L263" s="7"/>
      <c r="M263" s="8">
        <f>M262+M257</f>
        <v>814984.52999999991</v>
      </c>
      <c r="N263" s="8">
        <f>M263-I263</f>
        <v>42543.020000000019</v>
      </c>
      <c r="O263" s="9">
        <f>N263/I263</f>
        <v>5.5076040644164791E-2</v>
      </c>
      <c r="P263" s="2"/>
      <c r="Q263" s="2"/>
      <c r="R263" s="2"/>
    </row>
    <row r="264" spans="1:19" ht="13.5" thickTop="1" x14ac:dyDescent="0.2">
      <c r="A264" s="43">
        <f t="shared" si="179"/>
        <v>204</v>
      </c>
      <c r="G264" s="118"/>
      <c r="I264" s="15"/>
      <c r="M264" s="15"/>
      <c r="N264" s="15"/>
      <c r="O264" s="4"/>
    </row>
    <row r="265" spans="1:19" x14ac:dyDescent="0.2">
      <c r="A265" s="43">
        <f t="shared" si="179"/>
        <v>205</v>
      </c>
      <c r="B265" s="28"/>
      <c r="C265" s="29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</row>
    <row r="266" spans="1:19" x14ac:dyDescent="0.2">
      <c r="A266" s="43">
        <f t="shared" si="179"/>
        <v>206</v>
      </c>
    </row>
    <row r="267" spans="1:19" s="6" customFormat="1" ht="19.899999999999999" customHeight="1" x14ac:dyDescent="0.25">
      <c r="A267" s="43">
        <f t="shared" si="179"/>
        <v>207</v>
      </c>
      <c r="B267" s="6" t="s">
        <v>28</v>
      </c>
      <c r="C267" s="21"/>
      <c r="D267" s="23" t="s">
        <v>6</v>
      </c>
      <c r="E267" s="111"/>
      <c r="F267" s="111"/>
      <c r="G267" s="125">
        <f>G10+G22+G35+G48+G61+G74+G87+G99+G111+G125+G137+G149+G161+G174+G188+G202+G215+G229+G241+G257</f>
        <v>31955178.726659995</v>
      </c>
      <c r="H267" s="151"/>
      <c r="I267" s="151">
        <f>I10+I22+I35+I48+I61+I74+I87+I99+I111+I125+I137+I149+I161+I174+I188+I202+I215+I229+I241+I257</f>
        <v>35550025.342099994</v>
      </c>
      <c r="J267" s="23"/>
      <c r="K267" s="23"/>
      <c r="L267" s="23"/>
      <c r="M267" s="151">
        <f>M10+M22+M35+M48+M61+M74+M87+M99+M111+M125+M137+M149+M161+M174+M188+M202+M215+M229+M241+M257</f>
        <v>37376434.950998753</v>
      </c>
      <c r="N267" s="151">
        <f>N10+N22+N35+N48+N61+N74+N87+N99+N111+N125+N137+N149+N161+N174+N188+N202+N215+N229+N241+N257</f>
        <v>1826409.6088987587</v>
      </c>
      <c r="O267" s="25">
        <f>N267/I267</f>
        <v>5.1375761095051584E-2</v>
      </c>
    </row>
    <row r="268" spans="1:19" x14ac:dyDescent="0.2">
      <c r="A268" s="43">
        <f t="shared" si="179"/>
        <v>208</v>
      </c>
      <c r="D268" s="2" t="s">
        <v>26</v>
      </c>
      <c r="G268" s="112">
        <f t="shared" ref="G268:I273" si="291">G11+G23+G36+G49+G62+G75+G88+G100+G112+G126+G138+G150+G162+G175+G189+G203+G216+G230+G242+G258</f>
        <v>3185351.0199999996</v>
      </c>
      <c r="H268" s="14"/>
      <c r="I268" s="14">
        <f t="shared" si="291"/>
        <v>-362813.35544000001</v>
      </c>
      <c r="M268" s="14">
        <f t="shared" ref="M268:N268" si="292">M11+M23+M36+M49+M62+M75+M88+M100+M112+M126+M138+M150+M162+M175+M189+M203+M216+M230+M242+M258</f>
        <v>-362813.35544000001</v>
      </c>
      <c r="N268" s="14">
        <f t="shared" si="292"/>
        <v>0</v>
      </c>
    </row>
    <row r="269" spans="1:19" x14ac:dyDescent="0.2">
      <c r="A269" s="43">
        <f t="shared" si="179"/>
        <v>209</v>
      </c>
      <c r="D269" s="2" t="s">
        <v>27</v>
      </c>
      <c r="G269" s="112">
        <f t="shared" si="291"/>
        <v>3382506.8299999991</v>
      </c>
      <c r="H269" s="14"/>
      <c r="I269" s="14">
        <f t="shared" si="291"/>
        <v>3382506.8299999991</v>
      </c>
      <c r="M269" s="14">
        <f t="shared" ref="M269:N269" si="293">M12+M24+M37+M50+M63+M76+M89+M101+M113+M127+M139+M151+M163+M176+M190+M204+M217+M231+M243+M259</f>
        <v>3382506.8299999991</v>
      </c>
      <c r="N269" s="14">
        <f t="shared" si="293"/>
        <v>0</v>
      </c>
    </row>
    <row r="270" spans="1:19" x14ac:dyDescent="0.2">
      <c r="A270" s="43">
        <f t="shared" si="179"/>
        <v>210</v>
      </c>
      <c r="D270" s="2" t="s">
        <v>29</v>
      </c>
      <c r="G270" s="112">
        <f t="shared" si="291"/>
        <v>137110.90999999997</v>
      </c>
      <c r="H270" s="14"/>
      <c r="I270" s="14">
        <f t="shared" si="291"/>
        <v>140210</v>
      </c>
      <c r="M270" s="14">
        <f t="shared" ref="M270:N270" si="294">M13+M25+M38+M51+M64+M77+M90+M102+M114+M128+M140+M152+M164+M177+M191+M205+M218+M232+M244+M260</f>
        <v>140210</v>
      </c>
      <c r="N270" s="14">
        <f t="shared" si="294"/>
        <v>0</v>
      </c>
    </row>
    <row r="271" spans="1:19" x14ac:dyDescent="0.2">
      <c r="A271" s="43">
        <f t="shared" si="179"/>
        <v>211</v>
      </c>
      <c r="D271" s="2" t="s">
        <v>76</v>
      </c>
      <c r="G271" s="112">
        <f t="shared" si="291"/>
        <v>1075</v>
      </c>
      <c r="I271" s="14">
        <f t="shared" si="291"/>
        <v>1075</v>
      </c>
      <c r="M271" s="14">
        <f t="shared" ref="M271:N271" si="295">M14+M26+M39+M52+M65+M78+M91+M103+M115+M129+M141+M153+M165+M178+M192+M206+M219+M233+M245+M261</f>
        <v>1075</v>
      </c>
      <c r="N271" s="14">
        <f t="shared" si="295"/>
        <v>0</v>
      </c>
      <c r="O271" s="17"/>
    </row>
    <row r="272" spans="1:19" x14ac:dyDescent="0.2">
      <c r="A272" s="43">
        <f t="shared" si="179"/>
        <v>212</v>
      </c>
      <c r="D272" s="18" t="s">
        <v>8</v>
      </c>
      <c r="E272" s="114"/>
      <c r="F272" s="114"/>
      <c r="G272" s="126">
        <f t="shared" si="291"/>
        <v>6706043.7599999998</v>
      </c>
      <c r="H272" s="152"/>
      <c r="I272" s="152">
        <f t="shared" si="291"/>
        <v>3160978.47456</v>
      </c>
      <c r="J272" s="18"/>
      <c r="K272" s="18"/>
      <c r="L272" s="18"/>
      <c r="M272" s="152">
        <f t="shared" ref="M272:N272" si="296">M15+M27+M40+M53+M66+M79+M92+M104+M116+M130+M142+M154+M166+M179+M193+M207+M220+M234+M246+M262</f>
        <v>3160978.47456</v>
      </c>
      <c r="N272" s="152">
        <f t="shared" si="296"/>
        <v>0</v>
      </c>
      <c r="O272" s="18"/>
    </row>
    <row r="273" spans="1:20" s="6" customFormat="1" ht="21" customHeight="1" thickBot="1" x14ac:dyDescent="0.3">
      <c r="A273" s="43">
        <f t="shared" si="179"/>
        <v>213</v>
      </c>
      <c r="C273" s="21"/>
      <c r="D273" s="7" t="s">
        <v>19</v>
      </c>
      <c r="E273" s="116"/>
      <c r="F273" s="116"/>
      <c r="G273" s="117">
        <f t="shared" si="291"/>
        <v>38661222.486659989</v>
      </c>
      <c r="H273" s="153"/>
      <c r="I273" s="153">
        <f t="shared" si="291"/>
        <v>38711003.816659987</v>
      </c>
      <c r="J273" s="7"/>
      <c r="K273" s="7"/>
      <c r="L273" s="7"/>
      <c r="M273" s="153">
        <f t="shared" ref="M273:N273" si="297">M16+M28+M41+M54+M67+M80+M93+M105+M117+M131+M143+M155+M167+M180+M194+M208+M221+M235+M247+M263</f>
        <v>40537413.425558753</v>
      </c>
      <c r="N273" s="153">
        <f t="shared" si="297"/>
        <v>1826409.6088987575</v>
      </c>
      <c r="O273" s="9">
        <f>N273/I273</f>
        <v>4.7180631573101414E-2</v>
      </c>
    </row>
    <row r="274" spans="1:20" ht="13.5" thickTop="1" x14ac:dyDescent="0.2">
      <c r="A274" s="43">
        <f t="shared" si="179"/>
        <v>214</v>
      </c>
    </row>
    <row r="275" spans="1:20" x14ac:dyDescent="0.2">
      <c r="A275" s="43">
        <f t="shared" si="179"/>
        <v>215</v>
      </c>
      <c r="D275" s="2" t="s">
        <v>36</v>
      </c>
      <c r="N275" s="14">
        <f>N273-Summary!L2</f>
        <v>1786.1758438632824</v>
      </c>
    </row>
    <row r="276" spans="1:20" x14ac:dyDescent="0.2">
      <c r="A276" s="43">
        <f t="shared" si="179"/>
        <v>216</v>
      </c>
      <c r="N276" s="14"/>
    </row>
    <row r="277" spans="1:20" x14ac:dyDescent="0.2">
      <c r="A277" s="43">
        <f t="shared" si="179"/>
        <v>217</v>
      </c>
      <c r="B277" s="1" t="s">
        <v>58</v>
      </c>
      <c r="E277" s="28"/>
      <c r="F277" s="28"/>
      <c r="G277" s="28"/>
      <c r="H277" s="28"/>
      <c r="I277" s="28"/>
      <c r="J277" s="28"/>
      <c r="K277" s="28"/>
      <c r="L277" s="28"/>
      <c r="M277" s="28"/>
      <c r="N277" s="94"/>
      <c r="O277" s="28"/>
      <c r="P277" s="28"/>
      <c r="Q277" s="28"/>
      <c r="R277" s="28"/>
    </row>
    <row r="278" spans="1:20" ht="13.5" thickBot="1" x14ac:dyDescent="0.25">
      <c r="A278" s="43">
        <f t="shared" si="179"/>
        <v>218</v>
      </c>
      <c r="D278" s="20"/>
      <c r="E278" s="86"/>
      <c r="F278" s="86"/>
      <c r="G278" s="86"/>
    </row>
    <row r="279" spans="1:20" x14ac:dyDescent="0.2">
      <c r="A279" s="43">
        <f t="shared" si="179"/>
        <v>219</v>
      </c>
      <c r="B279" s="166" t="s">
        <v>78</v>
      </c>
      <c r="C279" s="34">
        <v>15</v>
      </c>
      <c r="D279" s="33"/>
      <c r="E279" s="119"/>
      <c r="F279" s="119"/>
      <c r="G279" s="119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</row>
    <row r="280" spans="1:20" ht="12.6" customHeight="1" x14ac:dyDescent="0.2">
      <c r="A280" s="43">
        <f t="shared" si="179"/>
        <v>220</v>
      </c>
      <c r="B280" s="167"/>
      <c r="D280" s="2" t="s">
        <v>79</v>
      </c>
      <c r="E280" s="121"/>
      <c r="F280" s="109"/>
      <c r="G280" s="98"/>
      <c r="H280" s="147">
        <v>20.55</v>
      </c>
      <c r="I280" s="156"/>
      <c r="J280" s="39"/>
      <c r="K280" s="39"/>
      <c r="L280" s="147">
        <f>H280*S280</f>
        <v>21.605771890503313</v>
      </c>
      <c r="M280" s="5"/>
      <c r="N280" s="5"/>
      <c r="O280" s="4"/>
      <c r="P280" s="4"/>
      <c r="Q280" s="16"/>
      <c r="R280" s="16"/>
      <c r="S280" s="95">
        <f>1+$O$267</f>
        <v>1.0513757610950516</v>
      </c>
      <c r="T280" s="4">
        <f t="shared" ref="T280:T282" si="298">L280/H280-1</f>
        <v>5.1375761095051597E-2</v>
      </c>
    </row>
    <row r="281" spans="1:20" x14ac:dyDescent="0.2">
      <c r="A281" s="43">
        <f t="shared" si="179"/>
        <v>221</v>
      </c>
      <c r="D281" s="2" t="s">
        <v>47</v>
      </c>
      <c r="E281" s="121"/>
      <c r="F281" s="127"/>
      <c r="G281" s="98"/>
      <c r="H281" s="154">
        <v>7.7380000000000004E-2</v>
      </c>
      <c r="I281" s="156"/>
      <c r="J281" s="39"/>
      <c r="K281" s="39"/>
      <c r="L281" s="154">
        <f>H281*S281</f>
        <v>8.13554563935351E-2</v>
      </c>
      <c r="M281" s="5"/>
      <c r="N281" s="5"/>
      <c r="O281" s="4"/>
      <c r="P281" s="4"/>
      <c r="Q281" s="16"/>
      <c r="R281" s="16"/>
      <c r="S281" s="95">
        <f t="shared" ref="S281:S282" si="299">1+$O$267</f>
        <v>1.0513757610950516</v>
      </c>
      <c r="T281" s="4">
        <f t="shared" si="298"/>
        <v>5.1375761095051597E-2</v>
      </c>
    </row>
    <row r="282" spans="1:20" ht="13.5" thickBot="1" x14ac:dyDescent="0.25">
      <c r="A282" s="43">
        <f t="shared" ref="A282:A316" si="300">A281+1</f>
        <v>222</v>
      </c>
      <c r="D282" s="2" t="s">
        <v>48</v>
      </c>
      <c r="E282" s="121"/>
      <c r="F282" s="127"/>
      <c r="G282" s="98"/>
      <c r="H282" s="155">
        <v>4.74</v>
      </c>
      <c r="I282" s="156"/>
      <c r="J282" s="39"/>
      <c r="K282" s="39"/>
      <c r="L282" s="161">
        <f>H282*S282</f>
        <v>4.983521107590545</v>
      </c>
      <c r="M282" s="5"/>
      <c r="N282" s="5"/>
      <c r="O282" s="4"/>
      <c r="P282" s="4"/>
      <c r="Q282" s="16"/>
      <c r="R282" s="16"/>
      <c r="S282" s="95">
        <f t="shared" si="299"/>
        <v>1.0513757610950516</v>
      </c>
      <c r="T282" s="4">
        <f t="shared" si="298"/>
        <v>5.1375761095051597E-2</v>
      </c>
    </row>
    <row r="283" spans="1:20" x14ac:dyDescent="0.2">
      <c r="A283" s="43">
        <f t="shared" si="300"/>
        <v>223</v>
      </c>
      <c r="B283" s="33" t="s">
        <v>113</v>
      </c>
      <c r="C283" s="34" t="s">
        <v>80</v>
      </c>
      <c r="D283" s="33"/>
      <c r="E283" s="119"/>
      <c r="F283" s="119"/>
      <c r="G283" s="119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</row>
    <row r="284" spans="1:20" ht="12.6" customHeight="1" x14ac:dyDescent="0.2">
      <c r="A284" s="43">
        <f t="shared" si="300"/>
        <v>224</v>
      </c>
      <c r="D284" s="2" t="s">
        <v>79</v>
      </c>
      <c r="E284" s="121"/>
      <c r="F284" s="109"/>
      <c r="G284" s="98"/>
      <c r="H284" s="147">
        <v>581.73</v>
      </c>
      <c r="I284" s="156"/>
      <c r="J284" s="39"/>
      <c r="K284" s="39"/>
      <c r="L284" s="147">
        <f>H284*S284</f>
        <v>633.23747157409491</v>
      </c>
      <c r="M284" s="5"/>
      <c r="N284" s="5"/>
      <c r="O284" s="4"/>
      <c r="P284" s="4"/>
      <c r="Q284" s="16"/>
      <c r="R284" s="16"/>
      <c r="S284" s="95">
        <f>1+O188</f>
        <v>1.0885418863976328</v>
      </c>
      <c r="T284" s="4">
        <f t="shared" ref="T284:T286" si="301">L284/H284-1</f>
        <v>8.854188639763283E-2</v>
      </c>
    </row>
    <row r="285" spans="1:20" x14ac:dyDescent="0.2">
      <c r="A285" s="43">
        <f t="shared" si="300"/>
        <v>225</v>
      </c>
      <c r="D285" s="2" t="s">
        <v>48</v>
      </c>
      <c r="E285" s="121"/>
      <c r="F285" s="127"/>
      <c r="G285" s="98"/>
      <c r="H285" s="147">
        <v>10.79</v>
      </c>
      <c r="I285" s="156"/>
      <c r="J285" s="39"/>
      <c r="K285" s="39"/>
      <c r="L285" s="147">
        <f>H285*S285</f>
        <v>11.745366954230457</v>
      </c>
      <c r="M285" s="5"/>
      <c r="N285" s="5"/>
      <c r="O285" s="4"/>
      <c r="P285" s="4"/>
      <c r="Q285" s="16"/>
      <c r="R285" s="16"/>
      <c r="S285" s="95">
        <f>S284</f>
        <v>1.0885418863976328</v>
      </c>
      <c r="T285" s="4">
        <f t="shared" si="301"/>
        <v>8.854188639763283E-2</v>
      </c>
    </row>
    <row r="286" spans="1:20" ht="13.5" thickBot="1" x14ac:dyDescent="0.25">
      <c r="A286" s="43">
        <f t="shared" si="300"/>
        <v>226</v>
      </c>
      <c r="D286" s="2" t="s">
        <v>47</v>
      </c>
      <c r="E286" s="121"/>
      <c r="F286" s="127"/>
      <c r="G286" s="98"/>
      <c r="H286" s="154">
        <v>5.7880000000000001E-2</v>
      </c>
      <c r="I286" s="156"/>
      <c r="J286" s="39"/>
      <c r="K286" s="39"/>
      <c r="L286" s="154">
        <f>H286*S286</f>
        <v>6.3004804384694996E-2</v>
      </c>
      <c r="M286" s="5"/>
      <c r="N286" s="5"/>
      <c r="O286" s="4"/>
      <c r="P286" s="4"/>
      <c r="Q286" s="16"/>
      <c r="R286" s="16"/>
      <c r="S286" s="95">
        <f>S285</f>
        <v>1.0885418863976328</v>
      </c>
      <c r="T286" s="4">
        <f t="shared" si="301"/>
        <v>8.8541886397633052E-2</v>
      </c>
    </row>
    <row r="287" spans="1:20" x14ac:dyDescent="0.2">
      <c r="A287" s="43">
        <f t="shared" si="300"/>
        <v>227</v>
      </c>
      <c r="B287" s="33" t="s">
        <v>114</v>
      </c>
      <c r="C287" s="34" t="s">
        <v>81</v>
      </c>
      <c r="D287" s="33"/>
      <c r="E287" s="119"/>
      <c r="F287" s="119"/>
      <c r="G287" s="119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</row>
    <row r="288" spans="1:20" ht="12.6" customHeight="1" x14ac:dyDescent="0.2">
      <c r="A288" s="43">
        <f t="shared" si="300"/>
        <v>228</v>
      </c>
      <c r="D288" s="2" t="s">
        <v>79</v>
      </c>
      <c r="E288" s="121"/>
      <c r="F288" s="109"/>
      <c r="G288" s="98"/>
      <c r="H288" s="147">
        <v>1162.4000000000001</v>
      </c>
      <c r="I288" s="156"/>
      <c r="J288" s="39"/>
      <c r="K288" s="39"/>
      <c r="L288" s="147">
        <f>H288*S288</f>
        <v>1265.3210887486084</v>
      </c>
      <c r="M288" s="5"/>
      <c r="N288" s="5"/>
      <c r="O288" s="4"/>
      <c r="P288" s="4"/>
      <c r="Q288" s="16"/>
      <c r="R288" s="16"/>
      <c r="S288" s="95">
        <f>S284</f>
        <v>1.0885418863976328</v>
      </c>
      <c r="T288" s="4">
        <f t="shared" ref="T288:T290" si="302">L288/H288-1</f>
        <v>8.854188639763283E-2</v>
      </c>
    </row>
    <row r="289" spans="1:20" x14ac:dyDescent="0.2">
      <c r="A289" s="43">
        <f t="shared" si="300"/>
        <v>229</v>
      </c>
      <c r="D289" s="2" t="s">
        <v>48</v>
      </c>
      <c r="E289" s="121"/>
      <c r="F289" s="127"/>
      <c r="G289" s="98"/>
      <c r="H289" s="147">
        <v>10.79</v>
      </c>
      <c r="I289" s="156"/>
      <c r="J289" s="39"/>
      <c r="K289" s="39"/>
      <c r="L289" s="147">
        <f>H289*S289</f>
        <v>11.745366954230457</v>
      </c>
      <c r="M289" s="5"/>
      <c r="N289" s="5"/>
      <c r="O289" s="4"/>
      <c r="P289" s="4"/>
      <c r="Q289" s="16"/>
      <c r="R289" s="16"/>
      <c r="S289" s="95">
        <f>S285</f>
        <v>1.0885418863976328</v>
      </c>
      <c r="T289" s="4">
        <f t="shared" si="302"/>
        <v>8.854188639763283E-2</v>
      </c>
    </row>
    <row r="290" spans="1:20" ht="13.5" thickBot="1" x14ac:dyDescent="0.25">
      <c r="A290" s="43">
        <f t="shared" si="300"/>
        <v>230</v>
      </c>
      <c r="D290" s="2" t="s">
        <v>47</v>
      </c>
      <c r="E290" s="121"/>
      <c r="F290" s="127"/>
      <c r="G290" s="98"/>
      <c r="H290" s="154">
        <v>5.5449999999999999E-2</v>
      </c>
      <c r="I290" s="156"/>
      <c r="J290" s="39"/>
      <c r="K290" s="39"/>
      <c r="L290" s="154">
        <f>H290*S290</f>
        <v>6.0359647600748738E-2</v>
      </c>
      <c r="M290" s="5"/>
      <c r="N290" s="5"/>
      <c r="O290" s="4"/>
      <c r="P290" s="4"/>
      <c r="Q290" s="16"/>
      <c r="R290" s="16"/>
      <c r="S290" s="95">
        <f>S286</f>
        <v>1.0885418863976328</v>
      </c>
      <c r="T290" s="4">
        <f t="shared" si="302"/>
        <v>8.854188639763283E-2</v>
      </c>
    </row>
    <row r="291" spans="1:20" x14ac:dyDescent="0.2">
      <c r="A291" s="43">
        <f t="shared" si="300"/>
        <v>231</v>
      </c>
      <c r="B291" s="33" t="s">
        <v>112</v>
      </c>
      <c r="C291" s="34" t="s">
        <v>82</v>
      </c>
      <c r="D291" s="33"/>
      <c r="E291" s="119"/>
      <c r="F291" s="119"/>
      <c r="G291" s="119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</row>
    <row r="292" spans="1:20" ht="12.6" customHeight="1" x14ac:dyDescent="0.2">
      <c r="A292" s="43">
        <f t="shared" si="300"/>
        <v>232</v>
      </c>
      <c r="B292" s="2" t="s">
        <v>75</v>
      </c>
      <c r="D292" s="2" t="s">
        <v>79</v>
      </c>
      <c r="E292" s="121"/>
      <c r="F292" s="109"/>
      <c r="G292" s="98"/>
      <c r="H292" s="147">
        <v>1162.4000000000001</v>
      </c>
      <c r="I292" s="156"/>
      <c r="J292" s="39"/>
      <c r="K292" s="39"/>
      <c r="L292" s="147">
        <f>H292*S292</f>
        <v>1265.3210887486084</v>
      </c>
      <c r="M292" s="5"/>
      <c r="N292" s="5"/>
      <c r="O292" s="4"/>
      <c r="P292" s="4"/>
      <c r="Q292" s="16"/>
      <c r="R292" s="16"/>
      <c r="S292" s="95">
        <f>S288</f>
        <v>1.0885418863976328</v>
      </c>
      <c r="T292" s="4">
        <f t="shared" ref="T292:T294" si="303">L292/H292-1</f>
        <v>8.854188639763283E-2</v>
      </c>
    </row>
    <row r="293" spans="1:20" x14ac:dyDescent="0.2">
      <c r="A293" s="43">
        <f t="shared" si="300"/>
        <v>233</v>
      </c>
      <c r="D293" s="2" t="s">
        <v>48</v>
      </c>
      <c r="E293" s="121"/>
      <c r="F293" s="127"/>
      <c r="G293" s="98"/>
      <c r="H293" s="147">
        <v>10.79</v>
      </c>
      <c r="I293" s="156"/>
      <c r="J293" s="39"/>
      <c r="K293" s="39"/>
      <c r="L293" s="147">
        <f>H293*S293</f>
        <v>11.745366954230457</v>
      </c>
      <c r="M293" s="5"/>
      <c r="N293" s="5"/>
      <c r="O293" s="4"/>
      <c r="P293" s="4"/>
      <c r="Q293" s="16"/>
      <c r="R293" s="16"/>
      <c r="S293" s="95">
        <f>S289</f>
        <v>1.0885418863976328</v>
      </c>
      <c r="T293" s="4">
        <f t="shared" si="303"/>
        <v>8.854188639763283E-2</v>
      </c>
    </row>
    <row r="294" spans="1:20" ht="13.5" thickBot="1" x14ac:dyDescent="0.25">
      <c r="A294" s="43">
        <f t="shared" si="300"/>
        <v>234</v>
      </c>
      <c r="D294" s="2" t="s">
        <v>47</v>
      </c>
      <c r="E294" s="121"/>
      <c r="F294" s="127"/>
      <c r="G294" s="98"/>
      <c r="H294" s="154">
        <v>5.4440000000000002E-2</v>
      </c>
      <c r="I294" s="156"/>
      <c r="J294" s="39"/>
      <c r="K294" s="39"/>
      <c r="L294" s="154">
        <f>H294*S294</f>
        <v>5.9260220295487137E-2</v>
      </c>
      <c r="M294" s="5"/>
      <c r="N294" s="5"/>
      <c r="O294" s="4"/>
      <c r="P294" s="4"/>
      <c r="Q294" s="16"/>
      <c r="R294" s="16"/>
      <c r="S294" s="95">
        <f>S290</f>
        <v>1.0885418863976328</v>
      </c>
      <c r="T294" s="4">
        <f t="shared" si="303"/>
        <v>8.854188639763283E-2</v>
      </c>
    </row>
    <row r="295" spans="1:20" x14ac:dyDescent="0.2">
      <c r="A295" s="43">
        <f t="shared" si="300"/>
        <v>235</v>
      </c>
      <c r="B295" s="33" t="s">
        <v>115</v>
      </c>
      <c r="C295" s="34" t="s">
        <v>83</v>
      </c>
      <c r="D295" s="33"/>
      <c r="E295" s="119"/>
      <c r="F295" s="119"/>
      <c r="G295" s="119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</row>
    <row r="296" spans="1:20" ht="12.6" customHeight="1" x14ac:dyDescent="0.2">
      <c r="A296" s="43">
        <f t="shared" si="300"/>
        <v>236</v>
      </c>
      <c r="D296" s="2" t="s">
        <v>79</v>
      </c>
      <c r="E296" s="121"/>
      <c r="F296" s="109"/>
      <c r="G296" s="98"/>
      <c r="H296" s="147">
        <v>581.73</v>
      </c>
      <c r="I296" s="156"/>
      <c r="J296" s="39"/>
      <c r="K296" s="39"/>
      <c r="L296" s="147">
        <f>H296*S296</f>
        <v>633.23747157409491</v>
      </c>
      <c r="M296" s="5"/>
      <c r="N296" s="5"/>
      <c r="O296" s="4"/>
      <c r="P296" s="4"/>
      <c r="Q296" s="16"/>
      <c r="R296" s="16"/>
      <c r="S296" s="95">
        <f>S292</f>
        <v>1.0885418863976328</v>
      </c>
      <c r="T296" s="4">
        <f t="shared" ref="T296:T298" si="304">L296/H296-1</f>
        <v>8.854188639763283E-2</v>
      </c>
    </row>
    <row r="297" spans="1:20" x14ac:dyDescent="0.2">
      <c r="A297" s="43">
        <f t="shared" si="300"/>
        <v>237</v>
      </c>
      <c r="D297" s="2" t="s">
        <v>48</v>
      </c>
      <c r="E297" s="121"/>
      <c r="F297" s="127"/>
      <c r="G297" s="98"/>
      <c r="H297" s="147">
        <v>7.43</v>
      </c>
      <c r="I297" s="156"/>
      <c r="J297" s="39"/>
      <c r="K297" s="39"/>
      <c r="L297" s="147">
        <f>H297*S297</f>
        <v>8.0878662159344117</v>
      </c>
      <c r="M297" s="5"/>
      <c r="N297" s="5"/>
      <c r="O297" s="4"/>
      <c r="P297" s="4"/>
      <c r="Q297" s="16"/>
      <c r="R297" s="16"/>
      <c r="S297" s="95">
        <f>S293</f>
        <v>1.0885418863976328</v>
      </c>
      <c r="T297" s="4">
        <f t="shared" si="304"/>
        <v>8.854188639763283E-2</v>
      </c>
    </row>
    <row r="298" spans="1:20" ht="13.5" thickBot="1" x14ac:dyDescent="0.25">
      <c r="A298" s="43">
        <f t="shared" si="300"/>
        <v>238</v>
      </c>
      <c r="D298" s="2" t="s">
        <v>47</v>
      </c>
      <c r="E298" s="121"/>
      <c r="F298" s="127"/>
      <c r="G298" s="98"/>
      <c r="H298" s="154">
        <v>5.7880000000000001E-2</v>
      </c>
      <c r="I298" s="156"/>
      <c r="J298" s="39"/>
      <c r="K298" s="39"/>
      <c r="L298" s="154">
        <f>H298*S298</f>
        <v>6.3004804384694996E-2</v>
      </c>
      <c r="M298" s="5"/>
      <c r="N298" s="5"/>
      <c r="O298" s="4"/>
      <c r="P298" s="4"/>
      <c r="Q298" s="16"/>
      <c r="R298" s="16"/>
      <c r="S298" s="95">
        <f>S294</f>
        <v>1.0885418863976328</v>
      </c>
      <c r="T298" s="4">
        <f t="shared" si="304"/>
        <v>8.8541886397633052E-2</v>
      </c>
    </row>
    <row r="299" spans="1:20" x14ac:dyDescent="0.2">
      <c r="A299" s="43">
        <f t="shared" si="300"/>
        <v>239</v>
      </c>
      <c r="B299" s="33" t="s">
        <v>116</v>
      </c>
      <c r="C299" s="34" t="s">
        <v>84</v>
      </c>
      <c r="D299" s="33"/>
      <c r="E299" s="119"/>
      <c r="F299" s="119"/>
      <c r="G299" s="119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</row>
    <row r="300" spans="1:20" ht="12.6" customHeight="1" x14ac:dyDescent="0.2">
      <c r="A300" s="43">
        <f t="shared" si="300"/>
        <v>240</v>
      </c>
      <c r="D300" s="2" t="s">
        <v>79</v>
      </c>
      <c r="E300" s="121"/>
      <c r="F300" s="109"/>
      <c r="G300" s="98"/>
      <c r="H300" s="147">
        <v>1162.4000000000001</v>
      </c>
      <c r="I300" s="156"/>
      <c r="J300" s="39"/>
      <c r="K300" s="39"/>
      <c r="L300" s="147">
        <f>H300*S300</f>
        <v>1265.3210887486084</v>
      </c>
      <c r="M300" s="5"/>
      <c r="N300" s="5"/>
      <c r="O300" s="4"/>
      <c r="P300" s="4"/>
      <c r="Q300" s="16"/>
      <c r="R300" s="16"/>
      <c r="S300" s="95">
        <f>S296</f>
        <v>1.0885418863976328</v>
      </c>
      <c r="T300" s="4">
        <f t="shared" ref="T300:T302" si="305">L300/H300-1</f>
        <v>8.854188639763283E-2</v>
      </c>
    </row>
    <row r="301" spans="1:20" x14ac:dyDescent="0.2">
      <c r="A301" s="43">
        <f t="shared" si="300"/>
        <v>241</v>
      </c>
      <c r="D301" s="2" t="s">
        <v>48</v>
      </c>
      <c r="E301" s="121"/>
      <c r="F301" s="127"/>
      <c r="G301" s="98"/>
      <c r="H301" s="147">
        <v>10.79</v>
      </c>
      <c r="I301" s="156"/>
      <c r="J301" s="39"/>
      <c r="K301" s="39"/>
      <c r="L301" s="147">
        <f>H301*S301</f>
        <v>11.745366954230457</v>
      </c>
      <c r="M301" s="5"/>
      <c r="N301" s="5"/>
      <c r="O301" s="4"/>
      <c r="P301" s="4"/>
      <c r="Q301" s="16"/>
      <c r="R301" s="16"/>
      <c r="S301" s="95">
        <f>S297</f>
        <v>1.0885418863976328</v>
      </c>
      <c r="T301" s="4">
        <f t="shared" si="305"/>
        <v>8.854188639763283E-2</v>
      </c>
    </row>
    <row r="302" spans="1:20" ht="13.5" thickBot="1" x14ac:dyDescent="0.25">
      <c r="A302" s="43">
        <f t="shared" si="300"/>
        <v>242</v>
      </c>
      <c r="D302" s="2" t="s">
        <v>47</v>
      </c>
      <c r="E302" s="121"/>
      <c r="F302" s="127"/>
      <c r="G302" s="98"/>
      <c r="H302" s="154">
        <v>5.5449999999999999E-2</v>
      </c>
      <c r="I302" s="156"/>
      <c r="J302" s="39"/>
      <c r="K302" s="39"/>
      <c r="L302" s="154">
        <f>H302*S302</f>
        <v>6.0359647600748738E-2</v>
      </c>
      <c r="M302" s="5"/>
      <c r="N302" s="5"/>
      <c r="O302" s="4"/>
      <c r="P302" s="4"/>
      <c r="Q302" s="16"/>
      <c r="R302" s="16"/>
      <c r="S302" s="95">
        <f>S298</f>
        <v>1.0885418863976328</v>
      </c>
      <c r="T302" s="4">
        <f t="shared" si="305"/>
        <v>8.854188639763283E-2</v>
      </c>
    </row>
    <row r="303" spans="1:20" x14ac:dyDescent="0.2">
      <c r="A303" s="43">
        <f t="shared" si="300"/>
        <v>243</v>
      </c>
      <c r="B303" s="33" t="s">
        <v>117</v>
      </c>
      <c r="C303" s="34" t="s">
        <v>86</v>
      </c>
      <c r="D303" s="33"/>
      <c r="E303" s="119"/>
      <c r="F303" s="119"/>
      <c r="G303" s="119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</row>
    <row r="304" spans="1:20" ht="12.6" customHeight="1" x14ac:dyDescent="0.2">
      <c r="A304" s="43">
        <f t="shared" si="300"/>
        <v>244</v>
      </c>
      <c r="D304" s="2" t="s">
        <v>79</v>
      </c>
      <c r="E304" s="121"/>
      <c r="F304" s="109"/>
      <c r="G304" s="98"/>
      <c r="H304" s="147">
        <v>1162.4000000000001</v>
      </c>
      <c r="I304" s="156"/>
      <c r="J304" s="39"/>
      <c r="K304" s="39"/>
      <c r="L304" s="147">
        <f>H304*S304</f>
        <v>1265.3210887486084</v>
      </c>
      <c r="M304" s="5"/>
      <c r="N304" s="5"/>
      <c r="O304" s="4"/>
      <c r="P304" s="4"/>
      <c r="Q304" s="16"/>
      <c r="R304" s="16"/>
      <c r="S304" s="95">
        <f>S300</f>
        <v>1.0885418863976328</v>
      </c>
      <c r="T304" s="4">
        <f t="shared" ref="T304:T306" si="306">L304/H304-1</f>
        <v>8.854188639763283E-2</v>
      </c>
    </row>
    <row r="305" spans="1:20" x14ac:dyDescent="0.2">
      <c r="A305" s="43">
        <f t="shared" si="300"/>
        <v>245</v>
      </c>
      <c r="D305" s="2" t="s">
        <v>48</v>
      </c>
      <c r="E305" s="121"/>
      <c r="F305" s="127"/>
      <c r="G305" s="98"/>
      <c r="H305" s="147">
        <v>10.79</v>
      </c>
      <c r="I305" s="156"/>
      <c r="J305" s="39"/>
      <c r="K305" s="39"/>
      <c r="L305" s="147">
        <f>H305*S305</f>
        <v>11.745366954230457</v>
      </c>
      <c r="M305" s="5"/>
      <c r="N305" s="5"/>
      <c r="O305" s="4"/>
      <c r="P305" s="4"/>
      <c r="Q305" s="16"/>
      <c r="R305" s="16"/>
      <c r="S305" s="95">
        <f>S301</f>
        <v>1.0885418863976328</v>
      </c>
      <c r="T305" s="4">
        <f t="shared" si="306"/>
        <v>8.854188639763283E-2</v>
      </c>
    </row>
    <row r="306" spans="1:20" ht="13.5" thickBot="1" x14ac:dyDescent="0.25">
      <c r="A306" s="43">
        <f t="shared" si="300"/>
        <v>246</v>
      </c>
      <c r="D306" s="2" t="s">
        <v>47</v>
      </c>
      <c r="E306" s="121"/>
      <c r="F306" s="127"/>
      <c r="G306" s="98"/>
      <c r="H306" s="154">
        <v>5.4440000000000002E-2</v>
      </c>
      <c r="I306" s="156"/>
      <c r="J306" s="39"/>
      <c r="K306" s="39"/>
      <c r="L306" s="154">
        <f>H306*S306</f>
        <v>5.9260220295487137E-2</v>
      </c>
      <c r="M306" s="5"/>
      <c r="N306" s="5"/>
      <c r="O306" s="4"/>
      <c r="P306" s="4"/>
      <c r="Q306" s="16"/>
      <c r="R306" s="16"/>
      <c r="S306" s="95">
        <f>S302</f>
        <v>1.0885418863976328</v>
      </c>
      <c r="T306" s="4">
        <f t="shared" si="306"/>
        <v>8.854188639763283E-2</v>
      </c>
    </row>
    <row r="307" spans="1:20" x14ac:dyDescent="0.2">
      <c r="A307" s="43">
        <f t="shared" si="300"/>
        <v>247</v>
      </c>
      <c r="B307" s="33" t="s">
        <v>119</v>
      </c>
      <c r="C307" s="34" t="s">
        <v>85</v>
      </c>
      <c r="D307" s="33"/>
      <c r="E307" s="119"/>
      <c r="F307" s="119"/>
      <c r="G307" s="119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</row>
    <row r="308" spans="1:20" ht="12.6" customHeight="1" x14ac:dyDescent="0.2">
      <c r="A308" s="43">
        <f t="shared" si="300"/>
        <v>248</v>
      </c>
      <c r="D308" s="2" t="s">
        <v>79</v>
      </c>
      <c r="E308" s="121"/>
      <c r="F308" s="109"/>
      <c r="G308" s="98"/>
      <c r="H308" s="147">
        <v>1167.73</v>
      </c>
      <c r="I308" s="156"/>
      <c r="J308" s="39"/>
      <c r="K308" s="39"/>
      <c r="L308" s="147">
        <f>H308*S308</f>
        <v>1271.1230170031079</v>
      </c>
      <c r="M308" s="5"/>
      <c r="N308" s="5"/>
      <c r="O308" s="4"/>
      <c r="P308" s="4"/>
      <c r="Q308" s="16"/>
      <c r="R308" s="16"/>
      <c r="S308" s="95">
        <f>S304</f>
        <v>1.0885418863976328</v>
      </c>
      <c r="T308" s="4">
        <f t="shared" ref="T308:T311" si="307">L308/H308-1</f>
        <v>8.854188639763283E-2</v>
      </c>
    </row>
    <row r="309" spans="1:20" x14ac:dyDescent="0.2">
      <c r="A309" s="43">
        <f t="shared" si="300"/>
        <v>249</v>
      </c>
      <c r="D309" s="2" t="s">
        <v>67</v>
      </c>
      <c r="E309" s="121"/>
      <c r="F309" s="127"/>
      <c r="G309" s="98"/>
      <c r="H309" s="147">
        <v>7.43</v>
      </c>
      <c r="I309" s="156"/>
      <c r="J309" s="39"/>
      <c r="K309" s="39"/>
      <c r="L309" s="147">
        <f>H309*S309</f>
        <v>8.0878662159344117</v>
      </c>
      <c r="M309" s="5"/>
      <c r="N309" s="5"/>
      <c r="O309" s="4"/>
      <c r="P309" s="4"/>
      <c r="Q309" s="16"/>
      <c r="R309" s="16"/>
      <c r="S309" s="95">
        <f>S305</f>
        <v>1.0885418863976328</v>
      </c>
      <c r="T309" s="4">
        <f t="shared" ref="T309" si="308">L309/H309-1</f>
        <v>8.854188639763283E-2</v>
      </c>
    </row>
    <row r="310" spans="1:20" x14ac:dyDescent="0.2">
      <c r="A310" s="43">
        <f t="shared" si="300"/>
        <v>250</v>
      </c>
      <c r="D310" s="2" t="s">
        <v>88</v>
      </c>
      <c r="E310" s="121"/>
      <c r="F310" s="127"/>
      <c r="G310" s="98"/>
      <c r="H310" s="147">
        <v>10.79</v>
      </c>
      <c r="I310" s="156"/>
      <c r="J310" s="39"/>
      <c r="K310" s="39"/>
      <c r="L310" s="147">
        <f>H310*S310</f>
        <v>11.745366954230457</v>
      </c>
      <c r="M310" s="5"/>
      <c r="N310" s="5"/>
      <c r="O310" s="4"/>
      <c r="P310" s="4"/>
      <c r="Q310" s="16"/>
      <c r="R310" s="16"/>
      <c r="S310" s="95">
        <f>S306</f>
        <v>1.0885418863976328</v>
      </c>
      <c r="T310" s="4">
        <f t="shared" si="307"/>
        <v>8.854188639763283E-2</v>
      </c>
    </row>
    <row r="311" spans="1:20" ht="13.5" thickBot="1" x14ac:dyDescent="0.25">
      <c r="A311" s="43">
        <f t="shared" si="300"/>
        <v>251</v>
      </c>
      <c r="D311" s="2" t="s">
        <v>47</v>
      </c>
      <c r="E311" s="121"/>
      <c r="F311" s="127"/>
      <c r="G311" s="98"/>
      <c r="H311" s="154">
        <v>5.5449999999999999E-2</v>
      </c>
      <c r="I311" s="156"/>
      <c r="J311" s="39"/>
      <c r="K311" s="39"/>
      <c r="L311" s="154">
        <f>H311*S311</f>
        <v>6.0359647600748738E-2</v>
      </c>
      <c r="M311" s="5"/>
      <c r="N311" s="5"/>
      <c r="O311" s="4"/>
      <c r="P311" s="4"/>
      <c r="Q311" s="16"/>
      <c r="R311" s="16"/>
      <c r="S311" s="95">
        <f>S310</f>
        <v>1.0885418863976328</v>
      </c>
      <c r="T311" s="4">
        <f t="shared" si="307"/>
        <v>8.854188639763283E-2</v>
      </c>
    </row>
    <row r="312" spans="1:20" x14ac:dyDescent="0.2">
      <c r="A312" s="43">
        <f t="shared" si="300"/>
        <v>252</v>
      </c>
      <c r="B312" s="33" t="s">
        <v>118</v>
      </c>
      <c r="C312" s="34" t="s">
        <v>87</v>
      </c>
      <c r="D312" s="33"/>
      <c r="E312" s="119"/>
      <c r="F312" s="119"/>
      <c r="G312" s="119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</row>
    <row r="313" spans="1:20" ht="12.6" customHeight="1" x14ac:dyDescent="0.2">
      <c r="A313" s="43">
        <f t="shared" si="300"/>
        <v>253</v>
      </c>
      <c r="D313" s="2" t="s">
        <v>79</v>
      </c>
      <c r="E313" s="121"/>
      <c r="F313" s="109"/>
      <c r="G313" s="98"/>
      <c r="H313" s="147">
        <v>1167.73</v>
      </c>
      <c r="I313" s="156"/>
      <c r="J313" s="39"/>
      <c r="K313" s="39"/>
      <c r="L313" s="147">
        <f>H313*S313</f>
        <v>1271.1230170031079</v>
      </c>
      <c r="M313" s="5"/>
      <c r="N313" s="5"/>
      <c r="O313" s="4"/>
      <c r="P313" s="4"/>
      <c r="Q313" s="16"/>
      <c r="R313" s="16"/>
      <c r="S313" s="95">
        <f>S309</f>
        <v>1.0885418863976328</v>
      </c>
      <c r="T313" s="4">
        <f t="shared" ref="T313:T315" si="309">L313/H313-1</f>
        <v>8.854188639763283E-2</v>
      </c>
    </row>
    <row r="314" spans="1:20" x14ac:dyDescent="0.2">
      <c r="A314" s="43">
        <f t="shared" si="300"/>
        <v>254</v>
      </c>
      <c r="D314" s="2" t="s">
        <v>67</v>
      </c>
      <c r="E314" s="121"/>
      <c r="F314" s="127"/>
      <c r="G314" s="98"/>
      <c r="H314" s="147">
        <v>7.43</v>
      </c>
      <c r="I314" s="156"/>
      <c r="J314" s="39"/>
      <c r="K314" s="39"/>
      <c r="L314" s="147">
        <f>H314*S314</f>
        <v>8.0878662159344117</v>
      </c>
      <c r="M314" s="5"/>
      <c r="N314" s="5"/>
      <c r="O314" s="4"/>
      <c r="P314" s="4"/>
      <c r="Q314" s="16"/>
      <c r="R314" s="16"/>
      <c r="S314" s="95">
        <f>S310</f>
        <v>1.0885418863976328</v>
      </c>
      <c r="T314" s="4">
        <f t="shared" si="309"/>
        <v>8.854188639763283E-2</v>
      </c>
    </row>
    <row r="315" spans="1:20" x14ac:dyDescent="0.2">
      <c r="A315" s="43">
        <f t="shared" si="300"/>
        <v>255</v>
      </c>
      <c r="D315" s="2" t="s">
        <v>88</v>
      </c>
      <c r="E315" s="121"/>
      <c r="F315" s="127"/>
      <c r="G315" s="98"/>
      <c r="H315" s="147">
        <v>10.79</v>
      </c>
      <c r="I315" s="156"/>
      <c r="J315" s="39"/>
      <c r="K315" s="39"/>
      <c r="L315" s="147">
        <f>H315*S315</f>
        <v>11.745366954230457</v>
      </c>
      <c r="M315" s="5"/>
      <c r="N315" s="5"/>
      <c r="O315" s="4"/>
      <c r="P315" s="4"/>
      <c r="Q315" s="16"/>
      <c r="R315" s="16"/>
      <c r="S315" s="95">
        <f>S311</f>
        <v>1.0885418863976328</v>
      </c>
      <c r="T315" s="4">
        <f t="shared" si="309"/>
        <v>8.854188639763283E-2</v>
      </c>
    </row>
    <row r="316" spans="1:20" ht="13.5" thickBot="1" x14ac:dyDescent="0.25">
      <c r="A316" s="43">
        <f t="shared" si="300"/>
        <v>256</v>
      </c>
      <c r="D316" s="2" t="s">
        <v>47</v>
      </c>
      <c r="H316" s="154">
        <v>5.4440000000000002E-2</v>
      </c>
      <c r="L316" s="148">
        <f>H316*S316</f>
        <v>5.9260220295487137E-2</v>
      </c>
      <c r="S316" s="95">
        <f>S315</f>
        <v>1.0885418863976328</v>
      </c>
      <c r="T316" s="4">
        <f t="shared" ref="T316" si="310">L316/H316-1</f>
        <v>8.854188639763283E-2</v>
      </c>
    </row>
    <row r="317" spans="1:20" x14ac:dyDescent="0.2">
      <c r="B317" s="33" t="s">
        <v>90</v>
      </c>
      <c r="C317" s="34">
        <v>10</v>
      </c>
      <c r="D317" s="33"/>
      <c r="E317" s="119"/>
      <c r="F317" s="119"/>
      <c r="G317" s="119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</row>
    <row r="318" spans="1:20" x14ac:dyDescent="0.2">
      <c r="C318" s="2"/>
      <c r="D318" s="2" t="s">
        <v>17</v>
      </c>
      <c r="E318" s="131"/>
      <c r="F318" s="132"/>
      <c r="H318" s="2">
        <v>21.84</v>
      </c>
      <c r="L318" s="147">
        <f>H318*S318</f>
        <v>22.962046622315928</v>
      </c>
      <c r="M318" s="5"/>
      <c r="N318" s="5"/>
      <c r="O318" s="4"/>
      <c r="P318" s="4"/>
      <c r="Q318" s="16"/>
      <c r="R318" s="16"/>
      <c r="S318" s="95">
        <f>1+$O$267</f>
        <v>1.0513757610950516</v>
      </c>
      <c r="T318" s="4">
        <f t="shared" ref="T318:T320" si="311">L318/H318-1</f>
        <v>5.1375761095051597E-2</v>
      </c>
    </row>
    <row r="319" spans="1:20" x14ac:dyDescent="0.2">
      <c r="D319" s="2" t="s">
        <v>69</v>
      </c>
      <c r="E319" s="131"/>
      <c r="F319" s="110"/>
      <c r="H319" s="2">
        <v>0.21768000000000001</v>
      </c>
      <c r="L319" s="148">
        <f>H319*S319</f>
        <v>0.22886347567517085</v>
      </c>
      <c r="M319" s="5"/>
      <c r="N319" s="5"/>
      <c r="O319" s="4"/>
      <c r="P319" s="4"/>
      <c r="Q319" s="16"/>
      <c r="R319" s="16"/>
      <c r="S319" s="95">
        <f t="shared" ref="S319:S320" si="312">1+$O$267</f>
        <v>1.0513757610950516</v>
      </c>
      <c r="T319" s="4">
        <f t="shared" si="311"/>
        <v>5.1375761095051597E-2</v>
      </c>
    </row>
    <row r="320" spans="1:20" x14ac:dyDescent="0.2">
      <c r="D320" s="2" t="s">
        <v>70</v>
      </c>
      <c r="E320" s="131"/>
      <c r="F320" s="110"/>
      <c r="H320" s="2">
        <v>7.689E-2</v>
      </c>
      <c r="L320" s="154">
        <f>H320*S320</f>
        <v>8.0840282270598515E-2</v>
      </c>
      <c r="M320" s="5"/>
      <c r="N320" s="5"/>
      <c r="O320" s="4"/>
      <c r="P320" s="4"/>
      <c r="Q320" s="16"/>
      <c r="R320" s="16"/>
      <c r="S320" s="95">
        <f t="shared" si="312"/>
        <v>1.0513757610950516</v>
      </c>
      <c r="T320" s="4">
        <f t="shared" si="311"/>
        <v>5.1375761095051597E-2</v>
      </c>
    </row>
    <row r="322" spans="5:9" x14ac:dyDescent="0.2">
      <c r="G322" s="135" t="s">
        <v>107</v>
      </c>
      <c r="H322" s="2">
        <v>1.179E-2</v>
      </c>
      <c r="I322" s="2" t="s">
        <v>132</v>
      </c>
    </row>
    <row r="325" spans="5:9" x14ac:dyDescent="0.2">
      <c r="E325" s="87">
        <v>300985978</v>
      </c>
    </row>
    <row r="326" spans="5:9" x14ac:dyDescent="0.2">
      <c r="E326" s="87">
        <f>E9+E21+E34+E47+E60+E72+E85+E86+E98+E110+E122+E123+E124+E136+E148+E160+E172+E173+E185+E199+E213+E226+E240</f>
        <v>300946936</v>
      </c>
    </row>
    <row r="327" spans="5:9" x14ac:dyDescent="0.2">
      <c r="E327" s="87">
        <f>E326-E325</f>
        <v>-39042</v>
      </c>
    </row>
    <row r="328" spans="5:9" x14ac:dyDescent="0.2">
      <c r="E328" s="137">
        <f>E327/E325</f>
        <v>-1.2971368387134632E-4</v>
      </c>
    </row>
  </sheetData>
  <mergeCells count="16">
    <mergeCell ref="B224:B225"/>
    <mergeCell ref="B170:B171"/>
    <mergeCell ref="B211:B212"/>
    <mergeCell ref="B279:B280"/>
    <mergeCell ref="B83:B84"/>
    <mergeCell ref="B96:B97"/>
    <mergeCell ref="B108:B109"/>
    <mergeCell ref="B120:B121"/>
    <mergeCell ref="B238:B239"/>
    <mergeCell ref="B183:B184"/>
    <mergeCell ref="B197:B198"/>
    <mergeCell ref="B57:B58"/>
    <mergeCell ref="B70:B71"/>
    <mergeCell ref="B134:B135"/>
    <mergeCell ref="B146:B147"/>
    <mergeCell ref="B158:B159"/>
  </mergeCells>
  <phoneticPr fontId="10" type="noConversion"/>
  <printOptions horizontalCentered="1"/>
  <pageMargins left="0.7" right="0.7" top="0.75" bottom="0.75" header="0.3" footer="0.3"/>
  <pageSetup scale="48" fitToHeight="0" orientation="landscape" r:id="rId1"/>
  <headerFooter>
    <oddHeader>&amp;R&amp;"Arial,Bold"&amp;10Exhibit 4
Page &amp;P of &amp;N</oddHeader>
  </headerFooter>
  <rowBreaks count="7" manualBreakCount="7">
    <brk id="43" max="17" man="1"/>
    <brk id="82" max="17" man="1"/>
    <brk id="119" max="17" man="1"/>
    <brk id="157" max="17" man="1"/>
    <brk id="196" max="17" man="1"/>
    <brk id="237" max="17" man="1"/>
    <brk id="275" max="17" man="1"/>
  </rowBreaks>
  <ignoredErrors>
    <ignoredError sqref="M10 N250:N257 O250:O273 G147:G148 N211:O214 N10:O18 N57:O169 N170:O182 I140 I152 N215:O223 N19:O5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D2D1-0261-4B16-940C-DD9AB8DBD482}">
  <dimension ref="A1:K150"/>
  <sheetViews>
    <sheetView tabSelected="1" view="pageBreakPreview" topLeftCell="A110" zoomScaleNormal="85" zoomScaleSheetLayoutView="100" workbookViewId="0">
      <selection activeCell="K127" sqref="K127"/>
    </sheetView>
  </sheetViews>
  <sheetFormatPr defaultColWidth="8.85546875" defaultRowHeight="12.75" x14ac:dyDescent="0.2"/>
  <cols>
    <col min="1" max="1" width="1.42578125" style="2" customWidth="1"/>
    <col min="2" max="2" width="1.28515625" style="2" customWidth="1"/>
    <col min="3" max="3" width="8" style="20" customWidth="1"/>
    <col min="4" max="4" width="38.5703125" style="20" customWidth="1"/>
    <col min="5" max="5" width="33.7109375" style="2" bestFit="1" customWidth="1"/>
    <col min="6" max="6" width="14.7109375" style="2" customWidth="1"/>
    <col min="7" max="7" width="12.5703125" style="2" customWidth="1"/>
    <col min="8" max="8" width="11.7109375" style="2" customWidth="1"/>
    <col min="9" max="9" width="11.28515625" style="2" customWidth="1"/>
    <col min="10" max="16384" width="8.85546875" style="2"/>
  </cols>
  <sheetData>
    <row r="1" spans="1:9" x14ac:dyDescent="0.2">
      <c r="A1" s="1" t="str">
        <f>Summary!A1</f>
        <v>GRAYSON RECC</v>
      </c>
    </row>
    <row r="2" spans="1:9" x14ac:dyDescent="0.2">
      <c r="A2" s="1" t="s">
        <v>44</v>
      </c>
    </row>
    <row r="4" spans="1:9" x14ac:dyDescent="0.2">
      <c r="A4" s="103" t="s">
        <v>89</v>
      </c>
      <c r="B4" s="80"/>
      <c r="C4" s="104"/>
      <c r="D4" s="69"/>
      <c r="E4" s="69" t="s">
        <v>2</v>
      </c>
      <c r="F4" s="72" t="s">
        <v>45</v>
      </c>
      <c r="G4" s="72" t="s">
        <v>46</v>
      </c>
      <c r="H4" s="72" t="s">
        <v>93</v>
      </c>
      <c r="I4" s="72" t="s">
        <v>93</v>
      </c>
    </row>
    <row r="5" spans="1:9" x14ac:dyDescent="0.2">
      <c r="C5" s="20">
        <f>'Billing Detail'!C7</f>
        <v>1</v>
      </c>
      <c r="D5" s="89" t="str">
        <f>'Billing Detail'!B7</f>
        <v xml:space="preserve">Domestic Farm &amp; Home </v>
      </c>
    </row>
    <row r="6" spans="1:9" x14ac:dyDescent="0.2">
      <c r="D6" s="89"/>
      <c r="E6" s="2" t="str">
        <f>'Billing Detail'!D8</f>
        <v>Customer Charge</v>
      </c>
      <c r="F6" s="70">
        <f>'Billing Detail'!H8</f>
        <v>21.84</v>
      </c>
      <c r="G6" s="70">
        <f>'Billing Detail'!L8</f>
        <v>23.05</v>
      </c>
      <c r="H6" s="70">
        <f>G6-F6</f>
        <v>1.2100000000000009</v>
      </c>
      <c r="I6" s="4">
        <f>H6/F6</f>
        <v>5.5402930402930442E-2</v>
      </c>
    </row>
    <row r="7" spans="1:9" x14ac:dyDescent="0.2">
      <c r="D7" s="89"/>
      <c r="E7" s="2" t="str">
        <f>'Billing Detail'!D9</f>
        <v>Energy Charge per kWh</v>
      </c>
      <c r="F7" s="71">
        <f>'Billing Detail'!H9</f>
        <v>0.12112000000000001</v>
      </c>
      <c r="G7" s="71">
        <f>'Billing Detail'!L9</f>
        <v>0.12781999999999999</v>
      </c>
      <c r="H7" s="70">
        <f t="shared" ref="H7:H52" si="0">G7-F7</f>
        <v>6.6999999999999837E-3</v>
      </c>
      <c r="I7" s="4">
        <f t="shared" ref="I7:I52" si="1">H7/F7</f>
        <v>5.531704095112272E-2</v>
      </c>
    </row>
    <row r="8" spans="1:9" x14ac:dyDescent="0.2">
      <c r="C8" s="20">
        <f>'Billing Detail'!C19</f>
        <v>2</v>
      </c>
      <c r="D8" s="89" t="str">
        <f>'Billing Detail'!B19</f>
        <v>Commercial &amp; Small Power &lt;50 KVA</v>
      </c>
      <c r="F8" s="71"/>
      <c r="G8" s="71"/>
      <c r="H8" s="70"/>
      <c r="I8" s="4"/>
    </row>
    <row r="9" spans="1:9" x14ac:dyDescent="0.2">
      <c r="D9" s="89"/>
      <c r="E9" s="2" t="str">
        <f>'Billing Detail'!D20</f>
        <v>Customer Charge</v>
      </c>
      <c r="F9" s="70">
        <f>'Billing Detail'!H20</f>
        <v>30.83</v>
      </c>
      <c r="G9" s="70">
        <f>'Billing Detail'!L20</f>
        <v>32.54</v>
      </c>
      <c r="H9" s="70">
        <f t="shared" si="0"/>
        <v>1.7100000000000009</v>
      </c>
      <c r="I9" s="4">
        <f t="shared" si="1"/>
        <v>5.5465455724943269E-2</v>
      </c>
    </row>
    <row r="10" spans="1:9" x14ac:dyDescent="0.2">
      <c r="D10" s="89"/>
      <c r="E10" s="2" t="str">
        <f>'Billing Detail'!D21</f>
        <v>Energy Charge per kWh</v>
      </c>
      <c r="F10" s="71">
        <f>'Billing Detail'!H21</f>
        <v>0.12112000000000001</v>
      </c>
      <c r="G10" s="71">
        <f>'Billing Detail'!L21</f>
        <v>0.12781999999999999</v>
      </c>
      <c r="H10" s="70">
        <f t="shared" si="0"/>
        <v>6.6999999999999837E-3</v>
      </c>
      <c r="I10" s="4">
        <f t="shared" si="1"/>
        <v>5.531704095112272E-2</v>
      </c>
    </row>
    <row r="11" spans="1:9" x14ac:dyDescent="0.2">
      <c r="C11" s="20">
        <f>'Billing Detail'!C31</f>
        <v>4</v>
      </c>
      <c r="D11" s="89" t="str">
        <f>'Billing Detail'!B31</f>
        <v>Large Power 50-999 KVA</v>
      </c>
      <c r="F11" s="70"/>
      <c r="G11" s="70"/>
      <c r="H11" s="70"/>
      <c r="I11" s="4"/>
    </row>
    <row r="12" spans="1:9" x14ac:dyDescent="0.2">
      <c r="D12" s="89"/>
      <c r="E12" s="2" t="str">
        <f>'Billing Detail'!D32</f>
        <v>Customer Charge</v>
      </c>
      <c r="F12" s="70">
        <f>'Billing Detail'!H32</f>
        <v>69.36</v>
      </c>
      <c r="G12" s="70">
        <f>'Billing Detail'!L32</f>
        <v>73.2</v>
      </c>
      <c r="H12" s="70">
        <f t="shared" si="0"/>
        <v>3.8400000000000034</v>
      </c>
      <c r="I12" s="4">
        <f t="shared" si="1"/>
        <v>5.5363321799308009E-2</v>
      </c>
    </row>
    <row r="13" spans="1:9" x14ac:dyDescent="0.2">
      <c r="D13" s="89"/>
      <c r="E13" s="2" t="str">
        <f>'Billing Detail'!D33</f>
        <v>Demand Charge per kW</v>
      </c>
      <c r="F13" s="70">
        <f>'Billing Detail'!H33</f>
        <v>8.7799999999999994</v>
      </c>
      <c r="G13" s="70">
        <f>'Billing Detail'!L33</f>
        <v>9.27</v>
      </c>
      <c r="H13" s="70">
        <f t="shared" si="0"/>
        <v>0.49000000000000021</v>
      </c>
      <c r="I13" s="4">
        <f t="shared" si="1"/>
        <v>5.5808656036446497E-2</v>
      </c>
    </row>
    <row r="14" spans="1:9" x14ac:dyDescent="0.2">
      <c r="D14" s="89"/>
      <c r="E14" s="2" t="str">
        <f>'Billing Detail'!D34</f>
        <v>Energy Charge per kWh</v>
      </c>
      <c r="F14" s="71">
        <f>'Billing Detail'!H34</f>
        <v>7.195E-2</v>
      </c>
      <c r="G14" s="71">
        <f>'Billing Detail'!L34</f>
        <v>7.5929999999999997E-2</v>
      </c>
      <c r="H14" s="70">
        <f t="shared" si="0"/>
        <v>3.9799999999999974E-3</v>
      </c>
      <c r="I14" s="4">
        <f t="shared" si="1"/>
        <v>5.5316191799860977E-2</v>
      </c>
    </row>
    <row r="15" spans="1:9" x14ac:dyDescent="0.2">
      <c r="C15" s="20">
        <f>'Billing Detail'!C44</f>
        <v>7</v>
      </c>
      <c r="D15" s="89" t="str">
        <f>'Billing Detail'!B44</f>
        <v>All Electric Schools</v>
      </c>
      <c r="F15" s="71"/>
      <c r="G15" s="71"/>
      <c r="H15" s="70"/>
      <c r="I15" s="4"/>
    </row>
    <row r="16" spans="1:9" x14ac:dyDescent="0.2">
      <c r="D16" s="89"/>
      <c r="E16" s="2" t="str">
        <f>'Billing Detail'!D45</f>
        <v>Customer Charge</v>
      </c>
      <c r="F16" s="70">
        <f>'Billing Detail'!H45</f>
        <v>38.53</v>
      </c>
      <c r="G16" s="70">
        <f>'Billing Detail'!L45</f>
        <v>40.659999999999997</v>
      </c>
      <c r="H16" s="70">
        <f t="shared" si="0"/>
        <v>2.1299999999999955</v>
      </c>
      <c r="I16" s="4">
        <f t="shared" si="1"/>
        <v>5.528159875421737E-2</v>
      </c>
    </row>
    <row r="17" spans="3:9" x14ac:dyDescent="0.2">
      <c r="D17" s="89"/>
      <c r="E17" s="2" t="str">
        <f>'Billing Detail'!D46</f>
        <v>Demand Charge per kW</v>
      </c>
      <c r="F17" s="70">
        <f>'Billing Detail'!H46</f>
        <v>6.78</v>
      </c>
      <c r="G17" s="70">
        <f>'Billing Detail'!L46</f>
        <v>7.16</v>
      </c>
      <c r="H17" s="70">
        <f t="shared" si="0"/>
        <v>0.37999999999999989</v>
      </c>
      <c r="I17" s="4">
        <f t="shared" si="1"/>
        <v>5.6047197640117979E-2</v>
      </c>
    </row>
    <row r="18" spans="3:9" x14ac:dyDescent="0.2">
      <c r="D18" s="89"/>
      <c r="E18" s="2" t="str">
        <f>'Billing Detail'!D47</f>
        <v>Energy Charge per kWh</v>
      </c>
      <c r="F18" s="71">
        <f>'Billing Detail'!H47</f>
        <v>8.7639999999999996E-2</v>
      </c>
      <c r="G18" s="71">
        <f>'Billing Detail'!L47</f>
        <v>9.2490000000000003E-2</v>
      </c>
      <c r="H18" s="70">
        <f t="shared" si="0"/>
        <v>4.8500000000000071E-3</v>
      </c>
      <c r="I18" s="4">
        <f t="shared" si="1"/>
        <v>5.5340027384755901E-2</v>
      </c>
    </row>
    <row r="19" spans="3:9" x14ac:dyDescent="0.2">
      <c r="C19" s="20">
        <f>'Billing Detail'!C70</f>
        <v>16</v>
      </c>
      <c r="D19" s="89" t="str">
        <f>'Billing Detail'!B70</f>
        <v>Small Commercial Demand &amp; Energy Rate</v>
      </c>
      <c r="F19" s="70"/>
      <c r="G19" s="70"/>
      <c r="H19" s="70"/>
      <c r="I19" s="4"/>
    </row>
    <row r="20" spans="3:9" x14ac:dyDescent="0.2">
      <c r="D20" s="89"/>
      <c r="E20" s="2" t="str">
        <f>'Billing Detail'!D71</f>
        <v>Customer Charge</v>
      </c>
      <c r="F20" s="70">
        <f>'Billing Detail'!H71</f>
        <v>30.83</v>
      </c>
      <c r="G20" s="70">
        <f>'Billing Detail'!L71</f>
        <v>32.54</v>
      </c>
      <c r="H20" s="70">
        <f t="shared" si="0"/>
        <v>1.7100000000000009</v>
      </c>
      <c r="I20" s="4">
        <f t="shared" si="1"/>
        <v>5.5465455724943269E-2</v>
      </c>
    </row>
    <row r="21" spans="3:9" x14ac:dyDescent="0.2">
      <c r="D21" s="89"/>
      <c r="E21" s="2" t="str">
        <f>'Billing Detail'!D72</f>
        <v>Energy Charge per kWh</v>
      </c>
      <c r="F21" s="71">
        <f>'Billing Detail'!H72</f>
        <v>7.5829999999999995E-2</v>
      </c>
      <c r="G21" s="71">
        <f>'Billing Detail'!L72</f>
        <v>8.0019999999999994E-2</v>
      </c>
      <c r="H21" s="70">
        <f t="shared" si="0"/>
        <v>4.1899999999999993E-3</v>
      </c>
      <c r="I21" s="4">
        <f t="shared" si="1"/>
        <v>5.5255176051694575E-2</v>
      </c>
    </row>
    <row r="22" spans="3:9" x14ac:dyDescent="0.2">
      <c r="D22" s="89"/>
      <c r="E22" s="2" t="str">
        <f>'Billing Detail'!D73</f>
        <v>Demand Charge per kW</v>
      </c>
      <c r="F22" s="70">
        <f>'Billing Detail'!H73</f>
        <v>6.78</v>
      </c>
      <c r="G22" s="70">
        <f>'Billing Detail'!L73</f>
        <v>7.15503</v>
      </c>
      <c r="H22" s="70">
        <f t="shared" si="0"/>
        <v>0.37502999999999975</v>
      </c>
      <c r="I22" s="4">
        <f t="shared" si="1"/>
        <v>5.5314159292035363E-2</v>
      </c>
    </row>
    <row r="23" spans="3:9" x14ac:dyDescent="0.2">
      <c r="C23" s="20">
        <f>'Billing Detail'!C83</f>
        <v>17</v>
      </c>
      <c r="D23" s="89" t="str">
        <f>'Billing Detail'!B83</f>
        <v>Water Pumping Service</v>
      </c>
      <c r="F23" s="70"/>
      <c r="G23" s="70"/>
      <c r="H23" s="70"/>
      <c r="I23" s="4"/>
    </row>
    <row r="24" spans="3:9" x14ac:dyDescent="0.2">
      <c r="D24" s="89"/>
      <c r="E24" s="2" t="str">
        <f>'Billing Detail'!D84</f>
        <v>Customer Charge</v>
      </c>
      <c r="F24" s="70">
        <f>'Billing Detail'!H84</f>
        <v>46.24</v>
      </c>
      <c r="G24" s="70">
        <f>'Billing Detail'!L84</f>
        <v>48.8</v>
      </c>
      <c r="H24" s="70">
        <f t="shared" si="0"/>
        <v>2.5599999999999952</v>
      </c>
      <c r="I24" s="4">
        <f t="shared" si="1"/>
        <v>5.5363321799307849E-2</v>
      </c>
    </row>
    <row r="25" spans="3:9" x14ac:dyDescent="0.2">
      <c r="D25" s="89"/>
      <c r="E25" s="2" t="str">
        <f>'Billing Detail'!D85</f>
        <v>Energy Charge On Peak per kWh</v>
      </c>
      <c r="F25" s="71">
        <f>'Billing Detail'!H85</f>
        <v>0.15382000000000001</v>
      </c>
      <c r="G25" s="71">
        <f>'Billing Detail'!L85</f>
        <v>0.16233</v>
      </c>
      <c r="H25" s="70">
        <f t="shared" si="0"/>
        <v>8.5099999999999898E-3</v>
      </c>
      <c r="I25" s="4">
        <f t="shared" si="1"/>
        <v>5.5324405148875239E-2</v>
      </c>
    </row>
    <row r="26" spans="3:9" x14ac:dyDescent="0.2">
      <c r="D26" s="89"/>
      <c r="E26" s="2" t="str">
        <f>'Billing Detail'!D86</f>
        <v>Energy Charge Off Peak per kWh</v>
      </c>
      <c r="F26" s="71">
        <f>'Billing Detail'!H86</f>
        <v>8.2030000000000006E-2</v>
      </c>
      <c r="G26" s="71">
        <f>'Billing Detail'!L86</f>
        <v>8.6569999999999994E-2</v>
      </c>
      <c r="H26" s="70">
        <f t="shared" si="0"/>
        <v>4.5399999999999885E-3</v>
      </c>
      <c r="I26" s="4">
        <f t="shared" si="1"/>
        <v>5.5345605266365817E-2</v>
      </c>
    </row>
    <row r="27" spans="3:9" x14ac:dyDescent="0.2">
      <c r="C27" s="20">
        <f>'Billing Detail'!C96</f>
        <v>18</v>
      </c>
      <c r="D27" s="89" t="str">
        <f>'Billing Detail'!B96</f>
        <v>General Service Rate</v>
      </c>
      <c r="F27" s="70"/>
      <c r="G27" s="70"/>
      <c r="H27" s="70"/>
      <c r="I27" s="4"/>
    </row>
    <row r="28" spans="3:9" x14ac:dyDescent="0.2">
      <c r="D28" s="89"/>
      <c r="E28" s="2" t="str">
        <f>'Billing Detail'!D97</f>
        <v>Customer Charge</v>
      </c>
      <c r="F28" s="70">
        <f>'Billing Detail'!H97</f>
        <v>28.26</v>
      </c>
      <c r="G28" s="70">
        <f>'Billing Detail'!L97</f>
        <v>29.82</v>
      </c>
      <c r="H28" s="70">
        <f t="shared" si="0"/>
        <v>1.5599999999999987</v>
      </c>
      <c r="I28" s="4">
        <f t="shared" si="1"/>
        <v>5.5201698513800378E-2</v>
      </c>
    </row>
    <row r="29" spans="3:9" x14ac:dyDescent="0.2">
      <c r="D29" s="89"/>
      <c r="E29" s="2" t="str">
        <f>'Billing Detail'!D98</f>
        <v>Energy Charge per kWh</v>
      </c>
      <c r="F29" s="71">
        <f>'Billing Detail'!H98</f>
        <v>0.15498000000000001</v>
      </c>
      <c r="G29" s="71">
        <f>'Billing Detail'!L98</f>
        <v>0.16355</v>
      </c>
      <c r="H29" s="70">
        <f t="shared" si="0"/>
        <v>8.5699999999999943E-3</v>
      </c>
      <c r="I29" s="4">
        <f t="shared" si="1"/>
        <v>5.5297457736482085E-2</v>
      </c>
    </row>
    <row r="30" spans="3:9" x14ac:dyDescent="0.2">
      <c r="C30" s="20">
        <f>'Billing Detail'!C108</f>
        <v>19</v>
      </c>
      <c r="D30" s="89" t="str">
        <f>'Billing Detail'!B108</f>
        <v>Temporary Service Rate</v>
      </c>
      <c r="E30" s="68"/>
      <c r="F30" s="70"/>
      <c r="G30" s="70"/>
      <c r="H30" s="70"/>
      <c r="I30" s="4"/>
    </row>
    <row r="31" spans="3:9" x14ac:dyDescent="0.2">
      <c r="D31" s="89"/>
      <c r="E31" s="2" t="str">
        <f>'Billing Detail'!D109</f>
        <v>Customer Charge</v>
      </c>
      <c r="F31" s="70">
        <f>'Billing Detail'!H109</f>
        <v>56.52</v>
      </c>
      <c r="G31" s="70">
        <f>'Billing Detail'!L109</f>
        <v>59.65</v>
      </c>
      <c r="H31" s="70">
        <f t="shared" si="0"/>
        <v>3.1299999999999955</v>
      </c>
      <c r="I31" s="4">
        <f t="shared" si="1"/>
        <v>5.5378627034677906E-2</v>
      </c>
    </row>
    <row r="32" spans="3:9" x14ac:dyDescent="0.2">
      <c r="D32" s="89"/>
      <c r="E32" s="2" t="str">
        <f>'Billing Detail'!D110</f>
        <v>Energy Charge per kWh</v>
      </c>
      <c r="F32" s="71">
        <f>'Billing Detail'!H110</f>
        <v>0.11663</v>
      </c>
      <c r="G32" s="71">
        <f>'Billing Detail'!L110</f>
        <v>0.12307999999999999</v>
      </c>
      <c r="H32" s="70">
        <f t="shared" si="0"/>
        <v>6.4499999999999974E-3</v>
      </c>
      <c r="I32" s="4">
        <f t="shared" si="1"/>
        <v>5.5303095258509793E-2</v>
      </c>
    </row>
    <row r="33" spans="3:9" x14ac:dyDescent="0.2">
      <c r="C33" s="20">
        <f>'Billing Detail'!C120</f>
        <v>20</v>
      </c>
      <c r="D33" s="89" t="str">
        <f>'Billing Detail'!B120</f>
        <v>Residential Inclining Block Rate</v>
      </c>
      <c r="F33" s="70"/>
      <c r="G33" s="70"/>
      <c r="H33" s="70"/>
      <c r="I33" s="4"/>
    </row>
    <row r="34" spans="3:9" x14ac:dyDescent="0.2">
      <c r="D34" s="89"/>
      <c r="E34" s="2" t="str">
        <f>'Billing Detail'!D121</f>
        <v>Customer Charge</v>
      </c>
      <c r="F34" s="17">
        <f>'Billing Detail'!H121</f>
        <v>21.84</v>
      </c>
      <c r="G34" s="17">
        <f>'Billing Detail'!L121</f>
        <v>23.05</v>
      </c>
      <c r="H34" s="70">
        <f t="shared" si="0"/>
        <v>1.2100000000000009</v>
      </c>
      <c r="I34" s="4">
        <f t="shared" si="1"/>
        <v>5.5402930402930442E-2</v>
      </c>
    </row>
    <row r="35" spans="3:9" x14ac:dyDescent="0.2">
      <c r="D35" s="89"/>
      <c r="E35" s="2" t="str">
        <f>'Billing Detail'!D122</f>
        <v>Energy Charge Per KWH - First 300</v>
      </c>
      <c r="F35" s="71">
        <f>'Billing Detail'!H122</f>
        <v>9.2299999999999993E-2</v>
      </c>
      <c r="G35" s="71">
        <f>'Billing Detail'!L122</f>
        <v>9.7409999999999997E-2</v>
      </c>
      <c r="H35" s="70">
        <f t="shared" si="0"/>
        <v>5.1100000000000034E-3</v>
      </c>
      <c r="I35" s="4">
        <f t="shared" si="1"/>
        <v>5.5362946912242729E-2</v>
      </c>
    </row>
    <row r="36" spans="3:9" x14ac:dyDescent="0.2">
      <c r="D36" s="89"/>
      <c r="E36" s="2" t="str">
        <f>'Billing Detail'!D123</f>
        <v>Energy Charge Per KWH - Next 200</v>
      </c>
      <c r="F36" s="71">
        <f>'Billing Detail'!H123</f>
        <v>0.11285000000000001</v>
      </c>
      <c r="G36" s="71">
        <f>'Billing Detail'!L123</f>
        <v>0.11909</v>
      </c>
      <c r="H36" s="70">
        <f t="shared" si="0"/>
        <v>6.2399999999999956E-3</v>
      </c>
      <c r="I36" s="4">
        <f t="shared" si="1"/>
        <v>5.5294638901196236E-2</v>
      </c>
    </row>
    <row r="37" spans="3:9" x14ac:dyDescent="0.2">
      <c r="D37" s="89"/>
      <c r="E37" s="2" t="str">
        <f>'Billing Detail'!D124</f>
        <v>Energy Charge Per KWH - All Over 500</v>
      </c>
      <c r="F37" s="71">
        <f>'Billing Detail'!H124</f>
        <v>0.20941000000000001</v>
      </c>
      <c r="G37" s="71">
        <f>'Billing Detail'!L124</f>
        <v>0.22098999999999999</v>
      </c>
      <c r="H37" s="70">
        <f t="shared" si="0"/>
        <v>1.1579999999999979E-2</v>
      </c>
      <c r="I37" s="4">
        <f t="shared" si="1"/>
        <v>5.5298218805214551E-2</v>
      </c>
    </row>
    <row r="38" spans="3:9" x14ac:dyDescent="0.2">
      <c r="C38" s="20">
        <f>'Billing Detail'!C170</f>
        <v>11</v>
      </c>
      <c r="D38" s="89" t="str">
        <f>'Billing Detail'!B170</f>
        <v>Small Commercial TOD</v>
      </c>
      <c r="E38" s="68"/>
      <c r="F38" s="78"/>
      <c r="G38" s="78"/>
      <c r="H38" s="70"/>
      <c r="I38" s="4"/>
    </row>
    <row r="39" spans="3:9" x14ac:dyDescent="0.2">
      <c r="D39" s="89"/>
      <c r="E39" s="68" t="str">
        <f>'Billing Detail'!D171</f>
        <v>Customer Charge</v>
      </c>
      <c r="F39" s="70">
        <f>'Billing Detail'!H171</f>
        <v>28.26</v>
      </c>
      <c r="G39" s="70">
        <f>'Billing Detail'!L171</f>
        <v>29.82</v>
      </c>
      <c r="H39" s="70">
        <f t="shared" si="0"/>
        <v>1.5599999999999987</v>
      </c>
      <c r="I39" s="4">
        <f t="shared" si="1"/>
        <v>5.5201698513800378E-2</v>
      </c>
    </row>
    <row r="40" spans="3:9" x14ac:dyDescent="0.2">
      <c r="D40" s="89"/>
      <c r="E40" s="68" t="str">
        <f>'Billing Detail'!D172</f>
        <v>Energy Charge per kWh</v>
      </c>
      <c r="F40" s="71">
        <f>'Billing Detail'!H172</f>
        <v>0.21301999999999999</v>
      </c>
      <c r="G40" s="71">
        <f>'Billing Detail'!L172</f>
        <v>0.2248</v>
      </c>
      <c r="H40" s="70">
        <f t="shared" si="0"/>
        <v>1.1780000000000013E-2</v>
      </c>
      <c r="I40" s="4">
        <f t="shared" si="1"/>
        <v>5.5299971833630709E-2</v>
      </c>
    </row>
    <row r="41" spans="3:9" x14ac:dyDescent="0.2">
      <c r="D41" s="89"/>
      <c r="E41" s="68" t="str">
        <f>'Billing Detail'!D173</f>
        <v>Energy Charge per kWh</v>
      </c>
      <c r="F41" s="71">
        <f>'Billing Detail'!H173</f>
        <v>7.1470000000000006E-2</v>
      </c>
      <c r="G41" s="71">
        <f>'Billing Detail'!L173</f>
        <v>7.5420000000000001E-2</v>
      </c>
      <c r="H41" s="70">
        <f t="shared" si="0"/>
        <v>3.9499999999999952E-3</v>
      </c>
      <c r="I41" s="4">
        <f t="shared" si="1"/>
        <v>5.5267944592136492E-2</v>
      </c>
    </row>
    <row r="42" spans="3:9" x14ac:dyDescent="0.2">
      <c r="C42" s="20">
        <f>'Billing Detail'!C211</f>
        <v>35</v>
      </c>
      <c r="D42" s="89" t="str">
        <f>'Billing Detail'!B211</f>
        <v>Net Metering Large Power</v>
      </c>
      <c r="E42" s="68"/>
      <c r="F42" s="78"/>
      <c r="G42" s="78"/>
      <c r="H42" s="70"/>
      <c r="I42" s="4"/>
    </row>
    <row r="43" spans="3:9" x14ac:dyDescent="0.2">
      <c r="D43" s="89"/>
      <c r="E43" s="68" t="str">
        <f>'Billing Detail'!D212</f>
        <v>Customer Charge</v>
      </c>
      <c r="F43" s="70">
        <f>'Billing Detail'!H212</f>
        <v>69.36</v>
      </c>
      <c r="G43" s="70">
        <f>'Billing Detail'!L212</f>
        <v>73.2</v>
      </c>
      <c r="H43" s="70">
        <f t="shared" si="0"/>
        <v>3.8400000000000034</v>
      </c>
      <c r="I43" s="4">
        <f t="shared" si="1"/>
        <v>5.5363321799308009E-2</v>
      </c>
    </row>
    <row r="44" spans="3:9" x14ac:dyDescent="0.2">
      <c r="D44" s="89"/>
      <c r="E44" s="68" t="str">
        <f>'Billing Detail'!D213</f>
        <v>Energy Charge per kWh</v>
      </c>
      <c r="F44" s="71">
        <f>'Billing Detail'!H213</f>
        <v>7.195E-2</v>
      </c>
      <c r="G44" s="71">
        <f>'Billing Detail'!L213</f>
        <v>7.5929999999999997E-2</v>
      </c>
      <c r="H44" s="70">
        <f t="shared" si="0"/>
        <v>3.9799999999999974E-3</v>
      </c>
      <c r="I44" s="4">
        <f t="shared" si="1"/>
        <v>5.5316191799860977E-2</v>
      </c>
    </row>
    <row r="45" spans="3:9" x14ac:dyDescent="0.2">
      <c r="D45" s="89"/>
      <c r="E45" s="68" t="str">
        <f>'Billing Detail'!D214</f>
        <v>Demand Charge per kW</v>
      </c>
      <c r="F45" s="70">
        <f>'Billing Detail'!H214</f>
        <v>8.7799999999999994</v>
      </c>
      <c r="G45" s="70">
        <f>'Billing Detail'!L214</f>
        <v>9.27</v>
      </c>
      <c r="H45" s="70">
        <f t="shared" si="0"/>
        <v>0.49000000000000021</v>
      </c>
      <c r="I45" s="4">
        <f t="shared" si="1"/>
        <v>5.5808656036446497E-2</v>
      </c>
    </row>
    <row r="46" spans="3:9" x14ac:dyDescent="0.2">
      <c r="C46" s="20">
        <f>'Billing Detail'!C250</f>
        <v>6</v>
      </c>
      <c r="D46" s="89" t="str">
        <f>'Billing Detail'!B250</f>
        <v>Outdoor Lighting - Security Lights</v>
      </c>
      <c r="F46" s="70"/>
      <c r="G46" s="70"/>
      <c r="H46" s="70"/>
      <c r="I46" s="4"/>
    </row>
    <row r="47" spans="3:9" x14ac:dyDescent="0.2">
      <c r="D47" s="89"/>
      <c r="E47" s="2" t="str">
        <f>'Billing Detail'!D251</f>
        <v>7000 Lumens</v>
      </c>
      <c r="F47" s="70">
        <f>'Billing Detail'!H251</f>
        <v>13.6</v>
      </c>
      <c r="G47" s="70">
        <f>'Billing Detail'!L251</f>
        <v>14.35</v>
      </c>
      <c r="H47" s="70">
        <f t="shared" si="0"/>
        <v>0.75</v>
      </c>
      <c r="I47" s="4">
        <f t="shared" si="1"/>
        <v>5.514705882352941E-2</v>
      </c>
    </row>
    <row r="48" spans="3:9" x14ac:dyDescent="0.2">
      <c r="D48" s="2"/>
      <c r="E48" s="2" t="str">
        <f>'Billing Detail'!D252</f>
        <v>10000 Lumens</v>
      </c>
      <c r="F48" s="70">
        <f>'Billing Detail'!H252</f>
        <v>16.170000000000002</v>
      </c>
      <c r="G48" s="70">
        <f>'Billing Detail'!L252</f>
        <v>17.059999999999999</v>
      </c>
      <c r="H48" s="70">
        <f t="shared" si="0"/>
        <v>0.88999999999999702</v>
      </c>
      <c r="I48" s="4">
        <f t="shared" si="1"/>
        <v>5.5040197897340562E-2</v>
      </c>
    </row>
    <row r="49" spans="3:9" x14ac:dyDescent="0.2">
      <c r="D49" s="2"/>
      <c r="E49" s="2" t="str">
        <f>'Billing Detail'!D253</f>
        <v>Flood Lighting</v>
      </c>
      <c r="F49" s="70">
        <f>'Billing Detail'!H253</f>
        <v>22.8</v>
      </c>
      <c r="G49" s="70">
        <f>'Billing Detail'!L253</f>
        <v>24.06</v>
      </c>
      <c r="H49" s="70">
        <f t="shared" si="0"/>
        <v>1.259999999999998</v>
      </c>
      <c r="I49" s="4">
        <f t="shared" si="1"/>
        <v>5.526315789473675E-2</v>
      </c>
    </row>
    <row r="50" spans="3:9" x14ac:dyDescent="0.2">
      <c r="D50" s="2"/>
      <c r="E50" s="2" t="str">
        <f>'Billing Detail'!D254</f>
        <v>3600 LED Yard Light</v>
      </c>
      <c r="F50" s="70">
        <f>'Billing Detail'!H254</f>
        <v>13.6</v>
      </c>
      <c r="G50" s="70">
        <f>'Billing Detail'!L254</f>
        <v>14.35</v>
      </c>
      <c r="H50" s="70">
        <f t="shared" si="0"/>
        <v>0.75</v>
      </c>
      <c r="I50" s="4">
        <f t="shared" si="1"/>
        <v>5.514705882352941E-2</v>
      </c>
    </row>
    <row r="51" spans="3:9" x14ac:dyDescent="0.2">
      <c r="D51" s="2"/>
      <c r="E51" s="2" t="str">
        <f>'Billing Detail'!D255</f>
        <v>19176 LED Flood Light</v>
      </c>
      <c r="F51" s="70">
        <f>'Billing Detail'!H255</f>
        <v>27.47</v>
      </c>
      <c r="G51" s="70">
        <f>'Billing Detail'!L255</f>
        <v>28.99</v>
      </c>
      <c r="H51" s="70">
        <f t="shared" si="0"/>
        <v>1.5199999999999996</v>
      </c>
      <c r="I51" s="4">
        <f t="shared" si="1"/>
        <v>5.5333090644339264E-2</v>
      </c>
    </row>
    <row r="52" spans="3:9" x14ac:dyDescent="0.2">
      <c r="D52" s="2"/>
      <c r="E52" s="2" t="str">
        <f>'Billing Detail'!D256</f>
        <v>7000 Lumens SL</v>
      </c>
      <c r="F52" s="70">
        <f>'Billing Detail'!H256</f>
        <v>13.6</v>
      </c>
      <c r="G52" s="70">
        <f>'Billing Detail'!L256</f>
        <v>14.35</v>
      </c>
      <c r="H52" s="70">
        <f t="shared" si="0"/>
        <v>0.75</v>
      </c>
      <c r="I52" s="4">
        <f t="shared" si="1"/>
        <v>5.514705882352941E-2</v>
      </c>
    </row>
    <row r="53" spans="3:9" x14ac:dyDescent="0.2">
      <c r="C53" s="20">
        <f>'Billing Detail'!C279</f>
        <v>15</v>
      </c>
      <c r="D53" s="89" t="str">
        <f>'Billing Detail'!B279</f>
        <v>Residential Demand &amp; Energy Rate</v>
      </c>
      <c r="F53" s="70"/>
      <c r="G53" s="70"/>
      <c r="H53" s="70"/>
      <c r="I53" s="4"/>
    </row>
    <row r="54" spans="3:9" x14ac:dyDescent="0.2">
      <c r="D54" s="89"/>
      <c r="E54" s="2" t="str">
        <f>'Billing Detail'!D280</f>
        <v xml:space="preserve">Customer Charge </v>
      </c>
      <c r="F54" s="70">
        <f>'Billing Detail'!H280</f>
        <v>20.55</v>
      </c>
      <c r="G54" s="70">
        <f>'Billing Detail'!L280</f>
        <v>21.605771890503313</v>
      </c>
      <c r="H54" s="70">
        <f t="shared" ref="H54:H95" si="2">G54-F54</f>
        <v>1.055771890503312</v>
      </c>
      <c r="I54" s="4">
        <f t="shared" ref="I54:I95" si="3">H54/F54</f>
        <v>5.1375761095051674E-2</v>
      </c>
    </row>
    <row r="55" spans="3:9" x14ac:dyDescent="0.2">
      <c r="D55" s="89"/>
      <c r="E55" s="2" t="str">
        <f>'Billing Detail'!D281</f>
        <v>Energy Charge per kWh</v>
      </c>
      <c r="F55" s="71">
        <f>'Billing Detail'!H281</f>
        <v>7.7380000000000004E-2</v>
      </c>
      <c r="G55" s="71">
        <f>'Billing Detail'!L281</f>
        <v>8.13554563935351E-2</v>
      </c>
      <c r="H55" s="70">
        <f t="shared" si="2"/>
        <v>3.9754563935350956E-3</v>
      </c>
      <c r="I55" s="4">
        <f t="shared" si="3"/>
        <v>5.1375761095051632E-2</v>
      </c>
    </row>
    <row r="56" spans="3:9" x14ac:dyDescent="0.2">
      <c r="D56" s="89"/>
      <c r="E56" s="2" t="str">
        <f>'Billing Detail'!D282</f>
        <v>Demand Charge per kW</v>
      </c>
      <c r="F56" s="70">
        <f>'Billing Detail'!H282</f>
        <v>4.74</v>
      </c>
      <c r="G56" s="70">
        <f>'Billing Detail'!L282</f>
        <v>4.983521107590545</v>
      </c>
      <c r="H56" s="70">
        <f t="shared" si="2"/>
        <v>0.24352110759054479</v>
      </c>
      <c r="I56" s="4">
        <f t="shared" si="3"/>
        <v>5.1375761095051639E-2</v>
      </c>
    </row>
    <row r="57" spans="3:9" x14ac:dyDescent="0.2">
      <c r="C57" s="20" t="str">
        <f>'Billing Detail'!C283</f>
        <v>12(a)</v>
      </c>
      <c r="D57" s="89" t="str">
        <f>'Billing Detail'!B283</f>
        <v>Large Industrial LLF 1,000-4,999 kVA</v>
      </c>
      <c r="F57" s="70"/>
      <c r="G57" s="70"/>
      <c r="H57" s="70"/>
      <c r="I57" s="4"/>
    </row>
    <row r="58" spans="3:9" x14ac:dyDescent="0.2">
      <c r="D58" s="89"/>
      <c r="E58" s="2" t="str">
        <f>'Billing Detail'!D284</f>
        <v xml:space="preserve">Customer Charge </v>
      </c>
      <c r="F58" s="70">
        <f>'Billing Detail'!H284</f>
        <v>581.73</v>
      </c>
      <c r="G58" s="70">
        <f>'Billing Detail'!L284</f>
        <v>633.23747157409491</v>
      </c>
      <c r="H58" s="70">
        <f t="shared" si="2"/>
        <v>51.507471574094893</v>
      </c>
      <c r="I58" s="4">
        <f t="shared" si="3"/>
        <v>8.8541886397632732E-2</v>
      </c>
    </row>
    <row r="59" spans="3:9" x14ac:dyDescent="0.2">
      <c r="D59" s="89"/>
      <c r="E59" s="2" t="str">
        <f>'Billing Detail'!D285</f>
        <v>Demand Charge per kW</v>
      </c>
      <c r="F59" s="70">
        <f>'Billing Detail'!H285</f>
        <v>10.79</v>
      </c>
      <c r="G59" s="70">
        <f>'Billing Detail'!L285</f>
        <v>11.745366954230457</v>
      </c>
      <c r="H59" s="70">
        <f t="shared" si="2"/>
        <v>0.95536695423045792</v>
      </c>
      <c r="I59" s="4">
        <f t="shared" si="3"/>
        <v>8.8541886397632802E-2</v>
      </c>
    </row>
    <row r="60" spans="3:9" x14ac:dyDescent="0.2">
      <c r="D60" s="89"/>
      <c r="E60" s="2" t="str">
        <f>'Billing Detail'!D286</f>
        <v>Energy Charge per kWh</v>
      </c>
      <c r="F60" s="71">
        <f>'Billing Detail'!H286</f>
        <v>5.7880000000000001E-2</v>
      </c>
      <c r="G60" s="71">
        <f>'Billing Detail'!L286</f>
        <v>6.3004804384694996E-2</v>
      </c>
      <c r="H60" s="70">
        <f t="shared" si="2"/>
        <v>5.1248043846949948E-3</v>
      </c>
      <c r="I60" s="4">
        <f t="shared" si="3"/>
        <v>8.8541886397632941E-2</v>
      </c>
    </row>
    <row r="61" spans="3:9" x14ac:dyDescent="0.2">
      <c r="C61" s="20" t="str">
        <f>'Billing Detail'!C287</f>
        <v>12(b)</v>
      </c>
      <c r="D61" s="89" t="str">
        <f>'Billing Detail'!B287</f>
        <v>Large Industrial LLF 5,000-9,999 kVA</v>
      </c>
      <c r="F61" s="70"/>
      <c r="G61" s="70"/>
      <c r="H61" s="70"/>
      <c r="I61" s="4"/>
    </row>
    <row r="62" spans="3:9" x14ac:dyDescent="0.2">
      <c r="D62" s="89"/>
      <c r="E62" s="2" t="str">
        <f>'Billing Detail'!D288</f>
        <v xml:space="preserve">Customer Charge </v>
      </c>
      <c r="F62" s="70">
        <f>'Billing Detail'!H288</f>
        <v>1162.4000000000001</v>
      </c>
      <c r="G62" s="70">
        <f>'Billing Detail'!L288</f>
        <v>1265.3210887486084</v>
      </c>
      <c r="H62" s="70">
        <f t="shared" si="2"/>
        <v>102.92108874860833</v>
      </c>
      <c r="I62" s="4">
        <f t="shared" si="3"/>
        <v>8.854188639763276E-2</v>
      </c>
    </row>
    <row r="63" spans="3:9" x14ac:dyDescent="0.2">
      <c r="D63" s="89"/>
      <c r="E63" s="2" t="str">
        <f>'Billing Detail'!D289</f>
        <v>Demand Charge per kW</v>
      </c>
      <c r="F63" s="70">
        <f>'Billing Detail'!H289</f>
        <v>10.79</v>
      </c>
      <c r="G63" s="70">
        <f>'Billing Detail'!L289</f>
        <v>11.745366954230457</v>
      </c>
      <c r="H63" s="70">
        <f t="shared" si="2"/>
        <v>0.95536695423045792</v>
      </c>
      <c r="I63" s="4">
        <f t="shared" si="3"/>
        <v>8.8541886397632802E-2</v>
      </c>
    </row>
    <row r="64" spans="3:9" x14ac:dyDescent="0.2">
      <c r="D64" s="89"/>
      <c r="E64" s="2" t="str">
        <f>'Billing Detail'!D290</f>
        <v>Energy Charge per kWh</v>
      </c>
      <c r="F64" s="71">
        <f>'Billing Detail'!H290</f>
        <v>5.5449999999999999E-2</v>
      </c>
      <c r="G64" s="71">
        <f>'Billing Detail'!L290</f>
        <v>6.0359647600748738E-2</v>
      </c>
      <c r="H64" s="70">
        <f t="shared" si="2"/>
        <v>4.9096476007487386E-3</v>
      </c>
      <c r="I64" s="4">
        <f t="shared" si="3"/>
        <v>8.8541886397632802E-2</v>
      </c>
    </row>
    <row r="65" spans="3:9" x14ac:dyDescent="0.2">
      <c r="C65" s="20" t="str">
        <f>'Billing Detail'!C291</f>
        <v>12(c)</v>
      </c>
      <c r="D65" s="89" t="str">
        <f>'Billing Detail'!B291</f>
        <v>Large Industrial LLF 10,000 KVA &amp; Under</v>
      </c>
      <c r="F65" s="70"/>
      <c r="G65" s="70"/>
      <c r="H65" s="70"/>
      <c r="I65" s="4"/>
    </row>
    <row r="66" spans="3:9" x14ac:dyDescent="0.2">
      <c r="D66" s="89"/>
      <c r="E66" s="2" t="str">
        <f>'Billing Detail'!D292</f>
        <v xml:space="preserve">Customer Charge </v>
      </c>
      <c r="F66" s="70">
        <f>'Billing Detail'!H292</f>
        <v>1162.4000000000001</v>
      </c>
      <c r="G66" s="70">
        <f>'Billing Detail'!L292</f>
        <v>1265.3210887486084</v>
      </c>
      <c r="H66" s="70">
        <f t="shared" si="2"/>
        <v>102.92108874860833</v>
      </c>
      <c r="I66" s="4">
        <f t="shared" si="3"/>
        <v>8.854188639763276E-2</v>
      </c>
    </row>
    <row r="67" spans="3:9" x14ac:dyDescent="0.2">
      <c r="D67" s="89"/>
      <c r="E67" s="2" t="str">
        <f>'Billing Detail'!D293</f>
        <v>Demand Charge per kW</v>
      </c>
      <c r="F67" s="70">
        <f>'Billing Detail'!H293</f>
        <v>10.79</v>
      </c>
      <c r="G67" s="70">
        <f>'Billing Detail'!L293</f>
        <v>11.745366954230457</v>
      </c>
      <c r="H67" s="70">
        <f t="shared" si="2"/>
        <v>0.95536695423045792</v>
      </c>
      <c r="I67" s="4">
        <f t="shared" si="3"/>
        <v>8.8541886397632802E-2</v>
      </c>
    </row>
    <row r="68" spans="3:9" x14ac:dyDescent="0.2">
      <c r="D68" s="89"/>
      <c r="E68" s="2" t="str">
        <f>'Billing Detail'!D294</f>
        <v>Energy Charge per kWh</v>
      </c>
      <c r="F68" s="71">
        <f>'Billing Detail'!H294</f>
        <v>5.4440000000000002E-2</v>
      </c>
      <c r="G68" s="71">
        <f>'Billing Detail'!L294</f>
        <v>5.9260220295487137E-2</v>
      </c>
      <c r="H68" s="70">
        <f t="shared" si="2"/>
        <v>4.8202202954871348E-3</v>
      </c>
      <c r="I68" s="4">
        <f t="shared" si="3"/>
        <v>8.8541886397632885E-2</v>
      </c>
    </row>
    <row r="69" spans="3:9" x14ac:dyDescent="0.2">
      <c r="C69" s="20" t="str">
        <f>'Billing Detail'!C295</f>
        <v>13(a)</v>
      </c>
      <c r="D69" s="89" t="str">
        <f>'Billing Detail'!B295</f>
        <v>Large Industrial HLF 1,000 0 4,999 KVA</v>
      </c>
      <c r="F69" s="70"/>
      <c r="G69" s="70"/>
      <c r="H69" s="70"/>
      <c r="I69" s="4"/>
    </row>
    <row r="70" spans="3:9" x14ac:dyDescent="0.2">
      <c r="D70" s="89"/>
      <c r="E70" s="2" t="str">
        <f>'Billing Detail'!D296</f>
        <v xml:space="preserve">Customer Charge </v>
      </c>
      <c r="F70" s="70">
        <f>'Billing Detail'!H296</f>
        <v>581.73</v>
      </c>
      <c r="G70" s="70">
        <f>'Billing Detail'!L296</f>
        <v>633.23747157409491</v>
      </c>
      <c r="H70" s="70">
        <f t="shared" si="2"/>
        <v>51.507471574094893</v>
      </c>
      <c r="I70" s="4">
        <f t="shared" si="3"/>
        <v>8.8541886397632732E-2</v>
      </c>
    </row>
    <row r="71" spans="3:9" x14ac:dyDescent="0.2">
      <c r="D71" s="89"/>
      <c r="E71" s="2" t="str">
        <f>'Billing Detail'!D297</f>
        <v>Demand Charge per kW</v>
      </c>
      <c r="F71" s="70">
        <f>'Billing Detail'!H297</f>
        <v>7.43</v>
      </c>
      <c r="G71" s="70">
        <f>'Billing Detail'!L297</f>
        <v>8.0878662159344117</v>
      </c>
      <c r="H71" s="70">
        <f t="shared" si="2"/>
        <v>0.65786621593441197</v>
      </c>
      <c r="I71" s="4">
        <f t="shared" si="3"/>
        <v>8.8541886397632844E-2</v>
      </c>
    </row>
    <row r="72" spans="3:9" x14ac:dyDescent="0.2">
      <c r="D72" s="89"/>
      <c r="E72" s="2" t="str">
        <f>'Billing Detail'!D298</f>
        <v>Energy Charge per kWh</v>
      </c>
      <c r="F72" s="71">
        <f>'Billing Detail'!H298</f>
        <v>5.7880000000000001E-2</v>
      </c>
      <c r="G72" s="71">
        <f>'Billing Detail'!L298</f>
        <v>6.3004804384694996E-2</v>
      </c>
      <c r="H72" s="70">
        <f t="shared" si="2"/>
        <v>5.1248043846949948E-3</v>
      </c>
      <c r="I72" s="4">
        <f t="shared" si="3"/>
        <v>8.8541886397632941E-2</v>
      </c>
    </row>
    <row r="73" spans="3:9" x14ac:dyDescent="0.2">
      <c r="C73" s="20" t="str">
        <f>'Billing Detail'!C299</f>
        <v>13(b)</v>
      </c>
      <c r="D73" s="89" t="str">
        <f>'Billing Detail'!B299</f>
        <v>Large Industrial HLF 5,000 - 9,999 KVA</v>
      </c>
      <c r="F73" s="70"/>
      <c r="G73" s="70"/>
      <c r="H73" s="70"/>
      <c r="I73" s="4"/>
    </row>
    <row r="74" spans="3:9" x14ac:dyDescent="0.2">
      <c r="D74" s="89"/>
      <c r="E74" s="2" t="str">
        <f>'Billing Detail'!D300</f>
        <v xml:space="preserve">Customer Charge </v>
      </c>
      <c r="F74" s="70">
        <f>'Billing Detail'!H300</f>
        <v>1162.4000000000001</v>
      </c>
      <c r="G74" s="70">
        <f>'Billing Detail'!L300</f>
        <v>1265.3210887486084</v>
      </c>
      <c r="H74" s="70">
        <f t="shared" si="2"/>
        <v>102.92108874860833</v>
      </c>
      <c r="I74" s="4">
        <f t="shared" si="3"/>
        <v>8.854188639763276E-2</v>
      </c>
    </row>
    <row r="75" spans="3:9" x14ac:dyDescent="0.2">
      <c r="D75" s="89"/>
      <c r="E75" s="2" t="str">
        <f>'Billing Detail'!D301</f>
        <v>Demand Charge per kW</v>
      </c>
      <c r="F75" s="70">
        <f>'Billing Detail'!H301</f>
        <v>10.79</v>
      </c>
      <c r="G75" s="70">
        <f>'Billing Detail'!L301</f>
        <v>11.745366954230457</v>
      </c>
      <c r="H75" s="70">
        <f t="shared" si="2"/>
        <v>0.95536695423045792</v>
      </c>
      <c r="I75" s="4">
        <f t="shared" si="3"/>
        <v>8.8541886397632802E-2</v>
      </c>
    </row>
    <row r="76" spans="3:9" x14ac:dyDescent="0.2">
      <c r="D76" s="89"/>
      <c r="E76" s="2" t="str">
        <f>'Billing Detail'!D302</f>
        <v>Energy Charge per kWh</v>
      </c>
      <c r="F76" s="71">
        <f>'Billing Detail'!H302</f>
        <v>5.5449999999999999E-2</v>
      </c>
      <c r="G76" s="71">
        <f>'Billing Detail'!L302</f>
        <v>6.0359647600748738E-2</v>
      </c>
      <c r="H76" s="70">
        <f t="shared" si="2"/>
        <v>4.9096476007487386E-3</v>
      </c>
      <c r="I76" s="4">
        <f t="shared" si="3"/>
        <v>8.8541886397632802E-2</v>
      </c>
    </row>
    <row r="77" spans="3:9" x14ac:dyDescent="0.2">
      <c r="C77" s="20" t="str">
        <f>'Billing Detail'!C303</f>
        <v>13(c)</v>
      </c>
      <c r="D77" s="89" t="str">
        <f>'Billing Detail'!B303</f>
        <v>Large Industrial HLF 10,000 KVA &amp; Under</v>
      </c>
      <c r="F77" s="70"/>
      <c r="G77" s="70"/>
      <c r="H77" s="70"/>
      <c r="I77" s="4"/>
    </row>
    <row r="78" spans="3:9" x14ac:dyDescent="0.2">
      <c r="D78" s="89"/>
      <c r="E78" s="2" t="str">
        <f>'Billing Detail'!D304</f>
        <v xml:space="preserve">Customer Charge </v>
      </c>
      <c r="F78" s="70">
        <f>'Billing Detail'!H304</f>
        <v>1162.4000000000001</v>
      </c>
      <c r="G78" s="70">
        <f>'Billing Detail'!L304</f>
        <v>1265.3210887486084</v>
      </c>
      <c r="H78" s="70">
        <f t="shared" si="2"/>
        <v>102.92108874860833</v>
      </c>
      <c r="I78" s="4">
        <f t="shared" si="3"/>
        <v>8.854188639763276E-2</v>
      </c>
    </row>
    <row r="79" spans="3:9" x14ac:dyDescent="0.2">
      <c r="D79" s="89"/>
      <c r="E79" s="2" t="str">
        <f>'Billing Detail'!D305</f>
        <v>Demand Charge per kW</v>
      </c>
      <c r="F79" s="70">
        <f>'Billing Detail'!H305</f>
        <v>10.79</v>
      </c>
      <c r="G79" s="70">
        <f>'Billing Detail'!L305</f>
        <v>11.745366954230457</v>
      </c>
      <c r="H79" s="70">
        <f t="shared" si="2"/>
        <v>0.95536695423045792</v>
      </c>
      <c r="I79" s="4">
        <f t="shared" si="3"/>
        <v>8.8541886397632802E-2</v>
      </c>
    </row>
    <row r="80" spans="3:9" x14ac:dyDescent="0.2">
      <c r="D80" s="89"/>
      <c r="E80" s="2" t="str">
        <f>'Billing Detail'!D306</f>
        <v>Energy Charge per kWh</v>
      </c>
      <c r="F80" s="71">
        <f>'Billing Detail'!H306</f>
        <v>5.4440000000000002E-2</v>
      </c>
      <c r="G80" s="71">
        <f>'Billing Detail'!L306</f>
        <v>5.9260220295487137E-2</v>
      </c>
      <c r="H80" s="70">
        <f t="shared" si="2"/>
        <v>4.8202202954871348E-3</v>
      </c>
      <c r="I80" s="4">
        <f t="shared" si="3"/>
        <v>8.8541886397632885E-2</v>
      </c>
    </row>
    <row r="81" spans="3:9" x14ac:dyDescent="0.2">
      <c r="C81" s="138" t="str">
        <f>'Billing Detail'!C183</f>
        <v>14(a)</v>
      </c>
      <c r="D81" s="89" t="str">
        <f>'Billing Detail'!B183</f>
        <v>Large Industrial MLF 1,000 - 4,999 KVA</v>
      </c>
      <c r="F81" s="70"/>
      <c r="G81" s="70"/>
      <c r="H81" s="70"/>
      <c r="I81" s="4"/>
    </row>
    <row r="82" spans="3:9" x14ac:dyDescent="0.2">
      <c r="D82" s="89"/>
      <c r="E82" s="2" t="str">
        <f>'Billing Detail'!D184</f>
        <v>Customer Charge</v>
      </c>
      <c r="F82" s="70">
        <f>'Billing Detail'!H184</f>
        <v>581.73</v>
      </c>
      <c r="G82" s="70">
        <f>'Billing Detail'!L184</f>
        <v>633.15</v>
      </c>
      <c r="H82" s="70">
        <f t="shared" ref="H82:H85" si="4">G82-F82</f>
        <v>51.419999999999959</v>
      </c>
      <c r="I82" s="4">
        <f t="shared" ref="I82:I85" si="5">H82/F82</f>
        <v>8.8391521840028811E-2</v>
      </c>
    </row>
    <row r="83" spans="3:9" x14ac:dyDescent="0.2">
      <c r="D83" s="89"/>
      <c r="E83" s="2" t="str">
        <f>'Billing Detail'!D185</f>
        <v>Energy Charge per kWh</v>
      </c>
      <c r="F83" s="71">
        <f>'Billing Detail'!H185</f>
        <v>5.7869999999999998E-2</v>
      </c>
      <c r="G83" s="71">
        <f>'Billing Detail'!L185</f>
        <v>6.2990000000000004E-2</v>
      </c>
      <c r="H83" s="71">
        <f t="shared" si="4"/>
        <v>5.1200000000000065E-3</v>
      </c>
      <c r="I83" s="4">
        <f t="shared" si="5"/>
        <v>8.8474166234664017E-2</v>
      </c>
    </row>
    <row r="84" spans="3:9" x14ac:dyDescent="0.2">
      <c r="D84" s="89"/>
      <c r="E84" s="2" t="str">
        <f>'Billing Detail'!D186</f>
        <v>Demand Charge Contract per kW</v>
      </c>
      <c r="F84" s="70">
        <f>'Billing Detail'!H186</f>
        <v>7.43</v>
      </c>
      <c r="G84" s="70">
        <f>'Billing Detail'!L186</f>
        <v>8.09</v>
      </c>
      <c r="H84" s="70">
        <f t="shared" si="4"/>
        <v>0.66000000000000014</v>
      </c>
      <c r="I84" s="4">
        <f t="shared" si="5"/>
        <v>8.8829071332436088E-2</v>
      </c>
    </row>
    <row r="85" spans="3:9" x14ac:dyDescent="0.2">
      <c r="D85" s="89"/>
      <c r="E85" s="2" t="str">
        <f>'Billing Detail'!D187</f>
        <v>Demand Charge Excess per kW</v>
      </c>
      <c r="F85" s="70">
        <f>'Billing Detail'!H187</f>
        <v>10.79</v>
      </c>
      <c r="G85" s="70">
        <f>'Billing Detail'!L187</f>
        <v>11.74</v>
      </c>
      <c r="H85" s="70">
        <f t="shared" si="4"/>
        <v>0.95000000000000107</v>
      </c>
      <c r="I85" s="4">
        <f t="shared" si="5"/>
        <v>8.804448563484718E-2</v>
      </c>
    </row>
    <row r="86" spans="3:9" x14ac:dyDescent="0.2">
      <c r="C86" s="20" t="str">
        <f>'Billing Detail'!C307</f>
        <v>14(b)</v>
      </c>
      <c r="D86" s="89" t="str">
        <f>'Billing Detail'!B307</f>
        <v>Large Industrial MLF 5,000 - 9,999 KVA</v>
      </c>
      <c r="F86" s="70"/>
      <c r="G86" s="70"/>
      <c r="H86" s="70"/>
      <c r="I86" s="4"/>
    </row>
    <row r="87" spans="3:9" x14ac:dyDescent="0.2">
      <c r="D87" s="89"/>
      <c r="E87" s="2" t="str">
        <f>'Billing Detail'!D308</f>
        <v xml:space="preserve">Customer Charge </v>
      </c>
      <c r="F87" s="70">
        <f>'Billing Detail'!H308</f>
        <v>1167.73</v>
      </c>
      <c r="G87" s="70">
        <f>'Billing Detail'!L308</f>
        <v>1271.1230170031079</v>
      </c>
      <c r="H87" s="70">
        <f t="shared" si="2"/>
        <v>103.39301700310784</v>
      </c>
      <c r="I87" s="4">
        <f t="shared" si="3"/>
        <v>8.8541886397632885E-2</v>
      </c>
    </row>
    <row r="88" spans="3:9" x14ac:dyDescent="0.2">
      <c r="D88" s="89"/>
      <c r="E88" s="2" t="str">
        <f>'Billing Detail'!D309</f>
        <v>Demand Charge Contract per kW</v>
      </c>
      <c r="F88" s="70">
        <f>'Billing Detail'!H309</f>
        <v>7.43</v>
      </c>
      <c r="G88" s="70">
        <f>'Billing Detail'!L309</f>
        <v>8.0878662159344117</v>
      </c>
      <c r="H88" s="70">
        <f t="shared" si="2"/>
        <v>0.65786621593441197</v>
      </c>
      <c r="I88" s="4">
        <f t="shared" si="3"/>
        <v>8.8541886397632844E-2</v>
      </c>
    </row>
    <row r="89" spans="3:9" x14ac:dyDescent="0.2">
      <c r="D89" s="89"/>
      <c r="E89" s="2" t="str">
        <f>'Billing Detail'!D310</f>
        <v>Demand Charge Demand per kW</v>
      </c>
      <c r="F89" s="70">
        <f>'Billing Detail'!H310</f>
        <v>10.79</v>
      </c>
      <c r="G89" s="70">
        <f>'Billing Detail'!L310</f>
        <v>11.745366954230457</v>
      </c>
      <c r="H89" s="70">
        <f t="shared" si="2"/>
        <v>0.95536695423045792</v>
      </c>
      <c r="I89" s="4">
        <f t="shared" si="3"/>
        <v>8.8541886397632802E-2</v>
      </c>
    </row>
    <row r="90" spans="3:9" x14ac:dyDescent="0.2">
      <c r="D90" s="89"/>
      <c r="E90" s="2" t="str">
        <f>'Billing Detail'!D311</f>
        <v>Energy Charge per kWh</v>
      </c>
      <c r="F90" s="71">
        <f>'Billing Detail'!H311</f>
        <v>5.5449999999999999E-2</v>
      </c>
      <c r="G90" s="71">
        <f>'Billing Detail'!L311</f>
        <v>6.0359647600748738E-2</v>
      </c>
      <c r="H90" s="70">
        <f t="shared" si="2"/>
        <v>4.9096476007487386E-3</v>
      </c>
      <c r="I90" s="4">
        <f t="shared" si="3"/>
        <v>8.8541886397632802E-2</v>
      </c>
    </row>
    <row r="91" spans="3:9" x14ac:dyDescent="0.2">
      <c r="C91" s="20" t="str">
        <f>'Billing Detail'!C312</f>
        <v>14(c )</v>
      </c>
      <c r="D91" s="89" t="str">
        <f>'Billing Detail'!B312</f>
        <v>Large Industrial MLF 10,000 KVA &amp; Under</v>
      </c>
      <c r="F91" s="70"/>
      <c r="G91" s="70"/>
      <c r="H91" s="70"/>
      <c r="I91" s="4"/>
    </row>
    <row r="92" spans="3:9" x14ac:dyDescent="0.2">
      <c r="D92" s="89"/>
      <c r="E92" s="2" t="str">
        <f>'Billing Detail'!D313</f>
        <v xml:space="preserve">Customer Charge </v>
      </c>
      <c r="F92" s="70">
        <f>'Billing Detail'!H313</f>
        <v>1167.73</v>
      </c>
      <c r="G92" s="70">
        <f>'Billing Detail'!L313</f>
        <v>1271.1230170031079</v>
      </c>
      <c r="H92" s="70">
        <f t="shared" si="2"/>
        <v>103.39301700310784</v>
      </c>
      <c r="I92" s="4">
        <f t="shared" si="3"/>
        <v>8.8541886397632885E-2</v>
      </c>
    </row>
    <row r="93" spans="3:9" x14ac:dyDescent="0.2">
      <c r="D93" s="89"/>
      <c r="E93" s="2" t="str">
        <f>'Billing Detail'!D314</f>
        <v>Demand Charge Contract per kW</v>
      </c>
      <c r="F93" s="70">
        <f>'Billing Detail'!H314</f>
        <v>7.43</v>
      </c>
      <c r="G93" s="70">
        <f>'Billing Detail'!L314</f>
        <v>8.0878662159344117</v>
      </c>
      <c r="H93" s="70">
        <f t="shared" si="2"/>
        <v>0.65786621593441197</v>
      </c>
      <c r="I93" s="4">
        <f t="shared" si="3"/>
        <v>8.8541886397632844E-2</v>
      </c>
    </row>
    <row r="94" spans="3:9" x14ac:dyDescent="0.2">
      <c r="D94" s="89"/>
      <c r="E94" s="2" t="str">
        <f>'Billing Detail'!D315</f>
        <v>Demand Charge Demand per kW</v>
      </c>
      <c r="F94" s="70">
        <f>'Billing Detail'!H315</f>
        <v>10.79</v>
      </c>
      <c r="G94" s="70">
        <f>'Billing Detail'!L315</f>
        <v>11.745366954230457</v>
      </c>
      <c r="H94" s="70">
        <f t="shared" si="2"/>
        <v>0.95536695423045792</v>
      </c>
      <c r="I94" s="4">
        <f t="shared" si="3"/>
        <v>8.8541886397632802E-2</v>
      </c>
    </row>
    <row r="95" spans="3:9" x14ac:dyDescent="0.2">
      <c r="D95" s="89"/>
      <c r="E95" s="2" t="str">
        <f>'Billing Detail'!D316</f>
        <v>Energy Charge per kWh</v>
      </c>
      <c r="F95" s="71">
        <f>'Billing Detail'!H316</f>
        <v>5.4440000000000002E-2</v>
      </c>
      <c r="G95" s="71">
        <f>'Billing Detail'!L316</f>
        <v>5.9260220295487137E-2</v>
      </c>
      <c r="H95" s="70">
        <f t="shared" si="2"/>
        <v>4.8202202954871348E-3</v>
      </c>
      <c r="I95" s="4">
        <f t="shared" si="3"/>
        <v>8.8541886397632885E-2</v>
      </c>
    </row>
    <row r="96" spans="3:9" x14ac:dyDescent="0.2">
      <c r="C96" s="20">
        <f>'Billing Detail'!C317</f>
        <v>10</v>
      </c>
      <c r="D96" s="89" t="str">
        <f>'Billing Detail'!B317</f>
        <v>Schedule 10 - Residential TOD</v>
      </c>
      <c r="F96" s="70"/>
      <c r="G96" s="70"/>
    </row>
    <row r="97" spans="3:9" x14ac:dyDescent="0.2">
      <c r="D97" s="3"/>
      <c r="E97" s="2" t="str">
        <f>'Billing Detail'!D318</f>
        <v>Customer Charge</v>
      </c>
      <c r="F97" s="70">
        <f>'Billing Detail'!H318</f>
        <v>21.84</v>
      </c>
      <c r="G97" s="70">
        <f>'Billing Detail'!L318</f>
        <v>22.962046622315928</v>
      </c>
      <c r="H97" s="70">
        <f t="shared" ref="H97:H99" si="6">G97-F97</f>
        <v>1.1220466223159278</v>
      </c>
      <c r="I97" s="4">
        <f t="shared" ref="I97:I99" si="7">H97/F97</f>
        <v>5.1375761095051639E-2</v>
      </c>
    </row>
    <row r="98" spans="3:9" x14ac:dyDescent="0.2">
      <c r="D98" s="3"/>
      <c r="E98" s="2" t="str">
        <f>'Billing Detail'!D319</f>
        <v>Energy Charge On Peak per kWh</v>
      </c>
      <c r="F98" s="143">
        <f>'Billing Detail'!H319</f>
        <v>0.21768000000000001</v>
      </c>
      <c r="G98" s="143">
        <f>'Billing Detail'!L319</f>
        <v>0.22886347567517085</v>
      </c>
      <c r="H98" s="70">
        <f t="shared" si="6"/>
        <v>1.1183475675170834E-2</v>
      </c>
      <c r="I98" s="4">
        <f t="shared" si="7"/>
        <v>5.1375761095051604E-2</v>
      </c>
    </row>
    <row r="99" spans="3:9" x14ac:dyDescent="0.2">
      <c r="D99" s="3"/>
      <c r="E99" s="2" t="str">
        <f>'Billing Detail'!D320</f>
        <v>Energy Charge Off Peak per kWh</v>
      </c>
      <c r="F99" s="143">
        <f>'Billing Detail'!H320</f>
        <v>7.689E-2</v>
      </c>
      <c r="G99" s="143">
        <f>'Billing Detail'!L320</f>
        <v>8.0840282270598515E-2</v>
      </c>
      <c r="H99" s="70">
        <f t="shared" si="6"/>
        <v>3.9502822705985152E-3</v>
      </c>
      <c r="I99" s="4">
        <f t="shared" si="7"/>
        <v>5.137576109505157E-2</v>
      </c>
    </row>
    <row r="100" spans="3:9" x14ac:dyDescent="0.2">
      <c r="D100" s="3"/>
      <c r="F100" s="70"/>
      <c r="G100" s="70"/>
      <c r="H100" s="70"/>
      <c r="I100" s="4"/>
    </row>
    <row r="101" spans="3:9" x14ac:dyDescent="0.2">
      <c r="F101" s="70"/>
      <c r="G101" s="70"/>
    </row>
    <row r="102" spans="3:9" ht="41.45" customHeight="1" x14ac:dyDescent="0.2">
      <c r="C102" s="170" t="s">
        <v>50</v>
      </c>
      <c r="D102" s="170"/>
      <c r="E102" s="170"/>
      <c r="F102" s="170"/>
      <c r="G102" s="170"/>
    </row>
    <row r="103" spans="3:9" x14ac:dyDescent="0.2">
      <c r="D103" s="2"/>
      <c r="F103" s="171" t="s">
        <v>51</v>
      </c>
      <c r="G103" s="171"/>
    </row>
    <row r="104" spans="3:9" x14ac:dyDescent="0.2">
      <c r="C104" s="101" t="s">
        <v>52</v>
      </c>
      <c r="D104" s="79"/>
      <c r="E104" s="80"/>
      <c r="F104" s="81" t="s">
        <v>53</v>
      </c>
      <c r="G104" s="81" t="s">
        <v>54</v>
      </c>
    </row>
    <row r="105" spans="3:9" x14ac:dyDescent="0.2">
      <c r="C105" s="86">
        <f>Summary!C9</f>
        <v>1</v>
      </c>
      <c r="D105" s="3" t="str">
        <f>Summary!B9</f>
        <v xml:space="preserve">Domestic Farm &amp; Home </v>
      </c>
      <c r="F105" s="82">
        <f>Summary!L9</f>
        <v>1049936.8893999988</v>
      </c>
      <c r="G105" s="83">
        <f>Summary!N9</f>
        <v>5.1036830826461953E-2</v>
      </c>
    </row>
    <row r="106" spans="3:9" x14ac:dyDescent="0.2">
      <c r="C106" s="86">
        <f>Summary!C10</f>
        <v>2</v>
      </c>
      <c r="D106" s="3" t="str">
        <f>Summary!B10</f>
        <v>Commercial &amp; Small Power &lt;50 KVA</v>
      </c>
      <c r="F106" s="82">
        <f>Summary!L10</f>
        <v>129983.11009999982</v>
      </c>
      <c r="G106" s="83">
        <f>Summary!N10</f>
        <v>5.0793965736888422E-2</v>
      </c>
      <c r="H106" s="1"/>
    </row>
    <row r="107" spans="3:9" x14ac:dyDescent="0.2">
      <c r="C107" s="86">
        <f>Summary!C11</f>
        <v>4</v>
      </c>
      <c r="D107" s="3" t="str">
        <f>Summary!B11</f>
        <v>Large Power 50-999 KVA</v>
      </c>
      <c r="F107" s="82">
        <f>Summary!L11</f>
        <v>118801.60954</v>
      </c>
      <c r="G107" s="83">
        <f>Summary!N11</f>
        <v>5.097940381174846E-2</v>
      </c>
      <c r="H107" s="1"/>
    </row>
    <row r="108" spans="3:9" x14ac:dyDescent="0.2">
      <c r="C108" s="86">
        <f>Summary!C12</f>
        <v>7</v>
      </c>
      <c r="D108" s="3" t="str">
        <f>Summary!B12</f>
        <v>All Electric Schools</v>
      </c>
      <c r="F108" s="82">
        <f>Summary!L12</f>
        <v>28483.943749999999</v>
      </c>
      <c r="G108" s="83">
        <f>Summary!N12</f>
        <v>5.0683862155201154E-2</v>
      </c>
      <c r="H108" s="1"/>
    </row>
    <row r="109" spans="3:9" x14ac:dyDescent="0.2">
      <c r="C109" s="86">
        <f>Summary!C13</f>
        <v>14</v>
      </c>
      <c r="D109" s="3" t="str">
        <f>Summary!B13</f>
        <v>Large Power /Pri Discount</v>
      </c>
      <c r="F109" s="82">
        <f>Summary!L13</f>
        <v>38860.50579999997</v>
      </c>
      <c r="G109" s="83">
        <f>Summary!N13</f>
        <v>5.655593922059414E-2</v>
      </c>
      <c r="H109" s="1"/>
    </row>
    <row r="110" spans="3:9" x14ac:dyDescent="0.2">
      <c r="C110" s="86">
        <f>Summary!C14</f>
        <v>16</v>
      </c>
      <c r="D110" s="3" t="str">
        <f>Summary!B14</f>
        <v>Small Commercial Demand &amp; Energy Rate</v>
      </c>
      <c r="F110" s="82">
        <f>Summary!L14</f>
        <v>1109.1238187599993</v>
      </c>
      <c r="G110" s="83">
        <f>Summary!N14</f>
        <v>5.0954981360975274E-2</v>
      </c>
      <c r="H110" s="1"/>
    </row>
    <row r="111" spans="3:9" x14ac:dyDescent="0.2">
      <c r="C111" s="86">
        <f>Summary!C15</f>
        <v>17</v>
      </c>
      <c r="D111" s="3" t="str">
        <f>Summary!B15</f>
        <v>Water Pumping Service</v>
      </c>
      <c r="F111" s="82">
        <f>Summary!L15</f>
        <v>118.2995999999996</v>
      </c>
      <c r="G111" s="83">
        <f>Summary!N15</f>
        <v>5.0526856374939005E-2</v>
      </c>
      <c r="H111" s="1"/>
    </row>
    <row r="112" spans="3:9" x14ac:dyDescent="0.2">
      <c r="C112" s="86">
        <f>Summary!C16</f>
        <v>18</v>
      </c>
      <c r="D112" s="3" t="str">
        <f>Summary!B16</f>
        <v>General Service Rate</v>
      </c>
      <c r="F112" s="82">
        <f>Summary!L16</f>
        <v>96024.473089999985</v>
      </c>
      <c r="G112" s="83">
        <f>Summary!N16</f>
        <v>5.0613828316932022E-2</v>
      </c>
      <c r="H112" s="1"/>
    </row>
    <row r="113" spans="3:8" x14ac:dyDescent="0.2">
      <c r="C113" s="86">
        <f>Summary!C17</f>
        <v>19</v>
      </c>
      <c r="D113" s="3" t="str">
        <f>Summary!B17</f>
        <v>Temporary Service Rate</v>
      </c>
      <c r="F113" s="82">
        <f>Summary!L17</f>
        <v>2139.4217999999964</v>
      </c>
      <c r="G113" s="83">
        <f>Summary!N17</f>
        <v>5.0724067710998334E-2</v>
      </c>
      <c r="H113" s="1"/>
    </row>
    <row r="114" spans="3:8" x14ac:dyDescent="0.2">
      <c r="C114" s="86">
        <f>Summary!C18</f>
        <v>20</v>
      </c>
      <c r="D114" s="3" t="str">
        <f>Summary!B18</f>
        <v>Residential Inclining Block Rate</v>
      </c>
      <c r="F114" s="82">
        <f>Summary!L18</f>
        <v>595.81150000000014</v>
      </c>
      <c r="G114" s="83">
        <f>Summary!N18</f>
        <v>5.0354258528137602E-2</v>
      </c>
      <c r="H114" s="1"/>
    </row>
    <row r="115" spans="3:8" x14ac:dyDescent="0.2">
      <c r="C115" s="86">
        <f>Summary!C19</f>
        <v>21</v>
      </c>
      <c r="D115" s="3" t="str">
        <f>Summary!B19</f>
        <v>Prepay Metering Program (Residential) Sch 21</v>
      </c>
      <c r="F115" s="82">
        <f>Summary!L19</f>
        <v>121654.62369999965</v>
      </c>
      <c r="G115" s="83">
        <f>Summary!N19</f>
        <v>4.9229684278864393E-2</v>
      </c>
      <c r="H115" s="1"/>
    </row>
    <row r="116" spans="3:8" x14ac:dyDescent="0.2">
      <c r="C116" s="86">
        <f>Summary!C20</f>
        <v>32</v>
      </c>
      <c r="D116" s="3" t="str">
        <f>Summary!B20</f>
        <v>Prepay Metering Program (General Service) Sch 21</v>
      </c>
      <c r="F116" s="82">
        <f>Summary!L20</f>
        <v>3193.0881699999991</v>
      </c>
      <c r="G116" s="83">
        <f>Summary!N20</f>
        <v>4.6803768338772971E-2</v>
      </c>
      <c r="H116" s="1"/>
    </row>
    <row r="117" spans="3:8" x14ac:dyDescent="0.2">
      <c r="C117" s="86">
        <f>Summary!C21</f>
        <v>22</v>
      </c>
      <c r="D117" s="3" t="str">
        <f>Summary!B21</f>
        <v>Schedule NM - Residential Net Metering</v>
      </c>
      <c r="F117" s="82">
        <f>Summary!L21</f>
        <v>4457.8876999999866</v>
      </c>
      <c r="G117" s="83">
        <f>Summary!N21</f>
        <v>5.2617158636291184E-2</v>
      </c>
      <c r="H117" s="1"/>
    </row>
    <row r="118" spans="3:8" x14ac:dyDescent="0.2">
      <c r="C118" s="86">
        <f>Summary!C22</f>
        <v>11</v>
      </c>
      <c r="D118" s="3" t="str">
        <f>Summary!B22</f>
        <v>Small Commercial TOD</v>
      </c>
      <c r="F118" s="82">
        <f>Summary!L22</f>
        <v>1792.7521300000017</v>
      </c>
      <c r="G118" s="83">
        <f>Summary!N22</f>
        <v>5.0610098086228419E-2</v>
      </c>
    </row>
    <row r="119" spans="3:8" x14ac:dyDescent="0.2">
      <c r="C119" s="86" t="str">
        <f>Summary!C29</f>
        <v>14(a)</v>
      </c>
      <c r="D119" s="3" t="str">
        <f>Summary!B29</f>
        <v>Large Industrial MLF 1,000 - 4,999 KVA</v>
      </c>
      <c r="F119" s="82">
        <f>Summary!L29</f>
        <v>120739.85520000009</v>
      </c>
      <c r="G119" s="83">
        <f>Summary!N29</f>
        <v>8.0957866582567081E-2</v>
      </c>
    </row>
    <row r="120" spans="3:8" x14ac:dyDescent="0.2">
      <c r="C120" s="86" t="str">
        <f>Summary!C30</f>
        <v>14(a)</v>
      </c>
      <c r="D120" s="3" t="str">
        <f>Summary!B30</f>
        <v>Large Industrial MLF 1,000 - 4,999 KVA</v>
      </c>
      <c r="F120" s="82">
        <f>Summary!L30</f>
        <v>65136.612000000103</v>
      </c>
      <c r="G120" s="83">
        <f>Summary!N30</f>
        <v>8.1624586285368533E-2</v>
      </c>
    </row>
    <row r="121" spans="3:8" x14ac:dyDescent="0.2">
      <c r="C121" s="86">
        <f>Summary!C23</f>
        <v>35</v>
      </c>
      <c r="D121" s="3" t="str">
        <f>Summary!B23</f>
        <v>Net Metering Large Power</v>
      </c>
      <c r="F121" s="82">
        <f>Summary!L23</f>
        <v>790.05559999999946</v>
      </c>
      <c r="G121" s="83">
        <f>Summary!N23</f>
        <v>5.0916978606809958E-2</v>
      </c>
    </row>
    <row r="122" spans="3:8" x14ac:dyDescent="0.2">
      <c r="C122" s="86">
        <f>Summary!C25</f>
        <v>38</v>
      </c>
      <c r="D122" s="3" t="str">
        <f>Summary!B25</f>
        <v>Net Metering Small Commercial</v>
      </c>
      <c r="F122" s="82">
        <f>Summary!L25</f>
        <v>48.52600000000001</v>
      </c>
      <c r="G122" s="83">
        <f>Summary!N25</f>
        <v>5.2962140680699772E-2</v>
      </c>
    </row>
    <row r="123" spans="3:8" x14ac:dyDescent="0.2">
      <c r="C123" s="86">
        <f>Summary!C26</f>
        <v>6</v>
      </c>
      <c r="D123" s="3" t="str">
        <f>Summary!B26</f>
        <v>Outdoor Lighting - Security Lights</v>
      </c>
      <c r="F123" s="82">
        <f>Summary!L26</f>
        <v>42543.020000000019</v>
      </c>
      <c r="G123" s="83">
        <f>Summary!N26</f>
        <v>5.5076040644164791E-2</v>
      </c>
    </row>
    <row r="124" spans="3:8" x14ac:dyDescent="0.2">
      <c r="C124" s="172"/>
      <c r="D124" s="173" t="s">
        <v>133</v>
      </c>
      <c r="E124" s="49"/>
      <c r="F124" s="174">
        <f>Summary!L42</f>
        <v>1826409.6088987589</v>
      </c>
      <c r="G124" s="175">
        <f>Summary!N42</f>
        <v>4.7180631573101442E-2</v>
      </c>
    </row>
    <row r="125" spans="3:8" x14ac:dyDescent="0.2">
      <c r="D125" s="2"/>
    </row>
    <row r="126" spans="3:8" ht="40.15" customHeight="1" x14ac:dyDescent="0.2">
      <c r="C126" s="170" t="s">
        <v>55</v>
      </c>
      <c r="D126" s="170"/>
      <c r="E126" s="170"/>
      <c r="F126" s="170"/>
      <c r="G126" s="170"/>
      <c r="H126" s="139"/>
    </row>
    <row r="127" spans="3:8" x14ac:dyDescent="0.2">
      <c r="D127" s="2"/>
      <c r="E127" s="84" t="s">
        <v>18</v>
      </c>
      <c r="F127" s="171" t="s">
        <v>51</v>
      </c>
      <c r="G127" s="171"/>
    </row>
    <row r="128" spans="3:8" x14ac:dyDescent="0.2">
      <c r="C128" s="101" t="s">
        <v>52</v>
      </c>
      <c r="D128" s="80"/>
      <c r="E128" s="85" t="s">
        <v>56</v>
      </c>
      <c r="F128" s="81" t="s">
        <v>53</v>
      </c>
      <c r="G128" s="81" t="s">
        <v>54</v>
      </c>
    </row>
    <row r="129" spans="3:11" x14ac:dyDescent="0.2">
      <c r="C129" s="20">
        <f>Summary!C9</f>
        <v>1</v>
      </c>
      <c r="D129" s="97" t="str">
        <f>Summary!B9</f>
        <v xml:space="preserve">Domestic Farm &amp; Home </v>
      </c>
      <c r="E129" s="87">
        <f>'Billing Detail'!E17</f>
        <v>1044.0208339845581</v>
      </c>
      <c r="F129" s="70">
        <f>'Billing Detail'!N17</f>
        <v>8.204939587696515</v>
      </c>
      <c r="G129" s="4">
        <f>Summary!N9</f>
        <v>5.1036830826461953E-2</v>
      </c>
      <c r="K129" s="16"/>
    </row>
    <row r="130" spans="3:11" x14ac:dyDescent="0.2">
      <c r="C130" s="20">
        <f>Summary!C10</f>
        <v>2</v>
      </c>
      <c r="D130" s="97" t="str">
        <f>Summary!B10</f>
        <v>Commercial &amp; Small Power &lt;50 KVA</v>
      </c>
      <c r="E130" s="87">
        <f>'Billing Detail'!E29</f>
        <v>1172.9610571260307</v>
      </c>
      <c r="F130" s="70">
        <f>'Billing Detail'!N29</f>
        <v>9.5688390827443754</v>
      </c>
      <c r="G130" s="4">
        <f>Summary!N10</f>
        <v>5.0793965736888422E-2</v>
      </c>
      <c r="K130" s="16"/>
    </row>
    <row r="131" spans="3:11" x14ac:dyDescent="0.2">
      <c r="C131" s="20">
        <f>Summary!C11</f>
        <v>4</v>
      </c>
      <c r="D131" s="97" t="str">
        <f>Summary!B11</f>
        <v>Large Power 50-999 KVA</v>
      </c>
      <c r="E131" s="87">
        <f>'Billing Detail'!E42</f>
        <v>23164.641697877654</v>
      </c>
      <c r="F131" s="70">
        <f>'Billing Detail'!N42</f>
        <v>148.31661615480698</v>
      </c>
      <c r="G131" s="4">
        <f>Summary!N11</f>
        <v>5.097940381174846E-2</v>
      </c>
      <c r="K131" s="16"/>
    </row>
    <row r="132" spans="3:11" x14ac:dyDescent="0.2">
      <c r="C132" s="20">
        <f>Summary!C12</f>
        <v>7</v>
      </c>
      <c r="D132" s="97" t="str">
        <f>Summary!B12</f>
        <v>All Electric Schools</v>
      </c>
      <c r="E132" s="87">
        <f>'Billing Detail'!E55</f>
        <v>45049.851485148516</v>
      </c>
      <c r="F132" s="70">
        <f>'Billing Detail'!N55</f>
        <v>282.01924504950512</v>
      </c>
      <c r="G132" s="4">
        <f>Summary!N12</f>
        <v>5.0683862155201154E-2</v>
      </c>
      <c r="K132" s="16"/>
    </row>
    <row r="133" spans="3:11" x14ac:dyDescent="0.2">
      <c r="C133" s="20">
        <f>Summary!C13</f>
        <v>14</v>
      </c>
      <c r="D133" s="97" t="str">
        <f>Summary!B13</f>
        <v>Large Power /Pri Discount</v>
      </c>
      <c r="E133" s="87">
        <f>'Billing Detail'!E68</f>
        <v>90800.833333333328</v>
      </c>
      <c r="F133" s="70">
        <f>'Billing Detail'!N68</f>
        <v>539.72924722222342</v>
      </c>
      <c r="G133" s="4">
        <f>Summary!N13</f>
        <v>5.655593922059414E-2</v>
      </c>
      <c r="K133" s="16"/>
    </row>
    <row r="134" spans="3:11" x14ac:dyDescent="0.2">
      <c r="C134" s="20">
        <f>Summary!C14</f>
        <v>16</v>
      </c>
      <c r="D134" s="97" t="str">
        <f>Summary!B14</f>
        <v>Small Commercial Demand &amp; Energy Rate</v>
      </c>
      <c r="E134" s="87">
        <f>'Billing Detail'!E81</f>
        <v>3291.6666666666665</v>
      </c>
      <c r="F134" s="70">
        <f>'Billing Detail'!N81</f>
        <v>18.485396979333302</v>
      </c>
      <c r="G134" s="4">
        <f>Summary!N14</f>
        <v>5.0954981360975274E-2</v>
      </c>
      <c r="K134" s="16"/>
    </row>
    <row r="135" spans="3:11" x14ac:dyDescent="0.2">
      <c r="C135" s="20">
        <f>Summary!C15</f>
        <v>17</v>
      </c>
      <c r="D135" s="97" t="str">
        <f>Summary!B15</f>
        <v>Water Pumping Service</v>
      </c>
      <c r="E135" s="87">
        <f>'Billing Detail'!E94</f>
        <v>1033.3333333333333</v>
      </c>
      <c r="F135" s="70">
        <f>'Billing Detail'!N94</f>
        <v>9.8582999999999856</v>
      </c>
      <c r="G135" s="4">
        <f>Summary!N15</f>
        <v>5.0526856374939005E-2</v>
      </c>
      <c r="K135" s="16"/>
    </row>
    <row r="136" spans="3:11" x14ac:dyDescent="0.2">
      <c r="C136" s="20">
        <f>Summary!C16</f>
        <v>18</v>
      </c>
      <c r="D136" s="97" t="str">
        <f>Summary!B16</f>
        <v>General Service Rate</v>
      </c>
      <c r="E136" s="88">
        <f>'Billing Detail'!E106</f>
        <v>221.85988753514528</v>
      </c>
      <c r="F136" s="70">
        <f>'Billing Detail'!N106</f>
        <v>3.4613392361761868</v>
      </c>
      <c r="G136" s="4">
        <f>Summary!N16</f>
        <v>5.0613828316932022E-2</v>
      </c>
      <c r="K136" s="16"/>
    </row>
    <row r="137" spans="3:11" x14ac:dyDescent="0.2">
      <c r="C137" s="20">
        <f>Summary!C17</f>
        <v>19</v>
      </c>
      <c r="D137" s="97" t="str">
        <f>Summary!B17</f>
        <v>Temporary Service Rate</v>
      </c>
      <c r="E137" s="87">
        <f>'Billing Detail'!E118</f>
        <v>420.99453551912569</v>
      </c>
      <c r="F137" s="70">
        <f>'Billing Detail'!N118</f>
        <v>5.845414754098357</v>
      </c>
      <c r="G137" s="4">
        <f>Summary!N17</f>
        <v>5.0724067710998334E-2</v>
      </c>
      <c r="K137" s="16"/>
    </row>
    <row r="138" spans="3:11" x14ac:dyDescent="0.2">
      <c r="C138" s="20">
        <f>Summary!C18</f>
        <v>20</v>
      </c>
      <c r="D138" s="97" t="str">
        <f>Summary!B18</f>
        <v>Residential Inclining Block Rate</v>
      </c>
      <c r="E138" s="87">
        <f>'Billing Detail'!E132</f>
        <v>229.77178423236515</v>
      </c>
      <c r="F138" s="70">
        <f>'Billing Detail'!N132</f>
        <v>2.4722468879668114</v>
      </c>
      <c r="G138" s="4">
        <f>Summary!N18</f>
        <v>5.0354258528137602E-2</v>
      </c>
      <c r="K138" s="16"/>
    </row>
    <row r="139" spans="3:11" x14ac:dyDescent="0.2">
      <c r="C139" s="20">
        <f>Summary!C19</f>
        <v>21</v>
      </c>
      <c r="D139" s="97" t="str">
        <f>Summary!B19</f>
        <v>Prepay Metering Program (Residential) Sch 21</v>
      </c>
      <c r="E139" s="87">
        <f>'Billing Detail'!E144</f>
        <v>1171.8092507075824</v>
      </c>
      <c r="F139" s="70">
        <f>'Billing Detail'!N144</f>
        <v>9.0611219797407614</v>
      </c>
      <c r="G139" s="4">
        <f>Summary!N19</f>
        <v>4.9229684278864393E-2</v>
      </c>
      <c r="K139" s="16"/>
    </row>
    <row r="140" spans="3:11" x14ac:dyDescent="0.2">
      <c r="C140" s="20">
        <f>Summary!C20</f>
        <v>32</v>
      </c>
      <c r="D140" s="97" t="str">
        <f>Summary!B20</f>
        <v>Prepay Metering Program (General Service) Sch 21</v>
      </c>
      <c r="E140" s="87">
        <f>'Billing Detail'!E156</f>
        <v>444.16974789915969</v>
      </c>
      <c r="F140" s="70">
        <f>'Billing Detail'!N156</f>
        <v>5.3665347394957763</v>
      </c>
      <c r="G140" s="4">
        <f>Summary!N20</f>
        <v>4.6803768338772971E-2</v>
      </c>
      <c r="K140" s="16"/>
    </row>
    <row r="141" spans="3:11" x14ac:dyDescent="0.2">
      <c r="C141" s="20">
        <f>Summary!C21</f>
        <v>22</v>
      </c>
      <c r="D141" s="97" t="str">
        <f>Summary!B21</f>
        <v>Schedule NM - Residential Net Metering</v>
      </c>
      <c r="E141" s="92">
        <f>'Billing Detail'!E168</f>
        <v>579031</v>
      </c>
      <c r="F141" s="91">
        <f>'Billing Detail'!N168</f>
        <v>9.3261248953974416</v>
      </c>
      <c r="G141" s="4">
        <f>Summary!N21</f>
        <v>5.2617158636291184E-2</v>
      </c>
      <c r="K141" s="16"/>
    </row>
    <row r="142" spans="3:11" x14ac:dyDescent="0.2">
      <c r="C142" s="20">
        <f>Summary!C22</f>
        <v>11</v>
      </c>
      <c r="D142" s="97" t="str">
        <f>Summary!B22</f>
        <v>Small Commercial TOD</v>
      </c>
      <c r="E142" s="68">
        <f>'Billing Detail'!E181</f>
        <v>720.15277777777783</v>
      </c>
      <c r="F142" s="15">
        <f>'Billing Detail'!N181</f>
        <v>6.2248337847222359</v>
      </c>
      <c r="G142" s="4">
        <f>Summary!N22</f>
        <v>5.0610098086228419E-2</v>
      </c>
      <c r="K142" s="16"/>
    </row>
    <row r="143" spans="3:11" x14ac:dyDescent="0.2">
      <c r="C143" s="20" t="str">
        <f>Summary!C29</f>
        <v>14(a)</v>
      </c>
      <c r="D143" s="97" t="str">
        <f>Summary!B29</f>
        <v>Large Industrial MLF 1,000 - 4,999 KVA</v>
      </c>
      <c r="E143" s="92">
        <f>'Billing Detail'!E195</f>
        <v>1576580</v>
      </c>
      <c r="F143" s="91">
        <f>'Billing Detail'!N195</f>
        <v>10061.654599999994</v>
      </c>
      <c r="G143" s="4">
        <f>Summary!N29</f>
        <v>8.0957866582567081E-2</v>
      </c>
      <c r="K143" s="16"/>
    </row>
    <row r="144" spans="3:11" x14ac:dyDescent="0.2">
      <c r="C144" s="20" t="str">
        <f>Summary!C30</f>
        <v>14(a)</v>
      </c>
      <c r="D144" s="97" t="str">
        <f>Summary!B30</f>
        <v>Large Industrial MLF 1,000 - 4,999 KVA</v>
      </c>
      <c r="E144" s="92">
        <f>'Billing Detail'!E209</f>
        <v>851700</v>
      </c>
      <c r="F144" s="91">
        <f>'Billing Detail'!N209</f>
        <v>5428.0510000000213</v>
      </c>
      <c r="G144" s="4">
        <f>Summary!N30</f>
        <v>8.1624586285368533E-2</v>
      </c>
    </row>
    <row r="145" spans="3:11" x14ac:dyDescent="0.2">
      <c r="C145" s="20">
        <f>Summary!C23</f>
        <v>35</v>
      </c>
      <c r="D145" s="97" t="str">
        <f>Summary!B23</f>
        <v>Net Metering Large Power</v>
      </c>
      <c r="E145" s="92">
        <f>'Billing Detail'!E222</f>
        <v>11676.666666666666</v>
      </c>
      <c r="F145" s="91">
        <f>'Billing Detail'!N222</f>
        <v>65.837966666666716</v>
      </c>
      <c r="G145" s="4">
        <f>Summary!N23</f>
        <v>5.0916978606809958E-2</v>
      </c>
    </row>
    <row r="146" spans="3:11" x14ac:dyDescent="0.2">
      <c r="C146" s="20">
        <f>Summary!C25</f>
        <v>38</v>
      </c>
      <c r="D146" s="97" t="str">
        <f>Summary!B25</f>
        <v>Net Metering Small Commercial</v>
      </c>
      <c r="E146" s="92">
        <f>'Billing Detail'!E248</f>
        <v>348.33333333333331</v>
      </c>
      <c r="F146" s="91">
        <f>'Billing Detail'!N248</f>
        <v>4.0438333333333247</v>
      </c>
      <c r="G146" s="4">
        <f>Summary!N25</f>
        <v>5.2962140680699772E-2</v>
      </c>
    </row>
    <row r="147" spans="3:11" x14ac:dyDescent="0.2">
      <c r="C147" s="20">
        <f>Summary!C26</f>
        <v>6</v>
      </c>
      <c r="D147" s="97" t="str">
        <f>Summary!B26</f>
        <v>Outdoor Lighting - Security Lights</v>
      </c>
      <c r="E147" s="93" t="s">
        <v>57</v>
      </c>
      <c r="F147" s="91" t="s">
        <v>57</v>
      </c>
      <c r="G147" s="4">
        <f>Summary!N26</f>
        <v>5.5076040644164791E-2</v>
      </c>
      <c r="K147" s="16"/>
    </row>
    <row r="148" spans="3:11" x14ac:dyDescent="0.2">
      <c r="C148" s="74"/>
      <c r="D148" s="176" t="s">
        <v>133</v>
      </c>
      <c r="E148" s="177"/>
      <c r="F148" s="178"/>
      <c r="G148" s="179">
        <f>G124</f>
        <v>4.7180631573101442E-2</v>
      </c>
      <c r="K148" s="16"/>
    </row>
    <row r="149" spans="3:11" x14ac:dyDescent="0.2">
      <c r="D149" s="97"/>
      <c r="E149" s="92"/>
      <c r="F149" s="91"/>
      <c r="G149" s="4"/>
    </row>
    <row r="150" spans="3:11" x14ac:dyDescent="0.2">
      <c r="D150" s="97"/>
      <c r="E150" s="92"/>
      <c r="F150" s="91"/>
      <c r="G150" s="4"/>
    </row>
  </sheetData>
  <mergeCells count="4">
    <mergeCell ref="C102:G102"/>
    <mergeCell ref="F103:G103"/>
    <mergeCell ref="F127:G127"/>
    <mergeCell ref="C126:G126"/>
  </mergeCells>
  <printOptions horizontalCentered="1"/>
  <pageMargins left="0.7" right="0.7" top="0.75" bottom="0.75" header="0.3" footer="0.3"/>
  <pageSetup paperSize="9" scale="69" fitToHeight="2" orientation="portrait" r:id="rId1"/>
  <headerFooter>
    <oddHeader>&amp;R&amp;"Arial,Bold"&amp;10Exhibit 3
Page &amp;P of &amp;N</oddHeader>
  </headerFooter>
  <rowBreaks count="1" manualBreakCount="1">
    <brk id="52" max="6" man="1"/>
  </rowBreaks>
  <colBreaks count="1" manualBreakCount="1">
    <brk id="7" max="14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Summary</vt:lpstr>
      <vt:lpstr>Billing Detail</vt:lpstr>
      <vt:lpstr>Notice Table</vt:lpstr>
      <vt:lpstr>'Billing Detail'!Print_Area</vt:lpstr>
      <vt:lpstr>'Notice Table'!Print_Area</vt:lpstr>
      <vt:lpstr>Summary!Print_Area</vt:lpstr>
      <vt:lpstr>'Billing Detail'!Print_Titles</vt:lpstr>
      <vt:lpstr>'Notice 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2025-07-30T13:10:50Z</cp:lastPrinted>
  <dcterms:created xsi:type="dcterms:W3CDTF">2021-02-09T02:13:44Z</dcterms:created>
  <dcterms:modified xsi:type="dcterms:W3CDTF">2025-09-19T18:53:55Z</dcterms:modified>
</cp:coreProperties>
</file>