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Big Sandy/Analysis/"/>
    </mc:Choice>
  </mc:AlternateContent>
  <xr:revisionPtr revIDLastSave="43" documentId="8_{1351CDDE-B8A4-41B5-BE9C-01C320B5148D}" xr6:coauthVersionLast="47" xr6:coauthVersionMax="47" xr10:uidLastSave="{84103998-E322-48E2-8D63-FCD5F8E8F04B}"/>
  <bookViews>
    <workbookView xWindow="-120" yWindow="-120" windowWidth="29040" windowHeight="15720" activeTab="2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Detail'!$A$1:$R$145</definedName>
    <definedName name="_xlnm.Print_Area" localSheetId="2">'Notice Table'!$A$1:$G$54</definedName>
    <definedName name="_xlnm.Print_Area" localSheetId="0">Summary!$A$1:$O$30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3" l="1"/>
  <c r="I52" i="3" s="1"/>
  <c r="H53" i="3"/>
  <c r="I53" i="3" s="1"/>
  <c r="H51" i="3"/>
  <c r="I51" i="3" s="1"/>
  <c r="E52" i="3"/>
  <c r="F52" i="3"/>
  <c r="G52" i="3"/>
  <c r="E53" i="3"/>
  <c r="F53" i="3"/>
  <c r="G53" i="3"/>
  <c r="G51" i="3"/>
  <c r="F51" i="3"/>
  <c r="E51" i="3"/>
  <c r="D50" i="3"/>
  <c r="A140" i="1"/>
  <c r="A141" i="1"/>
  <c r="A142" i="1"/>
  <c r="A143" i="1" s="1"/>
  <c r="L143" i="1"/>
  <c r="L142" i="1"/>
  <c r="L141" i="1"/>
  <c r="L139" i="1"/>
  <c r="E147" i="1"/>
  <c r="L28" i="2" l="1"/>
  <c r="H18" i="2" l="1"/>
  <c r="A13" i="2"/>
  <c r="I16" i="2"/>
  <c r="F73" i="3" l="1"/>
  <c r="H101" i="1" l="1"/>
  <c r="H100" i="1"/>
  <c r="H99" i="1"/>
  <c r="H98" i="1"/>
  <c r="H96" i="1"/>
  <c r="H95" i="1"/>
  <c r="H94" i="1"/>
  <c r="H93" i="1"/>
  <c r="H92" i="1"/>
  <c r="H90" i="1"/>
  <c r="H89" i="1"/>
  <c r="H91" i="1" s="1"/>
  <c r="F101" i="1"/>
  <c r="F98" i="1"/>
  <c r="F89" i="1"/>
  <c r="F91" i="1" s="1"/>
  <c r="F100" i="1"/>
  <c r="F99" i="1"/>
  <c r="F96" i="1"/>
  <c r="F95" i="1"/>
  <c r="F94" i="1"/>
  <c r="F93" i="1"/>
  <c r="F92" i="1"/>
  <c r="F90" i="1"/>
  <c r="F43" i="3"/>
  <c r="E43" i="3"/>
  <c r="F42" i="3"/>
  <c r="E42" i="3"/>
  <c r="F41" i="3"/>
  <c r="E41" i="3"/>
  <c r="D40" i="3"/>
  <c r="C40" i="3"/>
  <c r="I78" i="1"/>
  <c r="I63" i="1"/>
  <c r="I49" i="1"/>
  <c r="I35" i="1"/>
  <c r="I11" i="1" l="1"/>
  <c r="M78" i="1" l="1"/>
  <c r="N78" i="1" s="1"/>
  <c r="I22" i="1"/>
  <c r="F49" i="3"/>
  <c r="F48" i="3"/>
  <c r="F47" i="3"/>
  <c r="N118" i="1"/>
  <c r="G115" i="1"/>
  <c r="G116" i="1"/>
  <c r="G117" i="1"/>
  <c r="G118" i="1"/>
  <c r="G76" i="1"/>
  <c r="G75" i="1"/>
  <c r="E26" i="3"/>
  <c r="F26" i="3"/>
  <c r="E27" i="3"/>
  <c r="F27" i="3"/>
  <c r="E28" i="3"/>
  <c r="F28" i="3"/>
  <c r="E29" i="3"/>
  <c r="F29" i="3"/>
  <c r="F25" i="3"/>
  <c r="E25" i="3"/>
  <c r="D24" i="3"/>
  <c r="C24" i="3"/>
  <c r="E21" i="3"/>
  <c r="F21" i="3"/>
  <c r="E22" i="3"/>
  <c r="F22" i="3"/>
  <c r="E23" i="3"/>
  <c r="F23" i="3"/>
  <c r="E20" i="3"/>
  <c r="F20" i="3"/>
  <c r="E16" i="3"/>
  <c r="F16" i="3"/>
  <c r="E17" i="3"/>
  <c r="F17" i="3"/>
  <c r="E18" i="3"/>
  <c r="F18" i="3"/>
  <c r="C16" i="2"/>
  <c r="B16" i="2"/>
  <c r="D77" i="3" s="1"/>
  <c r="E84" i="1"/>
  <c r="E77" i="3" s="1"/>
  <c r="G82" i="1"/>
  <c r="I81" i="1"/>
  <c r="M81" i="1" s="1"/>
  <c r="I80" i="1"/>
  <c r="M80" i="1" s="1"/>
  <c r="N80" i="1" s="1"/>
  <c r="I79" i="1"/>
  <c r="M79" i="1" s="1"/>
  <c r="N79" i="1" s="1"/>
  <c r="I76" i="1"/>
  <c r="I75" i="1"/>
  <c r="I72" i="1"/>
  <c r="G72" i="1"/>
  <c r="D64" i="3" l="1"/>
  <c r="C77" i="3"/>
  <c r="G73" i="1"/>
  <c r="C64" i="3"/>
  <c r="G74" i="1"/>
  <c r="I73" i="1"/>
  <c r="I74" i="1"/>
  <c r="I82" i="1"/>
  <c r="M82" i="1"/>
  <c r="G59" i="1"/>
  <c r="G45" i="1"/>
  <c r="G60" i="1"/>
  <c r="G46" i="1"/>
  <c r="I102" i="1"/>
  <c r="G102" i="1"/>
  <c r="G91" i="1"/>
  <c r="I91" i="1"/>
  <c r="G92" i="1"/>
  <c r="I92" i="1"/>
  <c r="G93" i="1"/>
  <c r="I93" i="1"/>
  <c r="I59" i="1"/>
  <c r="I60" i="1"/>
  <c r="I45" i="1"/>
  <c r="I46" i="1"/>
  <c r="E37" i="3"/>
  <c r="F37" i="3"/>
  <c r="E38" i="3"/>
  <c r="F38" i="3"/>
  <c r="E39" i="3"/>
  <c r="F39" i="3"/>
  <c r="F36" i="3"/>
  <c r="E36" i="3"/>
  <c r="D35" i="3"/>
  <c r="C35" i="3"/>
  <c r="E32" i="3"/>
  <c r="F32" i="3"/>
  <c r="E33" i="3"/>
  <c r="F33" i="3"/>
  <c r="E34" i="3"/>
  <c r="F34" i="3"/>
  <c r="F31" i="3"/>
  <c r="E31" i="3"/>
  <c r="D30" i="3"/>
  <c r="C30" i="3"/>
  <c r="G77" i="1" l="1"/>
  <c r="G83" i="1" s="1"/>
  <c r="G84" i="1" s="1"/>
  <c r="I115" i="1"/>
  <c r="I77" i="1"/>
  <c r="N82" i="1"/>
  <c r="O82" i="1" s="1"/>
  <c r="E69" i="1"/>
  <c r="E76" i="3" s="1"/>
  <c r="E55" i="1"/>
  <c r="E75" i="3" s="1"/>
  <c r="E41" i="1"/>
  <c r="E74" i="3" s="1"/>
  <c r="D16" i="2" l="1"/>
  <c r="J73" i="1"/>
  <c r="J74" i="1"/>
  <c r="J75" i="1"/>
  <c r="I83" i="1"/>
  <c r="I84" i="1" s="1"/>
  <c r="E16" i="2"/>
  <c r="G16" i="2" s="1"/>
  <c r="J72" i="1"/>
  <c r="J76" i="1"/>
  <c r="E17" i="1"/>
  <c r="E72" i="3" s="1"/>
  <c r="J77" i="1" l="1"/>
  <c r="F45" i="3"/>
  <c r="F46" i="3"/>
  <c r="C44" i="3"/>
  <c r="D44" i="3"/>
  <c r="C19" i="3"/>
  <c r="D19" i="3"/>
  <c r="E15" i="3"/>
  <c r="C14" i="3"/>
  <c r="D14" i="3"/>
  <c r="E12" i="3"/>
  <c r="F12" i="3"/>
  <c r="E13" i="3"/>
  <c r="F13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5" i="3" l="1"/>
  <c r="F9" i="3"/>
  <c r="A1" i="3" l="1"/>
  <c r="C11" i="2" l="1"/>
  <c r="C75" i="3" l="1"/>
  <c r="C62" i="3"/>
  <c r="I61" i="1"/>
  <c r="G61" i="1"/>
  <c r="I20" i="1"/>
  <c r="G20" i="1"/>
  <c r="I47" i="1" l="1"/>
  <c r="G47" i="1"/>
  <c r="I32" i="1"/>
  <c r="G3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I66" i="1" l="1"/>
  <c r="M66" i="1" s="1"/>
  <c r="I65" i="1"/>
  <c r="M65" i="1" s="1"/>
  <c r="I64" i="1"/>
  <c r="M64" i="1" s="1"/>
  <c r="I52" i="1"/>
  <c r="M52" i="1" s="1"/>
  <c r="I51" i="1"/>
  <c r="M51" i="1" s="1"/>
  <c r="I50" i="1"/>
  <c r="M50" i="1" s="1"/>
  <c r="I38" i="1"/>
  <c r="M38" i="1" s="1"/>
  <c r="I36" i="1"/>
  <c r="I25" i="1"/>
  <c r="M25" i="1" s="1"/>
  <c r="I24" i="1"/>
  <c r="M24" i="1" s="1"/>
  <c r="I23" i="1"/>
  <c r="M23" i="1" s="1"/>
  <c r="I14" i="1"/>
  <c r="I13" i="1"/>
  <c r="I12" i="1"/>
  <c r="B24" i="2"/>
  <c r="I116" i="1" l="1"/>
  <c r="I118" i="1"/>
  <c r="E24" i="2" s="1"/>
  <c r="M13" i="1"/>
  <c r="M12" i="1"/>
  <c r="M14" i="1"/>
  <c r="M118" i="1" s="1"/>
  <c r="I26" i="1"/>
  <c r="I53" i="1"/>
  <c r="M36" i="1"/>
  <c r="G39" i="1"/>
  <c r="I37" i="1"/>
  <c r="M37" i="1" s="1"/>
  <c r="G15" i="1"/>
  <c r="G67" i="1"/>
  <c r="D24" i="2"/>
  <c r="G53" i="1"/>
  <c r="G26" i="1"/>
  <c r="I117" i="1" l="1"/>
  <c r="J24" i="2"/>
  <c r="I15" i="1"/>
  <c r="I67" i="1"/>
  <c r="I39" i="1"/>
  <c r="I103" i="1"/>
  <c r="G103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0" i="1"/>
  <c r="G90" i="1"/>
  <c r="I89" i="1"/>
  <c r="G89" i="1"/>
  <c r="I88" i="1"/>
  <c r="G88" i="1"/>
  <c r="E23" i="2" l="1"/>
  <c r="E22" i="2"/>
  <c r="D23" i="2"/>
  <c r="D22" i="2"/>
  <c r="C10" i="2"/>
  <c r="C12" i="2"/>
  <c r="C13" i="2"/>
  <c r="B13" i="2"/>
  <c r="B12" i="2"/>
  <c r="B11" i="2"/>
  <c r="B10" i="2"/>
  <c r="C9" i="2"/>
  <c r="C8" i="2"/>
  <c r="B9" i="2"/>
  <c r="B8" i="2"/>
  <c r="N51" i="1"/>
  <c r="N50" i="1"/>
  <c r="M49" i="1"/>
  <c r="I44" i="1"/>
  <c r="G44" i="1"/>
  <c r="N24" i="1"/>
  <c r="N23" i="1"/>
  <c r="M22" i="1"/>
  <c r="N36" i="1"/>
  <c r="M35" i="1"/>
  <c r="I33" i="1"/>
  <c r="G33" i="1"/>
  <c r="I31" i="1"/>
  <c r="G31" i="1"/>
  <c r="N65" i="1"/>
  <c r="N64" i="1"/>
  <c r="M63" i="1"/>
  <c r="I58" i="1"/>
  <c r="G58" i="1"/>
  <c r="G62" i="1" s="1"/>
  <c r="D65" i="3" l="1"/>
  <c r="D78" i="3"/>
  <c r="C78" i="3"/>
  <c r="C65" i="3"/>
  <c r="C74" i="3"/>
  <c r="C61" i="3"/>
  <c r="D74" i="3"/>
  <c r="D61" i="3"/>
  <c r="C73" i="3"/>
  <c r="C60" i="3"/>
  <c r="C72" i="3"/>
  <c r="C59" i="3"/>
  <c r="C76" i="3"/>
  <c r="C63" i="3"/>
  <c r="D76" i="3"/>
  <c r="D63" i="3"/>
  <c r="D75" i="3"/>
  <c r="D62" i="3"/>
  <c r="D60" i="3"/>
  <c r="D73" i="3"/>
  <c r="D59" i="3"/>
  <c r="D72" i="3"/>
  <c r="N22" i="1"/>
  <c r="M26" i="1"/>
  <c r="N63" i="1"/>
  <c r="M67" i="1"/>
  <c r="N49" i="1"/>
  <c r="M53" i="1"/>
  <c r="N35" i="1"/>
  <c r="M39" i="1"/>
  <c r="N39" i="1" s="1"/>
  <c r="O39" i="1" s="1"/>
  <c r="E21" i="2"/>
  <c r="E25" i="2" s="1"/>
  <c r="G48" i="1"/>
  <c r="D11" i="2" s="1"/>
  <c r="D21" i="2"/>
  <c r="D25" i="2" s="1"/>
  <c r="G21" i="1"/>
  <c r="D9" i="2" s="1"/>
  <c r="I48" i="1"/>
  <c r="I21" i="1"/>
  <c r="G34" i="1"/>
  <c r="N37" i="1"/>
  <c r="I34" i="1"/>
  <c r="J33" i="1" s="1"/>
  <c r="I62" i="1"/>
  <c r="G87" i="1"/>
  <c r="I87" i="1"/>
  <c r="G109" i="1"/>
  <c r="G119" i="1" s="1"/>
  <c r="M107" i="1"/>
  <c r="M117" i="1" s="1"/>
  <c r="M106" i="1"/>
  <c r="M116" i="1" s="1"/>
  <c r="M105" i="1"/>
  <c r="B22" i="2"/>
  <c r="B23" i="2"/>
  <c r="B21" i="2"/>
  <c r="M11" i="1"/>
  <c r="I9" i="1"/>
  <c r="I8" i="1"/>
  <c r="G9" i="1"/>
  <c r="G8" i="1"/>
  <c r="A2" i="1"/>
  <c r="A1" i="1"/>
  <c r="A8" i="2"/>
  <c r="A9" i="2" s="1"/>
  <c r="A10" i="2" s="1"/>
  <c r="A11" i="2" s="1"/>
  <c r="A12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M115" i="1"/>
  <c r="J45" i="1"/>
  <c r="J46" i="1"/>
  <c r="J60" i="1"/>
  <c r="J59" i="1"/>
  <c r="M15" i="1"/>
  <c r="N105" i="1"/>
  <c r="J20" i="1"/>
  <c r="E11" i="2"/>
  <c r="J47" i="1"/>
  <c r="N106" i="1"/>
  <c r="N107" i="1"/>
  <c r="J23" i="2"/>
  <c r="J32" i="1"/>
  <c r="J61" i="1"/>
  <c r="J44" i="1"/>
  <c r="J31" i="1"/>
  <c r="J58" i="1"/>
  <c r="G54" i="1"/>
  <c r="G55" i="1" s="1"/>
  <c r="G27" i="1"/>
  <c r="N12" i="1"/>
  <c r="N116" i="1" s="1"/>
  <c r="J22" i="2"/>
  <c r="N13" i="1"/>
  <c r="G40" i="1"/>
  <c r="G41" i="1" s="1"/>
  <c r="D10" i="2"/>
  <c r="I54" i="1"/>
  <c r="I55" i="1" s="1"/>
  <c r="G68" i="1"/>
  <c r="G69" i="1" s="1"/>
  <c r="D12" i="2"/>
  <c r="I68" i="1"/>
  <c r="I69" i="1" s="1"/>
  <c r="E12" i="2"/>
  <c r="I40" i="1"/>
  <c r="I41" i="1" s="1"/>
  <c r="E10" i="2"/>
  <c r="I27" i="1"/>
  <c r="E9" i="2"/>
  <c r="N53" i="1"/>
  <c r="O53" i="1" s="1"/>
  <c r="N26" i="1"/>
  <c r="O26" i="1" s="1"/>
  <c r="N67" i="1"/>
  <c r="O67" i="1" s="1"/>
  <c r="G10" i="1"/>
  <c r="I10" i="1"/>
  <c r="I109" i="1"/>
  <c r="I119" i="1" s="1"/>
  <c r="I104" i="1"/>
  <c r="J102" i="1" s="1"/>
  <c r="G104" i="1"/>
  <c r="N11" i="1"/>
  <c r="N115" i="1" l="1"/>
  <c r="I114" i="1"/>
  <c r="I120" i="1" s="1"/>
  <c r="N117" i="1"/>
  <c r="G114" i="1"/>
  <c r="G120" i="1" s="1"/>
  <c r="J93" i="1"/>
  <c r="J91" i="1"/>
  <c r="J92" i="1"/>
  <c r="G12" i="2"/>
  <c r="G11" i="2"/>
  <c r="G9" i="2"/>
  <c r="G10" i="2"/>
  <c r="D13" i="2"/>
  <c r="J62" i="1"/>
  <c r="J48" i="1"/>
  <c r="J21" i="2"/>
  <c r="J25" i="2" s="1"/>
  <c r="J34" i="1"/>
  <c r="E13" i="2"/>
  <c r="J21" i="1"/>
  <c r="J96" i="1"/>
  <c r="J100" i="1"/>
  <c r="J97" i="1"/>
  <c r="J94" i="1"/>
  <c r="J95" i="1"/>
  <c r="J101" i="1"/>
  <c r="J98" i="1"/>
  <c r="J103" i="1"/>
  <c r="J99" i="1"/>
  <c r="J89" i="1"/>
  <c r="J90" i="1"/>
  <c r="J88" i="1"/>
  <c r="J9" i="1"/>
  <c r="J8" i="1"/>
  <c r="G110" i="1"/>
  <c r="E8" i="2"/>
  <c r="G16" i="1"/>
  <c r="D8" i="2"/>
  <c r="J87" i="1"/>
  <c r="I110" i="1"/>
  <c r="M109" i="1"/>
  <c r="M119" i="1" s="1"/>
  <c r="I16" i="1"/>
  <c r="I17" i="1" s="1"/>
  <c r="N15" i="1"/>
  <c r="G13" i="2" l="1"/>
  <c r="G8" i="2"/>
  <c r="D14" i="2"/>
  <c r="E14" i="2"/>
  <c r="E18" i="2" s="1"/>
  <c r="G17" i="1"/>
  <c r="J104" i="1"/>
  <c r="N109" i="1"/>
  <c r="O109" i="1" s="1"/>
  <c r="J10" i="1"/>
  <c r="D18" i="2" l="1"/>
  <c r="D27" i="2" s="1"/>
  <c r="D29" i="2" s="1"/>
  <c r="D30" i="2" s="1"/>
  <c r="N119" i="1"/>
  <c r="G14" i="2"/>
  <c r="G18" i="2" s="1"/>
  <c r="F8" i="2"/>
  <c r="F11" i="2"/>
  <c r="F9" i="2"/>
  <c r="F13" i="2"/>
  <c r="F14" i="2"/>
  <c r="F10" i="2"/>
  <c r="F12" i="2"/>
  <c r="H8" i="2" l="1"/>
  <c r="I8" i="2" s="1"/>
  <c r="K10" i="1" s="1"/>
  <c r="H9" i="2"/>
  <c r="I9" i="2" s="1"/>
  <c r="K21" i="1" s="1"/>
  <c r="H10" i="2"/>
  <c r="I10" i="2" s="1"/>
  <c r="K34" i="1" s="1"/>
  <c r="H11" i="2"/>
  <c r="I11" i="2" s="1"/>
  <c r="K48" i="1" s="1"/>
  <c r="H13" i="2"/>
  <c r="I13" i="2" s="1"/>
  <c r="K104" i="1" s="1"/>
  <c r="H12" i="2"/>
  <c r="I12" i="2" s="1"/>
  <c r="K62" i="1" s="1"/>
  <c r="E27" i="2"/>
  <c r="K77" i="1" l="1"/>
  <c r="K78" i="1" s="1"/>
  <c r="K22" i="1"/>
  <c r="S21" i="1"/>
  <c r="L20" i="1" s="1"/>
  <c r="S104" i="1"/>
  <c r="L102" i="1" s="1"/>
  <c r="G47" i="3" s="1"/>
  <c r="H47" i="3" s="1"/>
  <c r="I47" i="3" s="1"/>
  <c r="K105" i="1"/>
  <c r="S34" i="1"/>
  <c r="K35" i="1"/>
  <c r="S10" i="1"/>
  <c r="K11" i="1"/>
  <c r="S62" i="1"/>
  <c r="K63" i="1"/>
  <c r="S48" i="1"/>
  <c r="K49" i="1"/>
  <c r="I14" i="2"/>
  <c r="I18" i="2" s="1"/>
  <c r="S77" i="1" l="1"/>
  <c r="L76" i="1" s="1"/>
  <c r="L9" i="1"/>
  <c r="G7" i="3" s="1"/>
  <c r="H7" i="3" s="1"/>
  <c r="I7" i="3" s="1"/>
  <c r="L31" i="1"/>
  <c r="G11" i="3" s="1"/>
  <c r="H11" i="3" s="1"/>
  <c r="I11" i="3" s="1"/>
  <c r="L33" i="1"/>
  <c r="G13" i="3" s="1"/>
  <c r="H13" i="3" s="1"/>
  <c r="I13" i="3" s="1"/>
  <c r="L32" i="1"/>
  <c r="G12" i="3" s="1"/>
  <c r="H12" i="3" s="1"/>
  <c r="I12" i="3" s="1"/>
  <c r="L47" i="1"/>
  <c r="G18" i="3" s="1"/>
  <c r="H18" i="3" s="1"/>
  <c r="I18" i="3" s="1"/>
  <c r="L46" i="1"/>
  <c r="G17" i="3" s="1"/>
  <c r="H17" i="3" s="1"/>
  <c r="I17" i="3" s="1"/>
  <c r="L59" i="1"/>
  <c r="G21" i="3" s="1"/>
  <c r="H21" i="3" s="1"/>
  <c r="I21" i="3" s="1"/>
  <c r="L60" i="1"/>
  <c r="G22" i="3" s="1"/>
  <c r="H22" i="3" s="1"/>
  <c r="I22" i="3" s="1"/>
  <c r="L61" i="1"/>
  <c r="M61" i="1" s="1"/>
  <c r="N61" i="1" s="1"/>
  <c r="O61" i="1" s="1"/>
  <c r="L45" i="1"/>
  <c r="G16" i="3" s="1"/>
  <c r="H16" i="3" s="1"/>
  <c r="I16" i="3" s="1"/>
  <c r="L44" i="1"/>
  <c r="T102" i="1"/>
  <c r="M102" i="1"/>
  <c r="L100" i="1"/>
  <c r="L92" i="1"/>
  <c r="M92" i="1" s="1"/>
  <c r="L91" i="1"/>
  <c r="M91" i="1" s="1"/>
  <c r="L93" i="1"/>
  <c r="M93" i="1" s="1"/>
  <c r="L94" i="1"/>
  <c r="L97" i="1"/>
  <c r="L98" i="1"/>
  <c r="L8" i="1"/>
  <c r="L103" i="1"/>
  <c r="G48" i="3" s="1"/>
  <c r="H48" i="3" s="1"/>
  <c r="I48" i="3" s="1"/>
  <c r="L99" i="1"/>
  <c r="L95" i="1"/>
  <c r="L90" i="1"/>
  <c r="L96" i="1"/>
  <c r="L87" i="1"/>
  <c r="L101" i="1"/>
  <c r="L88" i="1"/>
  <c r="G45" i="3" s="1"/>
  <c r="H45" i="3" s="1"/>
  <c r="I45" i="3" s="1"/>
  <c r="L89" i="1"/>
  <c r="G46" i="3" s="1"/>
  <c r="H46" i="3" s="1"/>
  <c r="I46" i="3" s="1"/>
  <c r="L58" i="1"/>
  <c r="G9" i="3"/>
  <c r="H9" i="3" s="1"/>
  <c r="I9" i="3" s="1"/>
  <c r="L73" i="1" l="1"/>
  <c r="T73" i="1" s="1"/>
  <c r="L72" i="1"/>
  <c r="L74" i="1"/>
  <c r="M74" i="1" s="1"/>
  <c r="L75" i="1"/>
  <c r="G28" i="3" s="1"/>
  <c r="H28" i="3" s="1"/>
  <c r="I28" i="3" s="1"/>
  <c r="M100" i="1"/>
  <c r="N100" i="1" s="1"/>
  <c r="O100" i="1" s="1"/>
  <c r="G49" i="3"/>
  <c r="H49" i="3" s="1"/>
  <c r="I49" i="3" s="1"/>
  <c r="G25" i="3"/>
  <c r="H25" i="3" s="1"/>
  <c r="I25" i="3" s="1"/>
  <c r="M72" i="1"/>
  <c r="G26" i="3"/>
  <c r="H26" i="3" s="1"/>
  <c r="I26" i="3" s="1"/>
  <c r="T76" i="1"/>
  <c r="M76" i="1"/>
  <c r="G29" i="3"/>
  <c r="H29" i="3" s="1"/>
  <c r="I29" i="3" s="1"/>
  <c r="T31" i="1"/>
  <c r="T9" i="1"/>
  <c r="T61" i="1"/>
  <c r="M9" i="1"/>
  <c r="N9" i="1" s="1"/>
  <c r="O9" i="1" s="1"/>
  <c r="M58" i="1"/>
  <c r="N58" i="1" s="1"/>
  <c r="G20" i="3"/>
  <c r="H20" i="3" s="1"/>
  <c r="I20" i="3" s="1"/>
  <c r="G23" i="3"/>
  <c r="H23" i="3" s="1"/>
  <c r="I23" i="3" s="1"/>
  <c r="M31" i="1"/>
  <c r="N31" i="1" s="1"/>
  <c r="O31" i="1" s="1"/>
  <c r="M60" i="1"/>
  <c r="N60" i="1" s="1"/>
  <c r="O60" i="1" s="1"/>
  <c r="T60" i="1"/>
  <c r="M59" i="1"/>
  <c r="N59" i="1" s="1"/>
  <c r="O59" i="1" s="1"/>
  <c r="T59" i="1"/>
  <c r="M45" i="1"/>
  <c r="N45" i="1" s="1"/>
  <c r="O45" i="1" s="1"/>
  <c r="T45" i="1"/>
  <c r="N102" i="1"/>
  <c r="O102" i="1" s="1"/>
  <c r="T100" i="1"/>
  <c r="N93" i="1"/>
  <c r="O93" i="1" s="1"/>
  <c r="N91" i="1"/>
  <c r="O91" i="1" s="1"/>
  <c r="N92" i="1"/>
  <c r="O92" i="1" s="1"/>
  <c r="G6" i="3"/>
  <c r="H6" i="3" s="1"/>
  <c r="I6" i="3" s="1"/>
  <c r="M94" i="1"/>
  <c r="N94" i="1" s="1"/>
  <c r="O94" i="1" s="1"/>
  <c r="M101" i="1"/>
  <c r="N101" i="1" s="1"/>
  <c r="O101" i="1" s="1"/>
  <c r="T103" i="1"/>
  <c r="T94" i="1"/>
  <c r="M103" i="1"/>
  <c r="N103" i="1" s="1"/>
  <c r="O103" i="1" s="1"/>
  <c r="M97" i="1"/>
  <c r="N97" i="1" s="1"/>
  <c r="O97" i="1" s="1"/>
  <c r="T97" i="1"/>
  <c r="T98" i="1"/>
  <c r="T95" i="1"/>
  <c r="T89" i="1"/>
  <c r="M8" i="1"/>
  <c r="N8" i="1" s="1"/>
  <c r="T32" i="1"/>
  <c r="M44" i="1"/>
  <c r="N44" i="1" s="1"/>
  <c r="M98" i="1"/>
  <c r="N98" i="1" s="1"/>
  <c r="O98" i="1" s="1"/>
  <c r="M89" i="1"/>
  <c r="N89" i="1" s="1"/>
  <c r="O89" i="1" s="1"/>
  <c r="M33" i="1"/>
  <c r="N33" i="1" s="1"/>
  <c r="O33" i="1" s="1"/>
  <c r="M96" i="1"/>
  <c r="N96" i="1" s="1"/>
  <c r="O96" i="1" s="1"/>
  <c r="M32" i="1"/>
  <c r="N32" i="1" s="1"/>
  <c r="O32" i="1" s="1"/>
  <c r="T33" i="1"/>
  <c r="T96" i="1"/>
  <c r="T101" i="1"/>
  <c r="T93" i="1"/>
  <c r="M95" i="1"/>
  <c r="N95" i="1" s="1"/>
  <c r="O95" i="1" s="1"/>
  <c r="M99" i="1"/>
  <c r="N99" i="1" s="1"/>
  <c r="O99" i="1" s="1"/>
  <c r="T99" i="1"/>
  <c r="T8" i="1"/>
  <c r="T90" i="1"/>
  <c r="M90" i="1"/>
  <c r="N90" i="1" s="1"/>
  <c r="O90" i="1" s="1"/>
  <c r="M87" i="1"/>
  <c r="N87" i="1" s="1"/>
  <c r="O87" i="1" s="1"/>
  <c r="T87" i="1"/>
  <c r="M88" i="1"/>
  <c r="N88" i="1" s="1"/>
  <c r="O88" i="1" s="1"/>
  <c r="T88" i="1"/>
  <c r="O58" i="1"/>
  <c r="T47" i="1"/>
  <c r="M47" i="1"/>
  <c r="G27" i="3" l="1"/>
  <c r="H27" i="3" s="1"/>
  <c r="I27" i="3" s="1"/>
  <c r="T74" i="1"/>
  <c r="M75" i="1"/>
  <c r="T75" i="1"/>
  <c r="M73" i="1"/>
  <c r="M77" i="1" s="1"/>
  <c r="P72" i="1" s="1"/>
  <c r="N75" i="1"/>
  <c r="O75" i="1" s="1"/>
  <c r="N72" i="1"/>
  <c r="O72" i="1" s="1"/>
  <c r="N74" i="1"/>
  <c r="O74" i="1" s="1"/>
  <c r="N10" i="1"/>
  <c r="O10" i="1" s="1"/>
  <c r="N76" i="1"/>
  <c r="O76" i="1" s="1"/>
  <c r="N62" i="1"/>
  <c r="L12" i="2" s="1"/>
  <c r="M62" i="1"/>
  <c r="P59" i="1" s="1"/>
  <c r="Q59" i="1" s="1"/>
  <c r="T46" i="1"/>
  <c r="M46" i="1"/>
  <c r="O8" i="1"/>
  <c r="M34" i="1"/>
  <c r="R34" i="1" s="1"/>
  <c r="G15" i="3"/>
  <c r="H15" i="3" s="1"/>
  <c r="I15" i="3" s="1"/>
  <c r="N34" i="1"/>
  <c r="O34" i="1" s="1"/>
  <c r="M10" i="1"/>
  <c r="M104" i="1"/>
  <c r="P102" i="1" s="1"/>
  <c r="Q102" i="1" s="1"/>
  <c r="N104" i="1"/>
  <c r="O104" i="1" s="1"/>
  <c r="O44" i="1"/>
  <c r="N47" i="1"/>
  <c r="O47" i="1" s="1"/>
  <c r="N73" i="1" l="1"/>
  <c r="O73" i="1" s="1"/>
  <c r="P75" i="1"/>
  <c r="P73" i="1"/>
  <c r="P76" i="1"/>
  <c r="P74" i="1"/>
  <c r="N77" i="1"/>
  <c r="L16" i="2" s="1"/>
  <c r="M16" i="2" s="1"/>
  <c r="J16" i="2"/>
  <c r="O16" i="2" s="1"/>
  <c r="M83" i="1"/>
  <c r="R77" i="1"/>
  <c r="M68" i="1"/>
  <c r="M69" i="1" s="1"/>
  <c r="N69" i="1" s="1"/>
  <c r="O69" i="1" s="1"/>
  <c r="P61" i="1"/>
  <c r="Q61" i="1" s="1"/>
  <c r="P60" i="1"/>
  <c r="Q60" i="1" s="1"/>
  <c r="J12" i="2"/>
  <c r="O12" i="2" s="1"/>
  <c r="R62" i="1"/>
  <c r="P58" i="1"/>
  <c r="Q58" i="1" s="1"/>
  <c r="P8" i="1"/>
  <c r="Q8" i="1" s="1"/>
  <c r="P103" i="1"/>
  <c r="Q103" i="1" s="1"/>
  <c r="P93" i="1"/>
  <c r="Q93" i="1" s="1"/>
  <c r="P91" i="1"/>
  <c r="Q91" i="1" s="1"/>
  <c r="P92" i="1"/>
  <c r="Q92" i="1" s="1"/>
  <c r="N46" i="1"/>
  <c r="O46" i="1" s="1"/>
  <c r="M48" i="1"/>
  <c r="P9" i="1"/>
  <c r="Q9" i="1" s="1"/>
  <c r="J8" i="2"/>
  <c r="O8" i="2" s="1"/>
  <c r="P33" i="1"/>
  <c r="Q33" i="1" s="1"/>
  <c r="P32" i="1"/>
  <c r="Q32" i="1" s="1"/>
  <c r="P31" i="1"/>
  <c r="Q31" i="1" s="1"/>
  <c r="M40" i="1"/>
  <c r="M41" i="1" s="1"/>
  <c r="N41" i="1" s="1"/>
  <c r="O41" i="1" s="1"/>
  <c r="J10" i="2"/>
  <c r="O10" i="2" s="1"/>
  <c r="P98" i="1"/>
  <c r="Q98" i="1" s="1"/>
  <c r="J13" i="2"/>
  <c r="L13" i="2" s="1"/>
  <c r="F65" i="3" s="1"/>
  <c r="R10" i="1"/>
  <c r="M16" i="1"/>
  <c r="M17" i="1" s="1"/>
  <c r="N17" i="1" s="1"/>
  <c r="O17" i="1" s="1"/>
  <c r="P89" i="1"/>
  <c r="Q89" i="1" s="1"/>
  <c r="P95" i="1"/>
  <c r="Q95" i="1" s="1"/>
  <c r="P90" i="1"/>
  <c r="Q90" i="1" s="1"/>
  <c r="P88" i="1"/>
  <c r="Q88" i="1" s="1"/>
  <c r="P99" i="1"/>
  <c r="Q99" i="1" s="1"/>
  <c r="P94" i="1"/>
  <c r="Q94" i="1" s="1"/>
  <c r="P87" i="1"/>
  <c r="Q87" i="1" s="1"/>
  <c r="M110" i="1"/>
  <c r="N110" i="1" s="1"/>
  <c r="O110" i="1" s="1"/>
  <c r="N13" i="2" s="1"/>
  <c r="P96" i="1"/>
  <c r="Q96" i="1" s="1"/>
  <c r="R104" i="1"/>
  <c r="P101" i="1"/>
  <c r="Q101" i="1" s="1"/>
  <c r="P97" i="1"/>
  <c r="Q97" i="1" s="1"/>
  <c r="P100" i="1"/>
  <c r="Q100" i="1" s="1"/>
  <c r="M12" i="2"/>
  <c r="F63" i="3"/>
  <c r="O62" i="1"/>
  <c r="L8" i="2"/>
  <c r="L10" i="2"/>
  <c r="Q73" i="1" l="1"/>
  <c r="F64" i="3"/>
  <c r="O77" i="1"/>
  <c r="N83" i="1"/>
  <c r="O83" i="1" s="1"/>
  <c r="N16" i="2" s="1"/>
  <c r="M84" i="1"/>
  <c r="N84" i="1" s="1"/>
  <c r="F76" i="3"/>
  <c r="N68" i="1"/>
  <c r="O68" i="1" s="1"/>
  <c r="N12" i="2" s="1"/>
  <c r="P62" i="1"/>
  <c r="Q62" i="1" s="1"/>
  <c r="J11" i="2"/>
  <c r="O11" i="2" s="1"/>
  <c r="Q74" i="1"/>
  <c r="Q76" i="1"/>
  <c r="Q75" i="1"/>
  <c r="P47" i="1"/>
  <c r="Q47" i="1" s="1"/>
  <c r="R48" i="1"/>
  <c r="M54" i="1"/>
  <c r="M55" i="1" s="1"/>
  <c r="N55" i="1" s="1"/>
  <c r="O55" i="1" s="1"/>
  <c r="P44" i="1"/>
  <c r="Q44" i="1" s="1"/>
  <c r="P45" i="1"/>
  <c r="Q45" i="1" s="1"/>
  <c r="N48" i="1"/>
  <c r="O48" i="1" s="1"/>
  <c r="P46" i="1"/>
  <c r="Q46" i="1" s="1"/>
  <c r="N40" i="1"/>
  <c r="O40" i="1" s="1"/>
  <c r="N10" i="2" s="1"/>
  <c r="P10" i="1"/>
  <c r="Q10" i="1" s="1"/>
  <c r="M13" i="2"/>
  <c r="O13" i="2"/>
  <c r="P34" i="1"/>
  <c r="Q34" i="1" s="1"/>
  <c r="N16" i="1"/>
  <c r="O16" i="1" s="1"/>
  <c r="N8" i="2" s="1"/>
  <c r="F72" i="3"/>
  <c r="F74" i="3"/>
  <c r="P104" i="1"/>
  <c r="Q104" i="1" s="1"/>
  <c r="M10" i="2"/>
  <c r="F61" i="3"/>
  <c r="M8" i="2"/>
  <c r="F59" i="3"/>
  <c r="G65" i="3"/>
  <c r="G78" i="3"/>
  <c r="O84" i="1" l="1"/>
  <c r="F77" i="3"/>
  <c r="G77" i="3"/>
  <c r="G64" i="3"/>
  <c r="Q72" i="1"/>
  <c r="P77" i="1"/>
  <c r="Q77" i="1" s="1"/>
  <c r="N54" i="1"/>
  <c r="O54" i="1" s="1"/>
  <c r="N11" i="2" s="1"/>
  <c r="G75" i="3" s="1"/>
  <c r="F75" i="3"/>
  <c r="L11" i="2"/>
  <c r="M11" i="2" s="1"/>
  <c r="P48" i="1"/>
  <c r="Q48" i="1" s="1"/>
  <c r="G74" i="3"/>
  <c r="G61" i="3"/>
  <c r="G76" i="3"/>
  <c r="G63" i="3"/>
  <c r="G59" i="3"/>
  <c r="G72" i="3"/>
  <c r="M20" i="1"/>
  <c r="G62" i="3" l="1"/>
  <c r="F62" i="3"/>
  <c r="T20" i="1"/>
  <c r="N20" i="1"/>
  <c r="O20" i="1" s="1"/>
  <c r="N21" i="1" l="1"/>
  <c r="N114" i="1" s="1"/>
  <c r="N120" i="1" s="1"/>
  <c r="N122" i="1" s="1"/>
  <c r="M21" i="1"/>
  <c r="M114" i="1" s="1"/>
  <c r="M120" i="1" s="1"/>
  <c r="J9" i="2" l="1"/>
  <c r="O9" i="2" s="1"/>
  <c r="M27" i="1"/>
  <c r="R21" i="1"/>
  <c r="P20" i="1"/>
  <c r="Q20" i="1" s="1"/>
  <c r="J14" i="2" l="1"/>
  <c r="J18" i="2" s="1"/>
  <c r="L9" i="2"/>
  <c r="O21" i="1"/>
  <c r="P21" i="1"/>
  <c r="Q21" i="1" s="1"/>
  <c r="N27" i="1"/>
  <c r="O114" i="1"/>
  <c r="S134" i="1" l="1"/>
  <c r="L134" i="1" s="1"/>
  <c r="S127" i="1"/>
  <c r="L127" i="1" s="1"/>
  <c r="S129" i="1"/>
  <c r="L129" i="1" s="1"/>
  <c r="S133" i="1"/>
  <c r="L133" i="1" s="1"/>
  <c r="S130" i="1"/>
  <c r="L130" i="1" s="1"/>
  <c r="S132" i="1"/>
  <c r="L132" i="1" s="1"/>
  <c r="S128" i="1"/>
  <c r="L128" i="1" s="1"/>
  <c r="S135" i="1"/>
  <c r="L135" i="1" s="1"/>
  <c r="O27" i="1"/>
  <c r="N9" i="2" s="1"/>
  <c r="M9" i="2"/>
  <c r="F60" i="3"/>
  <c r="O14" i="2"/>
  <c r="O18" i="2" s="1"/>
  <c r="K9" i="2"/>
  <c r="K12" i="2"/>
  <c r="K10" i="2"/>
  <c r="K13" i="2"/>
  <c r="J27" i="2"/>
  <c r="L27" i="2" s="1"/>
  <c r="F66" i="3" s="1"/>
  <c r="K14" i="2"/>
  <c r="K11" i="2"/>
  <c r="K8" i="2"/>
  <c r="L14" i="2"/>
  <c r="L18" i="2" s="1"/>
  <c r="O120" i="1"/>
  <c r="T139" i="1" l="1"/>
  <c r="G43" i="3"/>
  <c r="H43" i="3" s="1"/>
  <c r="I43" i="3" s="1"/>
  <c r="T137" i="1"/>
  <c r="G41" i="3"/>
  <c r="H41" i="3" s="1"/>
  <c r="I41" i="3" s="1"/>
  <c r="T138" i="1"/>
  <c r="G42" i="3"/>
  <c r="H42" i="3" s="1"/>
  <c r="I42" i="3" s="1"/>
  <c r="T135" i="1"/>
  <c r="G39" i="3"/>
  <c r="H39" i="3" s="1"/>
  <c r="I39" i="3" s="1"/>
  <c r="T132" i="1"/>
  <c r="G36" i="3"/>
  <c r="H36" i="3" s="1"/>
  <c r="I36" i="3" s="1"/>
  <c r="T133" i="1"/>
  <c r="G37" i="3"/>
  <c r="H37" i="3" s="1"/>
  <c r="I37" i="3" s="1"/>
  <c r="T128" i="1"/>
  <c r="G32" i="3"/>
  <c r="H32" i="3" s="1"/>
  <c r="I32" i="3" s="1"/>
  <c r="T129" i="1"/>
  <c r="G33" i="3"/>
  <c r="H33" i="3" s="1"/>
  <c r="I33" i="3" s="1"/>
  <c r="T127" i="1"/>
  <c r="G31" i="3"/>
  <c r="H31" i="3" s="1"/>
  <c r="I31" i="3" s="1"/>
  <c r="T134" i="1"/>
  <c r="G38" i="3"/>
  <c r="H38" i="3" s="1"/>
  <c r="I38" i="3" s="1"/>
  <c r="T130" i="1"/>
  <c r="G34" i="3"/>
  <c r="H34" i="3" s="1"/>
  <c r="I34" i="3" s="1"/>
  <c r="G73" i="3"/>
  <c r="G60" i="3"/>
  <c r="M14" i="2"/>
  <c r="M18" i="2" s="1"/>
  <c r="L29" i="2"/>
  <c r="L30" i="2" s="1"/>
  <c r="N27" i="2"/>
  <c r="G66" i="3" s="1"/>
</calcChain>
</file>

<file path=xl/sharedStrings.xml><?xml version="1.0" encoding="utf-8"?>
<sst xmlns="http://schemas.openxmlformats.org/spreadsheetml/2006/main" count="217" uniqueCount="116">
  <si>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</si>
  <si>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</si>
  <si>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</si>
  <si>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</si>
  <si>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</si>
  <si>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</si>
  <si>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</si>
  <si>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</si>
  <si>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</si>
  <si>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</si>
  <si>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</si>
  <si>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</si>
  <si>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</si>
  <si>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</si>
  <si>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</si>
  <si>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</si>
  <si>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</si>
  <si>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</si>
  <si>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</si>
  <si>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</si>
  <si>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</si>
  <si>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</si>
  <si>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</si>
  <si>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</si>
  <si>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</si>
  <si>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</si>
  <si>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</si>
  <si>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</si>
  <si>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</si>
  <si>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</si>
  <si>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</si>
  <si>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</si>
  <si>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</si>
  <si>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</si>
  <si>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</si>
  <si>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</si>
  <si>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</si>
  <si>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</si>
  <si>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</si>
  <si>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</si>
  <si>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</si>
  <si>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</si>
  <si>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</si>
  <si>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</si>
  <si>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</si>
  <si>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</si>
  <si>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</si>
  <si>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</si>
  <si>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</si>
  <si>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</si>
  <si>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</si>
  <si>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</si>
  <si>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</si>
  <si>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</si>
  <si>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</si>
  <si>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</si>
  <si>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</si>
  <si>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</si>
  <si>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</si>
  <si>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BIG SANDY RECC</t>
  </si>
  <si>
    <t xml:space="preserve">Farm &amp; Home </t>
  </si>
  <si>
    <t>A1</t>
  </si>
  <si>
    <t>Farm &amp; Home (ETS)</t>
  </si>
  <si>
    <t xml:space="preserve">Commercial &amp; Small Power </t>
  </si>
  <si>
    <t>A2</t>
  </si>
  <si>
    <t>Large Power Service (25-750 kV)</t>
  </si>
  <si>
    <t>LP</t>
  </si>
  <si>
    <t>Energy Charge Secondary per kWh</t>
  </si>
  <si>
    <t>Energy Charge Primary per kWh</t>
  </si>
  <si>
    <t>LPR</t>
  </si>
  <si>
    <t xml:space="preserve">146 WATT FLOOD </t>
  </si>
  <si>
    <t>150 WATT HIGH PRESSURE SODIUM</t>
  </si>
  <si>
    <t>250 WATT HIGH PRESSURE SODIUM</t>
  </si>
  <si>
    <t>85 WATT INDUCTION</t>
  </si>
  <si>
    <t>145  WATT LED</t>
  </si>
  <si>
    <t>55 WATT LED</t>
  </si>
  <si>
    <t>60 WATT LED</t>
  </si>
  <si>
    <t>65 WATT LED</t>
  </si>
  <si>
    <t>70 WATT LED</t>
  </si>
  <si>
    <t>100 WATT METAL HALIDE</t>
  </si>
  <si>
    <t>250 WATT FLOOD METAL HALIDE</t>
  </si>
  <si>
    <t>250 WATT METAL HALIDE</t>
  </si>
  <si>
    <t>175 WATT MERCURY VAPOR</t>
  </si>
  <si>
    <t xml:space="preserve">400 WATT FLOOD MERCURY VAPOR </t>
  </si>
  <si>
    <t>400 WATT MERCURY VAPOR</t>
  </si>
  <si>
    <t>500 WATT MERCURY VAPOR</t>
  </si>
  <si>
    <t>Energy Charge Off Peak per kWh</t>
  </si>
  <si>
    <t>YL1</t>
  </si>
  <si>
    <t>1500 WATT MERCURY VAPOR</t>
  </si>
  <si>
    <t>IND-1</t>
  </si>
  <si>
    <t>Industrial</t>
  </si>
  <si>
    <t>IND-2</t>
  </si>
  <si>
    <t>IND-1B</t>
  </si>
  <si>
    <t>Demand Charge-Contract per kW</t>
  </si>
  <si>
    <t>Demand Charge-Excess per kW</t>
  </si>
  <si>
    <t>175 Watt 6000-13000 Lumens</t>
  </si>
  <si>
    <t>400 Watt 13001-25000 Lumens</t>
  </si>
  <si>
    <t>500 Watt</t>
  </si>
  <si>
    <t>1500 Watt</t>
  </si>
  <si>
    <t>400 Watt Flood 13000-25000 Lumens</t>
  </si>
  <si>
    <t>Large Power Service (750 kVA +)</t>
  </si>
  <si>
    <t>A1-ETS</t>
  </si>
  <si>
    <t>Present &amp; Proposed Rates</t>
  </si>
  <si>
    <t>Var</t>
  </si>
  <si>
    <t>2023 Revenue</t>
  </si>
  <si>
    <t>FAC Roll-in &gt;</t>
  </si>
  <si>
    <t>Large Power 10,000 kW +</t>
  </si>
  <si>
    <t>LP-G</t>
  </si>
  <si>
    <t>2023         Rate</t>
  </si>
  <si>
    <t xml:space="preserve">Rate B Increase Allocated by East Kentucky Power Cooperative:   </t>
  </si>
  <si>
    <t xml:space="preserve">Remaining Revenue Increase Allocated by East Kentucky Power Cooperative:   </t>
  </si>
  <si>
    <t>Billing Units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</si>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</sst>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&quot;$&quot;#,##0"/>
    <numFmt numFmtId="173" formatCode="0.00000"/>
    <numFmt numFmtId="174" formatCode="_(&quot;$&quot;* #,##0.000000_);_(&quot;$&quot;* \(#,##0.000000\);_(&quot;$&quot;* &quot;-&quot;??_);_(@_)"/>
    <numFmt numFmtId="17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165" fontId="7" fillId="0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2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70" fontId="7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165" fontId="3" fillId="0" borderId="2" xfId="2" applyNumberFormat="1" applyFont="1" applyBorder="1"/>
    <xf numFmtId="165" fontId="3" fillId="0" borderId="0" xfId="2" applyNumberFormat="1" applyFont="1" applyFill="1" applyAlignment="1"/>
    <xf numFmtId="0" fontId="9" fillId="0" borderId="0" xfId="0" applyFont="1" applyAlignment="1">
      <alignment vertical="center"/>
    </xf>
    <xf numFmtId="0" fontId="7" fillId="0" borderId="0" xfId="0" applyFont="1"/>
    <xf numFmtId="43" fontId="7" fillId="0" borderId="0" xfId="1" applyFont="1"/>
    <xf numFmtId="0" fontId="9" fillId="0" borderId="0" xfId="0" applyFont="1"/>
    <xf numFmtId="168" fontId="7" fillId="0" borderId="0" xfId="1" applyNumberFormat="1" applyFont="1"/>
    <xf numFmtId="167" fontId="7" fillId="0" borderId="0" xfId="1" applyNumberFormat="1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0" fontId="7" fillId="0" borderId="0" xfId="0" applyNumberFormat="1" applyFont="1"/>
    <xf numFmtId="168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165" fontId="7" fillId="0" borderId="5" xfId="2" applyNumberFormat="1" applyFont="1" applyBorder="1" applyAlignment="1">
      <alignment vertical="center"/>
    </xf>
    <xf numFmtId="10" fontId="7" fillId="0" borderId="5" xfId="3" applyNumberFormat="1" applyFont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Border="1" applyAlignment="1">
      <alignment vertical="center"/>
    </xf>
    <xf numFmtId="0" fontId="7" fillId="0" borderId="5" xfId="0" applyFont="1" applyBorder="1"/>
    <xf numFmtId="165" fontId="7" fillId="0" borderId="5" xfId="2" applyNumberFormat="1" applyFont="1" applyBorder="1"/>
    <xf numFmtId="43" fontId="7" fillId="0" borderId="5" xfId="1" applyFont="1" applyBorder="1"/>
    <xf numFmtId="0" fontId="7" fillId="0" borderId="3" xfId="0" applyFont="1" applyBorder="1" applyAlignment="1">
      <alignment vertical="center"/>
    </xf>
    <xf numFmtId="165" fontId="7" fillId="0" borderId="3" xfId="2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Border="1" applyAlignment="1">
      <alignment vertical="center"/>
    </xf>
    <xf numFmtId="44" fontId="7" fillId="0" borderId="0" xfId="0" applyNumberFormat="1" applyFont="1"/>
    <xf numFmtId="173" fontId="7" fillId="0" borderId="0" xfId="0" applyNumberFormat="1" applyFont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65" fontId="7" fillId="3" borderId="0" xfId="0" applyNumberFormat="1" applyFont="1" applyFill="1"/>
    <xf numFmtId="165" fontId="7" fillId="0" borderId="0" xfId="2" applyNumberFormat="1" applyFont="1" applyAlignment="1">
      <alignment horizontal="center"/>
    </xf>
    <xf numFmtId="164" fontId="7" fillId="0" borderId="0" xfId="0" applyNumberFormat="1" applyFont="1"/>
    <xf numFmtId="43" fontId="7" fillId="0" borderId="0" xfId="0" applyNumberFormat="1" applyFont="1"/>
    <xf numFmtId="0" fontId="3" fillId="0" borderId="0" xfId="0" applyFont="1" applyAlignment="1">
      <alignment horizontal="right"/>
    </xf>
    <xf numFmtId="0" fontId="4" fillId="0" borderId="6" xfId="0" applyFont="1" applyBorder="1"/>
    <xf numFmtId="171" fontId="4" fillId="0" borderId="0" xfId="2" applyNumberFormat="1" applyFont="1"/>
    <xf numFmtId="164" fontId="3" fillId="0" borderId="0" xfId="1" applyNumberFormat="1" applyFont="1"/>
    <xf numFmtId="175" fontId="7" fillId="0" borderId="0" xfId="3" applyNumberFormat="1" applyFont="1"/>
    <xf numFmtId="173" fontId="3" fillId="0" borderId="0" xfId="0" applyNumberFormat="1" applyFont="1"/>
    <xf numFmtId="0" fontId="3" fillId="0" borderId="6" xfId="0" applyFont="1" applyBorder="1"/>
    <xf numFmtId="174" fontId="3" fillId="0" borderId="0" xfId="2" applyNumberFormat="1" applyFont="1"/>
    <xf numFmtId="43" fontId="3" fillId="0" borderId="0" xfId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165" fontId="3" fillId="0" borderId="5" xfId="2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64" fontId="3" fillId="0" borderId="0" xfId="1" applyNumberFormat="1" applyFont="1" applyFill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5" fontId="3" fillId="0" borderId="0" xfId="2" applyNumberFormat="1" applyFont="1" applyFill="1"/>
    <xf numFmtId="10" fontId="3" fillId="0" borderId="0" xfId="0" applyNumberFormat="1" applyFont="1"/>
    <xf numFmtId="166" fontId="3" fillId="0" borderId="0" xfId="0" applyNumberFormat="1" applyFont="1"/>
    <xf numFmtId="0" fontId="3" fillId="0" borderId="5" xfId="0" applyFont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0" fontId="3" fillId="0" borderId="3" xfId="0" applyFont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43" fontId="3" fillId="0" borderId="0" xfId="1" applyFont="1" applyFill="1" applyAlignment="1">
      <alignment horizontal="right"/>
    </xf>
    <xf numFmtId="44" fontId="3" fillId="0" borderId="0" xfId="0" applyNumberFormat="1" applyFont="1" applyAlignment="1">
      <alignment horizontal="right"/>
    </xf>
    <xf numFmtId="10" fontId="3" fillId="0" borderId="0" xfId="3" applyNumberFormat="1" applyFont="1" applyFill="1" applyAlignment="1">
      <alignment horizontal="right"/>
    </xf>
    <xf numFmtId="6" fontId="4" fillId="4" borderId="1" xfId="0" applyNumberFormat="1" applyFont="1" applyFill="1" applyBorder="1"/>
    <xf numFmtId="43" fontId="4" fillId="0" borderId="0" xfId="1" applyFont="1" applyFill="1"/>
    <xf numFmtId="167" fontId="4" fillId="0" borderId="0" xfId="1" applyNumberFormat="1" applyFont="1" applyFill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43" fontId="4" fillId="0" borderId="0" xfId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X32"/>
  <sheetViews>
    <sheetView view="pageBreakPreview" zoomScaleNormal="75" zoomScaleSheetLayoutView="100" workbookViewId="0">
      <selection activeCell="G33" sqref="G33"/>
    </sheetView>
  </sheetViews>
  <sheetFormatPr defaultColWidth="8.85546875" defaultRowHeight="12.75" x14ac:dyDescent="0.2"/>
  <cols>
    <col min="1" max="1" width="4.7109375" style="2" customWidth="1"/>
    <col min="2" max="2" width="30" style="2" bestFit="1" customWidth="1"/>
    <col min="3" max="3" width="7.28515625" style="11" bestFit="1" customWidth="1"/>
    <col min="4" max="4" width="13.71093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42578125" style="2" bestFit="1" customWidth="1"/>
    <col min="10" max="10" width="12.7109375" style="2" bestFit="1" customWidth="1"/>
    <col min="11" max="11" width="11.7109375" style="2" customWidth="1"/>
    <col min="12" max="12" width="11.42578125" style="2" bestFit="1" customWidth="1"/>
    <col min="13" max="13" width="8.28515625" style="2" bestFit="1" customWidth="1"/>
    <col min="14" max="14" width="12.85546875" style="2" bestFit="1" customWidth="1"/>
    <col min="15" max="15" width="10" style="2" customWidth="1"/>
    <col min="16" max="16" width="21.710937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4" x14ac:dyDescent="0.2">
      <c r="A1" s="1" t="s">
        <v>59</v>
      </c>
      <c r="O1" s="1"/>
    </row>
    <row r="2" spans="1:24" x14ac:dyDescent="0.2">
      <c r="A2" s="1" t="s">
        <v>0</v>
      </c>
      <c r="P2" s="118"/>
      <c r="Q2" s="121"/>
    </row>
    <row r="3" spans="1:24" x14ac:dyDescent="0.2">
      <c r="A3" s="1"/>
      <c r="K3" s="13" t="s">
        <v>109</v>
      </c>
      <c r="L3" s="152">
        <v>43253.674254000012</v>
      </c>
      <c r="P3" s="118"/>
      <c r="Q3" s="121"/>
    </row>
    <row r="4" spans="1:24" x14ac:dyDescent="0.2">
      <c r="A4" s="1"/>
      <c r="K4" s="13" t="s">
        <v>110</v>
      </c>
      <c r="L4" s="152">
        <v>846049.42820199952</v>
      </c>
      <c r="P4" s="118"/>
      <c r="Q4" s="121"/>
    </row>
    <row r="5" spans="1:24" x14ac:dyDescent="0.2">
      <c r="M5" s="4"/>
      <c r="N5" s="121"/>
    </row>
    <row r="6" spans="1:24" s="7" customFormat="1" ht="31.9" customHeight="1" x14ac:dyDescent="0.2">
      <c r="A6" s="5" t="s">
        <v>1</v>
      </c>
      <c r="B6" s="5" t="s">
        <v>2</v>
      </c>
      <c r="C6" s="6" t="s">
        <v>11</v>
      </c>
      <c r="D6" s="8" t="s">
        <v>104</v>
      </c>
      <c r="E6" s="8" t="s">
        <v>3</v>
      </c>
      <c r="F6" s="8" t="s">
        <v>19</v>
      </c>
      <c r="G6" s="8" t="s">
        <v>30</v>
      </c>
      <c r="H6" s="8" t="s">
        <v>31</v>
      </c>
      <c r="I6" s="8" t="s">
        <v>32</v>
      </c>
      <c r="J6" s="8" t="s">
        <v>4</v>
      </c>
      <c r="K6" s="8" t="s">
        <v>21</v>
      </c>
      <c r="L6" s="8" t="s">
        <v>42</v>
      </c>
      <c r="M6" s="6" t="s">
        <v>40</v>
      </c>
      <c r="N6" s="6" t="s">
        <v>41</v>
      </c>
      <c r="O6" s="8" t="s">
        <v>34</v>
      </c>
      <c r="Q6" s="2"/>
      <c r="R6" s="2"/>
      <c r="S6" s="2"/>
      <c r="T6" s="2"/>
      <c r="U6" s="2"/>
      <c r="V6" s="2"/>
      <c r="W6" s="2"/>
      <c r="X6" s="2"/>
    </row>
    <row r="7" spans="1:24" x14ac:dyDescent="0.2">
      <c r="A7" s="3">
        <v>1</v>
      </c>
      <c r="B7" s="16" t="s">
        <v>5</v>
      </c>
      <c r="C7" s="46"/>
      <c r="D7" s="16"/>
      <c r="E7" s="17"/>
      <c r="F7" s="18"/>
      <c r="G7" s="18"/>
      <c r="H7" s="7"/>
      <c r="I7" s="7"/>
      <c r="J7" s="17"/>
      <c r="K7" s="18"/>
      <c r="L7" s="17"/>
      <c r="M7" s="19"/>
      <c r="N7" s="19"/>
    </row>
    <row r="8" spans="1:24" x14ac:dyDescent="0.2">
      <c r="A8" s="3">
        <f>A7+1</f>
        <v>2</v>
      </c>
      <c r="B8" s="2" t="str">
        <f>'Billing Detail'!B7</f>
        <v xml:space="preserve">Farm &amp; Home </v>
      </c>
      <c r="C8" s="11" t="str">
        <f>'Billing Detail'!C7</f>
        <v>A1</v>
      </c>
      <c r="D8" s="20">
        <f>'Billing Detail'!G10</f>
        <v>15735699.69155</v>
      </c>
      <c r="E8" s="20">
        <f>'Billing Detail'!I10</f>
        <v>19912048.436999999</v>
      </c>
      <c r="F8" s="19">
        <f t="shared" ref="F8:F14" si="0">E8/E$14</f>
        <v>0.77750889122375455</v>
      </c>
      <c r="G8" s="115">
        <f>E8</f>
        <v>19912048.436999999</v>
      </c>
      <c r="H8" s="19">
        <f t="shared" ref="H8:H13" si="1">G8/G$14</f>
        <v>0.77750889122375455</v>
      </c>
      <c r="I8" s="71">
        <f t="shared" ref="I8:I13" si="2">ROUND(L$4*H8,2)</f>
        <v>657810.94999999995</v>
      </c>
      <c r="J8" s="20">
        <f>'Billing Detail'!M10</f>
        <v>20569988.582350001</v>
      </c>
      <c r="K8" s="19">
        <f t="shared" ref="K8:K14" si="3">J8/J$14</f>
        <v>0.77752573250966484</v>
      </c>
      <c r="L8" s="20">
        <f>'Billing Detail'!N10</f>
        <v>657940.14534999942</v>
      </c>
      <c r="M8" s="19">
        <f>IF(E8=0,0,L8/E8)</f>
        <v>3.3042313423034562E-2</v>
      </c>
      <c r="N8" s="19">
        <f>'Billing Detail'!O16</f>
        <v>3.000621104266879E-2</v>
      </c>
      <c r="O8" s="9">
        <f>J8-I8-E8</f>
        <v>129.19535000249743</v>
      </c>
    </row>
    <row r="9" spans="1:24" x14ac:dyDescent="0.2">
      <c r="A9" s="3">
        <f t="shared" ref="A9:A30" si="4">A8+1</f>
        <v>3</v>
      </c>
      <c r="B9" s="2" t="str">
        <f>'Billing Detail'!B19</f>
        <v>Farm &amp; Home (ETS)</v>
      </c>
      <c r="C9" s="11" t="str">
        <f>'Billing Detail'!C19</f>
        <v>A1-ETS</v>
      </c>
      <c r="D9" s="20">
        <f>'Billing Detail'!G21</f>
        <v>588.11662000000001</v>
      </c>
      <c r="E9" s="20">
        <f>'Billing Detail'!I21</f>
        <v>722.5206300000001</v>
      </c>
      <c r="F9" s="19">
        <f t="shared" si="0"/>
        <v>2.8212376827776834E-5</v>
      </c>
      <c r="G9" s="115">
        <f t="shared" ref="G9:G13" si="5">E9</f>
        <v>722.5206300000001</v>
      </c>
      <c r="H9" s="19">
        <f t="shared" si="1"/>
        <v>2.8212376827776834E-5</v>
      </c>
      <c r="I9" s="71">
        <f t="shared" si="2"/>
        <v>23.87</v>
      </c>
      <c r="J9" s="20">
        <f>'Billing Detail'!M21</f>
        <v>746.41216000000009</v>
      </c>
      <c r="K9" s="19">
        <f t="shared" si="3"/>
        <v>2.8213659873204417E-5</v>
      </c>
      <c r="L9" s="20">
        <f>'Billing Detail'!N21</f>
        <v>23.891529999999989</v>
      </c>
      <c r="M9" s="19">
        <f t="shared" ref="M9:M13" si="6">IF(E9=0,0,L9/E9)</f>
        <v>3.306691741106408E-2</v>
      </c>
      <c r="N9" s="19">
        <f>'Billing Detail'!O27</f>
        <v>3.2253133598287964E-2</v>
      </c>
      <c r="O9" s="9">
        <f t="shared" ref="O9:O16" si="7">J9-I9-E9</f>
        <v>2.1529999999984284E-2</v>
      </c>
    </row>
    <row r="10" spans="1:24" x14ac:dyDescent="0.2">
      <c r="A10" s="3">
        <f t="shared" si="4"/>
        <v>4</v>
      </c>
      <c r="B10" s="2" t="str">
        <f>'Billing Detail'!B30</f>
        <v xml:space="preserve">Commercial &amp; Small Power </v>
      </c>
      <c r="C10" s="11" t="str">
        <f>'Billing Detail'!C30</f>
        <v>A2</v>
      </c>
      <c r="D10" s="20">
        <f>'Billing Detail'!G34</f>
        <v>1141147.69129</v>
      </c>
      <c r="E10" s="20">
        <f>'Billing Detail'!I34</f>
        <v>1242099.3467999999</v>
      </c>
      <c r="F10" s="19">
        <f t="shared" si="0"/>
        <v>4.8500448809962779E-2</v>
      </c>
      <c r="G10" s="115">
        <f t="shared" si="5"/>
        <v>1242099.3467999999</v>
      </c>
      <c r="H10" s="19">
        <f t="shared" si="1"/>
        <v>4.8500448809962779E-2</v>
      </c>
      <c r="I10" s="71">
        <f t="shared" si="2"/>
        <v>41033.78</v>
      </c>
      <c r="J10" s="20">
        <f>'Billing Detail'!M34</f>
        <v>1283133.2005661267</v>
      </c>
      <c r="K10" s="19">
        <f t="shared" si="3"/>
        <v>4.8501197639637707E-2</v>
      </c>
      <c r="L10" s="20">
        <f>'Billing Detail'!N34</f>
        <v>41033.853766126704</v>
      </c>
      <c r="M10" s="19">
        <f t="shared" si="6"/>
        <v>3.3035887082495892E-2</v>
      </c>
      <c r="N10" s="19">
        <f>'Billing Detail'!O40</f>
        <v>2.9653415297615029E-2</v>
      </c>
      <c r="O10" s="9">
        <f t="shared" si="7"/>
        <v>7.376612676307559E-2</v>
      </c>
    </row>
    <row r="11" spans="1:24" x14ac:dyDescent="0.2">
      <c r="A11" s="3">
        <f t="shared" si="4"/>
        <v>5</v>
      </c>
      <c r="B11" s="2" t="str">
        <f>'Billing Detail'!B43</f>
        <v>Large Power Service (25-750 kV)</v>
      </c>
      <c r="C11" s="11" t="str">
        <f>'Billing Detail'!C43</f>
        <v>LP</v>
      </c>
      <c r="D11" s="20">
        <f>'Billing Detail'!G48</f>
        <v>1946606.4390019998</v>
      </c>
      <c r="E11" s="20">
        <f>'Billing Detail'!I48</f>
        <v>2421985.3563669999</v>
      </c>
      <c r="F11" s="19">
        <f t="shared" si="0"/>
        <v>9.4571643643148504E-2</v>
      </c>
      <c r="G11" s="115">
        <f t="shared" si="5"/>
        <v>2421985.3563669999</v>
      </c>
      <c r="H11" s="19">
        <f t="shared" si="1"/>
        <v>9.4571643643148504E-2</v>
      </c>
      <c r="I11" s="71">
        <f t="shared" si="2"/>
        <v>80012.289999999994</v>
      </c>
      <c r="J11" s="20">
        <f>'Billing Detail'!M48</f>
        <v>2501728.7618272961</v>
      </c>
      <c r="K11" s="19">
        <f t="shared" si="3"/>
        <v>9.4562934748019314E-2</v>
      </c>
      <c r="L11" s="20">
        <f>'Billing Detail'!N48</f>
        <v>79743.405460296286</v>
      </c>
      <c r="M11" s="19">
        <f t="shared" si="6"/>
        <v>3.2924809083037611E-2</v>
      </c>
      <c r="N11" s="19">
        <f>'Billing Detail'!O54</f>
        <v>2.9718750411749966E-2</v>
      </c>
      <c r="O11" s="9">
        <f t="shared" si="7"/>
        <v>-268.88453970383853</v>
      </c>
    </row>
    <row r="12" spans="1:24" x14ac:dyDescent="0.2">
      <c r="A12" s="3">
        <f t="shared" si="4"/>
        <v>6</v>
      </c>
      <c r="B12" s="2" t="str">
        <f>'Billing Detail'!B57</f>
        <v>Large Power Service (750 kVA +)</v>
      </c>
      <c r="C12" s="11" t="str">
        <f>'Billing Detail'!C57</f>
        <v>LPR</v>
      </c>
      <c r="D12" s="20">
        <f>'Billing Detail'!G62</f>
        <v>826526.25680000009</v>
      </c>
      <c r="E12" s="20">
        <f>'Billing Detail'!I62</f>
        <v>962053.39880000008</v>
      </c>
      <c r="F12" s="19">
        <f t="shared" si="0"/>
        <v>3.7565450574593373E-2</v>
      </c>
      <c r="G12" s="115">
        <f t="shared" si="5"/>
        <v>962053.39880000008</v>
      </c>
      <c r="H12" s="19">
        <f t="shared" si="1"/>
        <v>3.7565450574593373E-2</v>
      </c>
      <c r="I12" s="71">
        <f t="shared" si="2"/>
        <v>31782.23</v>
      </c>
      <c r="J12" s="20">
        <f>'Billing Detail'!M62</f>
        <v>993816.1274167666</v>
      </c>
      <c r="K12" s="19">
        <f t="shared" si="3"/>
        <v>3.756529126674709E-2</v>
      </c>
      <c r="L12" s="20">
        <f>'Billing Detail'!N62</f>
        <v>31762.72861676645</v>
      </c>
      <c r="M12" s="19">
        <f>IF(E12=0,0,L12/E12)</f>
        <v>3.3015556783422953E-2</v>
      </c>
      <c r="N12" s="19">
        <f>'Billing Detail'!O68</f>
        <v>2.9755490025045354E-2</v>
      </c>
      <c r="O12" s="9">
        <f>J12-I12-E12</f>
        <v>-19.501383233466186</v>
      </c>
    </row>
    <row r="13" spans="1:24" x14ac:dyDescent="0.2">
      <c r="A13" s="3">
        <f t="shared" si="4"/>
        <v>7</v>
      </c>
      <c r="B13" s="2" t="str">
        <f>'Billing Detail'!B86</f>
        <v>Lighting</v>
      </c>
      <c r="C13" s="11" t="str">
        <f>'Billing Detail'!C86</f>
        <v>YL1</v>
      </c>
      <c r="D13" s="20">
        <f>'Billing Detail'!G104</f>
        <v>893921.76</v>
      </c>
      <c r="E13" s="20">
        <f>'Billing Detail'!I104</f>
        <v>1071149.76</v>
      </c>
      <c r="F13" s="19">
        <f t="shared" si="0"/>
        <v>4.1825353371713017E-2</v>
      </c>
      <c r="G13" s="115">
        <f t="shared" si="5"/>
        <v>1071149.76</v>
      </c>
      <c r="H13" s="19">
        <f t="shared" si="1"/>
        <v>4.1825353371713017E-2</v>
      </c>
      <c r="I13" s="71">
        <f t="shared" si="2"/>
        <v>35386.32</v>
      </c>
      <c r="J13" s="20">
        <f>'Billing Detail'!M104</f>
        <v>1106288.2799999998</v>
      </c>
      <c r="K13" s="19">
        <f t="shared" si="3"/>
        <v>4.1816630176057586E-2</v>
      </c>
      <c r="L13" s="20">
        <f t="shared" ref="L13:L14" si="8">J13-E13</f>
        <v>35138.519999999786</v>
      </c>
      <c r="M13" s="19">
        <f t="shared" si="6"/>
        <v>3.2804488515219186E-2</v>
      </c>
      <c r="N13" s="19">
        <f>'Billing Detail'!O110</f>
        <v>3.2804488515219186E-2</v>
      </c>
      <c r="O13" s="9">
        <f t="shared" si="7"/>
        <v>-247.8000000002794</v>
      </c>
    </row>
    <row r="14" spans="1:24" ht="16.149999999999999" customHeight="1" x14ac:dyDescent="0.2">
      <c r="A14" s="3">
        <f t="shared" si="4"/>
        <v>8</v>
      </c>
      <c r="B14" s="21" t="s">
        <v>39</v>
      </c>
      <c r="C14" s="47"/>
      <c r="D14" s="22">
        <f>SUM(D8:D13)</f>
        <v>20544489.955262002</v>
      </c>
      <c r="E14" s="22">
        <f>SUM(E8:E13)</f>
        <v>25610058.819596998</v>
      </c>
      <c r="F14" s="23">
        <f t="shared" si="0"/>
        <v>1</v>
      </c>
      <c r="G14" s="22">
        <f>SUM(G8:G13)</f>
        <v>25610058.819596998</v>
      </c>
      <c r="H14" s="23">
        <v>1</v>
      </c>
      <c r="I14" s="22">
        <f>SUM(I8:I13)</f>
        <v>846049.44</v>
      </c>
      <c r="J14" s="22">
        <f>SUM(J8:J13)</f>
        <v>26455701.364320196</v>
      </c>
      <c r="K14" s="23">
        <f t="shared" si="3"/>
        <v>1</v>
      </c>
      <c r="L14" s="22">
        <f t="shared" si="8"/>
        <v>845642.54472319782</v>
      </c>
      <c r="M14" s="23">
        <f t="shared" ref="M14" si="9">L14/E14</f>
        <v>3.3019937622170009E-2</v>
      </c>
      <c r="N14" s="23"/>
      <c r="O14" s="24">
        <f t="shared" si="7"/>
        <v>-406.8952768035233</v>
      </c>
    </row>
    <row r="15" spans="1:24" ht="16.149999999999999" customHeight="1" x14ac:dyDescent="0.2">
      <c r="A15" s="3">
        <f t="shared" si="4"/>
        <v>9</v>
      </c>
      <c r="D15" s="25"/>
      <c r="E15" s="25"/>
      <c r="F15" s="26"/>
      <c r="G15" s="25"/>
      <c r="H15" s="26"/>
      <c r="I15" s="25"/>
      <c r="J15" s="25"/>
      <c r="K15" s="26"/>
      <c r="L15" s="25"/>
      <c r="M15" s="26"/>
      <c r="N15" s="26"/>
      <c r="O15" s="9"/>
    </row>
    <row r="16" spans="1:24" x14ac:dyDescent="0.2">
      <c r="A16" s="3">
        <f t="shared" si="4"/>
        <v>10</v>
      </c>
      <c r="B16" s="2" t="str">
        <f>'Billing Detail'!B71</f>
        <v>Industrial</v>
      </c>
      <c r="C16" s="11" t="str">
        <f>'Billing Detail'!C71</f>
        <v>IND-1B</v>
      </c>
      <c r="D16" s="20">
        <f>'Billing Detail'!G77</f>
        <v>442993.27</v>
      </c>
      <c r="E16" s="20">
        <f>'Billing Detail'!I77</f>
        <v>565496.53442105255</v>
      </c>
      <c r="F16" s="19">
        <v>1</v>
      </c>
      <c r="G16" s="115">
        <f>E16</f>
        <v>565496.53442105255</v>
      </c>
      <c r="H16" s="19">
        <v>1</v>
      </c>
      <c r="I16" s="71">
        <f>L3</f>
        <v>43253.674254000012</v>
      </c>
      <c r="J16" s="20">
        <f>'Billing Detail'!M77</f>
        <v>608725.32156390976</v>
      </c>
      <c r="K16" s="19">
        <v>1</v>
      </c>
      <c r="L16" s="20">
        <f>'Billing Detail'!N77</f>
        <v>43228.787142857153</v>
      </c>
      <c r="M16" s="19">
        <f>IF(E16=0,0,L16/E16)</f>
        <v>7.6443947065235648E-2</v>
      </c>
      <c r="N16" s="19">
        <f>'Billing Detail'!O83</f>
        <v>6.938957174119853E-2</v>
      </c>
      <c r="O16" s="9">
        <f t="shared" si="7"/>
        <v>-24.887111142743379</v>
      </c>
    </row>
    <row r="17" spans="1:19" ht="16.149999999999999" customHeight="1" x14ac:dyDescent="0.2">
      <c r="A17" s="3">
        <f t="shared" si="4"/>
        <v>11</v>
      </c>
      <c r="D17" s="25"/>
      <c r="E17" s="25"/>
      <c r="F17" s="26"/>
      <c r="G17" s="25"/>
      <c r="H17" s="26"/>
      <c r="I17" s="25"/>
      <c r="J17" s="25"/>
      <c r="K17" s="26"/>
      <c r="L17" s="25"/>
      <c r="M17" s="26"/>
      <c r="N17" s="26"/>
      <c r="O17" s="9"/>
    </row>
    <row r="18" spans="1:19" ht="16.149999999999999" customHeight="1" x14ac:dyDescent="0.2">
      <c r="A18" s="3">
        <f t="shared" si="4"/>
        <v>12</v>
      </c>
      <c r="B18" s="27" t="s">
        <v>38</v>
      </c>
      <c r="C18" s="48"/>
      <c r="D18" s="28">
        <f>D14+D16</f>
        <v>20987483.225262001</v>
      </c>
      <c r="E18" s="28">
        <f>E14+E16</f>
        <v>26175555.354018051</v>
      </c>
      <c r="F18" s="68">
        <v>1</v>
      </c>
      <c r="G18" s="28">
        <f>G14+G16</f>
        <v>26175555.354018051</v>
      </c>
      <c r="H18" s="68">
        <f t="shared" ref="H18:O18" si="10">H14</f>
        <v>1</v>
      </c>
      <c r="I18" s="28">
        <f>I14+I16</f>
        <v>889303.1142539999</v>
      </c>
      <c r="J18" s="28">
        <f>J14+J16</f>
        <v>27064426.685884107</v>
      </c>
      <c r="K18" s="68">
        <v>1</v>
      </c>
      <c r="L18" s="28">
        <f>L14+L16</f>
        <v>888871.33186605503</v>
      </c>
      <c r="M18" s="68">
        <f t="shared" si="10"/>
        <v>3.3019937622170009E-2</v>
      </c>
      <c r="N18" s="28"/>
      <c r="O18" s="28">
        <f t="shared" si="10"/>
        <v>-406.8952768035233</v>
      </c>
    </row>
    <row r="19" spans="1:19" ht="12.6" customHeight="1" x14ac:dyDescent="0.2">
      <c r="A19" s="3">
        <f t="shared" si="4"/>
        <v>13</v>
      </c>
      <c r="S19" s="20"/>
    </row>
    <row r="20" spans="1:19" x14ac:dyDescent="0.2">
      <c r="A20" s="3">
        <f t="shared" si="4"/>
        <v>14</v>
      </c>
      <c r="B20" s="16" t="s">
        <v>7</v>
      </c>
      <c r="C20" s="46"/>
      <c r="D20" s="16"/>
    </row>
    <row r="21" spans="1:19" x14ac:dyDescent="0.2">
      <c r="A21" s="3">
        <f t="shared" si="4"/>
        <v>15</v>
      </c>
      <c r="B21" s="2" t="str">
        <f>'Billing Detail'!D11</f>
        <v xml:space="preserve">    FAC</v>
      </c>
      <c r="D21" s="20">
        <f>'Billing Detail'!G115</f>
        <v>2344584.2400000007</v>
      </c>
      <c r="E21" s="20">
        <f>'Billing Detail'!I115</f>
        <v>71996.188080000342</v>
      </c>
      <c r="F21" s="29"/>
      <c r="G21" s="30"/>
      <c r="H21" s="30"/>
      <c r="I21" s="30"/>
      <c r="J21" s="20">
        <f>'Billing Detail'!M115</f>
        <v>71996.188080000342</v>
      </c>
      <c r="K21" s="31"/>
      <c r="L21" s="31"/>
      <c r="M21" s="30"/>
      <c r="N21" s="30"/>
    </row>
    <row r="22" spans="1:19" x14ac:dyDescent="0.2">
      <c r="A22" s="3">
        <f t="shared" si="4"/>
        <v>16</v>
      </c>
      <c r="B22" s="2" t="str">
        <f>'Billing Detail'!D12</f>
        <v xml:space="preserve">    ES</v>
      </c>
      <c r="D22" s="20">
        <f>'Billing Detail'!G116</f>
        <v>2508036.1800000006</v>
      </c>
      <c r="E22" s="20">
        <f>'Billing Detail'!I116</f>
        <v>2508036.1800000006</v>
      </c>
      <c r="F22" s="30"/>
      <c r="G22" s="30"/>
      <c r="H22" s="30"/>
      <c r="I22" s="30"/>
      <c r="J22" s="20">
        <f>'Billing Detail'!M116</f>
        <v>2508036.1800000006</v>
      </c>
      <c r="K22" s="31"/>
      <c r="L22" s="31"/>
      <c r="M22" s="30"/>
      <c r="N22" s="30"/>
    </row>
    <row r="23" spans="1:19" x14ac:dyDescent="0.2">
      <c r="A23" s="3">
        <f t="shared" si="4"/>
        <v>17</v>
      </c>
      <c r="B23" s="2" t="str">
        <f>'Billing Detail'!D13</f>
        <v xml:space="preserve">    Misc Adj</v>
      </c>
      <c r="D23" s="20">
        <f>'Billing Detail'!G117</f>
        <v>596.75</v>
      </c>
      <c r="E23" s="20">
        <f>'Billing Detail'!I117</f>
        <v>596.75</v>
      </c>
      <c r="F23" s="30"/>
      <c r="G23" s="30"/>
      <c r="H23" s="30"/>
      <c r="I23" s="30"/>
      <c r="J23" s="20">
        <f>'Billing Detail'!M117</f>
        <v>596.75</v>
      </c>
      <c r="K23" s="31"/>
      <c r="L23" s="31"/>
      <c r="M23" s="30"/>
      <c r="N23" s="30"/>
    </row>
    <row r="24" spans="1:19" x14ac:dyDescent="0.2">
      <c r="A24" s="3">
        <f t="shared" si="4"/>
        <v>18</v>
      </c>
      <c r="B24" s="2" t="str">
        <f>'Billing Detail'!D14</f>
        <v xml:space="preserve">    Other</v>
      </c>
      <c r="D24" s="20">
        <f>'Billing Detail'!G118</f>
        <v>0</v>
      </c>
      <c r="E24" s="20">
        <f>'Billing Detail'!I118</f>
        <v>0</v>
      </c>
      <c r="F24" s="30"/>
      <c r="G24" s="30"/>
      <c r="H24" s="30"/>
      <c r="I24" s="30"/>
      <c r="J24" s="20">
        <f>'Billing Detail'!M118</f>
        <v>0</v>
      </c>
      <c r="K24" s="31"/>
      <c r="L24" s="31"/>
      <c r="M24" s="30"/>
      <c r="N24" s="39"/>
    </row>
    <row r="25" spans="1:19" x14ac:dyDescent="0.2">
      <c r="A25" s="3">
        <f t="shared" si="4"/>
        <v>19</v>
      </c>
      <c r="B25" s="21" t="s">
        <v>8</v>
      </c>
      <c r="C25" s="47"/>
      <c r="D25" s="22">
        <f>SUM(D21:D24)</f>
        <v>4853217.1700000018</v>
      </c>
      <c r="E25" s="22">
        <f>SUM(E21:E24)</f>
        <v>2580629.1180800009</v>
      </c>
      <c r="F25" s="32"/>
      <c r="G25" s="32"/>
      <c r="H25" s="32"/>
      <c r="I25" s="32"/>
      <c r="J25" s="22">
        <f>SUM(J21:J24)</f>
        <v>2580629.1180800009</v>
      </c>
      <c r="K25" s="33"/>
      <c r="L25" s="33"/>
      <c r="M25" s="32"/>
      <c r="N25" s="30"/>
    </row>
    <row r="26" spans="1:19" x14ac:dyDescent="0.2">
      <c r="A26" s="3">
        <f t="shared" si="4"/>
        <v>20</v>
      </c>
    </row>
    <row r="27" spans="1:19" ht="18" customHeight="1" thickBot="1" x14ac:dyDescent="0.25">
      <c r="A27" s="3">
        <f t="shared" si="4"/>
        <v>21</v>
      </c>
      <c r="B27" s="34" t="s">
        <v>9</v>
      </c>
      <c r="C27" s="49"/>
      <c r="D27" s="35">
        <f>D18+D25</f>
        <v>25840700.395262003</v>
      </c>
      <c r="E27" s="35">
        <f>E18+E25</f>
        <v>28756184.472098053</v>
      </c>
      <c r="F27" s="36"/>
      <c r="G27" s="36"/>
      <c r="H27" s="36"/>
      <c r="I27" s="36"/>
      <c r="J27" s="35">
        <f>J18+J25</f>
        <v>29645055.803964108</v>
      </c>
      <c r="K27" s="37"/>
      <c r="L27" s="36">
        <f t="shared" ref="L27" si="11">J27-E27</f>
        <v>888871.33186605573</v>
      </c>
      <c r="M27" s="34"/>
      <c r="N27" s="38">
        <f>L27/E27</f>
        <v>3.0910614470724448E-2</v>
      </c>
    </row>
    <row r="28" spans="1:19" ht="18" customHeight="1" thickTop="1" x14ac:dyDescent="0.2">
      <c r="A28" s="3">
        <f t="shared" si="4"/>
        <v>22</v>
      </c>
      <c r="B28" s="2" t="s">
        <v>10</v>
      </c>
      <c r="D28" s="25">
        <v>25671961</v>
      </c>
      <c r="L28" s="25">
        <f>L4+L3</f>
        <v>889303.10245599947</v>
      </c>
    </row>
    <row r="29" spans="1:19" ht="15" customHeight="1" x14ac:dyDescent="0.2">
      <c r="A29" s="3">
        <f t="shared" si="4"/>
        <v>23</v>
      </c>
      <c r="B29" s="21" t="s">
        <v>35</v>
      </c>
      <c r="C29" s="47"/>
      <c r="D29" s="22">
        <f>D27-D28</f>
        <v>168739.39526200294</v>
      </c>
      <c r="E29" s="21"/>
      <c r="F29" s="21"/>
      <c r="G29" s="21"/>
      <c r="H29" s="21"/>
      <c r="I29" s="21"/>
      <c r="J29" s="21"/>
      <c r="K29" s="21"/>
      <c r="L29" s="22">
        <f>L27-L28</f>
        <v>-431.77058994374238</v>
      </c>
    </row>
    <row r="30" spans="1:19" ht="15" customHeight="1" x14ac:dyDescent="0.2">
      <c r="A30" s="3">
        <f t="shared" si="4"/>
        <v>24</v>
      </c>
      <c r="B30" s="2" t="s">
        <v>35</v>
      </c>
      <c r="D30" s="19">
        <f>D29/D28</f>
        <v>6.5729063417478296E-3</v>
      </c>
      <c r="L30" s="19">
        <f>L29/L28</f>
        <v>-4.8551566811283595E-4</v>
      </c>
    </row>
    <row r="31" spans="1:19" x14ac:dyDescent="0.2">
      <c r="A31" s="3"/>
    </row>
    <row r="32" spans="1:19" x14ac:dyDescent="0.2">
      <c r="A32" s="63"/>
    </row>
  </sheetData>
  <pageMargins left="0.7" right="0.7" top="0.75" bottom="0.75" header="0.3" footer="0.3"/>
  <pageSetup scale="74" orientation="landscape" r:id="rId1"/>
  <headerFooter>
    <oddHeader>&amp;R&amp;"Arial,Bold"&amp;10Exhibit 4
Page &amp;P of &amp;N</oddHeader>
  </headerFooter>
  <ignoredErrors>
    <ignoredError sqref="J14 F14 J8:J11 G8:G12 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51"/>
  <sheetViews>
    <sheetView view="pageBreakPreview" zoomScale="75" zoomScaleNormal="100" zoomScaleSheetLayoutView="75" workbookViewId="0">
      <pane xSplit="4" ySplit="5" topLeftCell="E118" activePane="bottomRight" state="frozen"/>
      <selection activeCell="L28" sqref="L28"/>
      <selection pane="topRight" activeCell="L28" sqref="L28"/>
      <selection pane="bottomLeft" activeCell="L28" sqref="L28"/>
      <selection pane="bottomRight" activeCell="N141" sqref="N141"/>
    </sheetView>
  </sheetViews>
  <sheetFormatPr defaultColWidth="8.85546875" defaultRowHeight="12.75" x14ac:dyDescent="0.2"/>
  <cols>
    <col min="1" max="1" width="7" style="79" customWidth="1"/>
    <col min="2" max="2" width="29.28515625" style="73" customWidth="1"/>
    <col min="3" max="3" width="6.7109375" style="60" customWidth="1"/>
    <col min="4" max="4" width="30.42578125" style="73" customWidth="1"/>
    <col min="5" max="5" width="12.7109375" style="73" bestFit="1" customWidth="1"/>
    <col min="6" max="6" width="10" style="73" customWidth="1"/>
    <col min="7" max="7" width="13.85546875" style="73" bestFit="1" customWidth="1"/>
    <col min="8" max="8" width="14.42578125" style="73" bestFit="1" customWidth="1"/>
    <col min="9" max="9" width="16.85546875" style="73" bestFit="1" customWidth="1"/>
    <col min="10" max="10" width="8.5703125" style="73" bestFit="1" customWidth="1"/>
    <col min="11" max="11" width="13.85546875" style="73" bestFit="1" customWidth="1"/>
    <col min="12" max="12" width="9.85546875" style="73" bestFit="1" customWidth="1"/>
    <col min="13" max="13" width="13.85546875" style="73" bestFit="1" customWidth="1"/>
    <col min="14" max="14" width="12.140625" style="73" customWidth="1"/>
    <col min="15" max="15" width="7" style="73" bestFit="1" customWidth="1"/>
    <col min="16" max="16" width="9.85546875" style="73" bestFit="1" customWidth="1"/>
    <col min="17" max="17" width="9.42578125" style="73" bestFit="1" customWidth="1"/>
    <col min="18" max="18" width="10.7109375" style="73" bestFit="1" customWidth="1"/>
    <col min="19" max="19" width="8" style="73" bestFit="1" customWidth="1"/>
    <col min="20" max="20" width="13.5703125" style="73" bestFit="1" customWidth="1"/>
    <col min="21" max="21" width="8.85546875" style="73" customWidth="1"/>
    <col min="22" max="16384" width="8.85546875" style="73"/>
  </cols>
  <sheetData>
    <row r="1" spans="1:20" x14ac:dyDescent="0.2">
      <c r="A1" s="72" t="str">
        <f>Summary!A1</f>
        <v>BIG SANDY RECC</v>
      </c>
      <c r="F1" s="74"/>
      <c r="R1" s="75"/>
    </row>
    <row r="2" spans="1:20" ht="14.45" customHeight="1" x14ac:dyDescent="0.2">
      <c r="A2" s="72" t="str">
        <f>Summary!A2</f>
        <v>Billing Analysis for Pass-Through Rate Increase</v>
      </c>
      <c r="F2" s="76"/>
      <c r="G2" s="77"/>
      <c r="H2" s="69"/>
      <c r="P2" s="78"/>
    </row>
    <row r="3" spans="1:20" x14ac:dyDescent="0.2">
      <c r="E3" s="116"/>
      <c r="H3" s="116"/>
    </row>
    <row r="4" spans="1:20" x14ac:dyDescent="0.2">
      <c r="E4" s="117"/>
      <c r="H4" s="117"/>
    </row>
    <row r="5" spans="1:20" ht="38.450000000000003" customHeight="1" x14ac:dyDescent="0.2">
      <c r="A5" s="80" t="s">
        <v>1</v>
      </c>
      <c r="B5" s="80" t="s">
        <v>12</v>
      </c>
      <c r="C5" s="81" t="s">
        <v>11</v>
      </c>
      <c r="D5" s="80" t="s">
        <v>13</v>
      </c>
      <c r="E5" s="8" t="s">
        <v>111</v>
      </c>
      <c r="F5" s="8" t="s">
        <v>108</v>
      </c>
      <c r="G5" s="8" t="s">
        <v>104</v>
      </c>
      <c r="H5" s="8" t="s">
        <v>22</v>
      </c>
      <c r="I5" s="8" t="s">
        <v>23</v>
      </c>
      <c r="J5" s="8" t="s">
        <v>47</v>
      </c>
      <c r="K5" s="8" t="s">
        <v>10</v>
      </c>
      <c r="L5" s="8" t="s">
        <v>20</v>
      </c>
      <c r="M5" s="8" t="s">
        <v>4</v>
      </c>
      <c r="N5" s="8" t="s">
        <v>14</v>
      </c>
      <c r="O5" s="6" t="s">
        <v>15</v>
      </c>
      <c r="P5" s="8" t="s">
        <v>21</v>
      </c>
      <c r="Q5" s="8" t="s">
        <v>24</v>
      </c>
      <c r="R5" s="8" t="s">
        <v>36</v>
      </c>
      <c r="T5" s="82" t="s">
        <v>33</v>
      </c>
    </row>
    <row r="6" spans="1:20" ht="30.6" customHeight="1" thickBot="1" x14ac:dyDescent="0.25">
      <c r="A6" s="83"/>
      <c r="B6" s="84"/>
      <c r="C6" s="85"/>
      <c r="D6" s="84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32"/>
      <c r="Q6" s="132"/>
      <c r="R6" s="132"/>
    </row>
    <row r="7" spans="1:20" x14ac:dyDescent="0.2">
      <c r="A7" s="86">
        <v>1</v>
      </c>
      <c r="B7" s="87" t="s">
        <v>60</v>
      </c>
      <c r="C7" s="88" t="s">
        <v>61</v>
      </c>
      <c r="D7" s="87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</row>
    <row r="8" spans="1:20" x14ac:dyDescent="0.2">
      <c r="A8" s="86">
        <f>A7+1</f>
        <v>2</v>
      </c>
      <c r="C8" s="73"/>
      <c r="D8" s="73" t="s">
        <v>16</v>
      </c>
      <c r="E8" s="131">
        <v>139123</v>
      </c>
      <c r="F8" s="126">
        <v>21.95</v>
      </c>
      <c r="G8" s="134">
        <f>F8*E8</f>
        <v>3053749.85</v>
      </c>
      <c r="H8" s="126">
        <v>28.32</v>
      </c>
      <c r="I8" s="134">
        <f>H8*E8</f>
        <v>3939963.36</v>
      </c>
      <c r="J8" s="128">
        <f>I8/I10</f>
        <v>0.19786830935379168</v>
      </c>
      <c r="K8" s="128"/>
      <c r="L8" s="126">
        <f>ROUND(H8*S10,2)</f>
        <v>29.26</v>
      </c>
      <c r="M8" s="134">
        <f>L8*E8</f>
        <v>4070738.9800000004</v>
      </c>
      <c r="N8" s="134">
        <f t="shared" ref="N8:N13" si="0">M8-I8</f>
        <v>130775.62000000058</v>
      </c>
      <c r="O8" s="128">
        <f>IF(I8=0,0,N8/I8)</f>
        <v>3.3192090395480371E-2</v>
      </c>
      <c r="P8" s="128">
        <f>M8/M10</f>
        <v>0.19789699754587528</v>
      </c>
      <c r="Q8" s="135">
        <f>P8-J8</f>
        <v>2.8688192083597963E-5</v>
      </c>
      <c r="R8" s="135"/>
      <c r="T8" s="90">
        <f>L8/H8-1</f>
        <v>3.3192090395480323E-2</v>
      </c>
    </row>
    <row r="9" spans="1:20" x14ac:dyDescent="0.2">
      <c r="A9" s="86">
        <f t="shared" ref="A9:A72" si="1">A8+1</f>
        <v>3</v>
      </c>
      <c r="B9" s="74"/>
      <c r="D9" s="73" t="s">
        <v>45</v>
      </c>
      <c r="E9" s="131">
        <v>142863015</v>
      </c>
      <c r="F9" s="127">
        <v>8.8770000000000002E-2</v>
      </c>
      <c r="G9" s="134">
        <f t="shared" ref="G9" si="2">F9*E9</f>
        <v>12681949.84155</v>
      </c>
      <c r="H9" s="127">
        <v>0.1118</v>
      </c>
      <c r="I9" s="134">
        <f t="shared" ref="I9" si="3">H9*E9</f>
        <v>15972085.077</v>
      </c>
      <c r="J9" s="128">
        <f>I9/I10</f>
        <v>0.80213169064620837</v>
      </c>
      <c r="K9" s="128"/>
      <c r="L9" s="136">
        <f>ROUND(H9*S10,5)</f>
        <v>0.11549</v>
      </c>
      <c r="M9" s="134">
        <f t="shared" ref="M9" si="4">L9*E9</f>
        <v>16499249.602349998</v>
      </c>
      <c r="N9" s="134">
        <f t="shared" si="0"/>
        <v>527164.52534999885</v>
      </c>
      <c r="O9" s="128">
        <f t="shared" ref="O9" si="5">IF(I9=0,0,N9/I9)</f>
        <v>3.3005366726296885E-2</v>
      </c>
      <c r="P9" s="128">
        <f>M9/M10</f>
        <v>0.80210300245412469</v>
      </c>
      <c r="Q9" s="135">
        <f t="shared" ref="Q9:Q10" si="6">P9-J9</f>
        <v>-2.868819208368123E-5</v>
      </c>
      <c r="R9" s="135"/>
      <c r="T9" s="90">
        <f>L9/H9-1</f>
        <v>3.3005366726297058E-2</v>
      </c>
    </row>
    <row r="10" spans="1:20" s="79" customFormat="1" ht="20.45" customHeight="1" x14ac:dyDescent="0.25">
      <c r="A10" s="86">
        <f t="shared" si="1"/>
        <v>4</v>
      </c>
      <c r="B10" s="93"/>
      <c r="C10" s="94"/>
      <c r="D10" s="95" t="s">
        <v>6</v>
      </c>
      <c r="E10" s="137"/>
      <c r="F10" s="137"/>
      <c r="G10" s="129">
        <f>SUM(G8:G9)</f>
        <v>15735699.69155</v>
      </c>
      <c r="H10" s="137"/>
      <c r="I10" s="129">
        <f>SUM(I8:I9)</f>
        <v>19912048.436999999</v>
      </c>
      <c r="J10" s="138">
        <f>SUM(J8:J9)</f>
        <v>1</v>
      </c>
      <c r="K10" s="130">
        <f>I10+Summary!I8</f>
        <v>20569859.386999998</v>
      </c>
      <c r="L10" s="137"/>
      <c r="M10" s="129">
        <f>SUM(M8:M9)</f>
        <v>20569988.582350001</v>
      </c>
      <c r="N10" s="129">
        <f>SUM(N8:N9)</f>
        <v>657940.14534999942</v>
      </c>
      <c r="O10" s="138">
        <f t="shared" ref="O10" si="7">N10/I10</f>
        <v>3.3042313423034562E-2</v>
      </c>
      <c r="P10" s="138">
        <f>SUM(P8:P9)</f>
        <v>1</v>
      </c>
      <c r="Q10" s="139">
        <f t="shared" si="6"/>
        <v>0</v>
      </c>
      <c r="R10" s="140">
        <f>M10-K10</f>
        <v>129.19535000249743</v>
      </c>
      <c r="S10" s="67">
        <f>K10/I10</f>
        <v>1.033035825122727</v>
      </c>
    </row>
    <row r="11" spans="1:20" x14ac:dyDescent="0.2">
      <c r="A11" s="86">
        <f t="shared" si="1"/>
        <v>5</v>
      </c>
      <c r="D11" s="73" t="s">
        <v>25</v>
      </c>
      <c r="E11" s="2"/>
      <c r="F11" s="2"/>
      <c r="G11" s="134">
        <v>1753824.9000000004</v>
      </c>
      <c r="H11" s="2"/>
      <c r="I11" s="9">
        <f>G11-($I$145*E9)</f>
        <v>58040.911950000329</v>
      </c>
      <c r="J11" s="2"/>
      <c r="K11" s="9">
        <f>K10-I10</f>
        <v>657810.94999999925</v>
      </c>
      <c r="L11" s="2"/>
      <c r="M11" s="134">
        <f>I11</f>
        <v>58040.911950000329</v>
      </c>
      <c r="N11" s="134">
        <f t="shared" si="0"/>
        <v>0</v>
      </c>
      <c r="O11" s="126">
        <v>0</v>
      </c>
      <c r="P11" s="2"/>
      <c r="Q11" s="2"/>
      <c r="R11" s="141"/>
    </row>
    <row r="12" spans="1:20" x14ac:dyDescent="0.2">
      <c r="A12" s="86">
        <f t="shared" si="1"/>
        <v>6</v>
      </c>
      <c r="D12" s="73" t="s">
        <v>26</v>
      </c>
      <c r="E12" s="2"/>
      <c r="F12" s="2"/>
      <c r="G12" s="134">
        <v>1956145.4700000002</v>
      </c>
      <c r="H12" s="2"/>
      <c r="I12" s="9">
        <f>G12</f>
        <v>1956145.4700000002</v>
      </c>
      <c r="J12" s="2"/>
      <c r="K12" s="2"/>
      <c r="L12" s="2"/>
      <c r="M12" s="134">
        <f t="shared" ref="M12:M14" si="8">I12</f>
        <v>1956145.4700000002</v>
      </c>
      <c r="N12" s="134">
        <f t="shared" si="0"/>
        <v>0</v>
      </c>
      <c r="O12" s="126">
        <v>0</v>
      </c>
      <c r="P12" s="2"/>
      <c r="Q12" s="2"/>
      <c r="R12" s="2"/>
    </row>
    <row r="13" spans="1:20" x14ac:dyDescent="0.2">
      <c r="A13" s="86">
        <f t="shared" si="1"/>
        <v>7</v>
      </c>
      <c r="D13" s="73" t="s">
        <v>28</v>
      </c>
      <c r="E13" s="2"/>
      <c r="F13" s="2"/>
      <c r="G13" s="134">
        <v>563.75</v>
      </c>
      <c r="H13" s="2"/>
      <c r="I13" s="9">
        <f>G13</f>
        <v>563.75</v>
      </c>
      <c r="J13" s="2"/>
      <c r="K13" s="2"/>
      <c r="L13" s="2"/>
      <c r="M13" s="134">
        <f t="shared" si="8"/>
        <v>563.75</v>
      </c>
      <c r="N13" s="134">
        <f t="shared" si="0"/>
        <v>0</v>
      </c>
      <c r="O13" s="126">
        <v>0</v>
      </c>
      <c r="P13" s="2"/>
      <c r="Q13" s="2"/>
      <c r="R13" s="2"/>
    </row>
    <row r="14" spans="1:20" x14ac:dyDescent="0.2">
      <c r="A14" s="86">
        <f t="shared" si="1"/>
        <v>8</v>
      </c>
      <c r="D14" s="73" t="s">
        <v>37</v>
      </c>
      <c r="E14" s="2"/>
      <c r="F14" s="2"/>
      <c r="G14" s="134">
        <v>0</v>
      </c>
      <c r="H14" s="2"/>
      <c r="I14" s="9">
        <f>G14</f>
        <v>0</v>
      </c>
      <c r="J14" s="2"/>
      <c r="K14" s="2"/>
      <c r="L14" s="2"/>
      <c r="M14" s="134">
        <f t="shared" si="8"/>
        <v>0</v>
      </c>
      <c r="N14" s="134"/>
      <c r="O14" s="126">
        <v>0</v>
      </c>
      <c r="P14" s="2"/>
      <c r="Q14" s="2"/>
      <c r="R14" s="2"/>
    </row>
    <row r="15" spans="1:20" x14ac:dyDescent="0.2">
      <c r="A15" s="86">
        <f t="shared" si="1"/>
        <v>9</v>
      </c>
      <c r="D15" s="101" t="s">
        <v>8</v>
      </c>
      <c r="E15" s="27"/>
      <c r="F15" s="27"/>
      <c r="G15" s="142">
        <f>SUM(G11:G14)</f>
        <v>3710534.1200000006</v>
      </c>
      <c r="H15" s="27"/>
      <c r="I15" s="142">
        <f>SUM(I11:I14)</f>
        <v>2014750.1319500005</v>
      </c>
      <c r="J15" s="27"/>
      <c r="K15" s="27"/>
      <c r="L15" s="27"/>
      <c r="M15" s="142">
        <f>SUM(M11:M14)</f>
        <v>2014750.1319500005</v>
      </c>
      <c r="N15" s="142">
        <f>M15-I15</f>
        <v>0</v>
      </c>
      <c r="O15" s="143">
        <v>0</v>
      </c>
      <c r="P15" s="2"/>
      <c r="Q15" s="2"/>
      <c r="R15" s="2"/>
    </row>
    <row r="16" spans="1:20" s="79" customFormat="1" ht="26.45" customHeight="1" thickBot="1" x14ac:dyDescent="0.25">
      <c r="A16" s="86">
        <f t="shared" si="1"/>
        <v>10</v>
      </c>
      <c r="C16" s="94"/>
      <c r="D16" s="104" t="s">
        <v>18</v>
      </c>
      <c r="E16" s="144"/>
      <c r="F16" s="144"/>
      <c r="G16" s="145">
        <f>G10+G15</f>
        <v>19446233.811549999</v>
      </c>
      <c r="H16" s="144"/>
      <c r="I16" s="146">
        <f>I15+I10</f>
        <v>21926798.568950001</v>
      </c>
      <c r="J16" s="144"/>
      <c r="K16" s="144"/>
      <c r="L16" s="144"/>
      <c r="M16" s="145">
        <f>M15+M10</f>
        <v>22584738.714300003</v>
      </c>
      <c r="N16" s="145">
        <f>M16-I16</f>
        <v>657940.14535000175</v>
      </c>
      <c r="O16" s="147">
        <f>N16/I16</f>
        <v>3.000621104266879E-2</v>
      </c>
      <c r="P16" s="2"/>
      <c r="Q16" s="2"/>
      <c r="R16" s="2"/>
    </row>
    <row r="17" spans="1:20" ht="13.5" thickTop="1" x14ac:dyDescent="0.2">
      <c r="A17" s="86">
        <f t="shared" si="1"/>
        <v>11</v>
      </c>
      <c r="D17" s="73" t="s">
        <v>17</v>
      </c>
      <c r="E17" s="126">
        <f>E9/E8</f>
        <v>1026.8827943618237</v>
      </c>
      <c r="F17" s="2"/>
      <c r="G17" s="148">
        <f>G16/E8</f>
        <v>139.7772748686414</v>
      </c>
      <c r="H17" s="2"/>
      <c r="I17" s="148">
        <f>I16/E8</f>
        <v>157.60728685371939</v>
      </c>
      <c r="J17" s="2"/>
      <c r="K17" s="2"/>
      <c r="L17" s="2"/>
      <c r="M17" s="148">
        <f>M16/E8</f>
        <v>162.33648436491453</v>
      </c>
      <c r="N17" s="148">
        <f>M17-I17</f>
        <v>4.7291975111951388</v>
      </c>
      <c r="O17" s="128">
        <f>N17/I17</f>
        <v>3.0006211042668769E-2</v>
      </c>
      <c r="P17" s="2"/>
      <c r="Q17" s="2"/>
      <c r="R17" s="2"/>
    </row>
    <row r="18" spans="1:20" ht="13.5" thickBot="1" x14ac:dyDescent="0.25">
      <c r="A18" s="86">
        <f t="shared" si="1"/>
        <v>12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0" x14ac:dyDescent="0.2">
      <c r="A19" s="86">
        <f t="shared" si="1"/>
        <v>13</v>
      </c>
      <c r="B19" s="87" t="s">
        <v>62</v>
      </c>
      <c r="C19" s="88" t="s">
        <v>101</v>
      </c>
      <c r="D19" s="87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</row>
    <row r="20" spans="1:20" x14ac:dyDescent="0.2">
      <c r="A20" s="86">
        <f t="shared" si="1"/>
        <v>14</v>
      </c>
      <c r="D20" s="73" t="s">
        <v>86</v>
      </c>
      <c r="E20" s="131">
        <v>11323</v>
      </c>
      <c r="F20" s="127">
        <v>5.194E-2</v>
      </c>
      <c r="G20" s="134">
        <f t="shared" ref="G20" si="9">F20*E20</f>
        <v>588.11662000000001</v>
      </c>
      <c r="H20" s="127">
        <v>6.3810000000000006E-2</v>
      </c>
      <c r="I20" s="134">
        <f t="shared" ref="I20" si="10">H20*E20</f>
        <v>722.5206300000001</v>
      </c>
      <c r="J20" s="128">
        <f>I20/I21</f>
        <v>1</v>
      </c>
      <c r="K20" s="128"/>
      <c r="L20" s="136">
        <f>ROUND(H20*S21,5)</f>
        <v>6.5920000000000006E-2</v>
      </c>
      <c r="M20" s="134">
        <f t="shared" ref="M20" si="11">L20*E20</f>
        <v>746.41216000000009</v>
      </c>
      <c r="N20" s="134">
        <f t="shared" ref="N20" si="12">M20-I20</f>
        <v>23.891529999999989</v>
      </c>
      <c r="O20" s="128">
        <f t="shared" ref="O20" si="13">IF(I20=0,0,N20/I20)</f>
        <v>3.306691741106408E-2</v>
      </c>
      <c r="P20" s="128">
        <f>M20/M$21</f>
        <v>1</v>
      </c>
      <c r="Q20" s="135">
        <f t="shared" ref="Q20" si="14">P20-J20</f>
        <v>0</v>
      </c>
      <c r="R20" s="135"/>
      <c r="T20" s="90">
        <f>L20/H20-1</f>
        <v>3.3066917411064045E-2</v>
      </c>
    </row>
    <row r="21" spans="1:20" s="79" customFormat="1" ht="20.45" customHeight="1" x14ac:dyDescent="0.25">
      <c r="A21" s="86">
        <f t="shared" si="1"/>
        <v>15</v>
      </c>
      <c r="C21" s="94"/>
      <c r="D21" s="95" t="s">
        <v>6</v>
      </c>
      <c r="E21" s="137"/>
      <c r="F21" s="137"/>
      <c r="G21" s="129">
        <f>SUM(G20:G20)</f>
        <v>588.11662000000001</v>
      </c>
      <c r="H21" s="137"/>
      <c r="I21" s="129">
        <f>SUM(I20:I20)</f>
        <v>722.5206300000001</v>
      </c>
      <c r="J21" s="138">
        <f>SUM(J20:J20)</f>
        <v>1</v>
      </c>
      <c r="K21" s="130">
        <f>I21+Summary!I9</f>
        <v>746.3906300000001</v>
      </c>
      <c r="L21" s="137"/>
      <c r="M21" s="129">
        <f>SUM(M20:M20)</f>
        <v>746.41216000000009</v>
      </c>
      <c r="N21" s="129">
        <f>SUM(N20:N20)</f>
        <v>23.891529999999989</v>
      </c>
      <c r="O21" s="138">
        <f t="shared" ref="O21" si="15">N21/I21</f>
        <v>3.306691741106408E-2</v>
      </c>
      <c r="P21" s="138">
        <f>SUM(P20:P20)</f>
        <v>1</v>
      </c>
      <c r="Q21" s="139">
        <f t="shared" ref="Q21" si="16">P21-J21</f>
        <v>0</v>
      </c>
      <c r="R21" s="140">
        <f>M21-K21</f>
        <v>2.1529999999984284E-2</v>
      </c>
      <c r="S21" s="67">
        <f>K21/I21</f>
        <v>1.0330371189539598</v>
      </c>
    </row>
    <row r="22" spans="1:20" x14ac:dyDescent="0.2">
      <c r="A22" s="86">
        <f t="shared" si="1"/>
        <v>16</v>
      </c>
      <c r="D22" s="73" t="s">
        <v>25</v>
      </c>
      <c r="E22" s="2"/>
      <c r="F22" s="2"/>
      <c r="G22" s="134">
        <v>0</v>
      </c>
      <c r="H22" s="2"/>
      <c r="I22" s="9">
        <f>G22+(0.00161*E20)</f>
        <v>18.230030000000003</v>
      </c>
      <c r="J22" s="2"/>
      <c r="K22" s="9">
        <f>K21-I21</f>
        <v>23.870000000000005</v>
      </c>
      <c r="L22" s="2"/>
      <c r="M22" s="134">
        <f>I22</f>
        <v>18.230030000000003</v>
      </c>
      <c r="N22" s="134">
        <f t="shared" ref="N22:N27" si="17">M22-I22</f>
        <v>0</v>
      </c>
      <c r="O22" s="126">
        <v>0</v>
      </c>
      <c r="P22" s="2"/>
      <c r="Q22" s="2"/>
      <c r="R22" s="2"/>
    </row>
    <row r="23" spans="1:20" x14ac:dyDescent="0.2">
      <c r="A23" s="86">
        <f t="shared" si="1"/>
        <v>17</v>
      </c>
      <c r="D23" s="73" t="s">
        <v>26</v>
      </c>
      <c r="E23" s="2"/>
      <c r="F23" s="2"/>
      <c r="G23" s="134">
        <v>0</v>
      </c>
      <c r="H23" s="2"/>
      <c r="I23" s="9">
        <f t="shared" ref="I23:I25" si="18">G23</f>
        <v>0</v>
      </c>
      <c r="J23" s="2"/>
      <c r="K23" s="2"/>
      <c r="L23" s="2"/>
      <c r="M23" s="134">
        <f t="shared" ref="M23:M25" si="19">I23</f>
        <v>0</v>
      </c>
      <c r="N23" s="134">
        <f t="shared" si="17"/>
        <v>0</v>
      </c>
      <c r="O23" s="126">
        <v>0</v>
      </c>
      <c r="P23" s="2"/>
      <c r="Q23" s="2"/>
      <c r="R23" s="2"/>
    </row>
    <row r="24" spans="1:20" x14ac:dyDescent="0.2">
      <c r="A24" s="86">
        <f t="shared" si="1"/>
        <v>18</v>
      </c>
      <c r="D24" s="73" t="s">
        <v>28</v>
      </c>
      <c r="E24" s="2"/>
      <c r="F24" s="2"/>
      <c r="G24" s="134">
        <v>0</v>
      </c>
      <c r="H24" s="2"/>
      <c r="I24" s="9">
        <f t="shared" si="18"/>
        <v>0</v>
      </c>
      <c r="J24" s="2"/>
      <c r="K24" s="2"/>
      <c r="L24" s="2"/>
      <c r="M24" s="134">
        <f t="shared" si="19"/>
        <v>0</v>
      </c>
      <c r="N24" s="134">
        <f t="shared" si="17"/>
        <v>0</v>
      </c>
      <c r="O24" s="126">
        <v>0</v>
      </c>
      <c r="P24" s="2"/>
      <c r="Q24" s="2"/>
      <c r="R24" s="2"/>
    </row>
    <row r="25" spans="1:20" x14ac:dyDescent="0.2">
      <c r="A25" s="86">
        <f t="shared" si="1"/>
        <v>19</v>
      </c>
      <c r="D25" s="73" t="s">
        <v>37</v>
      </c>
      <c r="E25" s="2"/>
      <c r="F25" s="2"/>
      <c r="G25" s="134">
        <v>0</v>
      </c>
      <c r="H25" s="2"/>
      <c r="I25" s="9">
        <f t="shared" si="18"/>
        <v>0</v>
      </c>
      <c r="J25" s="2"/>
      <c r="K25" s="2"/>
      <c r="L25" s="2"/>
      <c r="M25" s="134">
        <f t="shared" si="19"/>
        <v>0</v>
      </c>
      <c r="N25" s="134"/>
      <c r="O25" s="126"/>
      <c r="P25" s="2"/>
      <c r="Q25" s="2"/>
      <c r="R25" s="2"/>
    </row>
    <row r="26" spans="1:20" x14ac:dyDescent="0.2">
      <c r="A26" s="86">
        <f t="shared" si="1"/>
        <v>20</v>
      </c>
      <c r="D26" s="101" t="s">
        <v>8</v>
      </c>
      <c r="E26" s="27"/>
      <c r="F26" s="27"/>
      <c r="G26" s="142">
        <f>SUM(G22:G25)</f>
        <v>0</v>
      </c>
      <c r="H26" s="27"/>
      <c r="I26" s="142">
        <f>SUM(I22:I25)</f>
        <v>18.230030000000003</v>
      </c>
      <c r="J26" s="27"/>
      <c r="K26" s="27"/>
      <c r="L26" s="27"/>
      <c r="M26" s="142">
        <f>SUM(M22:M25)</f>
        <v>18.230030000000003</v>
      </c>
      <c r="N26" s="142">
        <f t="shared" si="17"/>
        <v>0</v>
      </c>
      <c r="O26" s="143">
        <f t="shared" ref="O26" si="20">N26-J26</f>
        <v>0</v>
      </c>
      <c r="P26" s="2"/>
      <c r="Q26" s="2"/>
      <c r="R26" s="2"/>
    </row>
    <row r="27" spans="1:20" s="79" customFormat="1" ht="26.45" customHeight="1" thickBot="1" x14ac:dyDescent="0.25">
      <c r="A27" s="86">
        <f t="shared" si="1"/>
        <v>21</v>
      </c>
      <c r="C27" s="94"/>
      <c r="D27" s="104" t="s">
        <v>18</v>
      </c>
      <c r="E27" s="144"/>
      <c r="F27" s="144"/>
      <c r="G27" s="145">
        <f>G21+G26</f>
        <v>588.11662000000001</v>
      </c>
      <c r="H27" s="144"/>
      <c r="I27" s="146">
        <f>I26+I21</f>
        <v>740.75066000000015</v>
      </c>
      <c r="J27" s="144"/>
      <c r="K27" s="144"/>
      <c r="L27" s="144"/>
      <c r="M27" s="145">
        <f>M26+M21</f>
        <v>764.64219000000014</v>
      </c>
      <c r="N27" s="145">
        <f t="shared" si="17"/>
        <v>23.891529999999989</v>
      </c>
      <c r="O27" s="147">
        <f>N27/I27</f>
        <v>3.2253133598287964E-2</v>
      </c>
      <c r="P27" s="2"/>
      <c r="Q27" s="2"/>
      <c r="R27" s="2"/>
    </row>
    <row r="28" spans="1:20" ht="13.5" thickTop="1" x14ac:dyDescent="0.2">
      <c r="A28" s="86">
        <f t="shared" si="1"/>
        <v>22</v>
      </c>
      <c r="D28" s="73" t="s">
        <v>17</v>
      </c>
      <c r="E28" s="149" t="s">
        <v>56</v>
      </c>
      <c r="F28" s="118"/>
      <c r="G28" s="150" t="s">
        <v>56</v>
      </c>
      <c r="H28" s="118"/>
      <c r="I28" s="150" t="s">
        <v>56</v>
      </c>
      <c r="J28" s="118"/>
      <c r="K28" s="118"/>
      <c r="L28" s="118"/>
      <c r="M28" s="150" t="s">
        <v>56</v>
      </c>
      <c r="N28" s="150" t="s">
        <v>56</v>
      </c>
      <c r="O28" s="151" t="s">
        <v>56</v>
      </c>
      <c r="P28" s="2"/>
      <c r="Q28" s="2"/>
      <c r="R28" s="2"/>
    </row>
    <row r="29" spans="1:20" ht="13.5" thickBot="1" x14ac:dyDescent="0.25">
      <c r="A29" s="86">
        <f t="shared" si="1"/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0" x14ac:dyDescent="0.2">
      <c r="A30" s="86">
        <f t="shared" si="1"/>
        <v>24</v>
      </c>
      <c r="B30" s="87" t="s">
        <v>63</v>
      </c>
      <c r="C30" s="88" t="s">
        <v>64</v>
      </c>
      <c r="D30" s="87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</row>
    <row r="31" spans="1:20" x14ac:dyDescent="0.2">
      <c r="A31" s="86">
        <f t="shared" si="1"/>
        <v>25</v>
      </c>
      <c r="C31" s="73"/>
      <c r="D31" s="73" t="s">
        <v>16</v>
      </c>
      <c r="E31" s="131">
        <v>10481</v>
      </c>
      <c r="F31" s="126">
        <v>30.98</v>
      </c>
      <c r="G31" s="134">
        <f>F31*E31</f>
        <v>324701.38</v>
      </c>
      <c r="H31" s="126">
        <v>30.98</v>
      </c>
      <c r="I31" s="134">
        <f>H31*E31</f>
        <v>324701.38</v>
      </c>
      <c r="J31" s="128">
        <f>I31/I34</f>
        <v>0.26141337312230523</v>
      </c>
      <c r="K31" s="128"/>
      <c r="L31" s="126">
        <f>ROUND(H31*S34,2)</f>
        <v>32</v>
      </c>
      <c r="M31" s="134">
        <f>L31*E31</f>
        <v>335392</v>
      </c>
      <c r="N31" s="134">
        <f>M31-I31</f>
        <v>10690.619999999995</v>
      </c>
      <c r="O31" s="128">
        <f>IF(I31=0,0,N31/I31)</f>
        <v>3.2924467398321486E-2</v>
      </c>
      <c r="P31" s="128">
        <f>M31/M$34</f>
        <v>0.26138517797842253</v>
      </c>
      <c r="Q31" s="135">
        <f>P31-J31</f>
        <v>-2.8195143882692175E-5</v>
      </c>
      <c r="R31" s="135"/>
      <c r="T31" s="90">
        <f>L31/H31-1</f>
        <v>3.2924467398321555E-2</v>
      </c>
    </row>
    <row r="32" spans="1:20" x14ac:dyDescent="0.2">
      <c r="A32" s="86">
        <f t="shared" si="1"/>
        <v>26</v>
      </c>
      <c r="D32" s="73" t="s">
        <v>46</v>
      </c>
      <c r="E32" s="131">
        <v>39332.480633802814</v>
      </c>
      <c r="F32" s="126">
        <v>5.68</v>
      </c>
      <c r="G32" s="134">
        <f t="shared" ref="G32" si="21">F32*E32</f>
        <v>223408.48999999996</v>
      </c>
      <c r="H32" s="126">
        <v>5.68</v>
      </c>
      <c r="I32" s="134">
        <f t="shared" ref="I32" si="22">H32*E32</f>
        <v>223408.48999999996</v>
      </c>
      <c r="J32" s="128">
        <f>I32/I34</f>
        <v>0.17986362409380824</v>
      </c>
      <c r="K32" s="128"/>
      <c r="L32" s="10">
        <f>ROUND(H32*S34,5)</f>
        <v>5.8676399999999997</v>
      </c>
      <c r="M32" s="134">
        <f t="shared" ref="M32" si="23">L32*E32</f>
        <v>230788.83666612674</v>
      </c>
      <c r="N32" s="134">
        <f t="shared" ref="N32" si="24">M32-I32</f>
        <v>7380.3466661267739</v>
      </c>
      <c r="O32" s="128">
        <f t="shared" ref="O32" si="25">IF(I32=0,0,N32/I32)</f>
        <v>3.3035211267605696E-2</v>
      </c>
      <c r="P32" s="128">
        <f t="shared" ref="P32:P33" si="26">M32/M$34</f>
        <v>0.17986350642653562</v>
      </c>
      <c r="Q32" s="135">
        <f t="shared" ref="Q32" si="27">P32-J32</f>
        <v>-1.1766727261997012E-7</v>
      </c>
      <c r="R32" s="135"/>
      <c r="T32" s="90">
        <f>L32/H32-1</f>
        <v>3.3035211267605558E-2</v>
      </c>
    </row>
    <row r="33" spans="1:20" x14ac:dyDescent="0.2">
      <c r="A33" s="86">
        <f t="shared" si="1"/>
        <v>27</v>
      </c>
      <c r="D33" s="73" t="s">
        <v>45</v>
      </c>
      <c r="E33" s="131">
        <v>8504773</v>
      </c>
      <c r="F33" s="127">
        <v>6.973E-2</v>
      </c>
      <c r="G33" s="134">
        <f t="shared" ref="G33" si="28">F33*E33</f>
        <v>593037.82128999999</v>
      </c>
      <c r="H33" s="127">
        <v>8.1600000000000006E-2</v>
      </c>
      <c r="I33" s="134">
        <f t="shared" ref="I33" si="29">H33*E33</f>
        <v>693989.47680000006</v>
      </c>
      <c r="J33" s="128">
        <f>I33/I34</f>
        <v>0.55872300278388654</v>
      </c>
      <c r="K33" s="128"/>
      <c r="L33" s="136">
        <f>ROUND(H33*S34,5)</f>
        <v>8.43E-2</v>
      </c>
      <c r="M33" s="134">
        <f t="shared" ref="M33" si="30">L33*E33</f>
        <v>716952.3639</v>
      </c>
      <c r="N33" s="134">
        <f t="shared" ref="N33:N41" si="31">M33-I33</f>
        <v>22962.887099999934</v>
      </c>
      <c r="O33" s="128">
        <f t="shared" ref="O33" si="32">IF(I33=0,0,N33/I33)</f>
        <v>3.308823529411755E-2</v>
      </c>
      <c r="P33" s="128">
        <f t="shared" si="26"/>
        <v>0.55875131559504188</v>
      </c>
      <c r="Q33" s="135">
        <f t="shared" ref="Q33:Q34" si="33">P33-J33</f>
        <v>2.8312811155339901E-5</v>
      </c>
      <c r="R33" s="135"/>
      <c r="T33" s="90">
        <f>L33/H33-1</f>
        <v>3.308823529411753E-2</v>
      </c>
    </row>
    <row r="34" spans="1:20" s="79" customFormat="1" ht="20.45" customHeight="1" x14ac:dyDescent="0.25">
      <c r="A34" s="86">
        <f t="shared" si="1"/>
        <v>28</v>
      </c>
      <c r="C34" s="94"/>
      <c r="D34" s="95" t="s">
        <v>6</v>
      </c>
      <c r="E34" s="137"/>
      <c r="F34" s="137"/>
      <c r="G34" s="129">
        <f>SUM(G31:G33)</f>
        <v>1141147.69129</v>
      </c>
      <c r="H34" s="137"/>
      <c r="I34" s="129">
        <f>SUM(I31:I33)</f>
        <v>1242099.3467999999</v>
      </c>
      <c r="J34" s="138">
        <f>SUM(J31:J33)</f>
        <v>1</v>
      </c>
      <c r="K34" s="130">
        <f>I34+Summary!I10</f>
        <v>1283133.1268</v>
      </c>
      <c r="L34" s="137"/>
      <c r="M34" s="129">
        <f>SUM(M31:M33)</f>
        <v>1283133.2005661267</v>
      </c>
      <c r="N34" s="129">
        <f>SUM(N31:N33)</f>
        <v>41033.853766126704</v>
      </c>
      <c r="O34" s="138">
        <f t="shared" ref="O34" si="34">N34/I34</f>
        <v>3.3035887082495892E-2</v>
      </c>
      <c r="P34" s="138">
        <f>SUM(P31:P33)</f>
        <v>1</v>
      </c>
      <c r="Q34" s="139">
        <f t="shared" si="33"/>
        <v>0</v>
      </c>
      <c r="R34" s="140">
        <f>M34-K34</f>
        <v>7.376612676307559E-2</v>
      </c>
      <c r="S34" s="67">
        <f>K34/I34</f>
        <v>1.0330358276942297</v>
      </c>
    </row>
    <row r="35" spans="1:20" x14ac:dyDescent="0.2">
      <c r="A35" s="86">
        <f t="shared" si="1"/>
        <v>29</v>
      </c>
      <c r="D35" s="73" t="s">
        <v>25</v>
      </c>
      <c r="E35" s="2"/>
      <c r="F35" s="2"/>
      <c r="G35" s="134">
        <v>104385.43000000002</v>
      </c>
      <c r="H35" s="2"/>
      <c r="I35" s="9">
        <f>G35-($I$145*E33)</f>
        <v>3433.7744900000253</v>
      </c>
      <c r="J35" s="2"/>
      <c r="K35" s="9">
        <f>K34-I34</f>
        <v>41033.780000000028</v>
      </c>
      <c r="L35" s="2"/>
      <c r="M35" s="134">
        <f>I35</f>
        <v>3433.7744900000253</v>
      </c>
      <c r="N35" s="134">
        <f t="shared" si="31"/>
        <v>0</v>
      </c>
      <c r="O35" s="126">
        <v>0</v>
      </c>
      <c r="P35" s="2"/>
      <c r="Q35" s="2"/>
      <c r="R35" s="2"/>
    </row>
    <row r="36" spans="1:20" x14ac:dyDescent="0.2">
      <c r="A36" s="86">
        <f t="shared" si="1"/>
        <v>30</v>
      </c>
      <c r="D36" s="73" t="s">
        <v>26</v>
      </c>
      <c r="E36" s="2"/>
      <c r="F36" s="2"/>
      <c r="G36" s="134">
        <v>138215.59</v>
      </c>
      <c r="H36" s="2"/>
      <c r="I36" s="9">
        <f t="shared" ref="I36:I38" si="35">G36</f>
        <v>138215.59</v>
      </c>
      <c r="J36" s="2"/>
      <c r="K36" s="2"/>
      <c r="L36" s="2"/>
      <c r="M36" s="134">
        <f t="shared" ref="M36:M38" si="36">I36</f>
        <v>138215.59</v>
      </c>
      <c r="N36" s="134">
        <f t="shared" si="31"/>
        <v>0</v>
      </c>
      <c r="O36" s="126">
        <v>0</v>
      </c>
      <c r="P36" s="2"/>
      <c r="Q36" s="2"/>
      <c r="R36" s="2"/>
    </row>
    <row r="37" spans="1:20" x14ac:dyDescent="0.2">
      <c r="A37" s="86">
        <f t="shared" si="1"/>
        <v>31</v>
      </c>
      <c r="D37" s="73" t="s">
        <v>28</v>
      </c>
      <c r="E37" s="2"/>
      <c r="F37" s="2"/>
      <c r="G37" s="134">
        <v>33</v>
      </c>
      <c r="H37" s="2"/>
      <c r="I37" s="9">
        <f t="shared" si="35"/>
        <v>33</v>
      </c>
      <c r="J37" s="2"/>
      <c r="K37" s="2"/>
      <c r="L37" s="2"/>
      <c r="M37" s="134">
        <f t="shared" si="36"/>
        <v>33</v>
      </c>
      <c r="N37" s="134">
        <f t="shared" si="31"/>
        <v>0</v>
      </c>
      <c r="O37" s="126">
        <v>0</v>
      </c>
      <c r="P37" s="2"/>
      <c r="Q37" s="2"/>
      <c r="R37" s="2"/>
    </row>
    <row r="38" spans="1:20" x14ac:dyDescent="0.2">
      <c r="A38" s="86">
        <f t="shared" si="1"/>
        <v>32</v>
      </c>
      <c r="D38" s="73" t="s">
        <v>37</v>
      </c>
      <c r="E38" s="2"/>
      <c r="F38" s="2"/>
      <c r="G38" s="134">
        <v>0</v>
      </c>
      <c r="H38" s="2"/>
      <c r="I38" s="9">
        <f t="shared" si="35"/>
        <v>0</v>
      </c>
      <c r="J38" s="2"/>
      <c r="K38" s="2"/>
      <c r="L38" s="2"/>
      <c r="M38" s="134">
        <f t="shared" si="36"/>
        <v>0</v>
      </c>
      <c r="N38" s="134"/>
      <c r="O38" s="126"/>
      <c r="P38" s="2"/>
      <c r="Q38" s="2"/>
      <c r="R38" s="2"/>
    </row>
    <row r="39" spans="1:20" x14ac:dyDescent="0.2">
      <c r="A39" s="86">
        <f t="shared" si="1"/>
        <v>33</v>
      </c>
      <c r="D39" s="101" t="s">
        <v>8</v>
      </c>
      <c r="E39" s="27"/>
      <c r="F39" s="27"/>
      <c r="G39" s="142">
        <f>SUM(G35:G38)</f>
        <v>242634.02000000002</v>
      </c>
      <c r="H39" s="27"/>
      <c r="I39" s="142">
        <f>SUM(I35:I38)</f>
        <v>141682.36449000001</v>
      </c>
      <c r="J39" s="27"/>
      <c r="K39" s="27"/>
      <c r="L39" s="27"/>
      <c r="M39" s="142">
        <f>SUM(M35:M38)</f>
        <v>141682.36449000001</v>
      </c>
      <c r="N39" s="142">
        <f t="shared" si="31"/>
        <v>0</v>
      </c>
      <c r="O39" s="143">
        <f t="shared" ref="O39" si="37">N39-J39</f>
        <v>0</v>
      </c>
      <c r="P39" s="2"/>
      <c r="Q39" s="2"/>
      <c r="R39" s="2"/>
    </row>
    <row r="40" spans="1:20" s="79" customFormat="1" ht="26.45" customHeight="1" thickBot="1" x14ac:dyDescent="0.25">
      <c r="A40" s="86">
        <f t="shared" si="1"/>
        <v>34</v>
      </c>
      <c r="C40" s="94"/>
      <c r="D40" s="104" t="s">
        <v>18</v>
      </c>
      <c r="E40" s="144"/>
      <c r="F40" s="144"/>
      <c r="G40" s="145">
        <f>G34+G39</f>
        <v>1383781.71129</v>
      </c>
      <c r="H40" s="144"/>
      <c r="I40" s="146">
        <f>I39+I34</f>
        <v>1383781.71129</v>
      </c>
      <c r="J40" s="144"/>
      <c r="K40" s="144"/>
      <c r="L40" s="144"/>
      <c r="M40" s="145">
        <f>M39+M34</f>
        <v>1424815.5650561268</v>
      </c>
      <c r="N40" s="145">
        <f t="shared" si="31"/>
        <v>41033.853766126791</v>
      </c>
      <c r="O40" s="147">
        <f>N40/I40</f>
        <v>2.9653415297615029E-2</v>
      </c>
      <c r="P40" s="2"/>
      <c r="Q40" s="2"/>
      <c r="R40" s="2"/>
    </row>
    <row r="41" spans="1:20" ht="13.5" thickTop="1" x14ac:dyDescent="0.2">
      <c r="A41" s="86">
        <f t="shared" si="1"/>
        <v>35</v>
      </c>
      <c r="D41" s="73" t="s">
        <v>17</v>
      </c>
      <c r="E41" s="126">
        <f>(E32+E33)/E31</f>
        <v>815.19945431102019</v>
      </c>
      <c r="F41" s="2"/>
      <c r="G41" s="148">
        <f>G40/E31</f>
        <v>132.02764156950673</v>
      </c>
      <c r="H41" s="2"/>
      <c r="I41" s="148">
        <f>I40/E31</f>
        <v>132.02764156950673</v>
      </c>
      <c r="J41" s="2"/>
      <c r="K41" s="2"/>
      <c r="L41" s="2"/>
      <c r="M41" s="148">
        <f>M40/E31</f>
        <v>135.94271205573196</v>
      </c>
      <c r="N41" s="148">
        <f t="shared" si="31"/>
        <v>3.9150704862252326</v>
      </c>
      <c r="O41" s="128">
        <f>N41/I41</f>
        <v>2.9653415297614939E-2</v>
      </c>
      <c r="P41" s="2"/>
      <c r="Q41" s="2"/>
      <c r="R41" s="2"/>
    </row>
    <row r="42" spans="1:20" ht="13.5" thickBot="1" x14ac:dyDescent="0.25">
      <c r="A42" s="86">
        <f t="shared" si="1"/>
        <v>36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0" x14ac:dyDescent="0.2">
      <c r="A43" s="86">
        <f t="shared" si="1"/>
        <v>37</v>
      </c>
      <c r="B43" s="87" t="s">
        <v>65</v>
      </c>
      <c r="C43" s="88" t="s">
        <v>66</v>
      </c>
      <c r="D43" s="87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</row>
    <row r="44" spans="1:20" x14ac:dyDescent="0.2">
      <c r="A44" s="86">
        <f t="shared" si="1"/>
        <v>38</v>
      </c>
      <c r="C44" s="73"/>
      <c r="D44" s="73" t="s">
        <v>16</v>
      </c>
      <c r="E44" s="131">
        <v>1923</v>
      </c>
      <c r="F44" s="126">
        <v>96.34</v>
      </c>
      <c r="G44" s="134">
        <f>F44*E44</f>
        <v>185261.82</v>
      </c>
      <c r="H44" s="126">
        <v>96.34</v>
      </c>
      <c r="I44" s="134">
        <f>H44*E44</f>
        <v>185261.82</v>
      </c>
      <c r="J44" s="128">
        <f>I44/I48</f>
        <v>7.6491717636928414E-2</v>
      </c>
      <c r="K44" s="128"/>
      <c r="L44" s="126">
        <f>ROUND(H44*S48,2)</f>
        <v>99.52</v>
      </c>
      <c r="M44" s="134">
        <f>L44*E44</f>
        <v>191376.96</v>
      </c>
      <c r="N44" s="134">
        <f>M44-I44</f>
        <v>6115.1399999999849</v>
      </c>
      <c r="O44" s="128">
        <f>IF(I44=0,0,N44/I44)</f>
        <v>3.3008096325513721E-2</v>
      </c>
      <c r="P44" s="128">
        <f>M44/M$48</f>
        <v>7.6497885350374953E-2</v>
      </c>
      <c r="Q44" s="135">
        <f>P44-J44</f>
        <v>6.1677134465393246E-6</v>
      </c>
      <c r="R44" s="135"/>
    </row>
    <row r="45" spans="1:20" x14ac:dyDescent="0.2">
      <c r="A45" s="86">
        <f t="shared" si="1"/>
        <v>39</v>
      </c>
      <c r="D45" s="73" t="s">
        <v>46</v>
      </c>
      <c r="E45" s="131">
        <v>79986.506172839494</v>
      </c>
      <c r="F45" s="126">
        <v>6.48</v>
      </c>
      <c r="G45" s="134">
        <f t="shared" ref="G45" si="38">F45*E45</f>
        <v>518312.55999999994</v>
      </c>
      <c r="H45" s="126">
        <v>6.48</v>
      </c>
      <c r="I45" s="134">
        <f t="shared" ref="I45" si="39">H45*E45</f>
        <v>518312.55999999994</v>
      </c>
      <c r="J45" s="128">
        <f>I45/I48</f>
        <v>0.2140031766242689</v>
      </c>
      <c r="K45" s="128"/>
      <c r="L45" s="126">
        <f>ROUND(H45*S48,2)</f>
        <v>6.69</v>
      </c>
      <c r="M45" s="134">
        <f t="shared" ref="M45" si="40">L45*E45</f>
        <v>535109.72629629623</v>
      </c>
      <c r="N45" s="134">
        <f t="shared" ref="N45" si="41">M45-I45</f>
        <v>16797.166296296287</v>
      </c>
      <c r="O45" s="128">
        <f t="shared" ref="O45" si="42">IF(I45=0,0,N45/I45)</f>
        <v>3.2407407407407392E-2</v>
      </c>
      <c r="P45" s="128">
        <f>M45/M$48</f>
        <v>0.21389598043612248</v>
      </c>
      <c r="Q45" s="135">
        <f t="shared" ref="Q45" si="43">P45-J45</f>
        <v>-1.0719618814641896E-4</v>
      </c>
      <c r="R45" s="135"/>
      <c r="T45" s="90">
        <f>L45/H45-1</f>
        <v>3.240740740740744E-2</v>
      </c>
    </row>
    <row r="46" spans="1:20" x14ac:dyDescent="0.2">
      <c r="A46" s="86">
        <f t="shared" si="1"/>
        <v>40</v>
      </c>
      <c r="D46" s="73" t="s">
        <v>67</v>
      </c>
      <c r="E46" s="131">
        <v>6841625.0999999996</v>
      </c>
      <c r="F46" s="127">
        <v>5.8930000000000003E-2</v>
      </c>
      <c r="G46" s="134">
        <f t="shared" ref="G46" si="44">F46*E46</f>
        <v>403176.96714299999</v>
      </c>
      <c r="H46" s="127">
        <v>8.0369999999999997E-2</v>
      </c>
      <c r="I46" s="134">
        <f t="shared" ref="I46" si="45">H46*E46</f>
        <v>549861.40928699996</v>
      </c>
      <c r="J46" s="128">
        <f>I46/I48</f>
        <v>0.22702920471484481</v>
      </c>
      <c r="K46" s="128"/>
      <c r="L46" s="127">
        <f>ROUND(H46*S48,5)</f>
        <v>8.3030000000000007E-2</v>
      </c>
      <c r="M46" s="134">
        <f t="shared" ref="M46" si="46">L46*E46</f>
        <v>568060.13205300004</v>
      </c>
      <c r="N46" s="134">
        <f t="shared" ref="N46" si="47">M46-I46</f>
        <v>18198.722766000079</v>
      </c>
      <c r="O46" s="128">
        <f t="shared" ref="O46" si="48">IF(I46=0,0,N46/I46)</f>
        <v>3.3096926713948135E-2</v>
      </c>
      <c r="P46" s="128">
        <f>M46/M$48</f>
        <v>0.22706703489233634</v>
      </c>
      <c r="Q46" s="135">
        <f t="shared" ref="Q46" si="49">P46-J46</f>
        <v>3.7830177491537942E-5</v>
      </c>
      <c r="R46" s="135"/>
      <c r="T46" s="90">
        <f>L46/H46-1</f>
        <v>3.3096926713948038E-2</v>
      </c>
    </row>
    <row r="47" spans="1:20" x14ac:dyDescent="0.2">
      <c r="A47" s="86">
        <f t="shared" si="1"/>
        <v>41</v>
      </c>
      <c r="D47" s="73" t="s">
        <v>68</v>
      </c>
      <c r="E47" s="131">
        <v>15963791.899999999</v>
      </c>
      <c r="F47" s="127">
        <v>5.2609999999999997E-2</v>
      </c>
      <c r="G47" s="134">
        <f t="shared" ref="G47" si="50">F47*E47</f>
        <v>839855.09185899992</v>
      </c>
      <c r="H47" s="127">
        <v>7.3200000000000001E-2</v>
      </c>
      <c r="I47" s="134">
        <f t="shared" ref="I47" si="51">H47*E47</f>
        <v>1168549.5670799999</v>
      </c>
      <c r="J47" s="128">
        <f>I47/I48</f>
        <v>0.48247590102395788</v>
      </c>
      <c r="K47" s="128"/>
      <c r="L47" s="127">
        <f>ROUND(H47*S48,5)</f>
        <v>7.5620000000000007E-2</v>
      </c>
      <c r="M47" s="134">
        <f t="shared" ref="M47" si="52">L47*E47</f>
        <v>1207181.9434779999</v>
      </c>
      <c r="N47" s="134">
        <f t="shared" ref="N47" si="53">M47-I47</f>
        <v>38632.376397999935</v>
      </c>
      <c r="O47" s="128">
        <f t="shared" ref="O47" si="54">IF(I47=0,0,N47/I47)</f>
        <v>3.3060109289617431E-2</v>
      </c>
      <c r="P47" s="128">
        <f>M47/M$48</f>
        <v>0.48253909932116623</v>
      </c>
      <c r="Q47" s="135">
        <f t="shared" ref="Q47" si="55">P47-J47</f>
        <v>6.3198297208355569E-5</v>
      </c>
      <c r="R47" s="135"/>
      <c r="T47" s="90">
        <f>L47/H47-1</f>
        <v>3.3060109289617667E-2</v>
      </c>
    </row>
    <row r="48" spans="1:20" s="79" customFormat="1" ht="20.45" customHeight="1" x14ac:dyDescent="0.25">
      <c r="A48" s="86">
        <f t="shared" si="1"/>
        <v>42</v>
      </c>
      <c r="C48" s="94"/>
      <c r="D48" s="95" t="s">
        <v>6</v>
      </c>
      <c r="E48" s="137"/>
      <c r="F48" s="137"/>
      <c r="G48" s="129">
        <f>SUM(G44:G47)</f>
        <v>1946606.4390019998</v>
      </c>
      <c r="H48" s="137"/>
      <c r="I48" s="129">
        <f>SUM(I44:I47)</f>
        <v>2421985.3563669999</v>
      </c>
      <c r="J48" s="138">
        <f>SUM(J44:J47)</f>
        <v>1</v>
      </c>
      <c r="K48" s="130">
        <f>I48+Summary!I11</f>
        <v>2501997.646367</v>
      </c>
      <c r="L48" s="137"/>
      <c r="M48" s="129">
        <f>SUM(M44:M47)</f>
        <v>2501728.7618272961</v>
      </c>
      <c r="N48" s="129">
        <f>SUM(N44:N47)</f>
        <v>79743.405460296286</v>
      </c>
      <c r="O48" s="138">
        <f t="shared" ref="O48" si="56">N48/I48</f>
        <v>3.2924809083037611E-2</v>
      </c>
      <c r="P48" s="138">
        <f>SUM(P44:P47)</f>
        <v>1</v>
      </c>
      <c r="Q48" s="139">
        <f t="shared" ref="Q48" si="57">P48-J48</f>
        <v>0</v>
      </c>
      <c r="R48" s="140">
        <f>M48-K48</f>
        <v>-268.88453970383853</v>
      </c>
      <c r="S48" s="67">
        <f>K48/I48</f>
        <v>1.0330358273181384</v>
      </c>
    </row>
    <row r="49" spans="1:20" x14ac:dyDescent="0.2">
      <c r="A49" s="86">
        <f t="shared" si="1"/>
        <v>43</v>
      </c>
      <c r="D49" s="73" t="s">
        <v>25</v>
      </c>
      <c r="E49" s="2"/>
      <c r="F49" s="2"/>
      <c r="G49" s="134">
        <v>276653.21000000002</v>
      </c>
      <c r="H49" s="2"/>
      <c r="I49" s="9">
        <f>G49-($I$145*(E47+E46))</f>
        <v>5952.9102100000018</v>
      </c>
      <c r="J49" s="2"/>
      <c r="K49" s="9">
        <f>K48-I48</f>
        <v>80012.290000000037</v>
      </c>
      <c r="L49" s="2"/>
      <c r="M49" s="134">
        <f>I49</f>
        <v>5952.9102100000018</v>
      </c>
      <c r="N49" s="134">
        <f t="shared" ref="N49:N55" si="58">M49-I49</f>
        <v>0</v>
      </c>
      <c r="O49" s="126">
        <v>0</v>
      </c>
      <c r="P49" s="2"/>
      <c r="Q49" s="2"/>
      <c r="R49" s="2"/>
    </row>
    <row r="50" spans="1:20" x14ac:dyDescent="0.2">
      <c r="A50" s="86">
        <f t="shared" si="1"/>
        <v>44</v>
      </c>
      <c r="D50" s="73" t="s">
        <v>26</v>
      </c>
      <c r="E50" s="2"/>
      <c r="F50" s="2"/>
      <c r="G50" s="134">
        <v>255330.86000000004</v>
      </c>
      <c r="H50" s="2"/>
      <c r="I50" s="9">
        <f t="shared" ref="I50:I52" si="59">G50</f>
        <v>255330.86000000004</v>
      </c>
      <c r="J50" s="2"/>
      <c r="K50" s="2"/>
      <c r="L50" s="2"/>
      <c r="M50" s="134">
        <f t="shared" ref="M50:M52" si="60">I50</f>
        <v>255330.86000000004</v>
      </c>
      <c r="N50" s="134">
        <f t="shared" si="58"/>
        <v>0</v>
      </c>
      <c r="O50" s="126">
        <v>0</v>
      </c>
      <c r="P50" s="2"/>
      <c r="Q50" s="2"/>
      <c r="R50" s="2"/>
    </row>
    <row r="51" spans="1:20" x14ac:dyDescent="0.2">
      <c r="A51" s="86">
        <f t="shared" si="1"/>
        <v>45</v>
      </c>
      <c r="D51" s="73" t="s">
        <v>28</v>
      </c>
      <c r="E51" s="2"/>
      <c r="F51" s="2"/>
      <c r="G51" s="134">
        <v>0</v>
      </c>
      <c r="H51" s="2"/>
      <c r="I51" s="9">
        <f t="shared" si="59"/>
        <v>0</v>
      </c>
      <c r="J51" s="2"/>
      <c r="K51" s="2"/>
      <c r="L51" s="2"/>
      <c r="M51" s="134">
        <f t="shared" si="60"/>
        <v>0</v>
      </c>
      <c r="N51" s="134">
        <f t="shared" si="58"/>
        <v>0</v>
      </c>
      <c r="O51" s="126">
        <v>0</v>
      </c>
      <c r="P51" s="2"/>
      <c r="Q51" s="2"/>
      <c r="R51" s="2"/>
    </row>
    <row r="52" spans="1:20" x14ac:dyDescent="0.2">
      <c r="A52" s="86">
        <f t="shared" si="1"/>
        <v>46</v>
      </c>
      <c r="D52" s="73" t="s">
        <v>37</v>
      </c>
      <c r="E52" s="2"/>
      <c r="F52" s="2"/>
      <c r="G52" s="134">
        <v>0</v>
      </c>
      <c r="H52" s="2"/>
      <c r="I52" s="9">
        <f t="shared" si="59"/>
        <v>0</v>
      </c>
      <c r="J52" s="2"/>
      <c r="K52" s="2"/>
      <c r="L52" s="2"/>
      <c r="M52" s="134">
        <f t="shared" si="60"/>
        <v>0</v>
      </c>
      <c r="N52" s="134"/>
      <c r="O52" s="126"/>
      <c r="P52" s="2"/>
      <c r="Q52" s="2"/>
      <c r="R52" s="2"/>
    </row>
    <row r="53" spans="1:20" x14ac:dyDescent="0.2">
      <c r="A53" s="86">
        <f t="shared" si="1"/>
        <v>47</v>
      </c>
      <c r="D53" s="101" t="s">
        <v>8</v>
      </c>
      <c r="E53" s="27"/>
      <c r="F53" s="27"/>
      <c r="G53" s="142">
        <f>SUM(G49:G52)</f>
        <v>531984.07000000007</v>
      </c>
      <c r="H53" s="27"/>
      <c r="I53" s="142">
        <f>SUM(I49:I52)</f>
        <v>261283.77021000005</v>
      </c>
      <c r="J53" s="27"/>
      <c r="K53" s="27"/>
      <c r="L53" s="27"/>
      <c r="M53" s="142">
        <f>SUM(M49:M52)</f>
        <v>261283.77021000005</v>
      </c>
      <c r="N53" s="142">
        <f t="shared" si="58"/>
        <v>0</v>
      </c>
      <c r="O53" s="143">
        <f t="shared" ref="O53" si="61">N53-J53</f>
        <v>0</v>
      </c>
      <c r="P53" s="2"/>
      <c r="Q53" s="2"/>
      <c r="R53" s="2"/>
    </row>
    <row r="54" spans="1:20" s="79" customFormat="1" ht="26.45" customHeight="1" thickBot="1" x14ac:dyDescent="0.25">
      <c r="A54" s="86">
        <f t="shared" si="1"/>
        <v>48</v>
      </c>
      <c r="C54" s="94"/>
      <c r="D54" s="104" t="s">
        <v>18</v>
      </c>
      <c r="E54" s="144"/>
      <c r="F54" s="144"/>
      <c r="G54" s="145">
        <f>G48+G53</f>
        <v>2478590.5090020001</v>
      </c>
      <c r="H54" s="144"/>
      <c r="I54" s="146">
        <f>I53+I48</f>
        <v>2683269.1265770001</v>
      </c>
      <c r="J54" s="144"/>
      <c r="K54" s="144"/>
      <c r="L54" s="144"/>
      <c r="M54" s="145">
        <f>M53+M48</f>
        <v>2763012.5320372963</v>
      </c>
      <c r="N54" s="145">
        <f t="shared" si="58"/>
        <v>79743.405460296199</v>
      </c>
      <c r="O54" s="147">
        <f>N54/I54</f>
        <v>2.9718750411749966E-2</v>
      </c>
      <c r="P54" s="2"/>
      <c r="Q54" s="2"/>
      <c r="R54" s="2"/>
    </row>
    <row r="55" spans="1:20" ht="13.5" thickTop="1" x14ac:dyDescent="0.2">
      <c r="A55" s="86">
        <f t="shared" si="1"/>
        <v>49</v>
      </c>
      <c r="D55" s="73" t="s">
        <v>17</v>
      </c>
      <c r="E55" s="126">
        <f>E47/E44</f>
        <v>8301.503848153925</v>
      </c>
      <c r="F55" s="2"/>
      <c r="G55" s="148">
        <f>G54/E44</f>
        <v>1288.9186214258971</v>
      </c>
      <c r="H55" s="2"/>
      <c r="I55" s="148">
        <f>I54/E44</f>
        <v>1395.3557600504421</v>
      </c>
      <c r="J55" s="2"/>
      <c r="K55" s="2"/>
      <c r="L55" s="2"/>
      <c r="M55" s="148">
        <f>M54/E44</f>
        <v>1436.8239896189789</v>
      </c>
      <c r="N55" s="148">
        <f t="shared" si="58"/>
        <v>41.468229568536799</v>
      </c>
      <c r="O55" s="128">
        <f>N55/I55</f>
        <v>2.9718750411749994E-2</v>
      </c>
      <c r="P55" s="2"/>
      <c r="Q55" s="2"/>
      <c r="R55" s="2"/>
    </row>
    <row r="56" spans="1:20" ht="13.5" thickBot="1" x14ac:dyDescent="0.25">
      <c r="A56" s="86">
        <f t="shared" si="1"/>
        <v>50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20" x14ac:dyDescent="0.2">
      <c r="A57" s="86">
        <f t="shared" si="1"/>
        <v>51</v>
      </c>
      <c r="B57" s="87" t="s">
        <v>100</v>
      </c>
      <c r="C57" s="88" t="s">
        <v>69</v>
      </c>
      <c r="D57" s="87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</row>
    <row r="58" spans="1:20" x14ac:dyDescent="0.2">
      <c r="A58" s="86">
        <f t="shared" si="1"/>
        <v>52</v>
      </c>
      <c r="C58" s="73"/>
      <c r="D58" s="73" t="s">
        <v>16</v>
      </c>
      <c r="E58" s="131">
        <v>102</v>
      </c>
      <c r="F58" s="126">
        <v>118.25</v>
      </c>
      <c r="G58" s="134">
        <f>F58*E58</f>
        <v>12061.5</v>
      </c>
      <c r="H58" s="126">
        <v>118.25</v>
      </c>
      <c r="I58" s="134">
        <f>H58*E58</f>
        <v>12061.5</v>
      </c>
      <c r="J58" s="128">
        <f>I58/I62</f>
        <v>1.2537245869142705E-2</v>
      </c>
      <c r="K58" s="128"/>
      <c r="L58" s="126">
        <f>ROUND(H58*S62,2)</f>
        <v>122.16</v>
      </c>
      <c r="M58" s="134">
        <f>L58*E58</f>
        <v>12460.32</v>
      </c>
      <c r="N58" s="134">
        <f>M58-I58</f>
        <v>398.81999999999971</v>
      </c>
      <c r="O58" s="128">
        <f>IF(I58=0,0,N58/I58)</f>
        <v>3.3065539112050714E-2</v>
      </c>
      <c r="P58" s="128">
        <f>M58/M$62</f>
        <v>1.2537852482217409E-2</v>
      </c>
      <c r="Q58" s="135">
        <f>P58-J58</f>
        <v>6.0661307470406822E-7</v>
      </c>
      <c r="R58" s="135"/>
      <c r="T58" s="90"/>
    </row>
    <row r="59" spans="1:20" x14ac:dyDescent="0.2">
      <c r="A59" s="86">
        <f t="shared" si="1"/>
        <v>53</v>
      </c>
      <c r="D59" s="73" t="s">
        <v>46</v>
      </c>
      <c r="E59" s="131">
        <v>39891.143712574856</v>
      </c>
      <c r="F59" s="126">
        <v>6.68</v>
      </c>
      <c r="G59" s="134">
        <f t="shared" ref="G59" si="62">F59*E59</f>
        <v>266472.84000000003</v>
      </c>
      <c r="H59" s="126">
        <v>6.68</v>
      </c>
      <c r="I59" s="134">
        <f t="shared" ref="I59" si="63">H59*E59</f>
        <v>266472.84000000003</v>
      </c>
      <c r="J59" s="128">
        <f>I59/I62</f>
        <v>0.27698341935320858</v>
      </c>
      <c r="K59" s="128"/>
      <c r="L59" s="126">
        <f>ROUND(H59*S62,2)</f>
        <v>6.9</v>
      </c>
      <c r="M59" s="134">
        <f t="shared" ref="M59" si="64">L59*E59</f>
        <v>275248.89161676652</v>
      </c>
      <c r="N59" s="134">
        <f t="shared" ref="N59" si="65">M59-I59</f>
        <v>8776.05161676649</v>
      </c>
      <c r="O59" s="128">
        <f t="shared" ref="O59" si="66">IF(I59=0,0,N59/I59)</f>
        <v>3.2934131736527032E-2</v>
      </c>
      <c r="P59" s="128">
        <f>M59/M$62</f>
        <v>0.27696158677986332</v>
      </c>
      <c r="Q59" s="135">
        <f t="shared" ref="Q59" si="67">P59-J59</f>
        <v>-2.1832573345259565E-5</v>
      </c>
      <c r="R59" s="135"/>
      <c r="T59" s="90">
        <f>L59/H59-1</f>
        <v>3.2934131736527039E-2</v>
      </c>
    </row>
    <row r="60" spans="1:20" x14ac:dyDescent="0.2">
      <c r="A60" s="86">
        <f t="shared" si="1"/>
        <v>54</v>
      </c>
      <c r="D60" s="73" t="s">
        <v>67</v>
      </c>
      <c r="E60" s="131">
        <v>0</v>
      </c>
      <c r="F60" s="127">
        <v>5.8439999999999999E-2</v>
      </c>
      <c r="G60" s="134">
        <f t="shared" ref="G60" si="68">F60*E60</f>
        <v>0</v>
      </c>
      <c r="H60" s="127">
        <v>7.1410000000000001E-2</v>
      </c>
      <c r="I60" s="134">
        <f t="shared" ref="I60" si="69">H60*E60</f>
        <v>0</v>
      </c>
      <c r="J60" s="128">
        <f>I60/I62</f>
        <v>0</v>
      </c>
      <c r="K60" s="128"/>
      <c r="L60" s="136">
        <f>ROUND(H60*S62,5)</f>
        <v>7.3770000000000002E-2</v>
      </c>
      <c r="M60" s="134">
        <f t="shared" ref="M60" si="70">L60*E60</f>
        <v>0</v>
      </c>
      <c r="N60" s="134">
        <f t="shared" ref="N60" si="71">M60-I60</f>
        <v>0</v>
      </c>
      <c r="O60" s="128">
        <f t="shared" ref="O60" si="72">IF(I60=0,0,N60/I60)</f>
        <v>0</v>
      </c>
      <c r="P60" s="128">
        <f>M60/M$62</f>
        <v>0</v>
      </c>
      <c r="Q60" s="135">
        <f t="shared" ref="Q60" si="73">P60-J60</f>
        <v>0</v>
      </c>
      <c r="R60" s="135"/>
      <c r="T60" s="90">
        <f>L60/H60-1</f>
        <v>3.3048592634084883E-2</v>
      </c>
    </row>
    <row r="61" spans="1:20" x14ac:dyDescent="0.2">
      <c r="A61" s="86">
        <f t="shared" si="1"/>
        <v>55</v>
      </c>
      <c r="D61" s="73" t="s">
        <v>68</v>
      </c>
      <c r="E61" s="131">
        <v>10505980</v>
      </c>
      <c r="F61" s="127">
        <v>5.2159999999999998E-2</v>
      </c>
      <c r="G61" s="134">
        <f t="shared" ref="G61" si="74">F61*E61</f>
        <v>547991.91680000001</v>
      </c>
      <c r="H61" s="127">
        <v>6.5060000000000007E-2</v>
      </c>
      <c r="I61" s="134">
        <f t="shared" ref="I61" si="75">H61*E61</f>
        <v>683519.05880000012</v>
      </c>
      <c r="J61" s="128">
        <f>I61/I62</f>
        <v>0.7104793347776488</v>
      </c>
      <c r="K61" s="128"/>
      <c r="L61" s="136">
        <f>ROUND(H61*S62,5)</f>
        <v>6.7210000000000006E-2</v>
      </c>
      <c r="M61" s="134">
        <f t="shared" ref="M61" si="76">L61*E61</f>
        <v>706106.91580000008</v>
      </c>
      <c r="N61" s="134">
        <f t="shared" ref="N61" si="77">M61-I61</f>
        <v>22587.85699999996</v>
      </c>
      <c r="O61" s="128">
        <f t="shared" ref="O61" si="78">IF(I61=0,0,N61/I61)</f>
        <v>3.3046418690439533E-2</v>
      </c>
      <c r="P61" s="128">
        <f>M61/M$62</f>
        <v>0.71050056073791923</v>
      </c>
      <c r="Q61" s="135">
        <f t="shared" ref="Q61" si="79">P61-J61</f>
        <v>2.1225960270432331E-5</v>
      </c>
      <c r="R61" s="135"/>
      <c r="T61" s="90">
        <f>L61/H61-1</f>
        <v>3.3046418690439561E-2</v>
      </c>
    </row>
    <row r="62" spans="1:20" s="79" customFormat="1" ht="20.45" customHeight="1" x14ac:dyDescent="0.25">
      <c r="A62" s="86">
        <f t="shared" si="1"/>
        <v>56</v>
      </c>
      <c r="C62" s="94"/>
      <c r="D62" s="95" t="s">
        <v>6</v>
      </c>
      <c r="E62" s="137"/>
      <c r="F62" s="137"/>
      <c r="G62" s="129">
        <f>SUM(G58:G61)</f>
        <v>826526.25680000009</v>
      </c>
      <c r="H62" s="137"/>
      <c r="I62" s="129">
        <f>SUM(I58:I61)</f>
        <v>962053.39880000008</v>
      </c>
      <c r="J62" s="138">
        <f>SUM(J58:J61)</f>
        <v>1</v>
      </c>
      <c r="K62" s="130">
        <f>I62+Summary!I12</f>
        <v>993835.62880000006</v>
      </c>
      <c r="L62" s="137"/>
      <c r="M62" s="129">
        <f>SUM(M58:M61)</f>
        <v>993816.1274167666</v>
      </c>
      <c r="N62" s="129">
        <f>SUM(N58:N61)</f>
        <v>31762.72861676645</v>
      </c>
      <c r="O62" s="138">
        <f t="shared" ref="O62" si="80">N62/I62</f>
        <v>3.3015556783422953E-2</v>
      </c>
      <c r="P62" s="138">
        <f>SUM(P58:P61)</f>
        <v>1</v>
      </c>
      <c r="Q62" s="139">
        <f t="shared" ref="Q62" si="81">P62-J62</f>
        <v>0</v>
      </c>
      <c r="R62" s="140">
        <f>M62-K62</f>
        <v>-19.501383233466186</v>
      </c>
      <c r="S62" s="67">
        <f>K62/I62</f>
        <v>1.0330358273663842</v>
      </c>
    </row>
    <row r="63" spans="1:20" x14ac:dyDescent="0.2">
      <c r="A63" s="86">
        <f t="shared" si="1"/>
        <v>57</v>
      </c>
      <c r="D63" s="73" t="s">
        <v>25</v>
      </c>
      <c r="E63" s="2"/>
      <c r="F63" s="2"/>
      <c r="G63" s="134">
        <v>127876.39</v>
      </c>
      <c r="H63" s="2"/>
      <c r="I63" s="9">
        <f>G63-($I$145*(E61+E60))</f>
        <v>3170.4073999999964</v>
      </c>
      <c r="J63" s="2"/>
      <c r="K63" s="9">
        <f>K62-I62</f>
        <v>31782.229999999981</v>
      </c>
      <c r="L63" s="2"/>
      <c r="M63" s="134">
        <f>I63</f>
        <v>3170.4073999999964</v>
      </c>
      <c r="N63" s="134">
        <f t="shared" ref="N63:N69" si="82">M63-I63</f>
        <v>0</v>
      </c>
      <c r="O63" s="126">
        <v>0</v>
      </c>
      <c r="P63" s="2"/>
      <c r="Q63" s="2"/>
      <c r="R63" s="2"/>
    </row>
    <row r="64" spans="1:20" x14ac:dyDescent="0.2">
      <c r="A64" s="86">
        <f t="shared" si="1"/>
        <v>58</v>
      </c>
      <c r="D64" s="73" t="s">
        <v>26</v>
      </c>
      <c r="E64" s="2"/>
      <c r="F64" s="2"/>
      <c r="G64" s="134">
        <v>102233.95</v>
      </c>
      <c r="H64" s="2"/>
      <c r="I64" s="9">
        <f t="shared" ref="I64:I66" si="83">G64</f>
        <v>102233.95</v>
      </c>
      <c r="J64" s="2"/>
      <c r="K64" s="2"/>
      <c r="L64" s="2"/>
      <c r="M64" s="134">
        <f t="shared" ref="M64:M66" si="84">I64</f>
        <v>102233.95</v>
      </c>
      <c r="N64" s="134">
        <f t="shared" si="82"/>
        <v>0</v>
      </c>
      <c r="O64" s="126">
        <v>0</v>
      </c>
      <c r="P64" s="2"/>
      <c r="Q64" s="2"/>
      <c r="R64" s="2"/>
    </row>
    <row r="65" spans="1:20" x14ac:dyDescent="0.2">
      <c r="A65" s="86">
        <f t="shared" si="1"/>
        <v>59</v>
      </c>
      <c r="D65" s="73" t="s">
        <v>28</v>
      </c>
      <c r="E65" s="2"/>
      <c r="F65" s="2"/>
      <c r="G65" s="134">
        <v>0</v>
      </c>
      <c r="H65" s="2"/>
      <c r="I65" s="9">
        <f t="shared" si="83"/>
        <v>0</v>
      </c>
      <c r="J65" s="2"/>
      <c r="K65" s="2"/>
      <c r="L65" s="2"/>
      <c r="M65" s="134">
        <f t="shared" si="84"/>
        <v>0</v>
      </c>
      <c r="N65" s="134">
        <f t="shared" si="82"/>
        <v>0</v>
      </c>
      <c r="O65" s="126">
        <v>0</v>
      </c>
      <c r="P65" s="2"/>
      <c r="Q65" s="2"/>
      <c r="R65" s="2"/>
    </row>
    <row r="66" spans="1:20" x14ac:dyDescent="0.2">
      <c r="A66" s="86">
        <f t="shared" si="1"/>
        <v>60</v>
      </c>
      <c r="D66" s="73" t="s">
        <v>37</v>
      </c>
      <c r="E66" s="2"/>
      <c r="F66" s="2"/>
      <c r="G66" s="134">
        <v>0</v>
      </c>
      <c r="H66" s="2"/>
      <c r="I66" s="9">
        <f t="shared" si="83"/>
        <v>0</v>
      </c>
      <c r="J66" s="2"/>
      <c r="K66" s="2"/>
      <c r="L66" s="2"/>
      <c r="M66" s="134">
        <f t="shared" si="84"/>
        <v>0</v>
      </c>
      <c r="N66" s="134"/>
      <c r="O66" s="126"/>
      <c r="P66" s="2"/>
      <c r="Q66" s="2"/>
      <c r="R66" s="2"/>
    </row>
    <row r="67" spans="1:20" x14ac:dyDescent="0.2">
      <c r="A67" s="86">
        <f t="shared" si="1"/>
        <v>61</v>
      </c>
      <c r="D67" s="101" t="s">
        <v>8</v>
      </c>
      <c r="E67" s="27"/>
      <c r="F67" s="27"/>
      <c r="G67" s="142">
        <f>SUM(G63:G66)</f>
        <v>230110.34</v>
      </c>
      <c r="H67" s="27"/>
      <c r="I67" s="142">
        <f>SUM(I63:I66)</f>
        <v>105404.35739999999</v>
      </c>
      <c r="J67" s="27"/>
      <c r="K67" s="27"/>
      <c r="L67" s="27"/>
      <c r="M67" s="142">
        <f>SUM(M63:M66)</f>
        <v>105404.35739999999</v>
      </c>
      <c r="N67" s="142">
        <f t="shared" si="82"/>
        <v>0</v>
      </c>
      <c r="O67" s="143">
        <f t="shared" ref="O67" si="85">N67-J67</f>
        <v>0</v>
      </c>
      <c r="P67" s="2"/>
      <c r="Q67" s="2"/>
      <c r="R67" s="2"/>
    </row>
    <row r="68" spans="1:20" s="79" customFormat="1" ht="26.45" customHeight="1" thickBot="1" x14ac:dyDescent="0.25">
      <c r="A68" s="86">
        <f t="shared" si="1"/>
        <v>62</v>
      </c>
      <c r="C68" s="94"/>
      <c r="D68" s="104" t="s">
        <v>18</v>
      </c>
      <c r="E68" s="144"/>
      <c r="F68" s="144"/>
      <c r="G68" s="145">
        <f>G62+G67</f>
        <v>1056636.5968000002</v>
      </c>
      <c r="H68" s="144"/>
      <c r="I68" s="146">
        <f>I67+I62</f>
        <v>1067457.7562000002</v>
      </c>
      <c r="J68" s="144"/>
      <c r="K68" s="144"/>
      <c r="L68" s="144"/>
      <c r="M68" s="145">
        <f>M67+M62</f>
        <v>1099220.4848167666</v>
      </c>
      <c r="N68" s="145">
        <f t="shared" si="82"/>
        <v>31762.728616766399</v>
      </c>
      <c r="O68" s="147">
        <f>N68/I68</f>
        <v>2.9755490025045354E-2</v>
      </c>
      <c r="P68" s="2"/>
      <c r="Q68" s="2"/>
      <c r="R68" s="2"/>
    </row>
    <row r="69" spans="1:20" ht="13.5" thickTop="1" x14ac:dyDescent="0.2">
      <c r="A69" s="86">
        <f t="shared" si="1"/>
        <v>63</v>
      </c>
      <c r="D69" s="73" t="s">
        <v>17</v>
      </c>
      <c r="E69" s="126">
        <f>E61/E58</f>
        <v>102999.80392156863</v>
      </c>
      <c r="F69" s="2"/>
      <c r="G69" s="148">
        <f>G68/E58</f>
        <v>10359.182321568629</v>
      </c>
      <c r="H69" s="2"/>
      <c r="I69" s="148">
        <f>I68/E58</f>
        <v>10465.272119607846</v>
      </c>
      <c r="J69" s="2"/>
      <c r="K69" s="2"/>
      <c r="L69" s="2"/>
      <c r="M69" s="148">
        <f>M68/E58</f>
        <v>10776.671419772221</v>
      </c>
      <c r="N69" s="148">
        <f t="shared" si="82"/>
        <v>311.39930016437575</v>
      </c>
      <c r="O69" s="128">
        <f>N69/I69</f>
        <v>2.9755490025045281E-2</v>
      </c>
      <c r="P69" s="2"/>
      <c r="Q69" s="2"/>
      <c r="R69" s="2"/>
    </row>
    <row r="70" spans="1:20" ht="13.5" thickBot="1" x14ac:dyDescent="0.25">
      <c r="A70" s="86">
        <f t="shared" si="1"/>
        <v>64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20" x14ac:dyDescent="0.2">
      <c r="A71" s="86">
        <f t="shared" si="1"/>
        <v>65</v>
      </c>
      <c r="B71" s="87" t="s">
        <v>90</v>
      </c>
      <c r="C71" s="88" t="s">
        <v>92</v>
      </c>
      <c r="D71" s="87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</row>
    <row r="72" spans="1:20" x14ac:dyDescent="0.2">
      <c r="A72" s="86">
        <f t="shared" si="1"/>
        <v>66</v>
      </c>
      <c r="C72" s="73"/>
      <c r="D72" s="73" t="s">
        <v>16</v>
      </c>
      <c r="E72" s="131">
        <v>12</v>
      </c>
      <c r="F72" s="126">
        <v>179.01</v>
      </c>
      <c r="G72" s="134">
        <f>F72*E72</f>
        <v>2148.12</v>
      </c>
      <c r="H72" s="126">
        <v>179.01</v>
      </c>
      <c r="I72" s="134">
        <f>H72*E72</f>
        <v>2148.12</v>
      </c>
      <c r="J72" s="128">
        <f>I72/I77</f>
        <v>3.7986439690549387E-3</v>
      </c>
      <c r="K72" s="128"/>
      <c r="L72" s="126">
        <f>ROUND(H72*S77,2)</f>
        <v>192.7</v>
      </c>
      <c r="M72" s="134">
        <f>L72*E72</f>
        <v>2312.3999999999996</v>
      </c>
      <c r="N72" s="134">
        <f>M72-I72</f>
        <v>164.27999999999975</v>
      </c>
      <c r="O72" s="128">
        <f>IF(I72=0,0,N72/I72)</f>
        <v>7.6476174515390086E-2</v>
      </c>
      <c r="P72" s="128">
        <f>M72/M$77</f>
        <v>3.7987576959326833E-3</v>
      </c>
      <c r="Q72" s="135">
        <f>P72-J72</f>
        <v>1.1372687774456255E-7</v>
      </c>
      <c r="R72" s="135"/>
    </row>
    <row r="73" spans="1:20" x14ac:dyDescent="0.2">
      <c r="A73" s="86">
        <f t="shared" ref="A73:A136" si="86">A72+1</f>
        <v>67</v>
      </c>
      <c r="D73" s="73" t="s">
        <v>93</v>
      </c>
      <c r="E73" s="131">
        <v>12520.819548872178</v>
      </c>
      <c r="F73" s="126">
        <v>6.65</v>
      </c>
      <c r="G73" s="134">
        <f t="shared" ref="G73:G76" si="87">F73*E73</f>
        <v>83263.449999999983</v>
      </c>
      <c r="H73" s="126">
        <v>7.49</v>
      </c>
      <c r="I73" s="134">
        <f t="shared" ref="I73" si="88">H73*E73</f>
        <v>93780.938421052619</v>
      </c>
      <c r="J73" s="128">
        <f>I73/I77</f>
        <v>0.16583821953403169</v>
      </c>
      <c r="K73" s="128"/>
      <c r="L73" s="126">
        <f>ROUND(H73*S77,2)</f>
        <v>8.06</v>
      </c>
      <c r="M73" s="134">
        <f t="shared" ref="M73" si="89">L73*E73</f>
        <v>100917.80556390976</v>
      </c>
      <c r="N73" s="134">
        <f t="shared" ref="N73" si="90">M73-I73</f>
        <v>7136.8671428571397</v>
      </c>
      <c r="O73" s="128">
        <f t="shared" ref="O73" si="91">IF(I73=0,0,N73/I73)</f>
        <v>7.6101468624833093E-2</v>
      </c>
      <c r="P73" s="128">
        <f t="shared" ref="P73:P76" si="92">M73/M$77</f>
        <v>0.16578545690301869</v>
      </c>
      <c r="Q73" s="135">
        <f t="shared" ref="Q73" si="93">P73-J73</f>
        <v>-5.2762631013003602E-5</v>
      </c>
      <c r="R73" s="135"/>
      <c r="T73" s="90">
        <f>L73/H73-1</f>
        <v>7.6101468624833135E-2</v>
      </c>
    </row>
    <row r="74" spans="1:20" x14ac:dyDescent="0.2">
      <c r="A74" s="86">
        <f t="shared" si="86"/>
        <v>68</v>
      </c>
      <c r="D74" s="73" t="s">
        <v>94</v>
      </c>
      <c r="E74" s="131">
        <v>0</v>
      </c>
      <c r="F74" s="126">
        <v>9.65</v>
      </c>
      <c r="G74" s="134">
        <f t="shared" si="87"/>
        <v>0</v>
      </c>
      <c r="H74" s="126">
        <v>9.98</v>
      </c>
      <c r="I74" s="134">
        <f t="shared" ref="I74:I76" si="94">H74*E74</f>
        <v>0</v>
      </c>
      <c r="J74" s="128">
        <f>I74/I77</f>
        <v>0</v>
      </c>
      <c r="K74" s="128"/>
      <c r="L74" s="126">
        <f>ROUND(H74*S77,2)</f>
        <v>10.74</v>
      </c>
      <c r="M74" s="134">
        <f t="shared" ref="M74:M76" si="95">L74*E74</f>
        <v>0</v>
      </c>
      <c r="N74" s="134">
        <f t="shared" ref="N74:N76" si="96">M74-I74</f>
        <v>0</v>
      </c>
      <c r="O74" s="128">
        <f t="shared" ref="O74:O76" si="97">IF(I74=0,0,N74/I74)</f>
        <v>0</v>
      </c>
      <c r="P74" s="128">
        <f t="shared" si="92"/>
        <v>0</v>
      </c>
      <c r="Q74" s="135">
        <f t="shared" ref="Q74:Q77" si="98">P74-J74</f>
        <v>0</v>
      </c>
      <c r="R74" s="135"/>
      <c r="T74" s="90">
        <f>L74/H74-1</f>
        <v>7.6152304609218513E-2</v>
      </c>
    </row>
    <row r="75" spans="1:20" x14ac:dyDescent="0.2">
      <c r="A75" s="86">
        <f t="shared" si="86"/>
        <v>69</v>
      </c>
      <c r="D75" s="73" t="s">
        <v>67</v>
      </c>
      <c r="E75" s="131">
        <v>0</v>
      </c>
      <c r="F75" s="127">
        <v>5.348E-2</v>
      </c>
      <c r="G75" s="134">
        <f t="shared" si="87"/>
        <v>0</v>
      </c>
      <c r="H75" s="123">
        <v>7.0059999999999997E-2</v>
      </c>
      <c r="I75" s="134">
        <f t="shared" si="94"/>
        <v>0</v>
      </c>
      <c r="J75" s="128">
        <f>I75/I77</f>
        <v>0</v>
      </c>
      <c r="K75" s="128"/>
      <c r="L75" s="127">
        <f>ROUND(H75*S77,5)</f>
        <v>7.5420000000000001E-2</v>
      </c>
      <c r="M75" s="134">
        <f t="shared" si="95"/>
        <v>0</v>
      </c>
      <c r="N75" s="134">
        <f t="shared" si="96"/>
        <v>0</v>
      </c>
      <c r="O75" s="128">
        <f t="shared" si="97"/>
        <v>0</v>
      </c>
      <c r="P75" s="128">
        <f t="shared" si="92"/>
        <v>0</v>
      </c>
      <c r="Q75" s="135">
        <f t="shared" si="98"/>
        <v>0</v>
      </c>
      <c r="R75" s="135"/>
      <c r="T75" s="90">
        <f>L75/H75-1</f>
        <v>7.6505852126748541E-2</v>
      </c>
    </row>
    <row r="76" spans="1:20" x14ac:dyDescent="0.2">
      <c r="A76" s="86">
        <f t="shared" si="86"/>
        <v>70</v>
      </c>
      <c r="D76" s="73" t="s">
        <v>68</v>
      </c>
      <c r="E76" s="131">
        <v>6778800</v>
      </c>
      <c r="F76" s="127">
        <v>5.2749999999999998E-2</v>
      </c>
      <c r="G76" s="134">
        <f t="shared" si="87"/>
        <v>357581.7</v>
      </c>
      <c r="H76" s="123">
        <v>6.9269999999999998E-2</v>
      </c>
      <c r="I76" s="134">
        <f t="shared" si="94"/>
        <v>469567.47599999997</v>
      </c>
      <c r="J76" s="128">
        <f>I76/I77</f>
        <v>0.8303631364969134</v>
      </c>
      <c r="K76" s="128"/>
      <c r="L76" s="127">
        <f>ROUND(H76*S77,5)</f>
        <v>7.4569999999999997E-2</v>
      </c>
      <c r="M76" s="134">
        <f t="shared" si="95"/>
        <v>505495.11599999998</v>
      </c>
      <c r="N76" s="134">
        <f t="shared" si="96"/>
        <v>35927.640000000014</v>
      </c>
      <c r="O76" s="128">
        <f t="shared" si="97"/>
        <v>7.6512198642991233E-2</v>
      </c>
      <c r="P76" s="128">
        <f t="shared" si="92"/>
        <v>0.83041578540104855</v>
      </c>
      <c r="Q76" s="135">
        <f t="shared" si="98"/>
        <v>5.2648904135144114E-5</v>
      </c>
      <c r="R76" s="135"/>
      <c r="T76" s="90">
        <f>L76/H76-1</f>
        <v>7.6512198642991081E-2</v>
      </c>
    </row>
    <row r="77" spans="1:20" s="79" customFormat="1" ht="20.45" customHeight="1" x14ac:dyDescent="0.25">
      <c r="A77" s="86">
        <f t="shared" si="86"/>
        <v>71</v>
      </c>
      <c r="C77" s="94"/>
      <c r="D77" s="95" t="s">
        <v>6</v>
      </c>
      <c r="E77" s="137"/>
      <c r="F77" s="137"/>
      <c r="G77" s="129">
        <f>SUM(G72:G76)</f>
        <v>442993.27</v>
      </c>
      <c r="H77" s="137"/>
      <c r="I77" s="129">
        <f>SUM(I72:I76)</f>
        <v>565496.53442105255</v>
      </c>
      <c r="J77" s="138">
        <f>SUM(J72:J76)</f>
        <v>1</v>
      </c>
      <c r="K77" s="130">
        <f>I77+Summary!I16</f>
        <v>608750.2086750525</v>
      </c>
      <c r="L77" s="137"/>
      <c r="M77" s="129">
        <f>SUM(M72:M76)</f>
        <v>608725.32156390976</v>
      </c>
      <c r="N77" s="129">
        <f>SUM(N72:N76)</f>
        <v>43228.787142857153</v>
      </c>
      <c r="O77" s="138">
        <f t="shared" ref="O77" si="99">N77/I77</f>
        <v>7.6443947065235648E-2</v>
      </c>
      <c r="P77" s="138">
        <f>SUM(P72:P76)</f>
        <v>0.99999999999999989</v>
      </c>
      <c r="Q77" s="139">
        <f t="shared" si="98"/>
        <v>0</v>
      </c>
      <c r="R77" s="140">
        <f>M77-K77</f>
        <v>-24.887111142743379</v>
      </c>
      <c r="S77" s="67">
        <f>K77/I77</f>
        <v>1.0764879563732119</v>
      </c>
    </row>
    <row r="78" spans="1:20" x14ac:dyDescent="0.2">
      <c r="A78" s="86">
        <f t="shared" si="86"/>
        <v>72</v>
      </c>
      <c r="D78" s="73" t="s">
        <v>25</v>
      </c>
      <c r="E78" s="2"/>
      <c r="F78" s="2"/>
      <c r="G78" s="134">
        <v>81844.31</v>
      </c>
      <c r="H78" s="2"/>
      <c r="I78" s="9">
        <f>G78-($I$145*(E76+E75))</f>
        <v>1379.9539999999979</v>
      </c>
      <c r="J78" s="2"/>
      <c r="K78" s="9">
        <f>K77-I77</f>
        <v>43253.674253999954</v>
      </c>
      <c r="L78" s="2"/>
      <c r="M78" s="134">
        <f>I78</f>
        <v>1379.9539999999979</v>
      </c>
      <c r="N78" s="134">
        <f t="shared" ref="N78:N80" si="100">M78-I78</f>
        <v>0</v>
      </c>
      <c r="O78" s="126">
        <v>0</v>
      </c>
      <c r="P78" s="2"/>
      <c r="Q78" s="2"/>
      <c r="R78" s="2"/>
    </row>
    <row r="79" spans="1:20" x14ac:dyDescent="0.2">
      <c r="A79" s="86">
        <f t="shared" si="86"/>
        <v>73</v>
      </c>
      <c r="D79" s="73" t="s">
        <v>26</v>
      </c>
      <c r="E79" s="2"/>
      <c r="F79" s="2"/>
      <c r="G79" s="134">
        <v>56110.310000000005</v>
      </c>
      <c r="H79" s="2"/>
      <c r="I79" s="9">
        <f t="shared" ref="I79:I81" si="101">G79</f>
        <v>56110.310000000005</v>
      </c>
      <c r="J79" s="2"/>
      <c r="K79" s="2"/>
      <c r="L79" s="2"/>
      <c r="M79" s="134">
        <f t="shared" ref="M79:M81" si="102">I79</f>
        <v>56110.310000000005</v>
      </c>
      <c r="N79" s="134">
        <f t="shared" si="100"/>
        <v>0</v>
      </c>
      <c r="O79" s="126">
        <v>0</v>
      </c>
      <c r="P79" s="2"/>
      <c r="Q79" s="2"/>
      <c r="R79" s="2"/>
    </row>
    <row r="80" spans="1:20" x14ac:dyDescent="0.2">
      <c r="A80" s="86">
        <f t="shared" si="86"/>
        <v>74</v>
      </c>
      <c r="D80" s="73" t="s">
        <v>28</v>
      </c>
      <c r="E80" s="2"/>
      <c r="F80" s="2"/>
      <c r="G80" s="134">
        <v>0</v>
      </c>
      <c r="H80" s="2"/>
      <c r="I80" s="9">
        <f t="shared" si="101"/>
        <v>0</v>
      </c>
      <c r="J80" s="2"/>
      <c r="K80" s="2"/>
      <c r="L80" s="2"/>
      <c r="M80" s="134">
        <f t="shared" si="102"/>
        <v>0</v>
      </c>
      <c r="N80" s="134">
        <f t="shared" si="100"/>
        <v>0</v>
      </c>
      <c r="O80" s="126">
        <v>0</v>
      </c>
      <c r="P80" s="2"/>
      <c r="Q80" s="2"/>
      <c r="R80" s="2"/>
    </row>
    <row r="81" spans="1:20" x14ac:dyDescent="0.2">
      <c r="A81" s="86">
        <f t="shared" si="86"/>
        <v>75</v>
      </c>
      <c r="D81" s="73" t="s">
        <v>37</v>
      </c>
      <c r="E81" s="2"/>
      <c r="F81" s="2"/>
      <c r="G81" s="134">
        <v>0</v>
      </c>
      <c r="H81" s="2"/>
      <c r="I81" s="9">
        <f t="shared" si="101"/>
        <v>0</v>
      </c>
      <c r="J81" s="2"/>
      <c r="K81" s="2"/>
      <c r="L81" s="2"/>
      <c r="M81" s="134">
        <f t="shared" si="102"/>
        <v>0</v>
      </c>
      <c r="N81" s="134"/>
      <c r="O81" s="126"/>
      <c r="P81" s="2"/>
      <c r="Q81" s="2"/>
      <c r="R81" s="2"/>
    </row>
    <row r="82" spans="1:20" x14ac:dyDescent="0.2">
      <c r="A82" s="86">
        <f t="shared" si="86"/>
        <v>76</v>
      </c>
      <c r="D82" s="101" t="s">
        <v>8</v>
      </c>
      <c r="E82" s="27"/>
      <c r="F82" s="27"/>
      <c r="G82" s="142">
        <f>SUM(G78:G81)</f>
        <v>137954.62</v>
      </c>
      <c r="H82" s="27"/>
      <c r="I82" s="142">
        <f>SUM(I78:I81)</f>
        <v>57490.264000000003</v>
      </c>
      <c r="J82" s="27"/>
      <c r="K82" s="27"/>
      <c r="L82" s="27"/>
      <c r="M82" s="142">
        <f>SUM(M78:M81)</f>
        <v>57490.264000000003</v>
      </c>
      <c r="N82" s="142">
        <f t="shared" ref="N82:N84" si="103">M82-I82</f>
        <v>0</v>
      </c>
      <c r="O82" s="143">
        <f t="shared" ref="O82" si="104">N82-J82</f>
        <v>0</v>
      </c>
      <c r="P82" s="2"/>
      <c r="Q82" s="2"/>
      <c r="R82" s="2"/>
    </row>
    <row r="83" spans="1:20" s="79" customFormat="1" ht="26.45" customHeight="1" thickBot="1" x14ac:dyDescent="0.25">
      <c r="A83" s="86">
        <f t="shared" si="86"/>
        <v>77</v>
      </c>
      <c r="C83" s="94"/>
      <c r="D83" s="104" t="s">
        <v>18</v>
      </c>
      <c r="E83" s="144"/>
      <c r="F83" s="144"/>
      <c r="G83" s="145">
        <f>G77+G82</f>
        <v>580947.89</v>
      </c>
      <c r="H83" s="144"/>
      <c r="I83" s="146">
        <f>I82+I77</f>
        <v>622986.79842105252</v>
      </c>
      <c r="J83" s="144"/>
      <c r="K83" s="144"/>
      <c r="L83" s="144"/>
      <c r="M83" s="145">
        <f>M82+M77</f>
        <v>666215.58556390973</v>
      </c>
      <c r="N83" s="145">
        <f t="shared" si="103"/>
        <v>43228.787142857211</v>
      </c>
      <c r="O83" s="147">
        <f>N83/I83</f>
        <v>6.938957174119853E-2</v>
      </c>
      <c r="P83" s="2"/>
      <c r="Q83" s="2"/>
      <c r="R83" s="2"/>
    </row>
    <row r="84" spans="1:20" ht="13.5" thickTop="1" x14ac:dyDescent="0.2">
      <c r="A84" s="86">
        <f t="shared" si="86"/>
        <v>78</v>
      </c>
      <c r="D84" s="73" t="s">
        <v>17</v>
      </c>
      <c r="E84" s="126">
        <f>E76/E72</f>
        <v>564900</v>
      </c>
      <c r="F84" s="2"/>
      <c r="G84" s="148">
        <f>G83/E72</f>
        <v>48412.324166666665</v>
      </c>
      <c r="H84" s="2"/>
      <c r="I84" s="148">
        <f>I83/E72</f>
        <v>51915.56653508771</v>
      </c>
      <c r="J84" s="2"/>
      <c r="K84" s="2"/>
      <c r="L84" s="2"/>
      <c r="M84" s="148">
        <f>M83/E72</f>
        <v>55517.965463659144</v>
      </c>
      <c r="N84" s="148">
        <f t="shared" si="103"/>
        <v>3602.3989285714342</v>
      </c>
      <c r="O84" s="128">
        <f>N84/I84</f>
        <v>6.938957174119853E-2</v>
      </c>
      <c r="P84" s="2"/>
      <c r="Q84" s="2"/>
      <c r="R84" s="2"/>
    </row>
    <row r="85" spans="1:20" ht="13.5" thickBot="1" x14ac:dyDescent="0.25">
      <c r="A85" s="86">
        <f t="shared" si="86"/>
        <v>79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20" x14ac:dyDescent="0.2">
      <c r="A86" s="86">
        <f t="shared" si="86"/>
        <v>80</v>
      </c>
      <c r="B86" s="87" t="s">
        <v>29</v>
      </c>
      <c r="C86" s="88" t="s">
        <v>87</v>
      </c>
      <c r="D86" s="87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</row>
    <row r="87" spans="1:20" x14ac:dyDescent="0.2">
      <c r="A87" s="86">
        <f t="shared" si="86"/>
        <v>81</v>
      </c>
      <c r="B87" s="15"/>
      <c r="C87" s="14"/>
      <c r="D87" s="73" t="s">
        <v>70</v>
      </c>
      <c r="E87" s="131">
        <v>348</v>
      </c>
      <c r="F87" s="126">
        <v>14.09</v>
      </c>
      <c r="G87" s="134">
        <f t="shared" ref="G87" si="105">F87*E87</f>
        <v>4903.32</v>
      </c>
      <c r="H87" s="126">
        <v>17.38</v>
      </c>
      <c r="I87" s="134">
        <f t="shared" ref="I87" si="106">H87*E87</f>
        <v>6048.24</v>
      </c>
      <c r="J87" s="128">
        <f>I87/I$104</f>
        <v>5.6464933530863135E-3</v>
      </c>
      <c r="K87" s="128"/>
      <c r="L87" s="126">
        <f>ROUND(H87*S$104,2)</f>
        <v>17.95</v>
      </c>
      <c r="M87" s="134">
        <f t="shared" ref="M87" si="107">L87*E87</f>
        <v>6246.5999999999995</v>
      </c>
      <c r="N87" s="134">
        <f t="shared" ref="N87" si="108">M87-I87</f>
        <v>198.35999999999967</v>
      </c>
      <c r="O87" s="128">
        <f t="shared" ref="O87" si="109">IF(I87=0,0,N87/I87)</f>
        <v>3.2796317606444136E-2</v>
      </c>
      <c r="P87" s="128">
        <f>M87/M$104</f>
        <v>5.6464486815317261E-3</v>
      </c>
      <c r="Q87" s="135">
        <f t="shared" ref="Q87" si="110">P87-J87</f>
        <v>-4.4671554587372153E-8</v>
      </c>
      <c r="R87" s="135"/>
      <c r="T87" s="90">
        <f>L87/H87-1</f>
        <v>3.2796317606444303E-2</v>
      </c>
    </row>
    <row r="88" spans="1:20" x14ac:dyDescent="0.2">
      <c r="A88" s="86">
        <f t="shared" si="86"/>
        <v>82</v>
      </c>
      <c r="B88" s="15"/>
      <c r="C88" s="14"/>
      <c r="D88" s="73" t="s">
        <v>71</v>
      </c>
      <c r="E88" s="131">
        <v>96</v>
      </c>
      <c r="F88" s="126">
        <v>9.5</v>
      </c>
      <c r="G88" s="134">
        <f t="shared" ref="G88:G90" si="111">F88*E88</f>
        <v>912</v>
      </c>
      <c r="H88" s="126">
        <v>11.28</v>
      </c>
      <c r="I88" s="134">
        <f t="shared" ref="I88:I90" si="112">H88*E88</f>
        <v>1082.8799999999999</v>
      </c>
      <c r="J88" s="128">
        <f>I88/I$104</f>
        <v>1.0109510737322108E-3</v>
      </c>
      <c r="K88" s="128"/>
      <c r="L88" s="126">
        <f>ROUND(H88*S$104,2)</f>
        <v>11.65</v>
      </c>
      <c r="M88" s="134">
        <f t="shared" ref="M88:M90" si="113">L88*E88</f>
        <v>1118.4000000000001</v>
      </c>
      <c r="N88" s="134">
        <f t="shared" ref="N88:N90" si="114">M88-I88</f>
        <v>35.520000000000209</v>
      </c>
      <c r="O88" s="128">
        <f t="shared" ref="O88:O90" si="115">IF(I88=0,0,N88/I88)</f>
        <v>3.2801418439716512E-2</v>
      </c>
      <c r="P88" s="128">
        <f>M88/M$104</f>
        <v>1.0109480686173412E-3</v>
      </c>
      <c r="Q88" s="135">
        <f t="shared" ref="Q88:Q90" si="116">P88-J88</f>
        <v>-3.0051148696211283E-9</v>
      </c>
      <c r="R88" s="135"/>
      <c r="T88" s="90">
        <f t="shared" ref="T88:T103" si="117">L88/H88-1</f>
        <v>3.2801418439716512E-2</v>
      </c>
    </row>
    <row r="89" spans="1:20" x14ac:dyDescent="0.2">
      <c r="A89" s="86">
        <f t="shared" si="86"/>
        <v>83</v>
      </c>
      <c r="B89" s="15"/>
      <c r="C89" s="14"/>
      <c r="D89" s="73" t="s">
        <v>72</v>
      </c>
      <c r="E89" s="131">
        <v>48</v>
      </c>
      <c r="F89" s="126">
        <f>F87</f>
        <v>14.09</v>
      </c>
      <c r="G89" s="134">
        <f t="shared" si="111"/>
        <v>676.31999999999994</v>
      </c>
      <c r="H89" s="126">
        <f>H87</f>
        <v>17.38</v>
      </c>
      <c r="I89" s="134">
        <f t="shared" si="112"/>
        <v>834.24</v>
      </c>
      <c r="J89" s="128">
        <f>I89/I$104</f>
        <v>7.7882666939121568E-4</v>
      </c>
      <c r="K89" s="128"/>
      <c r="L89" s="126">
        <f>ROUND(H89*S$104,2)</f>
        <v>17.95</v>
      </c>
      <c r="M89" s="134">
        <f t="shared" si="113"/>
        <v>861.59999999999991</v>
      </c>
      <c r="N89" s="134">
        <f t="shared" si="114"/>
        <v>27.3599999999999</v>
      </c>
      <c r="O89" s="128">
        <f t="shared" si="115"/>
        <v>3.2796317606444067E-2</v>
      </c>
      <c r="P89" s="128">
        <f>M89/M$104</f>
        <v>7.7882050779747936E-4</v>
      </c>
      <c r="Q89" s="135">
        <f t="shared" si="116"/>
        <v>-6.1615937363163759E-9</v>
      </c>
      <c r="R89" s="135"/>
      <c r="T89" s="90">
        <f t="shared" si="117"/>
        <v>3.2796317606444303E-2</v>
      </c>
    </row>
    <row r="90" spans="1:20" x14ac:dyDescent="0.2">
      <c r="A90" s="86">
        <f t="shared" si="86"/>
        <v>84</v>
      </c>
      <c r="B90" s="15"/>
      <c r="C90" s="14"/>
      <c r="D90" s="73" t="s">
        <v>73</v>
      </c>
      <c r="E90" s="131">
        <v>2064</v>
      </c>
      <c r="F90" s="126">
        <f>F88</f>
        <v>9.5</v>
      </c>
      <c r="G90" s="134">
        <f t="shared" si="111"/>
        <v>19608</v>
      </c>
      <c r="H90" s="126">
        <f>H88</f>
        <v>11.28</v>
      </c>
      <c r="I90" s="134">
        <f t="shared" si="112"/>
        <v>23281.919999999998</v>
      </c>
      <c r="J90" s="128">
        <f>I90/I$104</f>
        <v>2.1735448085242533E-2</v>
      </c>
      <c r="K90" s="128"/>
      <c r="L90" s="126">
        <f>ROUND(H90*S$104,2)</f>
        <v>11.65</v>
      </c>
      <c r="M90" s="134">
        <f t="shared" si="113"/>
        <v>24045.600000000002</v>
      </c>
      <c r="N90" s="134">
        <f t="shared" si="114"/>
        <v>763.68000000000393</v>
      </c>
      <c r="O90" s="128">
        <f t="shared" si="115"/>
        <v>3.2801418439716484E-2</v>
      </c>
      <c r="P90" s="128">
        <f>M90/M$104</f>
        <v>2.1735383475272835E-2</v>
      </c>
      <c r="Q90" s="135">
        <f t="shared" si="116"/>
        <v>-6.4609969697287939E-8</v>
      </c>
      <c r="R90" s="135"/>
      <c r="T90" s="90">
        <f t="shared" si="117"/>
        <v>3.2801418439716512E-2</v>
      </c>
    </row>
    <row r="91" spans="1:20" x14ac:dyDescent="0.2">
      <c r="A91" s="86">
        <f t="shared" si="86"/>
        <v>85</v>
      </c>
      <c r="B91" s="15"/>
      <c r="C91" s="14"/>
      <c r="D91" s="73" t="s">
        <v>74</v>
      </c>
      <c r="E91" s="131">
        <v>11964</v>
      </c>
      <c r="F91" s="126">
        <f>F89</f>
        <v>14.09</v>
      </c>
      <c r="G91" s="134">
        <f t="shared" ref="G91:G93" si="118">F91*E91</f>
        <v>168572.76</v>
      </c>
      <c r="H91" s="126">
        <f>H89</f>
        <v>17.38</v>
      </c>
      <c r="I91" s="134">
        <f t="shared" ref="I91:I93" si="119">H91*E91</f>
        <v>207934.31999999998</v>
      </c>
      <c r="J91" s="128">
        <f t="shared" ref="J91:J93" si="120">I91/I$104</f>
        <v>0.19412254734576048</v>
      </c>
      <c r="K91" s="128"/>
      <c r="L91" s="126">
        <f t="shared" ref="L91:L93" si="121">ROUND(H91*S$104,2)</f>
        <v>17.95</v>
      </c>
      <c r="M91" s="134">
        <f t="shared" ref="M91:M93" si="122">L91*E91</f>
        <v>214753.8</v>
      </c>
      <c r="N91" s="134">
        <f t="shared" ref="N91:N93" si="123">M91-I91</f>
        <v>6819.4800000000105</v>
      </c>
      <c r="O91" s="128">
        <f t="shared" ref="O91:O93" si="124">IF(I91=0,0,N91/I91)</f>
        <v>3.279631760644424E-2</v>
      </c>
      <c r="P91" s="128">
        <f t="shared" ref="P91:P93" si="125">M91/M$104</f>
        <v>0.19412101156852174</v>
      </c>
      <c r="Q91" s="135">
        <f t="shared" ref="Q91:Q93" si="126">P91-J91</f>
        <v>-1.5357772387425417E-6</v>
      </c>
      <c r="R91" s="135"/>
      <c r="T91" s="90"/>
    </row>
    <row r="92" spans="1:20" x14ac:dyDescent="0.2">
      <c r="A92" s="86">
        <f t="shared" si="86"/>
        <v>86</v>
      </c>
      <c r="B92" s="15"/>
      <c r="C92" s="14"/>
      <c r="D92" s="73" t="s">
        <v>75</v>
      </c>
      <c r="E92" s="131">
        <v>16308</v>
      </c>
      <c r="F92" s="126">
        <f>F88</f>
        <v>9.5</v>
      </c>
      <c r="G92" s="134">
        <f t="shared" si="118"/>
        <v>154926</v>
      </c>
      <c r="H92" s="126">
        <f>H88</f>
        <v>11.28</v>
      </c>
      <c r="I92" s="134">
        <f t="shared" si="119"/>
        <v>183954.24</v>
      </c>
      <c r="J92" s="128">
        <f t="shared" si="120"/>
        <v>0.17173531365025932</v>
      </c>
      <c r="K92" s="128"/>
      <c r="L92" s="126">
        <f t="shared" si="121"/>
        <v>11.65</v>
      </c>
      <c r="M92" s="134">
        <f t="shared" si="122"/>
        <v>189988.2</v>
      </c>
      <c r="N92" s="134">
        <f t="shared" si="123"/>
        <v>6033.960000000021</v>
      </c>
      <c r="O92" s="128">
        <f t="shared" si="124"/>
        <v>3.2801418439716429E-2</v>
      </c>
      <c r="P92" s="128">
        <f t="shared" si="125"/>
        <v>0.17173480315637082</v>
      </c>
      <c r="Q92" s="135">
        <f t="shared" si="126"/>
        <v>-5.104938884947785E-7</v>
      </c>
      <c r="R92" s="135"/>
      <c r="T92" s="90"/>
    </row>
    <row r="93" spans="1:20" x14ac:dyDescent="0.2">
      <c r="A93" s="86">
        <f t="shared" si="86"/>
        <v>87</v>
      </c>
      <c r="B93" s="15"/>
      <c r="C93" s="14"/>
      <c r="D93" s="73" t="s">
        <v>76</v>
      </c>
      <c r="E93" s="131">
        <v>1680</v>
      </c>
      <c r="F93" s="126">
        <f>F88</f>
        <v>9.5</v>
      </c>
      <c r="G93" s="134">
        <f t="shared" si="118"/>
        <v>15960</v>
      </c>
      <c r="H93" s="126">
        <f>H88</f>
        <v>11.28</v>
      </c>
      <c r="I93" s="134">
        <f t="shared" si="119"/>
        <v>18950.399999999998</v>
      </c>
      <c r="J93" s="128">
        <f t="shared" si="120"/>
        <v>1.7691643790313689E-2</v>
      </c>
      <c r="K93" s="128"/>
      <c r="L93" s="126">
        <f t="shared" si="121"/>
        <v>11.65</v>
      </c>
      <c r="M93" s="134">
        <f t="shared" si="122"/>
        <v>19572</v>
      </c>
      <c r="N93" s="134">
        <f t="shared" si="123"/>
        <v>621.60000000000218</v>
      </c>
      <c r="O93" s="128">
        <f t="shared" si="124"/>
        <v>3.2801418439716429E-2</v>
      </c>
      <c r="P93" s="128">
        <f t="shared" si="125"/>
        <v>1.7691591200803467E-2</v>
      </c>
      <c r="Q93" s="135">
        <f t="shared" si="126"/>
        <v>-5.2589510222272873E-8</v>
      </c>
      <c r="R93" s="135"/>
      <c r="T93" s="90">
        <f t="shared" si="117"/>
        <v>3.2801418439716512E-2</v>
      </c>
    </row>
    <row r="94" spans="1:20" x14ac:dyDescent="0.2">
      <c r="A94" s="86">
        <f t="shared" si="86"/>
        <v>88</v>
      </c>
      <c r="B94" s="15"/>
      <c r="C94" s="14"/>
      <c r="D94" s="73" t="s">
        <v>77</v>
      </c>
      <c r="E94" s="131">
        <v>6360</v>
      </c>
      <c r="F94" s="126">
        <f>F88</f>
        <v>9.5</v>
      </c>
      <c r="G94" s="134">
        <f t="shared" ref="G94:G103" si="127">F94*E94</f>
        <v>60420</v>
      </c>
      <c r="H94" s="126">
        <f>H88</f>
        <v>11.28</v>
      </c>
      <c r="I94" s="134">
        <f t="shared" ref="I94:I103" si="128">H94*E94</f>
        <v>71740.800000000003</v>
      </c>
      <c r="J94" s="128">
        <f t="shared" ref="J94:J103" si="129">I94/I$104</f>
        <v>6.6975508634758971E-2</v>
      </c>
      <c r="K94" s="128"/>
      <c r="L94" s="126">
        <f t="shared" ref="L94:L103" si="130">ROUND(H94*S$104,2)</f>
        <v>11.65</v>
      </c>
      <c r="M94" s="134">
        <f t="shared" ref="M94:M103" si="131">L94*E94</f>
        <v>74094</v>
      </c>
      <c r="N94" s="134">
        <f t="shared" ref="N94:N103" si="132">M94-I94</f>
        <v>2353.1999999999971</v>
      </c>
      <c r="O94" s="128">
        <f t="shared" ref="O94:O103" si="133">IF(I94=0,0,N94/I94)</f>
        <v>3.2801418439716269E-2</v>
      </c>
      <c r="P94" s="128">
        <f t="shared" ref="P94:P103" si="134">M94/M$104</f>
        <v>6.6975309545898851E-2</v>
      </c>
      <c r="Q94" s="135">
        <f t="shared" ref="Q94:Q103" si="135">P94-J94</f>
        <v>-1.9908886011998916E-7</v>
      </c>
      <c r="R94" s="135"/>
      <c r="T94" s="90">
        <f t="shared" si="117"/>
        <v>3.2801418439716512E-2</v>
      </c>
    </row>
    <row r="95" spans="1:20" x14ac:dyDescent="0.2">
      <c r="A95" s="86">
        <f t="shared" si="86"/>
        <v>89</v>
      </c>
      <c r="B95" s="15"/>
      <c r="C95" s="14"/>
      <c r="D95" s="73" t="s">
        <v>78</v>
      </c>
      <c r="E95" s="131">
        <v>24060</v>
      </c>
      <c r="F95" s="126">
        <f>F88</f>
        <v>9.5</v>
      </c>
      <c r="G95" s="134">
        <f t="shared" si="127"/>
        <v>228570</v>
      </c>
      <c r="H95" s="126">
        <f>H88</f>
        <v>11.28</v>
      </c>
      <c r="I95" s="134">
        <f t="shared" si="128"/>
        <v>271396.8</v>
      </c>
      <c r="J95" s="128">
        <f t="shared" si="129"/>
        <v>0.25336961285413534</v>
      </c>
      <c r="K95" s="128"/>
      <c r="L95" s="126">
        <f t="shared" si="130"/>
        <v>11.65</v>
      </c>
      <c r="M95" s="134">
        <f t="shared" si="131"/>
        <v>280299</v>
      </c>
      <c r="N95" s="134">
        <f t="shared" si="132"/>
        <v>8902.2000000000116</v>
      </c>
      <c r="O95" s="128">
        <f t="shared" si="133"/>
        <v>3.2801418439716359E-2</v>
      </c>
      <c r="P95" s="128">
        <f t="shared" si="134"/>
        <v>0.25336885969722112</v>
      </c>
      <c r="Q95" s="135">
        <f t="shared" si="135"/>
        <v>-7.5315691422384035E-7</v>
      </c>
      <c r="R95" s="135"/>
      <c r="T95" s="90">
        <f t="shared" si="117"/>
        <v>3.2801418439716512E-2</v>
      </c>
    </row>
    <row r="96" spans="1:20" x14ac:dyDescent="0.2">
      <c r="A96" s="86">
        <f t="shared" si="86"/>
        <v>90</v>
      </c>
      <c r="B96" s="15"/>
      <c r="C96" s="14"/>
      <c r="D96" s="73" t="s">
        <v>79</v>
      </c>
      <c r="E96" s="131">
        <v>804</v>
      </c>
      <c r="F96" s="126">
        <f>F88</f>
        <v>9.5</v>
      </c>
      <c r="G96" s="134">
        <f t="shared" si="127"/>
        <v>7638</v>
      </c>
      <c r="H96" s="126">
        <f>H88</f>
        <v>11.28</v>
      </c>
      <c r="I96" s="134">
        <f t="shared" si="128"/>
        <v>9069.119999999999</v>
      </c>
      <c r="J96" s="128">
        <f t="shared" si="129"/>
        <v>8.4667152425072657E-3</v>
      </c>
      <c r="K96" s="128"/>
      <c r="L96" s="126">
        <f t="shared" si="130"/>
        <v>11.65</v>
      </c>
      <c r="M96" s="134">
        <f t="shared" si="131"/>
        <v>9366.6</v>
      </c>
      <c r="N96" s="134">
        <f t="shared" si="132"/>
        <v>297.48000000000138</v>
      </c>
      <c r="O96" s="128">
        <f t="shared" si="133"/>
        <v>3.280141843971647E-2</v>
      </c>
      <c r="P96" s="128">
        <f t="shared" si="134"/>
        <v>8.4666900746702325E-3</v>
      </c>
      <c r="Q96" s="135">
        <f t="shared" si="135"/>
        <v>-2.516783703318537E-8</v>
      </c>
      <c r="R96" s="135"/>
      <c r="T96" s="90">
        <f t="shared" si="117"/>
        <v>3.2801418439716512E-2</v>
      </c>
    </row>
    <row r="97" spans="1:20" x14ac:dyDescent="0.2">
      <c r="A97" s="86">
        <f t="shared" si="86"/>
        <v>91</v>
      </c>
      <c r="B97" s="15"/>
      <c r="C97" s="14"/>
      <c r="D97" s="73" t="s">
        <v>80</v>
      </c>
      <c r="E97" s="131">
        <v>336</v>
      </c>
      <c r="F97" s="126">
        <v>19.260000000000002</v>
      </c>
      <c r="G97" s="134">
        <f t="shared" si="127"/>
        <v>6471.3600000000006</v>
      </c>
      <c r="H97" s="126">
        <v>23.02</v>
      </c>
      <c r="I97" s="134">
        <f t="shared" si="128"/>
        <v>7734.72</v>
      </c>
      <c r="J97" s="128">
        <f t="shared" si="129"/>
        <v>7.2209510647698785E-3</v>
      </c>
      <c r="K97" s="128"/>
      <c r="L97" s="126">
        <f t="shared" si="130"/>
        <v>23.78</v>
      </c>
      <c r="M97" s="134">
        <f t="shared" si="131"/>
        <v>7990.08</v>
      </c>
      <c r="N97" s="134">
        <f t="shared" si="132"/>
        <v>255.35999999999967</v>
      </c>
      <c r="O97" s="128">
        <f t="shared" si="133"/>
        <v>3.301476976542133E-2</v>
      </c>
      <c r="P97" s="128">
        <f t="shared" si="134"/>
        <v>7.2224212661820856E-3</v>
      </c>
      <c r="Q97" s="135">
        <f t="shared" si="135"/>
        <v>1.4702014122071685E-6</v>
      </c>
      <c r="R97" s="135"/>
      <c r="T97" s="90">
        <f t="shared" si="117"/>
        <v>3.3014769765421503E-2</v>
      </c>
    </row>
    <row r="98" spans="1:20" x14ac:dyDescent="0.2">
      <c r="A98" s="86">
        <f t="shared" si="86"/>
        <v>92</v>
      </c>
      <c r="B98" s="15"/>
      <c r="C98" s="14"/>
      <c r="D98" s="73" t="s">
        <v>81</v>
      </c>
      <c r="E98" s="131">
        <v>180</v>
      </c>
      <c r="F98" s="126">
        <f>F87</f>
        <v>14.09</v>
      </c>
      <c r="G98" s="134">
        <f t="shared" si="127"/>
        <v>2536.1999999999998</v>
      </c>
      <c r="H98" s="126">
        <f>H87</f>
        <v>17.38</v>
      </c>
      <c r="I98" s="134">
        <f t="shared" si="128"/>
        <v>3128.3999999999996</v>
      </c>
      <c r="J98" s="128">
        <f t="shared" si="129"/>
        <v>2.9206000102170583E-3</v>
      </c>
      <c r="K98" s="128"/>
      <c r="L98" s="126">
        <f t="shared" si="130"/>
        <v>17.95</v>
      </c>
      <c r="M98" s="134">
        <f t="shared" si="131"/>
        <v>3231</v>
      </c>
      <c r="N98" s="134">
        <f t="shared" si="132"/>
        <v>102.60000000000036</v>
      </c>
      <c r="O98" s="128">
        <f t="shared" si="133"/>
        <v>3.279631760644431E-2</v>
      </c>
      <c r="P98" s="128">
        <f t="shared" si="134"/>
        <v>2.9205769042405481E-3</v>
      </c>
      <c r="Q98" s="135">
        <f t="shared" si="135"/>
        <v>-2.3105976510156417E-8</v>
      </c>
      <c r="R98" s="135"/>
      <c r="T98" s="90">
        <f t="shared" si="117"/>
        <v>3.2796317606444303E-2</v>
      </c>
    </row>
    <row r="99" spans="1:20" x14ac:dyDescent="0.2">
      <c r="A99" s="86">
        <f t="shared" si="86"/>
        <v>93</v>
      </c>
      <c r="B99" s="15"/>
      <c r="C99" s="14"/>
      <c r="D99" s="73" t="s">
        <v>82</v>
      </c>
      <c r="E99" s="131">
        <v>18936</v>
      </c>
      <c r="F99" s="126">
        <f>F88</f>
        <v>9.5</v>
      </c>
      <c r="G99" s="134">
        <f t="shared" si="127"/>
        <v>179892</v>
      </c>
      <c r="H99" s="126">
        <f>H88</f>
        <v>11.28</v>
      </c>
      <c r="I99" s="134">
        <f t="shared" si="128"/>
        <v>213598.07999999999</v>
      </c>
      <c r="J99" s="128">
        <f t="shared" si="129"/>
        <v>0.19941009929367859</v>
      </c>
      <c r="K99" s="128"/>
      <c r="L99" s="126">
        <f t="shared" si="130"/>
        <v>11.65</v>
      </c>
      <c r="M99" s="134">
        <f t="shared" si="131"/>
        <v>220604.4</v>
      </c>
      <c r="N99" s="134">
        <f t="shared" si="132"/>
        <v>7006.320000000007</v>
      </c>
      <c r="O99" s="128">
        <f t="shared" si="133"/>
        <v>3.2801418439716346E-2</v>
      </c>
      <c r="P99" s="128">
        <f t="shared" si="134"/>
        <v>0.19940950653477052</v>
      </c>
      <c r="Q99" s="135">
        <f t="shared" si="135"/>
        <v>-5.9275890806897991E-7</v>
      </c>
      <c r="R99" s="135"/>
      <c r="T99" s="90">
        <f t="shared" si="117"/>
        <v>3.2801418439716512E-2</v>
      </c>
    </row>
    <row r="100" spans="1:20" x14ac:dyDescent="0.2">
      <c r="A100" s="86">
        <f t="shared" si="86"/>
        <v>94</v>
      </c>
      <c r="B100" s="15"/>
      <c r="C100" s="14"/>
      <c r="D100" s="73" t="s">
        <v>83</v>
      </c>
      <c r="E100" s="131">
        <v>600</v>
      </c>
      <c r="F100" s="126">
        <f>F97</f>
        <v>19.260000000000002</v>
      </c>
      <c r="G100" s="134">
        <f t="shared" si="127"/>
        <v>11556.000000000002</v>
      </c>
      <c r="H100" s="126">
        <f>H97</f>
        <v>23.02</v>
      </c>
      <c r="I100" s="134">
        <f t="shared" si="128"/>
        <v>13812</v>
      </c>
      <c r="J100" s="128">
        <f t="shared" si="129"/>
        <v>1.2894555472803354E-2</v>
      </c>
      <c r="K100" s="128"/>
      <c r="L100" s="126">
        <f t="shared" si="130"/>
        <v>23.78</v>
      </c>
      <c r="M100" s="134">
        <f t="shared" si="131"/>
        <v>14268</v>
      </c>
      <c r="N100" s="134">
        <f t="shared" si="132"/>
        <v>456</v>
      </c>
      <c r="O100" s="128">
        <f t="shared" si="133"/>
        <v>3.3014769765421371E-2</v>
      </c>
      <c r="P100" s="128">
        <f t="shared" si="134"/>
        <v>1.2897180832468009E-2</v>
      </c>
      <c r="Q100" s="135">
        <f t="shared" si="135"/>
        <v>2.6253596646548527E-6</v>
      </c>
      <c r="R100" s="135"/>
      <c r="T100" s="90">
        <f t="shared" si="117"/>
        <v>3.3014769765421503E-2</v>
      </c>
    </row>
    <row r="101" spans="1:20" x14ac:dyDescent="0.2">
      <c r="A101" s="86">
        <f t="shared" si="86"/>
        <v>95</v>
      </c>
      <c r="B101" s="15"/>
      <c r="C101" s="14"/>
      <c r="D101" s="73" t="s">
        <v>84</v>
      </c>
      <c r="E101" s="131">
        <v>2220</v>
      </c>
      <c r="F101" s="126">
        <f>F87</f>
        <v>14.09</v>
      </c>
      <c r="G101" s="134">
        <f t="shared" si="127"/>
        <v>31279.8</v>
      </c>
      <c r="H101" s="126">
        <f>H87</f>
        <v>17.38</v>
      </c>
      <c r="I101" s="134">
        <f t="shared" si="128"/>
        <v>38583.599999999999</v>
      </c>
      <c r="J101" s="128">
        <f t="shared" si="129"/>
        <v>3.6020733459343722E-2</v>
      </c>
      <c r="K101" s="128"/>
      <c r="L101" s="126">
        <f t="shared" si="130"/>
        <v>17.95</v>
      </c>
      <c r="M101" s="134">
        <f t="shared" si="131"/>
        <v>39849</v>
      </c>
      <c r="N101" s="134">
        <f t="shared" si="132"/>
        <v>1265.4000000000015</v>
      </c>
      <c r="O101" s="128">
        <f t="shared" si="133"/>
        <v>3.2796317606444227E-2</v>
      </c>
      <c r="P101" s="128">
        <f t="shared" si="134"/>
        <v>3.6020448485633426E-2</v>
      </c>
      <c r="Q101" s="135">
        <f t="shared" si="135"/>
        <v>-2.849737102961214E-7</v>
      </c>
      <c r="R101" s="135"/>
      <c r="T101" s="90">
        <f t="shared" si="117"/>
        <v>3.2796317606444303E-2</v>
      </c>
    </row>
    <row r="102" spans="1:20" x14ac:dyDescent="0.2">
      <c r="A102" s="86">
        <f t="shared" si="86"/>
        <v>96</v>
      </c>
      <c r="B102" s="15"/>
      <c r="C102" s="14"/>
      <c r="D102" s="73" t="s">
        <v>85</v>
      </c>
      <c r="E102" s="131">
        <v>0</v>
      </c>
      <c r="F102" s="126">
        <v>16.47</v>
      </c>
      <c r="G102" s="134">
        <f t="shared" ref="G102" si="136">F102*E102</f>
        <v>0</v>
      </c>
      <c r="H102" s="126">
        <v>20.71</v>
      </c>
      <c r="I102" s="134">
        <f t="shared" ref="I102" si="137">H102*E102</f>
        <v>0</v>
      </c>
      <c r="J102" s="128">
        <f t="shared" si="129"/>
        <v>0</v>
      </c>
      <c r="K102" s="128"/>
      <c r="L102" s="126">
        <f t="shared" si="130"/>
        <v>21.39</v>
      </c>
      <c r="M102" s="134">
        <f t="shared" ref="M102" si="138">L102*E102</f>
        <v>0</v>
      </c>
      <c r="N102" s="134">
        <f t="shared" ref="N102" si="139">M102-I102</f>
        <v>0</v>
      </c>
      <c r="O102" s="128">
        <f t="shared" ref="O102" si="140">IF(I102=0,0,N102/I102)</f>
        <v>0</v>
      </c>
      <c r="P102" s="128">
        <f t="shared" si="134"/>
        <v>0</v>
      </c>
      <c r="Q102" s="135">
        <f t="shared" ref="Q102" si="141">P102-J102</f>
        <v>0</v>
      </c>
      <c r="R102" s="135"/>
      <c r="T102" s="90">
        <f t="shared" ref="T102" si="142">L102/H102-1</f>
        <v>3.2834379526798685E-2</v>
      </c>
    </row>
    <row r="103" spans="1:20" x14ac:dyDescent="0.2">
      <c r="A103" s="86">
        <f t="shared" si="86"/>
        <v>97</v>
      </c>
      <c r="B103" s="15"/>
      <c r="C103" s="14"/>
      <c r="D103" s="73" t="s">
        <v>88</v>
      </c>
      <c r="E103" s="131">
        <v>0</v>
      </c>
      <c r="F103" s="126">
        <v>37.74</v>
      </c>
      <c r="G103" s="134">
        <f t="shared" si="127"/>
        <v>0</v>
      </c>
      <c r="H103" s="126">
        <v>49.39</v>
      </c>
      <c r="I103" s="134">
        <f t="shared" si="128"/>
        <v>0</v>
      </c>
      <c r="J103" s="128">
        <f t="shared" si="129"/>
        <v>0</v>
      </c>
      <c r="K103" s="128"/>
      <c r="L103" s="126">
        <f t="shared" si="130"/>
        <v>51.02</v>
      </c>
      <c r="M103" s="134">
        <f t="shared" si="131"/>
        <v>0</v>
      </c>
      <c r="N103" s="134">
        <f t="shared" si="132"/>
        <v>0</v>
      </c>
      <c r="O103" s="128">
        <f t="shared" si="133"/>
        <v>0</v>
      </c>
      <c r="P103" s="128">
        <f t="shared" si="134"/>
        <v>0</v>
      </c>
      <c r="Q103" s="135">
        <f t="shared" si="135"/>
        <v>0</v>
      </c>
      <c r="R103" s="135"/>
      <c r="T103" s="90">
        <f t="shared" si="117"/>
        <v>3.3002632111763575E-2</v>
      </c>
    </row>
    <row r="104" spans="1:20" s="79" customFormat="1" ht="24.6" customHeight="1" x14ac:dyDescent="0.25">
      <c r="A104" s="86">
        <f t="shared" si="86"/>
        <v>98</v>
      </c>
      <c r="C104" s="94"/>
      <c r="D104" s="95" t="s">
        <v>6</v>
      </c>
      <c r="E104" s="95"/>
      <c r="F104" s="95"/>
      <c r="G104" s="12">
        <f>SUM(G87:G103)</f>
        <v>893921.76</v>
      </c>
      <c r="H104" s="95"/>
      <c r="I104" s="96">
        <f>SUM(I87:I103)</f>
        <v>1071149.76</v>
      </c>
      <c r="J104" s="97">
        <f>SUM(J87:J103)</f>
        <v>1</v>
      </c>
      <c r="K104" s="98">
        <f>I104+Summary!I13</f>
        <v>1106536.08</v>
      </c>
      <c r="L104" s="95"/>
      <c r="M104" s="12">
        <f>SUM(M87:M103)</f>
        <v>1106288.2799999998</v>
      </c>
      <c r="N104" s="12">
        <f>SUM(N87:N103)</f>
        <v>35138.520000000055</v>
      </c>
      <c r="O104" s="97">
        <f t="shared" ref="O104" si="143">N104/I104</f>
        <v>3.2804488515219436E-2</v>
      </c>
      <c r="P104" s="97">
        <f>SUM(P87:P103)</f>
        <v>1.0000000000000002</v>
      </c>
      <c r="Q104" s="99">
        <f t="shared" ref="Q104" si="144">P104-J104</f>
        <v>0</v>
      </c>
      <c r="R104" s="100">
        <f>M104-K104</f>
        <v>-247.8000000002794</v>
      </c>
      <c r="S104" s="67">
        <f>K104/I104</f>
        <v>1.0330358287154917</v>
      </c>
    </row>
    <row r="105" spans="1:20" x14ac:dyDescent="0.2">
      <c r="A105" s="86">
        <f t="shared" si="86"/>
        <v>99</v>
      </c>
      <c r="D105" s="73" t="s">
        <v>25</v>
      </c>
      <c r="G105" s="89">
        <v>0</v>
      </c>
      <c r="I105" s="14">
        <v>0</v>
      </c>
      <c r="K105" s="14">
        <f>K104-I104</f>
        <v>35386.320000000065</v>
      </c>
      <c r="M105" s="89">
        <f>I105</f>
        <v>0</v>
      </c>
      <c r="N105" s="89">
        <f>M105-I105</f>
        <v>0</v>
      </c>
      <c r="O105" s="74">
        <v>0</v>
      </c>
    </row>
    <row r="106" spans="1:20" x14ac:dyDescent="0.2">
      <c r="A106" s="86">
        <f t="shared" si="86"/>
        <v>100</v>
      </c>
      <c r="D106" s="73" t="s">
        <v>26</v>
      </c>
      <c r="G106" s="89">
        <v>0</v>
      </c>
      <c r="I106" s="14">
        <v>0</v>
      </c>
      <c r="M106" s="89">
        <f t="shared" ref="M106:M107" si="145">I106</f>
        <v>0</v>
      </c>
      <c r="N106" s="89">
        <f>M106-I106</f>
        <v>0</v>
      </c>
      <c r="O106" s="74">
        <v>0</v>
      </c>
    </row>
    <row r="107" spans="1:20" x14ac:dyDescent="0.2">
      <c r="A107" s="86">
        <f t="shared" si="86"/>
        <v>101</v>
      </c>
      <c r="D107" s="73" t="s">
        <v>28</v>
      </c>
      <c r="G107" s="89">
        <v>0</v>
      </c>
      <c r="I107" s="14">
        <v>0</v>
      </c>
      <c r="M107" s="89">
        <f t="shared" si="145"/>
        <v>0</v>
      </c>
      <c r="N107" s="89">
        <f>M107-I107</f>
        <v>0</v>
      </c>
      <c r="O107" s="74">
        <v>0</v>
      </c>
    </row>
    <row r="108" spans="1:20" x14ac:dyDescent="0.2">
      <c r="A108" s="86">
        <f t="shared" si="86"/>
        <v>102</v>
      </c>
      <c r="D108" s="73" t="s">
        <v>37</v>
      </c>
      <c r="G108" s="89"/>
      <c r="I108" s="14"/>
      <c r="M108" s="89"/>
      <c r="N108" s="89"/>
      <c r="O108" s="74"/>
    </row>
    <row r="109" spans="1:20" x14ac:dyDescent="0.2">
      <c r="A109" s="86">
        <f t="shared" si="86"/>
        <v>103</v>
      </c>
      <c r="D109" s="101" t="s">
        <v>8</v>
      </c>
      <c r="E109" s="101"/>
      <c r="F109" s="101"/>
      <c r="G109" s="102">
        <f>SUM(G105:G107)</f>
        <v>0</v>
      </c>
      <c r="H109" s="101"/>
      <c r="I109" s="102">
        <f>SUM(I105:I107)</f>
        <v>0</v>
      </c>
      <c r="J109" s="101"/>
      <c r="K109" s="101"/>
      <c r="L109" s="101"/>
      <c r="M109" s="102">
        <f>SUM(M105:M107)</f>
        <v>0</v>
      </c>
      <c r="N109" s="102">
        <f>M109-I109</f>
        <v>0</v>
      </c>
      <c r="O109" s="103">
        <f>N109-J109</f>
        <v>0</v>
      </c>
    </row>
    <row r="110" spans="1:20" s="79" customFormat="1" ht="26.45" customHeight="1" thickBot="1" x14ac:dyDescent="0.25">
      <c r="A110" s="86">
        <f t="shared" si="86"/>
        <v>104</v>
      </c>
      <c r="C110" s="94"/>
      <c r="D110" s="104" t="s">
        <v>18</v>
      </c>
      <c r="E110" s="104"/>
      <c r="F110" s="104"/>
      <c r="G110" s="105">
        <f>G104+G109</f>
        <v>893921.76</v>
      </c>
      <c r="H110" s="104"/>
      <c r="I110" s="106">
        <f>I109+I104</f>
        <v>1071149.76</v>
      </c>
      <c r="J110" s="104"/>
      <c r="K110" s="104"/>
      <c r="L110" s="104"/>
      <c r="M110" s="105">
        <f>M109+M104</f>
        <v>1106288.2799999998</v>
      </c>
      <c r="N110" s="105">
        <f>M110-I110</f>
        <v>35138.519999999786</v>
      </c>
      <c r="O110" s="107">
        <f>N110/I110</f>
        <v>3.2804488515219186E-2</v>
      </c>
      <c r="P110" s="73"/>
      <c r="Q110" s="73"/>
      <c r="R110" s="73"/>
    </row>
    <row r="111" spans="1:20" ht="13.5" thickTop="1" x14ac:dyDescent="0.2">
      <c r="A111" s="86">
        <f t="shared" si="86"/>
        <v>105</v>
      </c>
      <c r="G111" s="108"/>
      <c r="I111" s="108"/>
      <c r="M111" s="108"/>
      <c r="N111" s="108"/>
      <c r="O111" s="90"/>
    </row>
    <row r="112" spans="1:20" x14ac:dyDescent="0.2">
      <c r="A112" s="86">
        <f t="shared" si="86"/>
        <v>106</v>
      </c>
      <c r="B112" s="110"/>
      <c r="C112" s="111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</row>
    <row r="113" spans="1:20" x14ac:dyDescent="0.2">
      <c r="A113" s="86">
        <f t="shared" si="86"/>
        <v>107</v>
      </c>
    </row>
    <row r="114" spans="1:20" s="79" customFormat="1" ht="19.899999999999999" customHeight="1" x14ac:dyDescent="0.25">
      <c r="A114" s="86">
        <f t="shared" si="86"/>
        <v>108</v>
      </c>
      <c r="B114" s="79" t="s">
        <v>27</v>
      </c>
      <c r="C114" s="94"/>
      <c r="D114" s="95" t="s">
        <v>6</v>
      </c>
      <c r="E114" s="95"/>
      <c r="F114" s="95"/>
      <c r="G114" s="112">
        <f>G10+G21+G34+G48+G62+G104+G77</f>
        <v>20987483.225262001</v>
      </c>
      <c r="H114" s="112"/>
      <c r="I114" s="112">
        <f>I10+I21+I34+I48+I62+I104+I77</f>
        <v>26175555.354018051</v>
      </c>
      <c r="J114" s="95"/>
      <c r="K114" s="95"/>
      <c r="L114" s="95"/>
      <c r="M114" s="112">
        <f>M10+M21+M34+M48+M62+M104+M77</f>
        <v>27064426.685884107</v>
      </c>
      <c r="N114" s="112">
        <f>N10+N21+N34+N48+N62+N104+N77</f>
        <v>888871.33186604595</v>
      </c>
      <c r="O114" s="97">
        <f>N114/I114</f>
        <v>3.3958069651026553E-2</v>
      </c>
    </row>
    <row r="115" spans="1:20" x14ac:dyDescent="0.2">
      <c r="A115" s="86">
        <f t="shared" si="86"/>
        <v>109</v>
      </c>
      <c r="D115" s="73" t="s">
        <v>25</v>
      </c>
      <c r="G115" s="14">
        <f t="shared" ref="G115:I118" si="146">G11+G22+G35+G49+G63+G105+G78</f>
        <v>2344584.2400000007</v>
      </c>
      <c r="H115" s="14"/>
      <c r="I115" s="14">
        <f t="shared" si="146"/>
        <v>71996.188080000342</v>
      </c>
      <c r="M115" s="14">
        <f t="shared" ref="M115:N115" si="147">M11+M22+M35+M49+M63+M105+M78</f>
        <v>71996.188080000342</v>
      </c>
      <c r="N115" s="14">
        <f t="shared" si="147"/>
        <v>0</v>
      </c>
    </row>
    <row r="116" spans="1:20" x14ac:dyDescent="0.2">
      <c r="A116" s="86">
        <f t="shared" si="86"/>
        <v>110</v>
      </c>
      <c r="D116" s="73" t="s">
        <v>26</v>
      </c>
      <c r="G116" s="14">
        <f t="shared" si="146"/>
        <v>2508036.1800000006</v>
      </c>
      <c r="H116" s="14"/>
      <c r="I116" s="14">
        <f t="shared" si="146"/>
        <v>2508036.1800000006</v>
      </c>
      <c r="M116" s="14">
        <f t="shared" ref="M116:N116" si="148">M12+M23+M36+M50+M64+M106+M79</f>
        <v>2508036.1800000006</v>
      </c>
      <c r="N116" s="14">
        <f t="shared" si="148"/>
        <v>0</v>
      </c>
    </row>
    <row r="117" spans="1:20" x14ac:dyDescent="0.2">
      <c r="A117" s="86">
        <f t="shared" si="86"/>
        <v>111</v>
      </c>
      <c r="D117" s="73" t="s">
        <v>28</v>
      </c>
      <c r="G117" s="14">
        <f t="shared" si="146"/>
        <v>596.75</v>
      </c>
      <c r="H117" s="14"/>
      <c r="I117" s="14">
        <f t="shared" si="146"/>
        <v>596.75</v>
      </c>
      <c r="M117" s="14">
        <f t="shared" ref="M117:N117" si="149">M13+M24+M37+M51+M65+M107+M80</f>
        <v>596.75</v>
      </c>
      <c r="N117" s="14">
        <f t="shared" si="149"/>
        <v>0</v>
      </c>
    </row>
    <row r="118" spans="1:20" x14ac:dyDescent="0.2">
      <c r="A118" s="86">
        <f t="shared" si="86"/>
        <v>112</v>
      </c>
      <c r="D118" s="73" t="s">
        <v>37</v>
      </c>
      <c r="G118" s="14">
        <f t="shared" si="146"/>
        <v>0</v>
      </c>
      <c r="I118" s="14">
        <f t="shared" si="146"/>
        <v>0</v>
      </c>
      <c r="M118" s="14">
        <f t="shared" ref="M118:N118" si="150">M14+M25+M38+M52+M66+M108+M81</f>
        <v>0</v>
      </c>
      <c r="N118" s="14">
        <f t="shared" si="150"/>
        <v>0</v>
      </c>
      <c r="O118" s="74"/>
    </row>
    <row r="119" spans="1:20" x14ac:dyDescent="0.2">
      <c r="A119" s="86">
        <f t="shared" si="86"/>
        <v>113</v>
      </c>
      <c r="D119" s="101" t="s">
        <v>8</v>
      </c>
      <c r="E119" s="101"/>
      <c r="F119" s="101"/>
      <c r="G119" s="113">
        <f>G15+G26+G39+G53+G67+G109</f>
        <v>4715262.5500000007</v>
      </c>
      <c r="H119" s="113"/>
      <c r="I119" s="113">
        <f>I15+I26+I39+I53+I67+I109</f>
        <v>2523138.8540800009</v>
      </c>
      <c r="J119" s="101"/>
      <c r="K119" s="101"/>
      <c r="L119" s="101"/>
      <c r="M119" s="113">
        <f>M15+M26+M39+M53+M67+M109</f>
        <v>2523138.8540800009</v>
      </c>
      <c r="N119" s="113">
        <f>N15+N26+N39+N53+N67+N109</f>
        <v>0</v>
      </c>
      <c r="O119" s="101"/>
    </row>
    <row r="120" spans="1:20" s="79" customFormat="1" ht="21" customHeight="1" thickBot="1" x14ac:dyDescent="0.3">
      <c r="A120" s="86">
        <f t="shared" si="86"/>
        <v>114</v>
      </c>
      <c r="C120" s="94"/>
      <c r="D120" s="104" t="s">
        <v>18</v>
      </c>
      <c r="E120" s="104"/>
      <c r="F120" s="104"/>
      <c r="G120" s="106">
        <f>G119+G114</f>
        <v>25702745.775262002</v>
      </c>
      <c r="H120" s="106"/>
      <c r="I120" s="106">
        <f>I119+I114</f>
        <v>28698694.208098054</v>
      </c>
      <c r="J120" s="104"/>
      <c r="K120" s="104"/>
      <c r="L120" s="104"/>
      <c r="M120" s="106">
        <f>M119+M114</f>
        <v>29587565.53996411</v>
      </c>
      <c r="N120" s="106">
        <f>N119+N114</f>
        <v>888871.33186604595</v>
      </c>
      <c r="O120" s="107">
        <f>N120/I120</f>
        <v>3.0972535733532737E-2</v>
      </c>
    </row>
    <row r="121" spans="1:20" ht="13.5" thickTop="1" x14ac:dyDescent="0.2">
      <c r="A121" s="86">
        <f t="shared" si="86"/>
        <v>115</v>
      </c>
    </row>
    <row r="122" spans="1:20" x14ac:dyDescent="0.2">
      <c r="A122" s="86">
        <f t="shared" si="86"/>
        <v>116</v>
      </c>
      <c r="D122" s="73" t="s">
        <v>35</v>
      </c>
      <c r="N122" s="14">
        <f>N120-Summary!L28</f>
        <v>-431.77058995352127</v>
      </c>
    </row>
    <row r="123" spans="1:20" x14ac:dyDescent="0.2">
      <c r="A123" s="86">
        <f t="shared" si="86"/>
        <v>117</v>
      </c>
      <c r="N123" s="14"/>
    </row>
    <row r="124" spans="1:20" x14ac:dyDescent="0.2">
      <c r="A124" s="86">
        <f t="shared" si="86"/>
        <v>118</v>
      </c>
      <c r="B124" s="75" t="s">
        <v>58</v>
      </c>
      <c r="E124" s="110"/>
      <c r="F124" s="110"/>
      <c r="G124" s="110"/>
      <c r="H124" s="110"/>
      <c r="I124" s="110"/>
      <c r="J124" s="110"/>
      <c r="K124" s="110"/>
      <c r="L124" s="110"/>
      <c r="M124" s="110"/>
      <c r="N124" s="114"/>
      <c r="O124" s="110"/>
      <c r="P124" s="110"/>
      <c r="Q124" s="110"/>
      <c r="R124" s="110"/>
    </row>
    <row r="125" spans="1:20" ht="13.5" thickBot="1" x14ac:dyDescent="0.25">
      <c r="A125" s="86">
        <f t="shared" si="86"/>
        <v>119</v>
      </c>
      <c r="D125" s="60"/>
      <c r="E125" s="60"/>
      <c r="F125" s="60"/>
      <c r="G125" s="60"/>
    </row>
    <row r="126" spans="1:20" x14ac:dyDescent="0.2">
      <c r="A126" s="86">
        <f t="shared" si="86"/>
        <v>120</v>
      </c>
      <c r="B126" s="87" t="s">
        <v>90</v>
      </c>
      <c r="C126" s="88" t="s">
        <v>89</v>
      </c>
      <c r="D126" s="87"/>
      <c r="E126" s="87"/>
      <c r="F126" s="87"/>
      <c r="G126" s="119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</row>
    <row r="127" spans="1:20" ht="12.6" customHeight="1" x14ac:dyDescent="0.2">
      <c r="A127" s="86">
        <f t="shared" si="86"/>
        <v>121</v>
      </c>
      <c r="D127" s="73" t="s">
        <v>16</v>
      </c>
      <c r="E127" s="61"/>
      <c r="F127" s="74"/>
      <c r="G127" s="43">
        <v>170.47</v>
      </c>
      <c r="H127" s="10">
        <v>170.47</v>
      </c>
      <c r="I127" s="89"/>
      <c r="J127" s="90"/>
      <c r="K127" s="91"/>
      <c r="L127" s="74">
        <f>H127*S127</f>
        <v>176.25883213341052</v>
      </c>
      <c r="M127" s="89"/>
      <c r="N127" s="89"/>
      <c r="O127" s="90"/>
      <c r="P127" s="90"/>
      <c r="Q127" s="92"/>
      <c r="R127" s="92"/>
      <c r="S127" s="67">
        <f>1+$O$114</f>
        <v>1.0339580696510267</v>
      </c>
      <c r="T127" s="90">
        <f t="shared" ref="T127:T130" si="151">L127/H127-1</f>
        <v>3.3958069651026657E-2</v>
      </c>
    </row>
    <row r="128" spans="1:20" x14ac:dyDescent="0.2">
      <c r="A128" s="86">
        <f t="shared" si="86"/>
        <v>122</v>
      </c>
      <c r="D128" s="73" t="s">
        <v>46</v>
      </c>
      <c r="E128" s="61"/>
      <c r="F128" s="109"/>
      <c r="G128" s="43">
        <v>6.12</v>
      </c>
      <c r="H128" s="10">
        <v>6.12</v>
      </c>
      <c r="I128" s="89"/>
      <c r="J128" s="90"/>
      <c r="K128" s="91"/>
      <c r="L128" s="74">
        <f>H128*S128</f>
        <v>6.3278233862642832</v>
      </c>
      <c r="M128" s="89"/>
      <c r="N128" s="89"/>
      <c r="O128" s="90"/>
      <c r="P128" s="90"/>
      <c r="Q128" s="92"/>
      <c r="R128" s="92"/>
      <c r="S128" s="67">
        <f t="shared" ref="S128:S130" si="152">1+$O$114</f>
        <v>1.0339580696510267</v>
      </c>
      <c r="T128" s="90">
        <f t="shared" si="151"/>
        <v>3.3958069651026657E-2</v>
      </c>
    </row>
    <row r="129" spans="1:20" x14ac:dyDescent="0.2">
      <c r="A129" s="86">
        <f t="shared" si="86"/>
        <v>123</v>
      </c>
      <c r="D129" s="73" t="s">
        <v>67</v>
      </c>
      <c r="E129" s="61"/>
      <c r="F129" s="109"/>
      <c r="G129" s="44">
        <v>5.4620000000000002E-2</v>
      </c>
      <c r="H129" s="123">
        <v>6.6489999999999994E-2</v>
      </c>
      <c r="I129" s="89"/>
      <c r="J129" s="90"/>
      <c r="K129" s="91"/>
      <c r="L129" s="77">
        <f>H129*S129</f>
        <v>6.8747872051096753E-2</v>
      </c>
      <c r="M129" s="89"/>
      <c r="N129" s="89"/>
      <c r="O129" s="90"/>
      <c r="P129" s="90"/>
      <c r="Q129" s="92"/>
      <c r="R129" s="92"/>
      <c r="S129" s="67">
        <f t="shared" si="152"/>
        <v>1.0339580696510267</v>
      </c>
      <c r="T129" s="90">
        <f t="shared" si="151"/>
        <v>3.3958069651026657E-2</v>
      </c>
    </row>
    <row r="130" spans="1:20" ht="13.5" thickBot="1" x14ac:dyDescent="0.25">
      <c r="A130" s="86">
        <f t="shared" si="86"/>
        <v>124</v>
      </c>
      <c r="D130" s="73" t="s">
        <v>68</v>
      </c>
      <c r="E130" s="61"/>
      <c r="F130" s="109"/>
      <c r="G130" s="44">
        <v>5.3969999999999997E-2</v>
      </c>
      <c r="H130" s="123">
        <v>6.5839999999999996E-2</v>
      </c>
      <c r="I130" s="89"/>
      <c r="J130" s="90"/>
      <c r="K130" s="91"/>
      <c r="L130" s="77">
        <f>H130*S130</f>
        <v>6.8075799305823595E-2</v>
      </c>
      <c r="M130" s="89"/>
      <c r="N130" s="89"/>
      <c r="O130" s="90"/>
      <c r="P130" s="90"/>
      <c r="Q130" s="92"/>
      <c r="R130" s="92"/>
      <c r="S130" s="67">
        <f t="shared" si="152"/>
        <v>1.0339580696510267</v>
      </c>
      <c r="T130" s="90">
        <f t="shared" si="151"/>
        <v>3.3958069651026657E-2</v>
      </c>
    </row>
    <row r="131" spans="1:20" x14ac:dyDescent="0.2">
      <c r="A131" s="86">
        <f t="shared" si="86"/>
        <v>125</v>
      </c>
      <c r="B131" s="87" t="s">
        <v>90</v>
      </c>
      <c r="C131" s="88" t="s">
        <v>91</v>
      </c>
      <c r="D131" s="87"/>
      <c r="E131" s="87"/>
      <c r="F131" s="87"/>
      <c r="G131" s="124"/>
      <c r="H131" s="124"/>
      <c r="I131" s="87"/>
      <c r="J131" s="87"/>
      <c r="K131" s="87"/>
      <c r="L131" s="87"/>
      <c r="M131" s="87"/>
      <c r="N131" s="87"/>
      <c r="O131" s="87"/>
      <c r="P131" s="87"/>
      <c r="Q131" s="87"/>
      <c r="R131" s="87"/>
    </row>
    <row r="132" spans="1:20" ht="12.6" customHeight="1" x14ac:dyDescent="0.2">
      <c r="A132" s="86">
        <f t="shared" si="86"/>
        <v>126</v>
      </c>
      <c r="D132" s="73" t="s">
        <v>16</v>
      </c>
      <c r="E132" s="61"/>
      <c r="F132" s="74"/>
      <c r="G132" s="43">
        <v>1214.912</v>
      </c>
      <c r="H132" s="10">
        <v>1214.9100000000001</v>
      </c>
      <c r="I132" s="89"/>
      <c r="J132" s="90"/>
      <c r="K132" s="91"/>
      <c r="L132" s="74">
        <f>H132*S132</f>
        <v>1256.1659983997288</v>
      </c>
      <c r="M132" s="89"/>
      <c r="N132" s="89"/>
      <c r="O132" s="90"/>
      <c r="P132" s="90"/>
      <c r="Q132" s="92"/>
      <c r="R132" s="92"/>
      <c r="S132" s="67">
        <f>1+$O$114</f>
        <v>1.0339580696510267</v>
      </c>
      <c r="T132" s="90">
        <f t="shared" ref="T132:T135" si="153">L132/H132-1</f>
        <v>3.3958069651026657E-2</v>
      </c>
    </row>
    <row r="133" spans="1:20" x14ac:dyDescent="0.2">
      <c r="A133" s="86">
        <f t="shared" si="86"/>
        <v>127</v>
      </c>
      <c r="D133" s="73" t="s">
        <v>46</v>
      </c>
      <c r="E133" s="61"/>
      <c r="F133" s="109"/>
      <c r="G133" s="43">
        <v>6.12</v>
      </c>
      <c r="H133" s="10">
        <v>6.12</v>
      </c>
      <c r="I133" s="89"/>
      <c r="J133" s="90"/>
      <c r="K133" s="91"/>
      <c r="L133" s="74">
        <f>H133*S133</f>
        <v>6.3278233862642832</v>
      </c>
      <c r="M133" s="89"/>
      <c r="N133" s="89"/>
      <c r="O133" s="90"/>
      <c r="P133" s="90"/>
      <c r="Q133" s="92"/>
      <c r="R133" s="92"/>
      <c r="S133" s="67">
        <f t="shared" ref="S133:S135" si="154">1+$O$114</f>
        <v>1.0339580696510267</v>
      </c>
      <c r="T133" s="90">
        <f t="shared" si="153"/>
        <v>3.3958069651026657E-2</v>
      </c>
    </row>
    <row r="134" spans="1:20" x14ac:dyDescent="0.2">
      <c r="A134" s="86">
        <f t="shared" si="86"/>
        <v>128</v>
      </c>
      <c r="D134" s="73" t="s">
        <v>67</v>
      </c>
      <c r="E134" s="61"/>
      <c r="F134" s="109"/>
      <c r="G134" s="44">
        <v>4.8939999999999997E-2</v>
      </c>
      <c r="H134" s="123">
        <v>6.0810000000000003E-2</v>
      </c>
      <c r="I134" s="89"/>
      <c r="J134" s="90"/>
      <c r="K134" s="91"/>
      <c r="L134" s="77">
        <f>H134*S134</f>
        <v>6.2874990215478932E-2</v>
      </c>
      <c r="M134" s="89"/>
      <c r="N134" s="89"/>
      <c r="O134" s="90"/>
      <c r="P134" s="90"/>
      <c r="Q134" s="92"/>
      <c r="R134" s="92"/>
      <c r="S134" s="67">
        <f t="shared" si="154"/>
        <v>1.0339580696510267</v>
      </c>
      <c r="T134" s="90">
        <f t="shared" si="153"/>
        <v>3.3958069651026657E-2</v>
      </c>
    </row>
    <row r="135" spans="1:20" ht="13.5" thickBot="1" x14ac:dyDescent="0.25">
      <c r="A135" s="86">
        <f t="shared" si="86"/>
        <v>129</v>
      </c>
      <c r="D135" s="73" t="s">
        <v>68</v>
      </c>
      <c r="E135" s="61"/>
      <c r="F135" s="109"/>
      <c r="G135" s="44">
        <v>4.8439999999999997E-2</v>
      </c>
      <c r="H135" s="123">
        <v>6.0310000000000002E-2</v>
      </c>
      <c r="I135" s="89"/>
      <c r="J135" s="90"/>
      <c r="K135" s="91"/>
      <c r="L135" s="77">
        <f>H135*S135</f>
        <v>6.2358011180653421E-2</v>
      </c>
      <c r="M135" s="89"/>
      <c r="N135" s="89"/>
      <c r="O135" s="90"/>
      <c r="P135" s="90"/>
      <c r="Q135" s="92"/>
      <c r="R135" s="92"/>
      <c r="S135" s="67">
        <f t="shared" si="154"/>
        <v>1.0339580696510267</v>
      </c>
      <c r="T135" s="90">
        <f t="shared" si="153"/>
        <v>3.3958069651026657E-2</v>
      </c>
    </row>
    <row r="136" spans="1:20" x14ac:dyDescent="0.2">
      <c r="A136" s="86">
        <f t="shared" si="86"/>
        <v>130</v>
      </c>
      <c r="B136" s="87" t="s">
        <v>106</v>
      </c>
      <c r="C136" s="88" t="s">
        <v>107</v>
      </c>
      <c r="D136" s="87"/>
      <c r="E136" s="87"/>
      <c r="F136" s="87"/>
      <c r="G136" s="124"/>
      <c r="H136" s="124"/>
      <c r="I136" s="87"/>
      <c r="J136" s="87"/>
      <c r="K136" s="87"/>
      <c r="L136" s="87"/>
      <c r="M136" s="87"/>
      <c r="N136" s="87"/>
      <c r="O136" s="87"/>
      <c r="P136" s="87"/>
      <c r="Q136" s="87"/>
      <c r="R136" s="87"/>
    </row>
    <row r="137" spans="1:20" ht="12.6" customHeight="1" x14ac:dyDescent="0.2">
      <c r="A137" s="86">
        <f t="shared" ref="A137:A143" si="155">A136+1</f>
        <v>131</v>
      </c>
      <c r="D137" s="73" t="s">
        <v>16</v>
      </c>
      <c r="E137" s="61"/>
      <c r="F137" s="74"/>
      <c r="G137" s="43">
        <v>5726.7</v>
      </c>
      <c r="H137" s="10">
        <v>5726.7</v>
      </c>
      <c r="I137" s="89"/>
      <c r="J137" s="90"/>
      <c r="K137" s="91"/>
      <c r="L137" s="153">
        <v>6013</v>
      </c>
      <c r="M137" s="89"/>
      <c r="N137" s="89"/>
      <c r="O137" s="90"/>
      <c r="P137" s="90"/>
      <c r="Q137" s="92"/>
      <c r="R137" s="92"/>
      <c r="S137" s="67"/>
      <c r="T137" s="90">
        <f t="shared" ref="T137:T139" si="156">L137/H137-1</f>
        <v>4.9993888277716669E-2</v>
      </c>
    </row>
    <row r="138" spans="1:20" x14ac:dyDescent="0.2">
      <c r="A138" s="86">
        <f t="shared" si="155"/>
        <v>132</v>
      </c>
      <c r="D138" s="73" t="s">
        <v>46</v>
      </c>
      <c r="E138" s="61"/>
      <c r="F138" s="109"/>
      <c r="G138" s="43">
        <v>7.3</v>
      </c>
      <c r="H138" s="10">
        <v>7.3</v>
      </c>
      <c r="I138" s="89"/>
      <c r="J138" s="90"/>
      <c r="K138" s="91"/>
      <c r="L138" s="153">
        <v>8.91</v>
      </c>
      <c r="M138" s="89"/>
      <c r="N138" s="89"/>
      <c r="O138" s="90"/>
      <c r="P138" s="90"/>
      <c r="Q138" s="92"/>
      <c r="R138" s="92"/>
      <c r="S138" s="67"/>
      <c r="T138" s="90">
        <f t="shared" si="156"/>
        <v>0.22054794520547949</v>
      </c>
    </row>
    <row r="139" spans="1:20" ht="13.5" thickBot="1" x14ac:dyDescent="0.25">
      <c r="A139" s="86">
        <f t="shared" si="155"/>
        <v>133</v>
      </c>
      <c r="D139" s="73" t="s">
        <v>45</v>
      </c>
      <c r="E139" s="61"/>
      <c r="F139" s="109"/>
      <c r="G139" s="125">
        <v>3.9780000000000003E-2</v>
      </c>
      <c r="H139" s="123">
        <v>5.1029999999999999E-2</v>
      </c>
      <c r="I139" s="89"/>
      <c r="J139" s="90"/>
      <c r="K139" s="91"/>
      <c r="L139" s="154">
        <f>H139+(0.052044-0.04903)</f>
        <v>5.4044000000000002E-2</v>
      </c>
      <c r="M139" s="89"/>
      <c r="N139" s="89"/>
      <c r="O139" s="90"/>
      <c r="P139" s="90"/>
      <c r="Q139" s="92"/>
      <c r="R139" s="92"/>
      <c r="S139" s="67"/>
      <c r="T139" s="90">
        <f t="shared" si="156"/>
        <v>5.9063296100333229E-2</v>
      </c>
    </row>
    <row r="140" spans="1:20" x14ac:dyDescent="0.2">
      <c r="A140" s="86">
        <f t="shared" si="155"/>
        <v>134</v>
      </c>
      <c r="B140" s="87" t="s">
        <v>112</v>
      </c>
      <c r="C140" s="88"/>
      <c r="D140" s="87"/>
      <c r="E140" s="87"/>
      <c r="F140" s="87"/>
      <c r="G140" s="124"/>
      <c r="H140" s="124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67"/>
      <c r="T140" s="90"/>
    </row>
    <row r="141" spans="1:20" x14ac:dyDescent="0.2">
      <c r="A141" s="86">
        <f t="shared" si="155"/>
        <v>135</v>
      </c>
      <c r="D141" s="73" t="s">
        <v>113</v>
      </c>
      <c r="E141" s="61"/>
      <c r="F141" s="109"/>
      <c r="G141" s="125"/>
      <c r="H141" s="10">
        <v>4.2</v>
      </c>
      <c r="I141" s="89"/>
      <c r="J141" s="90"/>
      <c r="K141" s="91"/>
      <c r="L141" s="153">
        <f>6.2</f>
        <v>6.2</v>
      </c>
      <c r="M141" s="89"/>
      <c r="N141" s="89"/>
      <c r="O141" s="90"/>
      <c r="P141" s="90"/>
      <c r="Q141" s="92"/>
      <c r="R141" s="92"/>
      <c r="S141" s="67"/>
      <c r="T141" s="90"/>
    </row>
    <row r="142" spans="1:20" x14ac:dyDescent="0.2">
      <c r="A142" s="86">
        <f t="shared" si="155"/>
        <v>136</v>
      </c>
      <c r="D142" s="73" t="s">
        <v>114</v>
      </c>
      <c r="E142" s="61"/>
      <c r="F142" s="109"/>
      <c r="G142" s="120"/>
      <c r="H142" s="74">
        <v>4.9000000000000004</v>
      </c>
      <c r="I142" s="89"/>
      <c r="J142" s="90"/>
      <c r="K142" s="91"/>
      <c r="L142" s="157">
        <f>6.9</f>
        <v>6.9</v>
      </c>
      <c r="M142" s="89"/>
      <c r="N142" s="89"/>
      <c r="O142" s="90"/>
      <c r="P142" s="90"/>
      <c r="Q142" s="92"/>
      <c r="R142" s="92"/>
      <c r="S142" s="67"/>
      <c r="T142" s="90"/>
    </row>
    <row r="143" spans="1:20" x14ac:dyDescent="0.2">
      <c r="A143" s="86">
        <f t="shared" si="155"/>
        <v>137</v>
      </c>
      <c r="D143" s="73" t="s">
        <v>115</v>
      </c>
      <c r="H143" s="74">
        <v>5.6</v>
      </c>
      <c r="L143" s="157">
        <f>7.6</f>
        <v>7.6</v>
      </c>
    </row>
    <row r="145" spans="5:10" x14ac:dyDescent="0.2">
      <c r="H145" s="118" t="s">
        <v>105</v>
      </c>
      <c r="I145" s="2">
        <v>1.187E-2</v>
      </c>
      <c r="J145" s="3"/>
    </row>
    <row r="147" spans="5:10" x14ac:dyDescent="0.2">
      <c r="E147" s="116">
        <f>E8+E31+E44+E58</f>
        <v>151629</v>
      </c>
    </row>
    <row r="148" spans="5:10" x14ac:dyDescent="0.2">
      <c r="E148" s="116"/>
    </row>
    <row r="150" spans="5:10" x14ac:dyDescent="0.2">
      <c r="E150" s="116"/>
    </row>
    <row r="151" spans="5:10" x14ac:dyDescent="0.2">
      <c r="E151" s="122"/>
    </row>
  </sheetData>
  <phoneticPr fontId="8" type="noConversion"/>
  <printOptions horizontalCentered="1"/>
  <pageMargins left="0.7" right="0.7" top="0.75" bottom="0.75" header="0.3" footer="0.3"/>
  <pageSetup scale="51" fitToHeight="3" orientation="landscape" r:id="rId1"/>
  <headerFooter>
    <oddHeader>&amp;R&amp;"Arial,Bold"&amp;10Exhibit 4
Page &amp;P of &amp;N</oddHeader>
  </headerFooter>
  <rowBreaks count="3" manualBreakCount="3">
    <brk id="42" max="17" man="1"/>
    <brk id="85" max="17" man="1"/>
    <brk id="112" max="17" man="1"/>
  </rowBreaks>
  <ignoredErrors>
    <ignoredError sqref="M10:O10 N34:O34 N48:O48 N62:O62 N77:O77 N104:O104 N21:O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L78"/>
  <sheetViews>
    <sheetView tabSelected="1" view="pageBreakPreview" topLeftCell="A19" zoomScaleNormal="85" zoomScaleSheetLayoutView="100" workbookViewId="0">
      <selection activeCell="O44" sqref="O44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1" customWidth="1"/>
    <col min="4" max="4" width="28.7109375" style="11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2" style="2" customWidth="1"/>
    <col min="9" max="9" width="14.140625" style="2" customWidth="1"/>
    <col min="10" max="16384" width="8.85546875" style="2"/>
  </cols>
  <sheetData>
    <row r="1" spans="1:9" x14ac:dyDescent="0.2">
      <c r="A1" s="1" t="str">
        <f>Summary!A1</f>
        <v>BIG SANDY RECC</v>
      </c>
    </row>
    <row r="2" spans="1:9" x14ac:dyDescent="0.2">
      <c r="A2" s="1" t="s">
        <v>102</v>
      </c>
    </row>
    <row r="4" spans="1:9" x14ac:dyDescent="0.2">
      <c r="C4" s="42" t="s">
        <v>57</v>
      </c>
      <c r="D4" s="41"/>
      <c r="E4" s="41" t="s">
        <v>2</v>
      </c>
      <c r="F4" s="45" t="s">
        <v>43</v>
      </c>
      <c r="G4" s="45" t="s">
        <v>44</v>
      </c>
      <c r="H4" s="45" t="s">
        <v>103</v>
      </c>
    </row>
    <row r="5" spans="1:9" x14ac:dyDescent="0.2">
      <c r="C5" s="11" t="str">
        <f>'Billing Detail'!C7</f>
        <v>A1</v>
      </c>
      <c r="D5" s="63" t="str">
        <f>'Billing Detail'!B7</f>
        <v xml:space="preserve">Farm &amp; Home </v>
      </c>
    </row>
    <row r="6" spans="1:9" x14ac:dyDescent="0.2">
      <c r="D6" s="63"/>
      <c r="E6" s="2" t="str">
        <f>'Billing Detail'!D8</f>
        <v>Customer Charge</v>
      </c>
      <c r="F6" s="43">
        <f>'Billing Detail'!H8</f>
        <v>28.32</v>
      </c>
      <c r="G6" s="43">
        <f>'Billing Detail'!L8</f>
        <v>29.26</v>
      </c>
      <c r="H6" s="43">
        <f>G6-F6</f>
        <v>0.94000000000000128</v>
      </c>
      <c r="I6" s="4">
        <f>H6/F6</f>
        <v>3.3192090395480274E-2</v>
      </c>
    </row>
    <row r="7" spans="1:9" x14ac:dyDescent="0.2">
      <c r="D7" s="63"/>
      <c r="E7" s="2" t="str">
        <f>'Billing Detail'!D9</f>
        <v>Energy Charge per kWh</v>
      </c>
      <c r="F7" s="44">
        <f>'Billing Detail'!H9</f>
        <v>0.1118</v>
      </c>
      <c r="G7" s="44">
        <f>'Billing Detail'!L9</f>
        <v>0.11549</v>
      </c>
      <c r="H7" s="44">
        <f t="shared" ref="H7:H49" si="0">G7-F7</f>
        <v>3.6899999999999988E-3</v>
      </c>
      <c r="I7" s="4">
        <f t="shared" ref="I7:I49" si="1">H7/F7</f>
        <v>3.3005366726296947E-2</v>
      </c>
    </row>
    <row r="8" spans="1:9" x14ac:dyDescent="0.2">
      <c r="C8" s="11" t="str">
        <f>'Billing Detail'!C19</f>
        <v>A1-ETS</v>
      </c>
      <c r="D8" s="63" t="str">
        <f>'Billing Detail'!B19</f>
        <v>Farm &amp; Home (ETS)</v>
      </c>
      <c r="F8" s="43"/>
      <c r="G8" s="43"/>
      <c r="H8" s="43"/>
      <c r="I8" s="4"/>
    </row>
    <row r="9" spans="1:9" x14ac:dyDescent="0.2">
      <c r="D9" s="63"/>
      <c r="E9" s="2" t="str">
        <f>'Billing Detail'!D20</f>
        <v>Energy Charge Off Peak per kWh</v>
      </c>
      <c r="F9" s="44">
        <f>'Billing Detail'!H20</f>
        <v>6.3810000000000006E-2</v>
      </c>
      <c r="G9" s="44">
        <f>'Billing Detail'!L20</f>
        <v>6.5920000000000006E-2</v>
      </c>
      <c r="H9" s="44">
        <f t="shared" si="0"/>
        <v>2.1100000000000008E-3</v>
      </c>
      <c r="I9" s="4">
        <f t="shared" si="1"/>
        <v>3.3066917411064108E-2</v>
      </c>
    </row>
    <row r="10" spans="1:9" x14ac:dyDescent="0.2">
      <c r="C10" s="11" t="str">
        <f>'Billing Detail'!C30</f>
        <v>A2</v>
      </c>
      <c r="D10" s="63" t="str">
        <f>'Billing Detail'!B30</f>
        <v xml:space="preserve">Commercial &amp; Small Power </v>
      </c>
      <c r="F10" s="44"/>
      <c r="G10" s="44"/>
      <c r="H10" s="44"/>
      <c r="I10" s="4"/>
    </row>
    <row r="11" spans="1:9" x14ac:dyDescent="0.2">
      <c r="D11" s="63"/>
      <c r="E11" s="2" t="str">
        <f>'Billing Detail'!D31</f>
        <v>Customer Charge</v>
      </c>
      <c r="F11" s="43">
        <f>'Billing Detail'!H31</f>
        <v>30.98</v>
      </c>
      <c r="G11" s="43">
        <f>'Billing Detail'!L31</f>
        <v>32</v>
      </c>
      <c r="H11" s="43">
        <f t="shared" si="0"/>
        <v>1.0199999999999996</v>
      </c>
      <c r="I11" s="4">
        <f t="shared" si="1"/>
        <v>3.2924467398321486E-2</v>
      </c>
    </row>
    <row r="12" spans="1:9" x14ac:dyDescent="0.2">
      <c r="D12" s="63"/>
      <c r="E12" s="2" t="str">
        <f>'Billing Detail'!D32</f>
        <v>Demand Charge per kW</v>
      </c>
      <c r="F12" s="43">
        <f>'Billing Detail'!H32</f>
        <v>5.68</v>
      </c>
      <c r="G12" s="43">
        <f>'Billing Detail'!L32</f>
        <v>5.8676399999999997</v>
      </c>
      <c r="H12" s="43">
        <f t="shared" si="0"/>
        <v>0.18764000000000003</v>
      </c>
      <c r="I12" s="4">
        <f t="shared" si="1"/>
        <v>3.3035211267605641E-2</v>
      </c>
    </row>
    <row r="13" spans="1:9" x14ac:dyDescent="0.2">
      <c r="D13" s="63"/>
      <c r="E13" s="2" t="str">
        <f>'Billing Detail'!D33</f>
        <v>Energy Charge per kWh</v>
      </c>
      <c r="F13" s="44">
        <f>'Billing Detail'!H33</f>
        <v>8.1600000000000006E-2</v>
      </c>
      <c r="G13" s="44">
        <f>'Billing Detail'!L33</f>
        <v>8.43E-2</v>
      </c>
      <c r="H13" s="44">
        <f t="shared" si="0"/>
        <v>2.6999999999999941E-3</v>
      </c>
      <c r="I13" s="4">
        <f t="shared" si="1"/>
        <v>3.3088235294117571E-2</v>
      </c>
    </row>
    <row r="14" spans="1:9" x14ac:dyDescent="0.2">
      <c r="C14" s="11" t="str">
        <f>'Billing Detail'!C43</f>
        <v>LP</v>
      </c>
      <c r="D14" s="63" t="str">
        <f>'Billing Detail'!B43</f>
        <v>Large Power Service (25-750 kV)</v>
      </c>
      <c r="F14" s="43"/>
      <c r="G14" s="43"/>
      <c r="H14" s="43"/>
      <c r="I14" s="4"/>
    </row>
    <row r="15" spans="1:9" x14ac:dyDescent="0.2">
      <c r="D15" s="63"/>
      <c r="E15" s="2" t="str">
        <f>'Billing Detail'!D44</f>
        <v>Customer Charge</v>
      </c>
      <c r="F15" s="43">
        <f>'Billing Detail'!H44</f>
        <v>96.34</v>
      </c>
      <c r="G15" s="43">
        <f>'Billing Detail'!L44</f>
        <v>99.52</v>
      </c>
      <c r="H15" s="43">
        <f t="shared" si="0"/>
        <v>3.1799999999999926</v>
      </c>
      <c r="I15" s="4">
        <f t="shared" si="1"/>
        <v>3.3008096325513728E-2</v>
      </c>
    </row>
    <row r="16" spans="1:9" x14ac:dyDescent="0.2">
      <c r="D16" s="63"/>
      <c r="E16" s="2" t="str">
        <f>'Billing Detail'!D45</f>
        <v>Demand Charge per kW</v>
      </c>
      <c r="F16" s="43">
        <f>'Billing Detail'!H45</f>
        <v>6.48</v>
      </c>
      <c r="G16" s="43">
        <f>'Billing Detail'!L45</f>
        <v>6.69</v>
      </c>
      <c r="H16" s="43">
        <f t="shared" si="0"/>
        <v>0.20999999999999996</v>
      </c>
      <c r="I16" s="4">
        <f t="shared" si="1"/>
        <v>3.2407407407407399E-2</v>
      </c>
    </row>
    <row r="17" spans="3:9" x14ac:dyDescent="0.2">
      <c r="D17" s="63"/>
      <c r="E17" s="2" t="str">
        <f>'Billing Detail'!D46</f>
        <v>Energy Charge Secondary per kWh</v>
      </c>
      <c r="F17" s="44">
        <f>'Billing Detail'!H46</f>
        <v>8.0369999999999997E-2</v>
      </c>
      <c r="G17" s="44">
        <f>'Billing Detail'!L46</f>
        <v>8.3030000000000007E-2</v>
      </c>
      <c r="H17" s="44">
        <f t="shared" si="0"/>
        <v>2.6600000000000096E-3</v>
      </c>
      <c r="I17" s="4">
        <f t="shared" si="1"/>
        <v>3.3096926713948108E-2</v>
      </c>
    </row>
    <row r="18" spans="3:9" x14ac:dyDescent="0.2">
      <c r="D18" s="63"/>
      <c r="E18" s="2" t="str">
        <f>'Billing Detail'!D47</f>
        <v>Energy Charge Primary per kWh</v>
      </c>
      <c r="F18" s="44">
        <f>'Billing Detail'!H47</f>
        <v>7.3200000000000001E-2</v>
      </c>
      <c r="G18" s="44">
        <f>'Billing Detail'!L47</f>
        <v>7.5620000000000007E-2</v>
      </c>
      <c r="H18" s="44">
        <f t="shared" si="0"/>
        <v>2.4200000000000055E-3</v>
      </c>
      <c r="I18" s="4">
        <f t="shared" si="1"/>
        <v>3.3060109289617563E-2</v>
      </c>
    </row>
    <row r="19" spans="3:9" x14ac:dyDescent="0.2">
      <c r="C19" s="11" t="str">
        <f>'Billing Detail'!C57</f>
        <v>LPR</v>
      </c>
      <c r="D19" s="63" t="str">
        <f>'Billing Detail'!B57</f>
        <v>Large Power Service (750 kVA +)</v>
      </c>
      <c r="F19" s="44"/>
      <c r="G19" s="44"/>
      <c r="H19" s="44"/>
      <c r="I19" s="4"/>
    </row>
    <row r="20" spans="3:9" x14ac:dyDescent="0.2">
      <c r="D20" s="63"/>
      <c r="E20" s="2" t="str">
        <f>'Billing Detail'!D58</f>
        <v>Customer Charge</v>
      </c>
      <c r="F20" s="43">
        <f>'Billing Detail'!H58</f>
        <v>118.25</v>
      </c>
      <c r="G20" s="43">
        <f>'Billing Detail'!L58</f>
        <v>122.16</v>
      </c>
      <c r="H20" s="43">
        <f t="shared" si="0"/>
        <v>3.9099999999999966</v>
      </c>
      <c r="I20" s="4">
        <f t="shared" si="1"/>
        <v>3.3065539112050714E-2</v>
      </c>
    </row>
    <row r="21" spans="3:9" x14ac:dyDescent="0.2">
      <c r="D21" s="63"/>
      <c r="E21" s="2" t="str">
        <f>'Billing Detail'!D59</f>
        <v>Demand Charge per kW</v>
      </c>
      <c r="F21" s="43">
        <f>'Billing Detail'!H59</f>
        <v>6.68</v>
      </c>
      <c r="G21" s="43">
        <f>'Billing Detail'!L59</f>
        <v>6.9</v>
      </c>
      <c r="H21" s="43">
        <f t="shared" si="0"/>
        <v>0.22000000000000064</v>
      </c>
      <c r="I21" s="4">
        <f t="shared" si="1"/>
        <v>3.2934131736527046E-2</v>
      </c>
    </row>
    <row r="22" spans="3:9" x14ac:dyDescent="0.2">
      <c r="D22" s="63"/>
      <c r="E22" s="2" t="str">
        <f>'Billing Detail'!D60</f>
        <v>Energy Charge Secondary per kWh</v>
      </c>
      <c r="F22" s="44">
        <f>'Billing Detail'!H60</f>
        <v>7.1410000000000001E-2</v>
      </c>
      <c r="G22" s="44">
        <f>'Billing Detail'!L60</f>
        <v>7.3770000000000002E-2</v>
      </c>
      <c r="H22" s="44">
        <f t="shared" si="0"/>
        <v>2.360000000000001E-3</v>
      </c>
      <c r="I22" s="4">
        <f t="shared" si="1"/>
        <v>3.3048592634084877E-2</v>
      </c>
    </row>
    <row r="23" spans="3:9" x14ac:dyDescent="0.2">
      <c r="D23" s="63"/>
      <c r="E23" s="2" t="str">
        <f>'Billing Detail'!D61</f>
        <v>Energy Charge Primary per kWh</v>
      </c>
      <c r="F23" s="44">
        <f>'Billing Detail'!H61</f>
        <v>6.5060000000000007E-2</v>
      </c>
      <c r="G23" s="44">
        <f>'Billing Detail'!L61</f>
        <v>6.7210000000000006E-2</v>
      </c>
      <c r="H23" s="44">
        <f t="shared" si="0"/>
        <v>2.1499999999999991E-3</v>
      </c>
      <c r="I23" s="4">
        <f t="shared" si="1"/>
        <v>3.3046418690439575E-2</v>
      </c>
    </row>
    <row r="24" spans="3:9" x14ac:dyDescent="0.2">
      <c r="C24" s="11" t="str">
        <f>'Billing Detail'!C71</f>
        <v>IND-1B</v>
      </c>
      <c r="D24" s="63" t="str">
        <f>'Billing Detail'!B71</f>
        <v>Industrial</v>
      </c>
      <c r="F24" s="10"/>
      <c r="G24" s="44"/>
      <c r="H24" s="44"/>
      <c r="I24" s="4"/>
    </row>
    <row r="25" spans="3:9" x14ac:dyDescent="0.2">
      <c r="D25" s="63"/>
      <c r="E25" s="2" t="str">
        <f>'Billing Detail'!D72</f>
        <v>Customer Charge</v>
      </c>
      <c r="F25" s="10">
        <f>'Billing Detail'!H72</f>
        <v>179.01</v>
      </c>
      <c r="G25" s="10">
        <f>'Billing Detail'!L72</f>
        <v>192.7</v>
      </c>
      <c r="H25" s="10">
        <f t="shared" si="0"/>
        <v>13.689999999999998</v>
      </c>
      <c r="I25" s="4">
        <f t="shared" si="1"/>
        <v>7.6476174515390197E-2</v>
      </c>
    </row>
    <row r="26" spans="3:9" x14ac:dyDescent="0.2">
      <c r="D26" s="63"/>
      <c r="E26" s="2" t="str">
        <f>'Billing Detail'!D73</f>
        <v>Demand Charge-Contract per kW</v>
      </c>
      <c r="F26" s="10">
        <f>'Billing Detail'!H73</f>
        <v>7.49</v>
      </c>
      <c r="G26" s="10">
        <f>'Billing Detail'!L73</f>
        <v>8.06</v>
      </c>
      <c r="H26" s="10">
        <f t="shared" si="0"/>
        <v>0.57000000000000028</v>
      </c>
      <c r="I26" s="4">
        <f t="shared" si="1"/>
        <v>7.6101468624833149E-2</v>
      </c>
    </row>
    <row r="27" spans="3:9" x14ac:dyDescent="0.2">
      <c r="D27" s="63"/>
      <c r="E27" s="2" t="str">
        <f>'Billing Detail'!D74</f>
        <v>Demand Charge-Excess per kW</v>
      </c>
      <c r="F27" s="10">
        <f>'Billing Detail'!H74</f>
        <v>9.98</v>
      </c>
      <c r="G27" s="10">
        <f>'Billing Detail'!L74</f>
        <v>10.74</v>
      </c>
      <c r="H27" s="10">
        <f t="shared" si="0"/>
        <v>0.75999999999999979</v>
      </c>
      <c r="I27" s="4">
        <f t="shared" si="1"/>
        <v>7.6152304609218416E-2</v>
      </c>
    </row>
    <row r="28" spans="3:9" x14ac:dyDescent="0.2">
      <c r="D28" s="63"/>
      <c r="E28" s="2" t="str">
        <f>'Billing Detail'!D75</f>
        <v>Energy Charge Secondary per kWh</v>
      </c>
      <c r="F28" s="44">
        <f>'Billing Detail'!H75</f>
        <v>7.0059999999999997E-2</v>
      </c>
      <c r="G28" s="44">
        <f>'Billing Detail'!L75</f>
        <v>7.5420000000000001E-2</v>
      </c>
      <c r="H28" s="44">
        <f t="shared" si="0"/>
        <v>5.3600000000000037E-3</v>
      </c>
      <c r="I28" s="4">
        <f t="shared" si="1"/>
        <v>7.6505852126748555E-2</v>
      </c>
    </row>
    <row r="29" spans="3:9" x14ac:dyDescent="0.2">
      <c r="D29" s="63"/>
      <c r="E29" s="2" t="str">
        <f>'Billing Detail'!D76</f>
        <v>Energy Charge Primary per kWh</v>
      </c>
      <c r="F29" s="44">
        <f>'Billing Detail'!H76</f>
        <v>6.9269999999999998E-2</v>
      </c>
      <c r="G29" s="44">
        <f>'Billing Detail'!L76</f>
        <v>7.4569999999999997E-2</v>
      </c>
      <c r="H29" s="44">
        <f t="shared" si="0"/>
        <v>5.2999999999999992E-3</v>
      </c>
      <c r="I29" s="4">
        <f t="shared" si="1"/>
        <v>7.6512198642991178E-2</v>
      </c>
    </row>
    <row r="30" spans="3:9" x14ac:dyDescent="0.2">
      <c r="C30" s="11" t="str">
        <f>'Billing Detail'!C126</f>
        <v>IND-1</v>
      </c>
      <c r="D30" s="63" t="str">
        <f>'Billing Detail'!B126</f>
        <v>Industrial</v>
      </c>
      <c r="F30" s="43"/>
      <c r="G30" s="43"/>
      <c r="H30" s="43"/>
      <c r="I30" s="4"/>
    </row>
    <row r="31" spans="3:9" x14ac:dyDescent="0.2">
      <c r="D31" s="2"/>
      <c r="E31" s="2" t="str">
        <f>'Billing Detail'!D127</f>
        <v>Customer Charge</v>
      </c>
      <c r="F31" s="43">
        <f>'Billing Detail'!H127</f>
        <v>170.47</v>
      </c>
      <c r="G31" s="43">
        <f>'Billing Detail'!L127</f>
        <v>176.25883213341052</v>
      </c>
      <c r="H31" s="43">
        <f t="shared" si="0"/>
        <v>5.7888321334105228</v>
      </c>
      <c r="I31" s="4">
        <f t="shared" si="1"/>
        <v>3.3958069651026705E-2</v>
      </c>
    </row>
    <row r="32" spans="3:9" x14ac:dyDescent="0.2">
      <c r="D32" s="2"/>
      <c r="E32" s="2" t="str">
        <f>'Billing Detail'!D128</f>
        <v>Demand Charge per kW</v>
      </c>
      <c r="F32" s="43">
        <f>'Billing Detail'!H128</f>
        <v>6.12</v>
      </c>
      <c r="G32" s="43">
        <f>'Billing Detail'!L128</f>
        <v>6.3278233862642832</v>
      </c>
      <c r="H32" s="43">
        <f t="shared" si="0"/>
        <v>0.20782338626428309</v>
      </c>
      <c r="I32" s="4">
        <f t="shared" si="1"/>
        <v>3.395806965102665E-2</v>
      </c>
    </row>
    <row r="33" spans="3:9" x14ac:dyDescent="0.2">
      <c r="D33" s="2"/>
      <c r="E33" s="2" t="str">
        <f>'Billing Detail'!D129</f>
        <v>Energy Charge Secondary per kWh</v>
      </c>
      <c r="F33" s="44">
        <f>'Billing Detail'!H129</f>
        <v>6.6489999999999994E-2</v>
      </c>
      <c r="G33" s="44">
        <f>'Billing Detail'!L129</f>
        <v>6.8747872051096753E-2</v>
      </c>
      <c r="H33" s="44">
        <f t="shared" si="0"/>
        <v>2.2578720510967598E-3</v>
      </c>
      <c r="I33" s="4">
        <f t="shared" si="1"/>
        <v>3.3958069651026622E-2</v>
      </c>
    </row>
    <row r="34" spans="3:9" x14ac:dyDescent="0.2">
      <c r="D34" s="2"/>
      <c r="E34" s="2" t="str">
        <f>'Billing Detail'!D130</f>
        <v>Energy Charge Primary per kWh</v>
      </c>
      <c r="F34" s="44">
        <f>'Billing Detail'!H130</f>
        <v>6.5839999999999996E-2</v>
      </c>
      <c r="G34" s="44">
        <f>'Billing Detail'!L130</f>
        <v>6.8075799305823595E-2</v>
      </c>
      <c r="H34" s="44">
        <f t="shared" si="0"/>
        <v>2.2357993058235992E-3</v>
      </c>
      <c r="I34" s="4">
        <f t="shared" si="1"/>
        <v>3.3958069651026719E-2</v>
      </c>
    </row>
    <row r="35" spans="3:9" ht="14.45" customHeight="1" x14ac:dyDescent="0.2">
      <c r="C35" s="11" t="str">
        <f>'Billing Detail'!C131</f>
        <v>IND-2</v>
      </c>
      <c r="D35" s="63" t="str">
        <f>'Billing Detail'!B131</f>
        <v>Industrial</v>
      </c>
      <c r="F35" s="43"/>
      <c r="G35" s="43"/>
      <c r="H35" s="43"/>
      <c r="I35" s="4"/>
    </row>
    <row r="36" spans="3:9" x14ac:dyDescent="0.2">
      <c r="D36" s="2"/>
      <c r="E36" s="2" t="str">
        <f>'Billing Detail'!D132</f>
        <v>Customer Charge</v>
      </c>
      <c r="F36" s="43">
        <f>'Billing Detail'!H132</f>
        <v>1214.9100000000001</v>
      </c>
      <c r="G36" s="43">
        <f>'Billing Detail'!L132</f>
        <v>1256.1659983997288</v>
      </c>
      <c r="H36" s="43">
        <f t="shared" si="0"/>
        <v>41.255998399728696</v>
      </c>
      <c r="I36" s="4">
        <f t="shared" si="1"/>
        <v>3.3958069651026573E-2</v>
      </c>
    </row>
    <row r="37" spans="3:9" x14ac:dyDescent="0.2">
      <c r="D37" s="2"/>
      <c r="E37" s="2" t="str">
        <f>'Billing Detail'!D133</f>
        <v>Demand Charge per kW</v>
      </c>
      <c r="F37" s="43">
        <f>'Billing Detail'!H133</f>
        <v>6.12</v>
      </c>
      <c r="G37" s="43">
        <f>'Billing Detail'!L133</f>
        <v>6.3278233862642832</v>
      </c>
      <c r="H37" s="43">
        <f t="shared" si="0"/>
        <v>0.20782338626428309</v>
      </c>
      <c r="I37" s="4">
        <f t="shared" si="1"/>
        <v>3.395806965102665E-2</v>
      </c>
    </row>
    <row r="38" spans="3:9" x14ac:dyDescent="0.2">
      <c r="D38" s="2"/>
      <c r="E38" s="2" t="str">
        <f>'Billing Detail'!D134</f>
        <v>Energy Charge Secondary per kWh</v>
      </c>
      <c r="F38" s="44">
        <f>'Billing Detail'!H134</f>
        <v>6.0810000000000003E-2</v>
      </c>
      <c r="G38" s="44">
        <f>'Billing Detail'!L134</f>
        <v>6.2874990215478932E-2</v>
      </c>
      <c r="H38" s="44">
        <f t="shared" si="0"/>
        <v>2.064990215478929E-3</v>
      </c>
      <c r="I38" s="4">
        <f t="shared" si="1"/>
        <v>3.3958069651026622E-2</v>
      </c>
    </row>
    <row r="39" spans="3:9" x14ac:dyDescent="0.2">
      <c r="D39" s="2"/>
      <c r="E39" s="2" t="str">
        <f>'Billing Detail'!D135</f>
        <v>Energy Charge Primary per kWh</v>
      </c>
      <c r="F39" s="44">
        <f>'Billing Detail'!H135</f>
        <v>6.0310000000000002E-2</v>
      </c>
      <c r="G39" s="44">
        <f>'Billing Detail'!L135</f>
        <v>6.2358011180653421E-2</v>
      </c>
      <c r="H39" s="44">
        <f t="shared" si="0"/>
        <v>2.0480111806534182E-3</v>
      </c>
      <c r="I39" s="4">
        <f t="shared" si="1"/>
        <v>3.3958069651026664E-2</v>
      </c>
    </row>
    <row r="40" spans="3:9" ht="14.45" customHeight="1" x14ac:dyDescent="0.2">
      <c r="C40" s="11" t="str">
        <f>'Billing Detail'!C136</f>
        <v>LP-G</v>
      </c>
      <c r="D40" s="63" t="str">
        <f>'Billing Detail'!B136</f>
        <v>Large Power 10,000 kW +</v>
      </c>
      <c r="F40" s="43"/>
      <c r="G40" s="43"/>
      <c r="H40" s="43"/>
      <c r="I40" s="4"/>
    </row>
    <row r="41" spans="3:9" x14ac:dyDescent="0.2">
      <c r="D41" s="2"/>
      <c r="E41" s="2" t="str">
        <f>'Billing Detail'!D137</f>
        <v>Customer Charge</v>
      </c>
      <c r="F41" s="43">
        <f>'Billing Detail'!H137</f>
        <v>5726.7</v>
      </c>
      <c r="G41" s="43">
        <f>'Billing Detail'!L137</f>
        <v>6013</v>
      </c>
      <c r="H41" s="43">
        <f t="shared" ref="H41:H43" si="2">G41-F41</f>
        <v>286.30000000000018</v>
      </c>
      <c r="I41" s="4">
        <f t="shared" ref="I41:I43" si="3">H41/F41</f>
        <v>4.9993888277716697E-2</v>
      </c>
    </row>
    <row r="42" spans="3:9" x14ac:dyDescent="0.2">
      <c r="D42" s="2"/>
      <c r="E42" s="2" t="str">
        <f>'Billing Detail'!D138</f>
        <v>Demand Charge per kW</v>
      </c>
      <c r="F42" s="43">
        <f>'Billing Detail'!H138</f>
        <v>7.3</v>
      </c>
      <c r="G42" s="43">
        <f>'Billing Detail'!L138</f>
        <v>8.91</v>
      </c>
      <c r="H42" s="43">
        <f t="shared" si="2"/>
        <v>1.6100000000000003</v>
      </c>
      <c r="I42" s="4">
        <f t="shared" si="3"/>
        <v>0.22054794520547949</v>
      </c>
    </row>
    <row r="43" spans="3:9" x14ac:dyDescent="0.2">
      <c r="D43" s="2"/>
      <c r="E43" s="2" t="str">
        <f>'Billing Detail'!D139</f>
        <v>Energy Charge per kWh</v>
      </c>
      <c r="F43" s="44">
        <f>'Billing Detail'!H139</f>
        <v>5.1029999999999999E-2</v>
      </c>
      <c r="G43" s="44">
        <f>'Billing Detail'!L139</f>
        <v>5.4044000000000002E-2</v>
      </c>
      <c r="H43" s="44">
        <f t="shared" si="2"/>
        <v>3.0140000000000028E-3</v>
      </c>
      <c r="I43" s="4">
        <f t="shared" si="3"/>
        <v>5.9063296100333194E-2</v>
      </c>
    </row>
    <row r="44" spans="3:9" x14ac:dyDescent="0.2">
      <c r="C44" s="11" t="str">
        <f>'Billing Detail'!C86</f>
        <v>YL1</v>
      </c>
      <c r="D44" s="63" t="str">
        <f>'Billing Detail'!B86</f>
        <v>Lighting</v>
      </c>
      <c r="F44" s="43"/>
      <c r="G44" s="43"/>
      <c r="H44" s="43"/>
      <c r="I44" s="4"/>
    </row>
    <row r="45" spans="3:9" x14ac:dyDescent="0.2">
      <c r="D45" s="63"/>
      <c r="E45" s="2" t="s">
        <v>95</v>
      </c>
      <c r="F45" s="43">
        <f>'Billing Detail'!H88</f>
        <v>11.28</v>
      </c>
      <c r="G45" s="43">
        <f>'Billing Detail'!L88</f>
        <v>11.65</v>
      </c>
      <c r="H45" s="43">
        <f t="shared" si="0"/>
        <v>0.37000000000000099</v>
      </c>
      <c r="I45" s="4">
        <f t="shared" si="1"/>
        <v>3.2801418439716401E-2</v>
      </c>
    </row>
    <row r="46" spans="3:9" x14ac:dyDescent="0.2">
      <c r="D46" s="2"/>
      <c r="E46" s="2" t="s">
        <v>96</v>
      </c>
      <c r="F46" s="43">
        <f>'Billing Detail'!H89</f>
        <v>17.38</v>
      </c>
      <c r="G46" s="43">
        <f>'Billing Detail'!L89</f>
        <v>17.95</v>
      </c>
      <c r="H46" s="43">
        <f t="shared" si="0"/>
        <v>0.57000000000000028</v>
      </c>
      <c r="I46" s="4">
        <f t="shared" si="1"/>
        <v>3.2796317606444206E-2</v>
      </c>
    </row>
    <row r="47" spans="3:9" x14ac:dyDescent="0.2">
      <c r="D47" s="2"/>
      <c r="E47" s="2" t="s">
        <v>97</v>
      </c>
      <c r="F47" s="40">
        <f>'Billing Detail'!H102</f>
        <v>20.71</v>
      </c>
      <c r="G47" s="40">
        <f>'Billing Detail'!L102</f>
        <v>21.39</v>
      </c>
      <c r="H47" s="40">
        <f t="shared" si="0"/>
        <v>0.67999999999999972</v>
      </c>
      <c r="I47" s="4">
        <f t="shared" si="1"/>
        <v>3.2834379526798636E-2</v>
      </c>
    </row>
    <row r="48" spans="3:9" x14ac:dyDescent="0.2">
      <c r="D48" s="2"/>
      <c r="E48" s="2" t="s">
        <v>98</v>
      </c>
      <c r="F48" s="43">
        <f>'Billing Detail'!H103</f>
        <v>49.39</v>
      </c>
      <c r="G48" s="43">
        <f>'Billing Detail'!L103</f>
        <v>51.02</v>
      </c>
      <c r="H48" s="43">
        <f t="shared" si="0"/>
        <v>1.6300000000000026</v>
      </c>
      <c r="I48" s="4">
        <f t="shared" si="1"/>
        <v>3.3002632111763568E-2</v>
      </c>
    </row>
    <row r="49" spans="3:12" x14ac:dyDescent="0.2">
      <c r="D49" s="2"/>
      <c r="E49" s="2" t="s">
        <v>99</v>
      </c>
      <c r="F49" s="43">
        <f>'Billing Detail'!H100</f>
        <v>23.02</v>
      </c>
      <c r="G49" s="43">
        <f>'Billing Detail'!L100</f>
        <v>23.78</v>
      </c>
      <c r="H49" s="43">
        <f t="shared" si="0"/>
        <v>0.76000000000000156</v>
      </c>
      <c r="I49" s="4">
        <f t="shared" si="1"/>
        <v>3.3014769765421441E-2</v>
      </c>
    </row>
    <row r="50" spans="3:12" x14ac:dyDescent="0.2">
      <c r="D50" s="63" t="str">
        <f>'Billing Detail'!B140</f>
        <v>Interruptible Service</v>
      </c>
      <c r="F50" s="43"/>
      <c r="G50" s="43"/>
      <c r="H50" s="43"/>
      <c r="I50" s="4"/>
    </row>
    <row r="51" spans="3:12" x14ac:dyDescent="0.2">
      <c r="D51" s="2"/>
      <c r="E51" s="2" t="str">
        <f>'Billing Detail'!D141</f>
        <v>Demand Credit per kW - 200 Hrs</v>
      </c>
      <c r="F51" s="43">
        <f>'Billing Detail'!H141</f>
        <v>4.2</v>
      </c>
      <c r="G51" s="43">
        <f>'Billing Detail'!L141</f>
        <v>6.2</v>
      </c>
      <c r="H51" s="43">
        <f t="shared" ref="H51" si="4">G51-F51</f>
        <v>2</v>
      </c>
      <c r="I51" s="4">
        <f t="shared" ref="I51" si="5">H51/F51</f>
        <v>0.47619047619047616</v>
      </c>
    </row>
    <row r="52" spans="3:12" x14ac:dyDescent="0.2">
      <c r="D52" s="2"/>
      <c r="E52" s="2" t="str">
        <f>'Billing Detail'!D142</f>
        <v>Demand Credit per kW - 300 Hrs</v>
      </c>
      <c r="F52" s="43">
        <f>'Billing Detail'!H142</f>
        <v>4.9000000000000004</v>
      </c>
      <c r="G52" s="43">
        <f>'Billing Detail'!L142</f>
        <v>6.9</v>
      </c>
      <c r="H52" s="43">
        <f t="shared" ref="H52:H53" si="6">G52-F52</f>
        <v>2</v>
      </c>
      <c r="I52" s="4">
        <f t="shared" ref="I52:I53" si="7">H52/F52</f>
        <v>0.4081632653061224</v>
      </c>
    </row>
    <row r="53" spans="3:12" x14ac:dyDescent="0.2">
      <c r="E53" s="2" t="str">
        <f>'Billing Detail'!D143</f>
        <v>Demand Credit per kW - 400 Hrs</v>
      </c>
      <c r="F53" s="43">
        <f>'Billing Detail'!H143</f>
        <v>5.6</v>
      </c>
      <c r="G53" s="43">
        <f>'Billing Detail'!L143</f>
        <v>7.6</v>
      </c>
      <c r="H53" s="43">
        <f t="shared" si="6"/>
        <v>2</v>
      </c>
      <c r="I53" s="4">
        <f t="shared" si="7"/>
        <v>0.35714285714285715</v>
      </c>
    </row>
    <row r="54" spans="3:12" x14ac:dyDescent="0.2">
      <c r="F54" s="43"/>
      <c r="G54" s="43"/>
    </row>
    <row r="55" spans="3:12" x14ac:dyDescent="0.2">
      <c r="F55" s="43"/>
      <c r="G55" s="43"/>
    </row>
    <row r="56" spans="3:12" ht="41.45" customHeight="1" x14ac:dyDescent="0.2">
      <c r="C56" s="155" t="s">
        <v>48</v>
      </c>
      <c r="D56" s="155"/>
      <c r="E56" s="155"/>
      <c r="F56" s="155"/>
      <c r="G56" s="155"/>
    </row>
    <row r="57" spans="3:12" x14ac:dyDescent="0.2">
      <c r="D57" s="2"/>
      <c r="F57" s="156" t="s">
        <v>49</v>
      </c>
      <c r="G57" s="156"/>
    </row>
    <row r="58" spans="3:12" x14ac:dyDescent="0.2">
      <c r="C58" s="59" t="s">
        <v>50</v>
      </c>
      <c r="D58" s="50"/>
      <c r="E58" s="51"/>
      <c r="F58" s="52" t="s">
        <v>51</v>
      </c>
      <c r="G58" s="52" t="s">
        <v>52</v>
      </c>
    </row>
    <row r="59" spans="3:12" x14ac:dyDescent="0.2">
      <c r="C59" s="60" t="str">
        <f>Summary!C8</f>
        <v>A1</v>
      </c>
      <c r="D59" s="3" t="str">
        <f>Summary!B8</f>
        <v xml:space="preserve">Farm &amp; Home </v>
      </c>
      <c r="F59" s="53">
        <f>Summary!L8</f>
        <v>657940.14534999942</v>
      </c>
      <c r="G59" s="54">
        <f>Summary!N8</f>
        <v>3.000621104266879E-2</v>
      </c>
      <c r="L59" s="9"/>
    </row>
    <row r="60" spans="3:12" x14ac:dyDescent="0.2">
      <c r="C60" s="60" t="str">
        <f>Summary!C9</f>
        <v>A1-ETS</v>
      </c>
      <c r="D60" s="3" t="str">
        <f>Summary!B9</f>
        <v>Farm &amp; Home (ETS)</v>
      </c>
      <c r="F60" s="53">
        <f>Summary!L9</f>
        <v>23.891529999999989</v>
      </c>
      <c r="G60" s="54">
        <f>Summary!N9</f>
        <v>3.2253133598287964E-2</v>
      </c>
      <c r="H60" s="1"/>
      <c r="L60" s="9"/>
    </row>
    <row r="61" spans="3:12" x14ac:dyDescent="0.2">
      <c r="C61" s="60" t="str">
        <f>Summary!C10</f>
        <v>A2</v>
      </c>
      <c r="D61" s="3" t="str">
        <f>Summary!B10</f>
        <v xml:space="preserve">Commercial &amp; Small Power </v>
      </c>
      <c r="F61" s="53">
        <f>Summary!L10</f>
        <v>41033.853766126704</v>
      </c>
      <c r="G61" s="54">
        <f>Summary!N10</f>
        <v>2.9653415297615029E-2</v>
      </c>
      <c r="H61" s="1"/>
      <c r="L61" s="9"/>
    </row>
    <row r="62" spans="3:12" x14ac:dyDescent="0.2">
      <c r="C62" s="60" t="str">
        <f>Summary!C11</f>
        <v>LP</v>
      </c>
      <c r="D62" s="3" t="str">
        <f>Summary!B11</f>
        <v>Large Power Service (25-750 kV)</v>
      </c>
      <c r="F62" s="53">
        <f>Summary!L11</f>
        <v>79743.405460296286</v>
      </c>
      <c r="G62" s="54">
        <f>Summary!N11</f>
        <v>2.9718750411749966E-2</v>
      </c>
      <c r="H62" s="1"/>
      <c r="L62" s="9"/>
    </row>
    <row r="63" spans="3:12" x14ac:dyDescent="0.2">
      <c r="C63" s="60" t="str">
        <f>Summary!C12</f>
        <v>LPR</v>
      </c>
      <c r="D63" s="3" t="str">
        <f>Summary!B12</f>
        <v>Large Power Service (750 kVA +)</v>
      </c>
      <c r="F63" s="53">
        <f>Summary!L12</f>
        <v>31762.72861676645</v>
      </c>
      <c r="G63" s="54">
        <f>Summary!N12</f>
        <v>2.9755490025045354E-2</v>
      </c>
      <c r="H63" s="1"/>
      <c r="L63" s="9"/>
    </row>
    <row r="64" spans="3:12" x14ac:dyDescent="0.2">
      <c r="C64" s="60" t="str">
        <f>Summary!C16</f>
        <v>IND-1B</v>
      </c>
      <c r="D64" s="3" t="str">
        <f>Summary!B16</f>
        <v>Industrial</v>
      </c>
      <c r="F64" s="53">
        <f>Summary!L16</f>
        <v>43228.787142857153</v>
      </c>
      <c r="G64" s="54">
        <f>Summary!N16</f>
        <v>6.938957174119853E-2</v>
      </c>
      <c r="H64" s="1"/>
      <c r="L64" s="9"/>
    </row>
    <row r="65" spans="3:12" x14ac:dyDescent="0.2">
      <c r="C65" s="60" t="str">
        <f>Summary!C13</f>
        <v>YL1</v>
      </c>
      <c r="D65" s="3" t="str">
        <f>Summary!B13</f>
        <v>Lighting</v>
      </c>
      <c r="F65" s="53">
        <f>Summary!L13</f>
        <v>35138.519999999786</v>
      </c>
      <c r="G65" s="54">
        <f>Summary!N13</f>
        <v>3.2804488515219186E-2</v>
      </c>
      <c r="H65" s="1"/>
      <c r="L65" s="9"/>
    </row>
    <row r="66" spans="3:12" x14ac:dyDescent="0.2">
      <c r="C66" s="64" t="s">
        <v>53</v>
      </c>
      <c r="D66" s="21"/>
      <c r="E66" s="21"/>
      <c r="F66" s="70">
        <f>Summary!L27</f>
        <v>888871.33186605573</v>
      </c>
      <c r="G66" s="55">
        <f>Summary!N27</f>
        <v>3.0910614470724448E-2</v>
      </c>
      <c r="L66" s="9"/>
    </row>
    <row r="67" spans="3:12" x14ac:dyDescent="0.2">
      <c r="C67" s="60"/>
      <c r="D67" s="2"/>
      <c r="F67" s="56"/>
      <c r="G67" s="57"/>
    </row>
    <row r="68" spans="3:12" x14ac:dyDescent="0.2">
      <c r="D68" s="2"/>
    </row>
    <row r="69" spans="3:12" ht="40.15" customHeight="1" x14ac:dyDescent="0.2">
      <c r="C69" s="155" t="s">
        <v>54</v>
      </c>
      <c r="D69" s="155"/>
      <c r="E69" s="155"/>
      <c r="F69" s="155"/>
      <c r="G69" s="155"/>
      <c r="H69" s="155"/>
    </row>
    <row r="70" spans="3:12" x14ac:dyDescent="0.2">
      <c r="D70" s="2"/>
      <c r="E70" s="58" t="s">
        <v>17</v>
      </c>
      <c r="F70" s="156" t="s">
        <v>49</v>
      </c>
      <c r="G70" s="156"/>
    </row>
    <row r="71" spans="3:12" x14ac:dyDescent="0.2">
      <c r="C71" s="59" t="s">
        <v>50</v>
      </c>
      <c r="D71" s="51"/>
      <c r="E71" s="59" t="s">
        <v>55</v>
      </c>
      <c r="F71" s="52" t="s">
        <v>51</v>
      </c>
      <c r="G71" s="52" t="s">
        <v>52</v>
      </c>
    </row>
    <row r="72" spans="3:12" x14ac:dyDescent="0.2">
      <c r="C72" s="11" t="str">
        <f>Summary!C8</f>
        <v>A1</v>
      </c>
      <c r="D72" s="69" t="str">
        <f>Summary!B8</f>
        <v xml:space="preserve">Farm &amp; Home </v>
      </c>
      <c r="E72" s="61">
        <f>'Billing Detail'!E17</f>
        <v>1026.8827943618237</v>
      </c>
      <c r="F72" s="43">
        <f>'Billing Detail'!N17</f>
        <v>4.7291975111951388</v>
      </c>
      <c r="G72" s="4">
        <f>Summary!N8</f>
        <v>3.000621104266879E-2</v>
      </c>
    </row>
    <row r="73" spans="3:12" x14ac:dyDescent="0.2">
      <c r="C73" s="11" t="str">
        <f>Summary!C9</f>
        <v>A1-ETS</v>
      </c>
      <c r="D73" s="69" t="str">
        <f>Summary!B9</f>
        <v>Farm &amp; Home (ETS)</v>
      </c>
      <c r="E73" s="62" t="s">
        <v>56</v>
      </c>
      <c r="F73" s="65" t="str">
        <f>'Billing Detail'!N28</f>
        <v>NA</v>
      </c>
      <c r="G73" s="4">
        <f>Summary!N9</f>
        <v>3.2253133598287964E-2</v>
      </c>
    </row>
    <row r="74" spans="3:12" x14ac:dyDescent="0.2">
      <c r="C74" s="11" t="str">
        <f>Summary!C10</f>
        <v>A2</v>
      </c>
      <c r="D74" s="69" t="str">
        <f>Summary!B10</f>
        <v xml:space="preserve">Commercial &amp; Small Power </v>
      </c>
      <c r="E74" s="61">
        <f>'Billing Detail'!E41</f>
        <v>815.19945431102019</v>
      </c>
      <c r="F74" s="43">
        <f>'Billing Detail'!N41</f>
        <v>3.9150704862252326</v>
      </c>
      <c r="G74" s="4">
        <f>Summary!N10</f>
        <v>2.9653415297615029E-2</v>
      </c>
    </row>
    <row r="75" spans="3:12" x14ac:dyDescent="0.2">
      <c r="C75" s="11" t="str">
        <f>Summary!C11</f>
        <v>LP</v>
      </c>
      <c r="D75" s="69" t="str">
        <f>Summary!B11</f>
        <v>Large Power Service (25-750 kV)</v>
      </c>
      <c r="E75" s="61">
        <f>'Billing Detail'!E55</f>
        <v>8301.503848153925</v>
      </c>
      <c r="F75" s="43">
        <f>'Billing Detail'!N55</f>
        <v>41.468229568536799</v>
      </c>
      <c r="G75" s="4">
        <f>Summary!N11</f>
        <v>2.9718750411749966E-2</v>
      </c>
    </row>
    <row r="76" spans="3:12" x14ac:dyDescent="0.2">
      <c r="C76" s="11" t="str">
        <f>Summary!C12</f>
        <v>LPR</v>
      </c>
      <c r="D76" s="69" t="str">
        <f>Summary!B12</f>
        <v>Large Power Service (750 kVA +)</v>
      </c>
      <c r="E76" s="61">
        <f>'Billing Detail'!E69</f>
        <v>102999.80392156863</v>
      </c>
      <c r="F76" s="43">
        <f>'Billing Detail'!N69</f>
        <v>311.39930016437575</v>
      </c>
      <c r="G76" s="4">
        <f>Summary!N12</f>
        <v>2.9755490025045354E-2</v>
      </c>
    </row>
    <row r="77" spans="3:12" x14ac:dyDescent="0.2">
      <c r="C77" s="11" t="str">
        <f>Summary!C16</f>
        <v>IND-1B</v>
      </c>
      <c r="D77" s="69" t="str">
        <f>Summary!B16</f>
        <v>Industrial</v>
      </c>
      <c r="E77" s="61">
        <f>'Billing Detail'!E84</f>
        <v>564900</v>
      </c>
      <c r="F77" s="43">
        <f>'Billing Detail'!N84</f>
        <v>3602.3989285714342</v>
      </c>
      <c r="G77" s="4">
        <f>Summary!N16</f>
        <v>6.938957174119853E-2</v>
      </c>
    </row>
    <row r="78" spans="3:12" x14ac:dyDescent="0.2">
      <c r="C78" s="11" t="str">
        <f>Summary!C13</f>
        <v>YL1</v>
      </c>
      <c r="D78" s="69" t="str">
        <f>Summary!B13</f>
        <v>Lighting</v>
      </c>
      <c r="E78" s="66" t="s">
        <v>56</v>
      </c>
      <c r="F78" s="65" t="s">
        <v>56</v>
      </c>
      <c r="G78" s="4">
        <f>Summary!N13</f>
        <v>3.2804488515219186E-2</v>
      </c>
    </row>
  </sheetData>
  <mergeCells count="4">
    <mergeCell ref="C56:G56"/>
    <mergeCell ref="F57:G57"/>
    <mergeCell ref="C69:H69"/>
    <mergeCell ref="F70:G70"/>
  </mergeCells>
  <pageMargins left="0.7" right="0.7" top="0.75" bottom="0.75" header="0.3" footer="0.3"/>
  <pageSetup paperSize="9" scale="86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2025-07-31T18:45:03Z</cp:lastPrinted>
  <dcterms:created xsi:type="dcterms:W3CDTF">2021-02-09T02:13:44Z</dcterms:created>
  <dcterms:modified xsi:type="dcterms:W3CDTF">2025-12-02T18:50:32Z</dcterms:modified>
</cp:coreProperties>
</file>