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Farmers/Analysis/"/>
    </mc:Choice>
  </mc:AlternateContent>
  <xr:revisionPtr revIDLastSave="95" documentId="8_{C2E3D2E2-DDB8-4BA7-8DC1-FC5DADA1E4A5}" xr6:coauthVersionLast="47" xr6:coauthVersionMax="47" xr10:uidLastSave="{66508BB7-CB1E-4013-AEEB-A3C9AB1E08E9}"/>
  <bookViews>
    <workbookView xWindow="-120" yWindow="-120" windowWidth="29040" windowHeight="15720" activeTab="1" xr2:uid="{5A56C961-47FC-4CB4-AEDD-3C6FC9A16749}"/>
  </bookViews>
  <sheets>
    <sheet name="Summary" sheetId="2" r:id="rId1"/>
    <sheet name="Billing Detail" sheetId="1" r:id="rId2"/>
    <sheet name="Notice Table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Detail'!$A$1:$R$255</definedName>
    <definedName name="_xlnm.Print_Area" localSheetId="2">'Notice Table'!$A$1:$G$107</definedName>
    <definedName name="_xlnm.Print_Area" localSheetId="0">Summary!$A$1:$O$39</definedName>
    <definedName name="_xlnm.Print_Titles" localSheetId="1">'Billing Detail'!$1:$5</definedName>
    <definedName name="_xlnm.Print_Titles" localSheetId="2">'Notice Table'!$1:$4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9" i="1" l="1"/>
  <c r="H106" i="3"/>
  <c r="I106" i="3" s="1"/>
  <c r="H105" i="3"/>
  <c r="I105" i="3" s="1"/>
  <c r="H104" i="3"/>
  <c r="I104" i="3" s="1"/>
  <c r="E105" i="3"/>
  <c r="F105" i="3"/>
  <c r="G105" i="3"/>
  <c r="E106" i="3"/>
  <c r="F106" i="3"/>
  <c r="G106" i="3"/>
  <c r="G104" i="3"/>
  <c r="F104" i="3"/>
  <c r="E104" i="3"/>
  <c r="D103" i="3"/>
  <c r="L253" i="1"/>
  <c r="L252" i="1"/>
  <c r="L251" i="1"/>
  <c r="A250" i="1"/>
  <c r="A251" i="1" s="1"/>
  <c r="A252" i="1" s="1"/>
  <c r="A253" i="1" s="1"/>
  <c r="A254" i="1" s="1"/>
  <c r="I25" i="2"/>
  <c r="A15" i="2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L4" i="2"/>
  <c r="L37" i="2" s="1"/>
  <c r="F100" i="3" l="1"/>
  <c r="G100" i="3"/>
  <c r="F101" i="3"/>
  <c r="G101" i="3"/>
  <c r="F102" i="3"/>
  <c r="G102" i="3"/>
  <c r="H102" i="3" s="1"/>
  <c r="I102" i="3" s="1"/>
  <c r="E100" i="3"/>
  <c r="E101" i="3"/>
  <c r="E102" i="3"/>
  <c r="D99" i="3"/>
  <c r="C99" i="3"/>
  <c r="L13" i="1"/>
  <c r="M13" i="1" s="1"/>
  <c r="I13" i="1"/>
  <c r="G13" i="1"/>
  <c r="G201" i="1" s="1"/>
  <c r="H84" i="1"/>
  <c r="F84" i="1" s="1"/>
  <c r="H83" i="1"/>
  <c r="F83" i="1" s="1"/>
  <c r="H82" i="1"/>
  <c r="G12" i="1"/>
  <c r="G11" i="1"/>
  <c r="F162" i="1"/>
  <c r="F163" i="1"/>
  <c r="F151" i="1"/>
  <c r="F150" i="1"/>
  <c r="F149" i="1"/>
  <c r="F148" i="1"/>
  <c r="F137" i="1"/>
  <c r="F136" i="1"/>
  <c r="F135" i="1"/>
  <c r="F134" i="1"/>
  <c r="F123" i="1"/>
  <c r="F122" i="1"/>
  <c r="F121" i="1"/>
  <c r="F110" i="1"/>
  <c r="F109" i="1"/>
  <c r="F108" i="1"/>
  <c r="F97" i="1"/>
  <c r="F96" i="1"/>
  <c r="F95" i="1"/>
  <c r="F71" i="1"/>
  <c r="F70" i="1"/>
  <c r="F69" i="1"/>
  <c r="F58" i="1"/>
  <c r="F57" i="1"/>
  <c r="F46" i="1"/>
  <c r="F45" i="1"/>
  <c r="F34" i="1"/>
  <c r="F33" i="1"/>
  <c r="F22" i="1"/>
  <c r="F21" i="1"/>
  <c r="F20" i="1"/>
  <c r="F9" i="1"/>
  <c r="F8" i="1"/>
  <c r="N202" i="1"/>
  <c r="G202" i="1"/>
  <c r="H101" i="3" l="1"/>
  <c r="I101" i="3" s="1"/>
  <c r="H100" i="3"/>
  <c r="I100" i="3" s="1"/>
  <c r="E9" i="1"/>
  <c r="E258" i="1" s="1"/>
  <c r="E259" i="1" s="1"/>
  <c r="E260" i="1" s="1"/>
  <c r="E8" i="1"/>
  <c r="E264" i="1" s="1"/>
  <c r="I190" i="1"/>
  <c r="I189" i="1"/>
  <c r="I165" i="1"/>
  <c r="I153" i="1"/>
  <c r="I139" i="1"/>
  <c r="I125" i="1"/>
  <c r="I112" i="1"/>
  <c r="I99" i="1"/>
  <c r="I86" i="1"/>
  <c r="I73" i="1"/>
  <c r="I60" i="1"/>
  <c r="I48" i="1"/>
  <c r="I36" i="1"/>
  <c r="I24" i="1"/>
  <c r="E43" i="3" l="1"/>
  <c r="F43" i="3"/>
  <c r="E44" i="3"/>
  <c r="F44" i="3"/>
  <c r="E45" i="3"/>
  <c r="F45" i="3"/>
  <c r="F42" i="3"/>
  <c r="E42" i="3"/>
  <c r="I148" i="1"/>
  <c r="G148" i="1"/>
  <c r="O148" i="1" l="1"/>
  <c r="F98" i="3" l="1"/>
  <c r="E98" i="3"/>
  <c r="F97" i="3"/>
  <c r="E97" i="3"/>
  <c r="F96" i="3"/>
  <c r="E96" i="3"/>
  <c r="F95" i="3"/>
  <c r="E95" i="3"/>
  <c r="D94" i="3"/>
  <c r="C94" i="3"/>
  <c r="F93" i="3"/>
  <c r="E93" i="3"/>
  <c r="F92" i="3"/>
  <c r="E92" i="3"/>
  <c r="F91" i="3"/>
  <c r="E91" i="3"/>
  <c r="F90" i="3"/>
  <c r="E90" i="3"/>
  <c r="D89" i="3"/>
  <c r="C89" i="3"/>
  <c r="F88" i="3"/>
  <c r="E88" i="3"/>
  <c r="F87" i="3"/>
  <c r="E87" i="3"/>
  <c r="F86" i="3"/>
  <c r="E86" i="3"/>
  <c r="F85" i="3"/>
  <c r="E85" i="3"/>
  <c r="D84" i="3"/>
  <c r="C84" i="3"/>
  <c r="F83" i="3"/>
  <c r="E83" i="3"/>
  <c r="F82" i="3"/>
  <c r="E82" i="3"/>
  <c r="F81" i="3"/>
  <c r="E81" i="3"/>
  <c r="F80" i="3"/>
  <c r="E80" i="3"/>
  <c r="D79" i="3"/>
  <c r="C79" i="3"/>
  <c r="E77" i="3"/>
  <c r="F77" i="3"/>
  <c r="E78" i="3"/>
  <c r="F78" i="3"/>
  <c r="F76" i="3"/>
  <c r="E76" i="3"/>
  <c r="D75" i="3"/>
  <c r="C75" i="3"/>
  <c r="E73" i="3"/>
  <c r="F73" i="3"/>
  <c r="E74" i="3"/>
  <c r="F74" i="3"/>
  <c r="F72" i="3"/>
  <c r="E72" i="3"/>
  <c r="D71" i="3"/>
  <c r="C71" i="3"/>
  <c r="E69" i="3"/>
  <c r="F69" i="3"/>
  <c r="E70" i="3"/>
  <c r="F70" i="3"/>
  <c r="F68" i="3"/>
  <c r="E68" i="3"/>
  <c r="D67" i="3"/>
  <c r="C67" i="3"/>
  <c r="E65" i="3"/>
  <c r="F65" i="3"/>
  <c r="E66" i="3"/>
  <c r="F66" i="3"/>
  <c r="F64" i="3"/>
  <c r="E64" i="3"/>
  <c r="D63" i="3"/>
  <c r="C63" i="3"/>
  <c r="E105" i="1" l="1"/>
  <c r="E138" i="3" s="1"/>
  <c r="G200" i="1"/>
  <c r="G199" i="1"/>
  <c r="E171" i="1"/>
  <c r="E143" i="3" s="1"/>
  <c r="E159" i="1"/>
  <c r="E142" i="3" s="1"/>
  <c r="E145" i="1"/>
  <c r="E141" i="3" s="1"/>
  <c r="E131" i="1"/>
  <c r="E140" i="3" s="1"/>
  <c r="E118" i="1"/>
  <c r="E139" i="3" s="1"/>
  <c r="E92" i="1"/>
  <c r="E137" i="3" s="1"/>
  <c r="E79" i="1"/>
  <c r="E136" i="3" s="1"/>
  <c r="E66" i="1"/>
  <c r="E135" i="3" s="1"/>
  <c r="E54" i="1"/>
  <c r="E134" i="3" s="1"/>
  <c r="E42" i="1"/>
  <c r="E133" i="3" s="1"/>
  <c r="E30" i="1"/>
  <c r="E132" i="3" s="1"/>
  <c r="I11" i="1" l="1"/>
  <c r="I199" i="1" s="1"/>
  <c r="E17" i="1"/>
  <c r="E131" i="3" s="1"/>
  <c r="E50" i="3" l="1"/>
  <c r="F50" i="3"/>
  <c r="E51" i="3"/>
  <c r="F51" i="3"/>
  <c r="E52" i="3"/>
  <c r="F52" i="3"/>
  <c r="E53" i="3"/>
  <c r="F53" i="3"/>
  <c r="E54" i="3"/>
  <c r="F54" i="3"/>
  <c r="E55" i="3"/>
  <c r="F55" i="3"/>
  <c r="E56" i="3"/>
  <c r="F56" i="3"/>
  <c r="E57" i="3"/>
  <c r="F57" i="3"/>
  <c r="E58" i="3"/>
  <c r="F58" i="3"/>
  <c r="E59" i="3"/>
  <c r="F59" i="3"/>
  <c r="E60" i="3"/>
  <c r="F60" i="3"/>
  <c r="E61" i="3"/>
  <c r="F61" i="3"/>
  <c r="E62" i="3"/>
  <c r="F62" i="3"/>
  <c r="F49" i="3"/>
  <c r="E49" i="3"/>
  <c r="C48" i="3"/>
  <c r="D48" i="3"/>
  <c r="F47" i="3"/>
  <c r="E47" i="3"/>
  <c r="C46" i="3"/>
  <c r="D46" i="3"/>
  <c r="C41" i="3"/>
  <c r="D41" i="3"/>
  <c r="E38" i="3"/>
  <c r="F38" i="3"/>
  <c r="E39" i="3"/>
  <c r="F39" i="3"/>
  <c r="E40" i="3"/>
  <c r="F40" i="3"/>
  <c r="F37" i="3"/>
  <c r="E37" i="3"/>
  <c r="C36" i="3"/>
  <c r="D36" i="3"/>
  <c r="E34" i="3"/>
  <c r="F34" i="3"/>
  <c r="E35" i="3"/>
  <c r="F35" i="3"/>
  <c r="F33" i="3"/>
  <c r="E33" i="3"/>
  <c r="C32" i="3"/>
  <c r="D32" i="3"/>
  <c r="E30" i="3"/>
  <c r="F30" i="3"/>
  <c r="E31" i="3"/>
  <c r="F31" i="3"/>
  <c r="F29" i="3"/>
  <c r="E29" i="3"/>
  <c r="C28" i="3"/>
  <c r="D28" i="3"/>
  <c r="E26" i="3"/>
  <c r="F26" i="3"/>
  <c r="E27" i="3"/>
  <c r="F27" i="3"/>
  <c r="F25" i="3"/>
  <c r="E25" i="3"/>
  <c r="C24" i="3"/>
  <c r="D24" i="3"/>
  <c r="E22" i="3"/>
  <c r="F22" i="3"/>
  <c r="E23" i="3"/>
  <c r="F23" i="3"/>
  <c r="F21" i="3"/>
  <c r="E21" i="3"/>
  <c r="C20" i="3"/>
  <c r="D20" i="3"/>
  <c r="E19" i="3"/>
  <c r="F19" i="3"/>
  <c r="F18" i="3"/>
  <c r="E18" i="3"/>
  <c r="C17" i="3"/>
  <c r="D17" i="3"/>
  <c r="F16" i="3"/>
  <c r="E16" i="3"/>
  <c r="C15" i="3"/>
  <c r="D15" i="3"/>
  <c r="E14" i="3"/>
  <c r="E13" i="3"/>
  <c r="C12" i="3"/>
  <c r="D12" i="3"/>
  <c r="E10" i="3"/>
  <c r="F10" i="3"/>
  <c r="E11" i="3"/>
  <c r="F11" i="3"/>
  <c r="F9" i="3"/>
  <c r="E9" i="3"/>
  <c r="C8" i="3"/>
  <c r="D8" i="3"/>
  <c r="E7" i="3"/>
  <c r="F7" i="3"/>
  <c r="F6" i="3"/>
  <c r="E6" i="3"/>
  <c r="C5" i="3"/>
  <c r="D5" i="3"/>
  <c r="I109" i="1" l="1"/>
  <c r="I110" i="1"/>
  <c r="I96" i="1"/>
  <c r="C25" i="2"/>
  <c r="C17" i="2"/>
  <c r="C18" i="2"/>
  <c r="C19" i="2"/>
  <c r="C20" i="2"/>
  <c r="C21" i="2"/>
  <c r="B21" i="2"/>
  <c r="B20" i="2"/>
  <c r="B19" i="2"/>
  <c r="B18" i="2"/>
  <c r="B17" i="2"/>
  <c r="B25" i="2"/>
  <c r="C141" i="3" l="1"/>
  <c r="C122" i="3"/>
  <c r="D139" i="3"/>
  <c r="D120" i="3"/>
  <c r="C140" i="3"/>
  <c r="C121" i="3"/>
  <c r="D140" i="3"/>
  <c r="D121" i="3"/>
  <c r="D141" i="3"/>
  <c r="D122" i="3"/>
  <c r="D138" i="3"/>
  <c r="D119" i="3"/>
  <c r="D142" i="3"/>
  <c r="D123" i="3"/>
  <c r="C138" i="3"/>
  <c r="C119" i="3"/>
  <c r="D143" i="3"/>
  <c r="D124" i="3"/>
  <c r="C124" i="3"/>
  <c r="C143" i="3"/>
  <c r="C120" i="3"/>
  <c r="C139" i="3"/>
  <c r="C123" i="3"/>
  <c r="C142" i="3"/>
  <c r="M165" i="1"/>
  <c r="M153" i="1"/>
  <c r="M139" i="1"/>
  <c r="M125" i="1"/>
  <c r="M112" i="1"/>
  <c r="N112" i="1" s="1"/>
  <c r="I135" i="1"/>
  <c r="G135" i="1"/>
  <c r="G109" i="1"/>
  <c r="F13" i="3"/>
  <c r="G169" i="1"/>
  <c r="I168" i="1"/>
  <c r="M168" i="1" s="1"/>
  <c r="I167" i="1"/>
  <c r="M167" i="1" s="1"/>
  <c r="N167" i="1" s="1"/>
  <c r="I166" i="1"/>
  <c r="M166" i="1" s="1"/>
  <c r="N166" i="1" s="1"/>
  <c r="I163" i="1"/>
  <c r="G163" i="1"/>
  <c r="I162" i="1"/>
  <c r="G162" i="1"/>
  <c r="G157" i="1"/>
  <c r="I156" i="1"/>
  <c r="M156" i="1" s="1"/>
  <c r="I155" i="1"/>
  <c r="M155" i="1" s="1"/>
  <c r="N155" i="1" s="1"/>
  <c r="I154" i="1"/>
  <c r="M154" i="1" s="1"/>
  <c r="N154" i="1" s="1"/>
  <c r="I151" i="1"/>
  <c r="J148" i="1" s="1"/>
  <c r="G151" i="1"/>
  <c r="I150" i="1"/>
  <c r="G150" i="1"/>
  <c r="I149" i="1"/>
  <c r="G149" i="1"/>
  <c r="G143" i="1"/>
  <c r="I142" i="1"/>
  <c r="M142" i="1" s="1"/>
  <c r="I141" i="1"/>
  <c r="M141" i="1" s="1"/>
  <c r="N141" i="1" s="1"/>
  <c r="I140" i="1"/>
  <c r="M140" i="1" s="1"/>
  <c r="N140" i="1" s="1"/>
  <c r="I137" i="1"/>
  <c r="G137" i="1"/>
  <c r="I136" i="1"/>
  <c r="G136" i="1"/>
  <c r="I134" i="1"/>
  <c r="G134" i="1"/>
  <c r="G129" i="1"/>
  <c r="I128" i="1"/>
  <c r="M128" i="1" s="1"/>
  <c r="I127" i="1"/>
  <c r="M127" i="1" s="1"/>
  <c r="N127" i="1" s="1"/>
  <c r="I126" i="1"/>
  <c r="M126" i="1" s="1"/>
  <c r="N126" i="1" s="1"/>
  <c r="I123" i="1"/>
  <c r="G123" i="1"/>
  <c r="I122" i="1"/>
  <c r="G122" i="1"/>
  <c r="I121" i="1"/>
  <c r="G121" i="1"/>
  <c r="G116" i="1"/>
  <c r="I115" i="1"/>
  <c r="M115" i="1" s="1"/>
  <c r="I114" i="1"/>
  <c r="M114" i="1" s="1"/>
  <c r="N114" i="1" s="1"/>
  <c r="I113" i="1"/>
  <c r="M113" i="1" s="1"/>
  <c r="N113" i="1" s="1"/>
  <c r="G110" i="1"/>
  <c r="I108" i="1"/>
  <c r="G108" i="1"/>
  <c r="F14" i="3" l="1"/>
  <c r="G111" i="1"/>
  <c r="D17" i="2" s="1"/>
  <c r="I138" i="1"/>
  <c r="G138" i="1"/>
  <c r="G164" i="1"/>
  <c r="G124" i="1"/>
  <c r="G152" i="1"/>
  <c r="I116" i="1"/>
  <c r="N165" i="1"/>
  <c r="M169" i="1"/>
  <c r="I111" i="1"/>
  <c r="N139" i="1"/>
  <c r="M143" i="1"/>
  <c r="I157" i="1"/>
  <c r="I164" i="1"/>
  <c r="M116" i="1"/>
  <c r="N125" i="1"/>
  <c r="M129" i="1"/>
  <c r="I124" i="1"/>
  <c r="N153" i="1"/>
  <c r="M157" i="1"/>
  <c r="I169" i="1"/>
  <c r="I129" i="1"/>
  <c r="I143" i="1"/>
  <c r="I152" i="1"/>
  <c r="A1" i="3"/>
  <c r="G170" i="1" l="1"/>
  <c r="D21" i="2"/>
  <c r="G144" i="1"/>
  <c r="G145" i="1" s="1"/>
  <c r="D19" i="2"/>
  <c r="J121" i="1"/>
  <c r="E18" i="2"/>
  <c r="G158" i="1"/>
  <c r="G159" i="1" s="1"/>
  <c r="D20" i="2"/>
  <c r="J136" i="1"/>
  <c r="E19" i="2"/>
  <c r="J150" i="1"/>
  <c r="E20" i="2"/>
  <c r="G130" i="1"/>
  <c r="G131" i="1" s="1"/>
  <c r="D18" i="2"/>
  <c r="G117" i="1"/>
  <c r="G118" i="1" s="1"/>
  <c r="J109" i="1"/>
  <c r="E17" i="2"/>
  <c r="J162" i="1"/>
  <c r="E21" i="2"/>
  <c r="J135" i="1"/>
  <c r="J134" i="1"/>
  <c r="J137" i="1"/>
  <c r="I144" i="1"/>
  <c r="I145" i="1" s="1"/>
  <c r="I117" i="1"/>
  <c r="I118" i="1" s="1"/>
  <c r="J149" i="1"/>
  <c r="N169" i="1"/>
  <c r="O169" i="1" s="1"/>
  <c r="J122" i="1"/>
  <c r="N116" i="1"/>
  <c r="J123" i="1"/>
  <c r="N143" i="1"/>
  <c r="O143" i="1" s="1"/>
  <c r="J163" i="1"/>
  <c r="I130" i="1"/>
  <c r="I131" i="1" s="1"/>
  <c r="I158" i="1"/>
  <c r="I159" i="1" s="1"/>
  <c r="J110" i="1"/>
  <c r="N157" i="1"/>
  <c r="O157" i="1" s="1"/>
  <c r="N129" i="1"/>
  <c r="O129" i="1" s="1"/>
  <c r="J108" i="1"/>
  <c r="I170" i="1"/>
  <c r="J151" i="1"/>
  <c r="G103" i="1"/>
  <c r="I102" i="1"/>
  <c r="M102" i="1" s="1"/>
  <c r="I101" i="1"/>
  <c r="M101" i="1" s="1"/>
  <c r="N101" i="1" s="1"/>
  <c r="I100" i="1"/>
  <c r="M100" i="1" s="1"/>
  <c r="N100" i="1" s="1"/>
  <c r="M99" i="1"/>
  <c r="I97" i="1"/>
  <c r="G97" i="1"/>
  <c r="G96" i="1"/>
  <c r="I95" i="1"/>
  <c r="G95" i="1"/>
  <c r="G18" i="2" l="1"/>
  <c r="G21" i="2"/>
  <c r="G20" i="2"/>
  <c r="G19" i="2"/>
  <c r="G17" i="2"/>
  <c r="J152" i="1"/>
  <c r="J138" i="1"/>
  <c r="J164" i="1"/>
  <c r="J111" i="1"/>
  <c r="J124" i="1"/>
  <c r="G98" i="1"/>
  <c r="D25" i="2" s="1"/>
  <c r="I98" i="1"/>
  <c r="N99" i="1"/>
  <c r="M103" i="1"/>
  <c r="I103" i="1"/>
  <c r="E25" i="2" l="1"/>
  <c r="G104" i="1"/>
  <c r="G105" i="1" s="1"/>
  <c r="J97" i="1"/>
  <c r="J96" i="1"/>
  <c r="J95" i="1"/>
  <c r="I104" i="1"/>
  <c r="I105" i="1" s="1"/>
  <c r="N103" i="1"/>
  <c r="O103" i="1" s="1"/>
  <c r="G25" i="2" l="1"/>
  <c r="J98" i="1"/>
  <c r="C14" i="2" l="1"/>
  <c r="B14" i="2"/>
  <c r="C12" i="2"/>
  <c r="I83" i="1"/>
  <c r="G83" i="1"/>
  <c r="I58" i="1"/>
  <c r="G58" i="1"/>
  <c r="C114" i="3" l="1"/>
  <c r="C133" i="3"/>
  <c r="D135" i="3"/>
  <c r="D116" i="3"/>
  <c r="C135" i="3"/>
  <c r="C116" i="3"/>
  <c r="I46" i="1"/>
  <c r="G46" i="1"/>
  <c r="G64" i="1" l="1"/>
  <c r="I63" i="1"/>
  <c r="M63" i="1" s="1"/>
  <c r="I62" i="1"/>
  <c r="M62" i="1" s="1"/>
  <c r="N62" i="1" s="1"/>
  <c r="I61" i="1"/>
  <c r="M61" i="1" s="1"/>
  <c r="N61" i="1" s="1"/>
  <c r="M60" i="1"/>
  <c r="I57" i="1"/>
  <c r="G57" i="1"/>
  <c r="I34" i="1"/>
  <c r="G34" i="1"/>
  <c r="I21" i="1"/>
  <c r="G21" i="1"/>
  <c r="I59" i="1" l="1"/>
  <c r="G59" i="1"/>
  <c r="N60" i="1"/>
  <c r="M64" i="1"/>
  <c r="I64" i="1"/>
  <c r="G65" i="1" l="1"/>
  <c r="G66" i="1" s="1"/>
  <c r="D14" i="2"/>
  <c r="E14" i="2"/>
  <c r="J58" i="1"/>
  <c r="I65" i="1"/>
  <c r="I66" i="1" s="1"/>
  <c r="J57" i="1"/>
  <c r="N64" i="1"/>
  <c r="O64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G14" i="2"/>
  <c r="J59" i="1"/>
  <c r="I51" i="1"/>
  <c r="M51" i="1" s="1"/>
  <c r="I50" i="1"/>
  <c r="M50" i="1" s="1"/>
  <c r="I49" i="1"/>
  <c r="M49" i="1" s="1"/>
  <c r="I89" i="1"/>
  <c r="M89" i="1" s="1"/>
  <c r="I87" i="1"/>
  <c r="M87" i="1" s="1"/>
  <c r="I76" i="1"/>
  <c r="M76" i="1" s="1"/>
  <c r="I75" i="1"/>
  <c r="I74" i="1"/>
  <c r="I39" i="1"/>
  <c r="M39" i="1" s="1"/>
  <c r="I38" i="1"/>
  <c r="M38" i="1" s="1"/>
  <c r="I37" i="1"/>
  <c r="M37" i="1" s="1"/>
  <c r="I27" i="1"/>
  <c r="M27" i="1" s="1"/>
  <c r="I25" i="1"/>
  <c r="I14" i="1"/>
  <c r="I12" i="1"/>
  <c r="B33" i="2"/>
  <c r="A226" i="1" l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I200" i="1"/>
  <c r="I202" i="1"/>
  <c r="E33" i="2" s="1"/>
  <c r="M12" i="1"/>
  <c r="M75" i="1"/>
  <c r="M14" i="1"/>
  <c r="M202" i="1" s="1"/>
  <c r="M74" i="1"/>
  <c r="I40" i="1"/>
  <c r="M25" i="1"/>
  <c r="G28" i="1"/>
  <c r="G90" i="1"/>
  <c r="I26" i="1"/>
  <c r="I88" i="1"/>
  <c r="G15" i="1"/>
  <c r="G52" i="1"/>
  <c r="D33" i="2"/>
  <c r="G77" i="1"/>
  <c r="G40" i="1"/>
  <c r="I201" i="1" l="1"/>
  <c r="M26" i="1"/>
  <c r="J33" i="2"/>
  <c r="I77" i="1"/>
  <c r="I15" i="1"/>
  <c r="I52" i="1"/>
  <c r="I90" i="1"/>
  <c r="M88" i="1"/>
  <c r="I28" i="1"/>
  <c r="I187" i="1"/>
  <c r="G187" i="1"/>
  <c r="I186" i="1"/>
  <c r="G186" i="1"/>
  <c r="I185" i="1"/>
  <c r="G185" i="1"/>
  <c r="I184" i="1"/>
  <c r="G184" i="1"/>
  <c r="I183" i="1"/>
  <c r="G183" i="1"/>
  <c r="I182" i="1"/>
  <c r="G182" i="1"/>
  <c r="I181" i="1"/>
  <c r="G181" i="1"/>
  <c r="I180" i="1"/>
  <c r="G180" i="1"/>
  <c r="I179" i="1"/>
  <c r="G179" i="1"/>
  <c r="I178" i="1"/>
  <c r="G178" i="1"/>
  <c r="I177" i="1"/>
  <c r="G177" i="1"/>
  <c r="I176" i="1"/>
  <c r="G176" i="1"/>
  <c r="I175" i="1"/>
  <c r="G175" i="1"/>
  <c r="E32" i="2" l="1"/>
  <c r="E31" i="2"/>
  <c r="D32" i="2"/>
  <c r="D31" i="2"/>
  <c r="C11" i="2"/>
  <c r="C15" i="2"/>
  <c r="C16" i="2"/>
  <c r="C13" i="2"/>
  <c r="C22" i="2"/>
  <c r="B22" i="2"/>
  <c r="B13" i="2"/>
  <c r="B16" i="2"/>
  <c r="B15" i="2"/>
  <c r="B12" i="2"/>
  <c r="B11" i="2"/>
  <c r="C10" i="2"/>
  <c r="B10" i="2"/>
  <c r="I71" i="1"/>
  <c r="G71" i="1"/>
  <c r="N38" i="1"/>
  <c r="N37" i="1"/>
  <c r="M36" i="1"/>
  <c r="I33" i="1"/>
  <c r="G33" i="1"/>
  <c r="N25" i="1"/>
  <c r="M24" i="1"/>
  <c r="I22" i="1"/>
  <c r="G22" i="1"/>
  <c r="I20" i="1"/>
  <c r="G20" i="1"/>
  <c r="N75" i="1"/>
  <c r="N74" i="1"/>
  <c r="M73" i="1"/>
  <c r="I70" i="1"/>
  <c r="G70" i="1"/>
  <c r="I69" i="1"/>
  <c r="G69" i="1"/>
  <c r="N88" i="1"/>
  <c r="N87" i="1"/>
  <c r="M86" i="1"/>
  <c r="I84" i="1"/>
  <c r="G84" i="1"/>
  <c r="N50" i="1"/>
  <c r="N49" i="1"/>
  <c r="M48" i="1"/>
  <c r="I45" i="1"/>
  <c r="G45" i="1"/>
  <c r="D115" i="3" l="1"/>
  <c r="D134" i="3"/>
  <c r="D118" i="3"/>
  <c r="D137" i="3"/>
  <c r="C112" i="3"/>
  <c r="C131" i="3"/>
  <c r="D125" i="3"/>
  <c r="D144" i="3"/>
  <c r="D117" i="3"/>
  <c r="D136" i="3"/>
  <c r="C132" i="3"/>
  <c r="C113" i="3"/>
  <c r="C125" i="3"/>
  <c r="C144" i="3"/>
  <c r="D112" i="3"/>
  <c r="D131" i="3"/>
  <c r="D132" i="3"/>
  <c r="D113" i="3"/>
  <c r="C134" i="3"/>
  <c r="C115" i="3"/>
  <c r="C117" i="3"/>
  <c r="C136" i="3"/>
  <c r="D133" i="3"/>
  <c r="D114" i="3"/>
  <c r="C118" i="3"/>
  <c r="C137" i="3"/>
  <c r="N48" i="1"/>
  <c r="M52" i="1"/>
  <c r="N86" i="1"/>
  <c r="M90" i="1"/>
  <c r="N73" i="1"/>
  <c r="M77" i="1"/>
  <c r="N36" i="1"/>
  <c r="M40" i="1"/>
  <c r="N24" i="1"/>
  <c r="M28" i="1"/>
  <c r="N28" i="1" s="1"/>
  <c r="O28" i="1" s="1"/>
  <c r="E30" i="2"/>
  <c r="E34" i="2" s="1"/>
  <c r="G35" i="1"/>
  <c r="D12" i="2" s="1"/>
  <c r="D30" i="2"/>
  <c r="D34" i="2" s="1"/>
  <c r="I35" i="1"/>
  <c r="G23" i="1"/>
  <c r="N26" i="1"/>
  <c r="I23" i="1"/>
  <c r="J22" i="1" s="1"/>
  <c r="G72" i="1"/>
  <c r="I47" i="1"/>
  <c r="I72" i="1"/>
  <c r="J69" i="1" s="1"/>
  <c r="G47" i="1"/>
  <c r="G174" i="1"/>
  <c r="I174" i="1"/>
  <c r="G193" i="1"/>
  <c r="G203" i="1" s="1"/>
  <c r="M191" i="1"/>
  <c r="M201" i="1" s="1"/>
  <c r="M190" i="1"/>
  <c r="M200" i="1" s="1"/>
  <c r="M189" i="1"/>
  <c r="B31" i="2"/>
  <c r="B32" i="2"/>
  <c r="B30" i="2"/>
  <c r="M11" i="1"/>
  <c r="I9" i="1"/>
  <c r="I8" i="1"/>
  <c r="G9" i="1"/>
  <c r="G8" i="1"/>
  <c r="A2" i="1"/>
  <c r="A1" i="1"/>
  <c r="A10" i="2"/>
  <c r="A11" i="2" s="1"/>
  <c r="A12" i="2" s="1"/>
  <c r="A13" i="2" s="1"/>
  <c r="A14" i="2" s="1"/>
  <c r="M199" i="1" l="1"/>
  <c r="J70" i="1"/>
  <c r="M15" i="1"/>
  <c r="J71" i="1"/>
  <c r="N189" i="1"/>
  <c r="E12" i="2"/>
  <c r="J34" i="1"/>
  <c r="N190" i="1"/>
  <c r="N191" i="1"/>
  <c r="J32" i="2"/>
  <c r="J21" i="1"/>
  <c r="J46" i="1"/>
  <c r="J33" i="1"/>
  <c r="J20" i="1"/>
  <c r="J45" i="1"/>
  <c r="G41" i="1"/>
  <c r="G42" i="1" s="1"/>
  <c r="N12" i="1"/>
  <c r="J31" i="2"/>
  <c r="N13" i="1"/>
  <c r="G29" i="1"/>
  <c r="G30" i="1" s="1"/>
  <c r="D11" i="2"/>
  <c r="I41" i="1"/>
  <c r="I42" i="1" s="1"/>
  <c r="G53" i="1"/>
  <c r="G54" i="1" s="1"/>
  <c r="D13" i="2"/>
  <c r="I53" i="1"/>
  <c r="I54" i="1" s="1"/>
  <c r="E13" i="2"/>
  <c r="I29" i="1"/>
  <c r="I30" i="1" s="1"/>
  <c r="E11" i="2"/>
  <c r="I78" i="1"/>
  <c r="I79" i="1" s="1"/>
  <c r="E15" i="2"/>
  <c r="G78" i="1"/>
  <c r="G79" i="1" s="1"/>
  <c r="D15" i="2"/>
  <c r="N40" i="1"/>
  <c r="O40" i="1" s="1"/>
  <c r="N77" i="1"/>
  <c r="O77" i="1" s="1"/>
  <c r="N90" i="1"/>
  <c r="O90" i="1" s="1"/>
  <c r="N52" i="1"/>
  <c r="O52" i="1" s="1"/>
  <c r="G10" i="1"/>
  <c r="I10" i="1"/>
  <c r="I193" i="1"/>
  <c r="I203" i="1" s="1"/>
  <c r="I188" i="1"/>
  <c r="G188" i="1"/>
  <c r="N11" i="1"/>
  <c r="N201" i="1" l="1"/>
  <c r="N199" i="1"/>
  <c r="N200" i="1"/>
  <c r="G13" i="2"/>
  <c r="G12" i="2"/>
  <c r="G15" i="2"/>
  <c r="G11" i="2"/>
  <c r="D22" i="2"/>
  <c r="J47" i="1"/>
  <c r="J35" i="1"/>
  <c r="J30" i="2"/>
  <c r="J34" i="2" s="1"/>
  <c r="J23" i="1"/>
  <c r="E22" i="2"/>
  <c r="J72" i="1"/>
  <c r="J181" i="1"/>
  <c r="J185" i="1"/>
  <c r="J182" i="1"/>
  <c r="J179" i="1"/>
  <c r="J180" i="1"/>
  <c r="J186" i="1"/>
  <c r="J183" i="1"/>
  <c r="J187" i="1"/>
  <c r="J184" i="1"/>
  <c r="J178" i="1"/>
  <c r="J176" i="1"/>
  <c r="J177" i="1"/>
  <c r="J175" i="1"/>
  <c r="J9" i="1"/>
  <c r="J8" i="1"/>
  <c r="G194" i="1"/>
  <c r="E10" i="2"/>
  <c r="G16" i="1"/>
  <c r="D10" i="2"/>
  <c r="J174" i="1"/>
  <c r="I194" i="1"/>
  <c r="M193" i="1"/>
  <c r="M203" i="1" s="1"/>
  <c r="I16" i="1"/>
  <c r="N15" i="1"/>
  <c r="I17" i="1" l="1"/>
  <c r="G22" i="2"/>
  <c r="G10" i="2"/>
  <c r="G17" i="1"/>
  <c r="J188" i="1"/>
  <c r="N193" i="1"/>
  <c r="O193" i="1" s="1"/>
  <c r="J10" i="1"/>
  <c r="N203" i="1" l="1"/>
  <c r="O45" i="1" l="1"/>
  <c r="O162" i="1" l="1"/>
  <c r="O183" i="1" l="1"/>
  <c r="F82" i="1"/>
  <c r="G82" i="1" s="1"/>
  <c r="G85" i="1" s="1"/>
  <c r="D16" i="2" s="1"/>
  <c r="D23" i="2" s="1"/>
  <c r="D27" i="2" s="1"/>
  <c r="D36" i="2" s="1"/>
  <c r="D38" i="2" s="1"/>
  <c r="D39" i="2" s="1"/>
  <c r="I82" i="1"/>
  <c r="I85" i="1" l="1"/>
  <c r="J82" i="1" s="1"/>
  <c r="G198" i="1"/>
  <c r="G91" i="1"/>
  <c r="G92" i="1" l="1"/>
  <c r="G204" i="1"/>
  <c r="I198" i="1"/>
  <c r="I91" i="1"/>
  <c r="J83" i="1"/>
  <c r="J84" i="1"/>
  <c r="E16" i="2"/>
  <c r="J85" i="1" l="1"/>
  <c r="I92" i="1"/>
  <c r="I204" i="1"/>
  <c r="E23" i="2"/>
  <c r="E27" i="2" s="1"/>
  <c r="G16" i="2"/>
  <c r="F16" i="2" l="1"/>
  <c r="G23" i="2"/>
  <c r="G27" i="2" s="1"/>
  <c r="F20" i="2"/>
  <c r="E36" i="2"/>
  <c r="F21" i="2"/>
  <c r="F10" i="2"/>
  <c r="F22" i="2"/>
  <c r="F11" i="2"/>
  <c r="F12" i="2"/>
  <c r="F13" i="2"/>
  <c r="F17" i="2"/>
  <c r="F23" i="2"/>
  <c r="F14" i="2"/>
  <c r="F18" i="2"/>
  <c r="F15" i="2"/>
  <c r="F19" i="2"/>
  <c r="H15" i="2" l="1"/>
  <c r="I15" i="2" s="1"/>
  <c r="K72" i="1" s="1"/>
  <c r="S72" i="1" s="1"/>
  <c r="H19" i="2"/>
  <c r="I19" i="2" s="1"/>
  <c r="K138" i="1" s="1"/>
  <c r="S138" i="1" s="1"/>
  <c r="H20" i="2"/>
  <c r="I20" i="2" s="1"/>
  <c r="K152" i="1" s="1"/>
  <c r="S152" i="1" s="1"/>
  <c r="H21" i="2"/>
  <c r="I21" i="2" s="1"/>
  <c r="K164" i="1" s="1"/>
  <c r="S164" i="1" s="1"/>
  <c r="H10" i="2"/>
  <c r="I10" i="2" s="1"/>
  <c r="H22" i="2"/>
  <c r="I22" i="2" s="1"/>
  <c r="K188" i="1" s="1"/>
  <c r="S188" i="1" s="1"/>
  <c r="H11" i="2"/>
  <c r="I11" i="2" s="1"/>
  <c r="K23" i="1" s="1"/>
  <c r="S23" i="1" s="1"/>
  <c r="H12" i="2"/>
  <c r="I12" i="2" s="1"/>
  <c r="K35" i="1" s="1"/>
  <c r="S35" i="1" s="1"/>
  <c r="K98" i="1"/>
  <c r="S98" i="1" s="1"/>
  <c r="H13" i="2"/>
  <c r="I13" i="2" s="1"/>
  <c r="K47" i="1" s="1"/>
  <c r="S47" i="1" s="1"/>
  <c r="H17" i="2"/>
  <c r="I17" i="2" s="1"/>
  <c r="K111" i="1" s="1"/>
  <c r="S111" i="1" s="1"/>
  <c r="H14" i="2"/>
  <c r="I14" i="2" s="1"/>
  <c r="K59" i="1" s="1"/>
  <c r="S59" i="1" s="1"/>
  <c r="H18" i="2"/>
  <c r="I18" i="2" s="1"/>
  <c r="K124" i="1" s="1"/>
  <c r="S124" i="1" s="1"/>
  <c r="H16" i="2"/>
  <c r="I16" i="2" s="1"/>
  <c r="K85" i="1" s="1"/>
  <c r="S85" i="1" s="1"/>
  <c r="L82" i="1" s="1"/>
  <c r="L22" i="1" l="1"/>
  <c r="L21" i="1"/>
  <c r="L20" i="1"/>
  <c r="L179" i="1"/>
  <c r="L186" i="1"/>
  <c r="L178" i="1"/>
  <c r="L185" i="1"/>
  <c r="L177" i="1"/>
  <c r="L184" i="1"/>
  <c r="L176" i="1"/>
  <c r="L175" i="1"/>
  <c r="L183" i="1"/>
  <c r="L174" i="1"/>
  <c r="L182" i="1"/>
  <c r="L180" i="1"/>
  <c r="L187" i="1"/>
  <c r="L181" i="1"/>
  <c r="L163" i="1"/>
  <c r="L162" i="1"/>
  <c r="M162" i="1" s="1"/>
  <c r="L151" i="1"/>
  <c r="L150" i="1"/>
  <c r="L149" i="1"/>
  <c r="L148" i="1"/>
  <c r="L58" i="1"/>
  <c r="L57" i="1"/>
  <c r="L46" i="1"/>
  <c r="L45" i="1"/>
  <c r="M45" i="1" s="1"/>
  <c r="M82" i="1"/>
  <c r="T82" i="1"/>
  <c r="L110" i="1"/>
  <c r="L109" i="1"/>
  <c r="L108" i="1"/>
  <c r="L97" i="1"/>
  <c r="L96" i="1"/>
  <c r="L95" i="1"/>
  <c r="L137" i="1"/>
  <c r="L136" i="1"/>
  <c r="L135" i="1"/>
  <c r="L134" i="1"/>
  <c r="L121" i="1"/>
  <c r="L122" i="1"/>
  <c r="L123" i="1"/>
  <c r="K10" i="1"/>
  <c r="S10" i="1" s="1"/>
  <c r="I23" i="2"/>
  <c r="I27" i="2" s="1"/>
  <c r="L71" i="1"/>
  <c r="L70" i="1"/>
  <c r="L69" i="1"/>
  <c r="T58" i="1" l="1"/>
  <c r="M58" i="1"/>
  <c r="G19" i="3"/>
  <c r="H19" i="3" s="1"/>
  <c r="I19" i="3" s="1"/>
  <c r="T149" i="1"/>
  <c r="M149" i="1"/>
  <c r="G43" i="3"/>
  <c r="H43" i="3" s="1"/>
  <c r="I43" i="3" s="1"/>
  <c r="M187" i="1"/>
  <c r="T187" i="1"/>
  <c r="G62" i="3"/>
  <c r="H62" i="3" s="1"/>
  <c r="I62" i="3" s="1"/>
  <c r="M180" i="1"/>
  <c r="T180" i="1"/>
  <c r="G55" i="3"/>
  <c r="H55" i="3" s="1"/>
  <c r="I55" i="3" s="1"/>
  <c r="T182" i="1"/>
  <c r="M182" i="1"/>
  <c r="G57" i="3"/>
  <c r="H57" i="3" s="1"/>
  <c r="I57" i="3" s="1"/>
  <c r="T174" i="1"/>
  <c r="M174" i="1"/>
  <c r="G49" i="3"/>
  <c r="H49" i="3" s="1"/>
  <c r="I49" i="3" s="1"/>
  <c r="T134" i="1"/>
  <c r="M134" i="1"/>
  <c r="G37" i="3"/>
  <c r="H37" i="3" s="1"/>
  <c r="I37" i="3" s="1"/>
  <c r="M185" i="1"/>
  <c r="T185" i="1"/>
  <c r="G60" i="3"/>
  <c r="H60" i="3" s="1"/>
  <c r="I60" i="3" s="1"/>
  <c r="L83" i="1"/>
  <c r="M71" i="1"/>
  <c r="N71" i="1" s="1"/>
  <c r="O71" i="1" s="1"/>
  <c r="G23" i="3"/>
  <c r="H23" i="3" s="1"/>
  <c r="I23" i="3" s="1"/>
  <c r="T71" i="1"/>
  <c r="M179" i="1"/>
  <c r="G54" i="3"/>
  <c r="H54" i="3" s="1"/>
  <c r="I54" i="3" s="1"/>
  <c r="T179" i="1"/>
  <c r="M121" i="1"/>
  <c r="G33" i="3"/>
  <c r="H33" i="3" s="1"/>
  <c r="I33" i="3" s="1"/>
  <c r="T69" i="1"/>
  <c r="M69" i="1"/>
  <c r="G21" i="3"/>
  <c r="H21" i="3" s="1"/>
  <c r="I21" i="3" s="1"/>
  <c r="T148" i="1"/>
  <c r="M148" i="1"/>
  <c r="G42" i="3"/>
  <c r="H42" i="3" s="1"/>
  <c r="I42" i="3" s="1"/>
  <c r="T110" i="1"/>
  <c r="M110" i="1"/>
  <c r="G31" i="3"/>
  <c r="H31" i="3" s="1"/>
  <c r="I31" i="3" s="1"/>
  <c r="M136" i="1"/>
  <c r="T136" i="1"/>
  <c r="G39" i="3"/>
  <c r="H39" i="3" s="1"/>
  <c r="I39" i="3" s="1"/>
  <c r="M186" i="1"/>
  <c r="G61" i="3"/>
  <c r="H61" i="3" s="1"/>
  <c r="I61" i="3" s="1"/>
  <c r="T186" i="1"/>
  <c r="L9" i="1"/>
  <c r="L8" i="1"/>
  <c r="N162" i="1"/>
  <c r="T20" i="1"/>
  <c r="M20" i="1"/>
  <c r="G9" i="3"/>
  <c r="H9" i="3" s="1"/>
  <c r="I9" i="3" s="1"/>
  <c r="T177" i="1"/>
  <c r="M177" i="1"/>
  <c r="G52" i="3"/>
  <c r="H52" i="3" s="1"/>
  <c r="I52" i="3" s="1"/>
  <c r="T135" i="1"/>
  <c r="M135" i="1"/>
  <c r="L228" i="1"/>
  <c r="G38" i="3"/>
  <c r="H38" i="3" s="1"/>
  <c r="I38" i="3" s="1"/>
  <c r="N82" i="1"/>
  <c r="T183" i="1"/>
  <c r="M183" i="1"/>
  <c r="G58" i="3"/>
  <c r="H58" i="3" s="1"/>
  <c r="I58" i="3" s="1"/>
  <c r="T95" i="1"/>
  <c r="M95" i="1"/>
  <c r="G25" i="3"/>
  <c r="H25" i="3" s="1"/>
  <c r="I25" i="3" s="1"/>
  <c r="T123" i="1"/>
  <c r="M123" i="1"/>
  <c r="G35" i="3"/>
  <c r="H35" i="3" s="1"/>
  <c r="I35" i="3" s="1"/>
  <c r="M46" i="1"/>
  <c r="M47" i="1" s="1"/>
  <c r="P45" i="1" s="1"/>
  <c r="T46" i="1"/>
  <c r="G16" i="3"/>
  <c r="H16" i="3" s="1"/>
  <c r="I16" i="3" s="1"/>
  <c r="T163" i="1"/>
  <c r="M163" i="1"/>
  <c r="G47" i="3"/>
  <c r="H47" i="3" s="1"/>
  <c r="I47" i="3" s="1"/>
  <c r="T176" i="1"/>
  <c r="M176" i="1"/>
  <c r="G51" i="3"/>
  <c r="H51" i="3" s="1"/>
  <c r="I51" i="3" s="1"/>
  <c r="G10" i="3"/>
  <c r="H10" i="3" s="1"/>
  <c r="I10" i="3" s="1"/>
  <c r="T21" i="1"/>
  <c r="M21" i="1"/>
  <c r="T108" i="1"/>
  <c r="M108" i="1"/>
  <c r="G29" i="3"/>
  <c r="H29" i="3" s="1"/>
  <c r="I29" i="3" s="1"/>
  <c r="T109" i="1"/>
  <c r="L212" i="1"/>
  <c r="M109" i="1"/>
  <c r="G30" i="3"/>
  <c r="H30" i="3" s="1"/>
  <c r="I30" i="3" s="1"/>
  <c r="L84" i="1"/>
  <c r="M70" i="1"/>
  <c r="N70" i="1" s="1"/>
  <c r="O70" i="1" s="1"/>
  <c r="T70" i="1"/>
  <c r="G22" i="3"/>
  <c r="H22" i="3" s="1"/>
  <c r="I22" i="3" s="1"/>
  <c r="M178" i="1"/>
  <c r="T178" i="1"/>
  <c r="G53" i="3"/>
  <c r="H53" i="3" s="1"/>
  <c r="I53" i="3" s="1"/>
  <c r="T150" i="1"/>
  <c r="M150" i="1"/>
  <c r="G44" i="3"/>
  <c r="H44" i="3" s="1"/>
  <c r="I44" i="3" s="1"/>
  <c r="M137" i="1"/>
  <c r="G40" i="3"/>
  <c r="H40" i="3" s="1"/>
  <c r="I40" i="3" s="1"/>
  <c r="T137" i="1"/>
  <c r="M151" i="1"/>
  <c r="T151" i="1"/>
  <c r="G45" i="3"/>
  <c r="H45" i="3" s="1"/>
  <c r="I45" i="3" s="1"/>
  <c r="N45" i="1"/>
  <c r="T175" i="1"/>
  <c r="M175" i="1"/>
  <c r="G50" i="3"/>
  <c r="H50" i="3" s="1"/>
  <c r="I50" i="3" s="1"/>
  <c r="T96" i="1"/>
  <c r="M96" i="1"/>
  <c r="G26" i="3"/>
  <c r="H26" i="3" s="1"/>
  <c r="I26" i="3" s="1"/>
  <c r="M122" i="1"/>
  <c r="T122" i="1"/>
  <c r="G34" i="3"/>
  <c r="H34" i="3" s="1"/>
  <c r="I34" i="3" s="1"/>
  <c r="T97" i="1"/>
  <c r="M97" i="1"/>
  <c r="G27" i="3"/>
  <c r="H27" i="3" s="1"/>
  <c r="I27" i="3" s="1"/>
  <c r="T57" i="1"/>
  <c r="M57" i="1"/>
  <c r="G18" i="3"/>
  <c r="H18" i="3" s="1"/>
  <c r="I18" i="3" s="1"/>
  <c r="T181" i="1"/>
  <c r="M181" i="1"/>
  <c r="G56" i="3"/>
  <c r="H56" i="3" s="1"/>
  <c r="I56" i="3" s="1"/>
  <c r="T184" i="1"/>
  <c r="M184" i="1"/>
  <c r="G59" i="3"/>
  <c r="H59" i="3" s="1"/>
  <c r="I59" i="3" s="1"/>
  <c r="T22" i="1"/>
  <c r="M22" i="1"/>
  <c r="G11" i="3"/>
  <c r="H11" i="3" s="1"/>
  <c r="I11" i="3" s="1"/>
  <c r="Q45" i="1" l="1"/>
  <c r="N163" i="1"/>
  <c r="O163" i="1" s="1"/>
  <c r="O82" i="1"/>
  <c r="N121" i="1"/>
  <c r="M124" i="1"/>
  <c r="P123" i="1" s="1"/>
  <c r="Q123" i="1" s="1"/>
  <c r="N57" i="1"/>
  <c r="M59" i="1"/>
  <c r="P58" i="1" s="1"/>
  <c r="Q58" i="1" s="1"/>
  <c r="L238" i="1"/>
  <c r="T228" i="1"/>
  <c r="L233" i="1"/>
  <c r="L243" i="1"/>
  <c r="G81" i="3"/>
  <c r="H81" i="3" s="1"/>
  <c r="I81" i="3" s="1"/>
  <c r="N186" i="1"/>
  <c r="O186" i="1" s="1"/>
  <c r="P148" i="1"/>
  <c r="Q148" i="1" s="1"/>
  <c r="N148" i="1"/>
  <c r="N185" i="1"/>
  <c r="O185" i="1" s="1"/>
  <c r="N182" i="1"/>
  <c r="O182" i="1" s="1"/>
  <c r="N122" i="1"/>
  <c r="O122" i="1" s="1"/>
  <c r="N150" i="1"/>
  <c r="O150" i="1" s="1"/>
  <c r="M164" i="1"/>
  <c r="N179" i="1"/>
  <c r="O179" i="1" s="1"/>
  <c r="M152" i="1"/>
  <c r="P149" i="1" s="1"/>
  <c r="N149" i="1"/>
  <c r="N22" i="1"/>
  <c r="O22" i="1" s="1"/>
  <c r="N135" i="1"/>
  <c r="O135" i="1" s="1"/>
  <c r="N97" i="1"/>
  <c r="O97" i="1" s="1"/>
  <c r="N46" i="1"/>
  <c r="O46" i="1" s="1"/>
  <c r="P46" i="1"/>
  <c r="Q46" i="1" s="1"/>
  <c r="N183" i="1"/>
  <c r="M138" i="1"/>
  <c r="P134" i="1" s="1"/>
  <c r="N134" i="1"/>
  <c r="N181" i="1"/>
  <c r="O181" i="1" s="1"/>
  <c r="M53" i="1"/>
  <c r="J13" i="2"/>
  <c r="R47" i="1"/>
  <c r="M84" i="1"/>
  <c r="T84" i="1"/>
  <c r="N21" i="1"/>
  <c r="O21" i="1" s="1"/>
  <c r="M98" i="1"/>
  <c r="P96" i="1" s="1"/>
  <c r="Q96" i="1" s="1"/>
  <c r="N95" i="1"/>
  <c r="N20" i="1"/>
  <c r="M23" i="1"/>
  <c r="P21" i="1" s="1"/>
  <c r="Q21" i="1" s="1"/>
  <c r="N187" i="1"/>
  <c r="O187" i="1" s="1"/>
  <c r="N96" i="1"/>
  <c r="O96" i="1" s="1"/>
  <c r="N184" i="1"/>
  <c r="O184" i="1" s="1"/>
  <c r="N109" i="1"/>
  <c r="O109" i="1" s="1"/>
  <c r="N151" i="1"/>
  <c r="O151" i="1" s="1"/>
  <c r="L216" i="1"/>
  <c r="T212" i="1"/>
  <c r="L220" i="1"/>
  <c r="L224" i="1"/>
  <c r="G65" i="3"/>
  <c r="H65" i="3" s="1"/>
  <c r="I65" i="3" s="1"/>
  <c r="N175" i="1"/>
  <c r="O175" i="1" s="1"/>
  <c r="N178" i="1"/>
  <c r="O178" i="1" s="1"/>
  <c r="N176" i="1"/>
  <c r="O176" i="1" s="1"/>
  <c r="N136" i="1"/>
  <c r="O136" i="1" s="1"/>
  <c r="M72" i="1"/>
  <c r="N69" i="1"/>
  <c r="N123" i="1"/>
  <c r="O123" i="1" s="1"/>
  <c r="N177" i="1"/>
  <c r="O177" i="1" s="1"/>
  <c r="T8" i="1"/>
  <c r="L33" i="1"/>
  <c r="G6" i="3"/>
  <c r="H6" i="3" s="1"/>
  <c r="I6" i="3" s="1"/>
  <c r="M8" i="1"/>
  <c r="N180" i="1"/>
  <c r="O180" i="1" s="1"/>
  <c r="N58" i="1"/>
  <c r="O58" i="1" s="1"/>
  <c r="N137" i="1"/>
  <c r="O137" i="1" s="1"/>
  <c r="N108" i="1"/>
  <c r="M111" i="1"/>
  <c r="P110" i="1" s="1"/>
  <c r="Q110" i="1" s="1"/>
  <c r="M9" i="1"/>
  <c r="G7" i="3"/>
  <c r="H7" i="3" s="1"/>
  <c r="I7" i="3" s="1"/>
  <c r="T9" i="1"/>
  <c r="L34" i="1"/>
  <c r="N110" i="1"/>
  <c r="O110" i="1" s="1"/>
  <c r="M83" i="1"/>
  <c r="T83" i="1"/>
  <c r="N174" i="1"/>
  <c r="M188" i="1"/>
  <c r="P181" i="1" s="1"/>
  <c r="Q181" i="1" s="1"/>
  <c r="N164" i="1" l="1"/>
  <c r="O164" i="1" s="1"/>
  <c r="P136" i="1"/>
  <c r="Q136" i="1" s="1"/>
  <c r="P150" i="1"/>
  <c r="Q150" i="1" s="1"/>
  <c r="P135" i="1"/>
  <c r="Q135" i="1" s="1"/>
  <c r="P137" i="1"/>
  <c r="Q137" i="1" s="1"/>
  <c r="P151" i="1"/>
  <c r="Q151" i="1" s="1"/>
  <c r="P95" i="1"/>
  <c r="Q95" i="1" s="1"/>
  <c r="P121" i="1"/>
  <c r="Q121" i="1" s="1"/>
  <c r="P175" i="1"/>
  <c r="Q175" i="1" s="1"/>
  <c r="P122" i="1"/>
  <c r="Q122" i="1" s="1"/>
  <c r="P109" i="1"/>
  <c r="Q109" i="1" s="1"/>
  <c r="N47" i="1"/>
  <c r="O47" i="1" s="1"/>
  <c r="Q134" i="1"/>
  <c r="P179" i="1"/>
  <c r="Q179" i="1" s="1"/>
  <c r="P182" i="1"/>
  <c r="Q182" i="1" s="1"/>
  <c r="T243" i="1"/>
  <c r="G96" i="3"/>
  <c r="H96" i="3" s="1"/>
  <c r="I96" i="3" s="1"/>
  <c r="R23" i="1"/>
  <c r="M29" i="1"/>
  <c r="J11" i="2"/>
  <c r="P185" i="1"/>
  <c r="Q185" i="1" s="1"/>
  <c r="T233" i="1"/>
  <c r="G86" i="3"/>
  <c r="H86" i="3" s="1"/>
  <c r="I86" i="3" s="1"/>
  <c r="O121" i="1"/>
  <c r="N124" i="1"/>
  <c r="P20" i="1"/>
  <c r="N84" i="1"/>
  <c r="O84" i="1" s="1"/>
  <c r="R138" i="1"/>
  <c r="M144" i="1"/>
  <c r="J19" i="2"/>
  <c r="R164" i="1"/>
  <c r="M170" i="1"/>
  <c r="N170" i="1" s="1"/>
  <c r="O170" i="1" s="1"/>
  <c r="N21" i="2" s="1"/>
  <c r="J21" i="2"/>
  <c r="P162" i="1"/>
  <c r="T238" i="1"/>
  <c r="G91" i="3"/>
  <c r="H91" i="3" s="1"/>
  <c r="I91" i="3" s="1"/>
  <c r="O13" i="2"/>
  <c r="P183" i="1"/>
  <c r="Q183" i="1" s="1"/>
  <c r="P22" i="1"/>
  <c r="Q22" i="1" s="1"/>
  <c r="R59" i="1"/>
  <c r="M65" i="1"/>
  <c r="J14" i="2"/>
  <c r="P163" i="1"/>
  <c r="Q163" i="1" s="1"/>
  <c r="P184" i="1"/>
  <c r="Q184" i="1" s="1"/>
  <c r="P174" i="1"/>
  <c r="T220" i="1"/>
  <c r="G73" i="3"/>
  <c r="H73" i="3" s="1"/>
  <c r="I73" i="3" s="1"/>
  <c r="R111" i="1"/>
  <c r="M117" i="1"/>
  <c r="J17" i="2"/>
  <c r="P180" i="1"/>
  <c r="Q180" i="1" s="1"/>
  <c r="M104" i="1"/>
  <c r="R98" i="1"/>
  <c r="J25" i="2"/>
  <c r="K25" i="2" s="1"/>
  <c r="N53" i="1"/>
  <c r="O53" i="1" s="1"/>
  <c r="N13" i="2" s="1"/>
  <c r="M54" i="1"/>
  <c r="N54" i="1" s="1"/>
  <c r="Q149" i="1"/>
  <c r="P186" i="1"/>
  <c r="Q186" i="1" s="1"/>
  <c r="P57" i="1"/>
  <c r="P71" i="1"/>
  <c r="Q71" i="1" s="1"/>
  <c r="P70" i="1"/>
  <c r="Q70" i="1" s="1"/>
  <c r="R72" i="1"/>
  <c r="M78" i="1"/>
  <c r="J15" i="2"/>
  <c r="P69" i="1"/>
  <c r="M34" i="1"/>
  <c r="T34" i="1"/>
  <c r="G14" i="3"/>
  <c r="H14" i="3" s="1"/>
  <c r="I14" i="3" s="1"/>
  <c r="M33" i="1"/>
  <c r="G13" i="3"/>
  <c r="H13" i="3" s="1"/>
  <c r="I13" i="3" s="1"/>
  <c r="O174" i="1"/>
  <c r="N188" i="1"/>
  <c r="O188" i="1" s="1"/>
  <c r="P177" i="1"/>
  <c r="Q177" i="1" s="1"/>
  <c r="O20" i="1"/>
  <c r="N23" i="1"/>
  <c r="N9" i="1"/>
  <c r="O9" i="1" s="1"/>
  <c r="P176" i="1"/>
  <c r="Q176" i="1" s="1"/>
  <c r="N98" i="1"/>
  <c r="O95" i="1"/>
  <c r="P108" i="1"/>
  <c r="P178" i="1"/>
  <c r="Q178" i="1" s="1"/>
  <c r="T216" i="1"/>
  <c r="G69" i="3"/>
  <c r="H69" i="3" s="1"/>
  <c r="I69" i="3" s="1"/>
  <c r="N152" i="1"/>
  <c r="O149" i="1"/>
  <c r="O57" i="1"/>
  <c r="N59" i="1"/>
  <c r="P47" i="1"/>
  <c r="Q47" i="1" s="1"/>
  <c r="N138" i="1"/>
  <c r="O134" i="1"/>
  <c r="R188" i="1"/>
  <c r="J22" i="2"/>
  <c r="M194" i="1"/>
  <c r="N194" i="1" s="1"/>
  <c r="O194" i="1" s="1"/>
  <c r="N22" i="2" s="1"/>
  <c r="L13" i="2"/>
  <c r="T224" i="1"/>
  <c r="G77" i="3"/>
  <c r="H77" i="3" s="1"/>
  <c r="I77" i="3" s="1"/>
  <c r="N83" i="1"/>
  <c r="M85" i="1"/>
  <c r="P84" i="1" s="1"/>
  <c r="Q84" i="1" s="1"/>
  <c r="O108" i="1"/>
  <c r="N111" i="1"/>
  <c r="M10" i="1"/>
  <c r="P8" i="1" s="1"/>
  <c r="N8" i="1"/>
  <c r="N72" i="1"/>
  <c r="O69" i="1"/>
  <c r="P187" i="1"/>
  <c r="Q187" i="1" s="1"/>
  <c r="P97" i="1"/>
  <c r="Q97" i="1" s="1"/>
  <c r="M158" i="1"/>
  <c r="J20" i="2"/>
  <c r="R152" i="1"/>
  <c r="R124" i="1"/>
  <c r="M130" i="1"/>
  <c r="J18" i="2"/>
  <c r="L21" i="2" l="1"/>
  <c r="F124" i="3" s="1"/>
  <c r="P152" i="1"/>
  <c r="Q152" i="1" s="1"/>
  <c r="P138" i="1"/>
  <c r="Q138" i="1" s="1"/>
  <c r="P124" i="1"/>
  <c r="Q124" i="1" s="1"/>
  <c r="Q174" i="1"/>
  <c r="P188" i="1"/>
  <c r="Q188" i="1" s="1"/>
  <c r="G143" i="3"/>
  <c r="G124" i="3"/>
  <c r="O124" i="1"/>
  <c r="L18" i="2"/>
  <c r="Q8" i="1"/>
  <c r="N104" i="1"/>
  <c r="O104" i="1" s="1"/>
  <c r="N25" i="2" s="1"/>
  <c r="M105" i="1"/>
  <c r="N105" i="1" s="1"/>
  <c r="F138" i="3" s="1"/>
  <c r="O19" i="2"/>
  <c r="O23" i="1"/>
  <c r="L11" i="2"/>
  <c r="P59" i="1"/>
  <c r="Q59" i="1" s="1"/>
  <c r="Q57" i="1"/>
  <c r="M16" i="1"/>
  <c r="R10" i="1"/>
  <c r="J10" i="2"/>
  <c r="N34" i="1"/>
  <c r="O34" i="1" s="1"/>
  <c r="O17" i="2"/>
  <c r="O14" i="2"/>
  <c r="N144" i="1"/>
  <c r="O144" i="1" s="1"/>
  <c r="N19" i="2" s="1"/>
  <c r="M145" i="1"/>
  <c r="N145" i="1" s="1"/>
  <c r="O15" i="2"/>
  <c r="N65" i="1"/>
  <c r="O65" i="1" s="1"/>
  <c r="N14" i="2" s="1"/>
  <c r="M66" i="1"/>
  <c r="N66" i="1" s="1"/>
  <c r="N10" i="1"/>
  <c r="O8" i="1"/>
  <c r="F115" i="3"/>
  <c r="M13" i="2"/>
  <c r="O59" i="1"/>
  <c r="L14" i="2"/>
  <c r="N158" i="1"/>
  <c r="O158" i="1" s="1"/>
  <c r="N20" i="2" s="1"/>
  <c r="M159" i="1"/>
  <c r="N159" i="1" s="1"/>
  <c r="P72" i="1"/>
  <c r="Q72" i="1" s="1"/>
  <c r="Q69" i="1"/>
  <c r="O22" i="2"/>
  <c r="L22" i="2"/>
  <c r="O152" i="1"/>
  <c r="L20" i="2"/>
  <c r="O98" i="1"/>
  <c r="L25" i="2"/>
  <c r="N78" i="1"/>
  <c r="O78" i="1" s="1"/>
  <c r="N15" i="2" s="1"/>
  <c r="M79" i="1"/>
  <c r="N79" i="1" s="1"/>
  <c r="F136" i="3" s="1"/>
  <c r="O54" i="1"/>
  <c r="F134" i="3"/>
  <c r="O11" i="2"/>
  <c r="O138" i="1"/>
  <c r="L19" i="2"/>
  <c r="G144" i="3"/>
  <c r="G125" i="3"/>
  <c r="N117" i="1"/>
  <c r="O117" i="1" s="1"/>
  <c r="N17" i="2" s="1"/>
  <c r="M118" i="1"/>
  <c r="N118" i="1" s="1"/>
  <c r="R85" i="1"/>
  <c r="M91" i="1"/>
  <c r="J16" i="2"/>
  <c r="P82" i="1"/>
  <c r="G115" i="3"/>
  <c r="G134" i="3"/>
  <c r="Q162" i="1"/>
  <c r="P164" i="1"/>
  <c r="Q164" i="1" s="1"/>
  <c r="N29" i="1"/>
  <c r="O29" i="1" s="1"/>
  <c r="N11" i="2" s="1"/>
  <c r="M30" i="1"/>
  <c r="N30" i="1" s="1"/>
  <c r="O20" i="2"/>
  <c r="L17" i="2"/>
  <c r="O111" i="1"/>
  <c r="Q108" i="1"/>
  <c r="P111" i="1"/>
  <c r="Q111" i="1" s="1"/>
  <c r="O18" i="2"/>
  <c r="P83" i="1"/>
  <c r="Q83" i="1" s="1"/>
  <c r="P98" i="1"/>
  <c r="Q98" i="1" s="1"/>
  <c r="M131" i="1"/>
  <c r="N131" i="1" s="1"/>
  <c r="N130" i="1"/>
  <c r="O130" i="1" s="1"/>
  <c r="N18" i="2" s="1"/>
  <c r="O72" i="1"/>
  <c r="L15" i="2"/>
  <c r="O83" i="1"/>
  <c r="N85" i="1"/>
  <c r="P9" i="1"/>
  <c r="Q9" i="1" s="1"/>
  <c r="N33" i="1"/>
  <c r="M35" i="1"/>
  <c r="P34" i="1" s="1"/>
  <c r="Q34" i="1" s="1"/>
  <c r="O25" i="2"/>
  <c r="O21" i="2"/>
  <c r="Q20" i="1"/>
  <c r="P23" i="1"/>
  <c r="Q23" i="1" s="1"/>
  <c r="M21" i="2" l="1"/>
  <c r="O159" i="1"/>
  <c r="F142" i="3"/>
  <c r="P10" i="1"/>
  <c r="Q10" i="1" s="1"/>
  <c r="P33" i="1"/>
  <c r="G132" i="3"/>
  <c r="G113" i="3"/>
  <c r="F116" i="3"/>
  <c r="M14" i="2"/>
  <c r="O66" i="1"/>
  <c r="F135" i="3"/>
  <c r="M15" i="2"/>
  <c r="F117" i="3"/>
  <c r="G135" i="3"/>
  <c r="G116" i="3"/>
  <c r="G139" i="3"/>
  <c r="G120" i="3"/>
  <c r="M11" i="2"/>
  <c r="F113" i="3"/>
  <c r="M18" i="2"/>
  <c r="F121" i="3"/>
  <c r="R35" i="1"/>
  <c r="M41" i="1"/>
  <c r="J12" i="2"/>
  <c r="J23" i="2" s="1"/>
  <c r="J27" i="2" s="1"/>
  <c r="G140" i="3"/>
  <c r="G121" i="3"/>
  <c r="O118" i="1"/>
  <c r="F139" i="3"/>
  <c r="O131" i="1"/>
  <c r="F140" i="3"/>
  <c r="M17" i="2"/>
  <c r="F120" i="3"/>
  <c r="G136" i="3"/>
  <c r="G117" i="3"/>
  <c r="O145" i="1"/>
  <c r="F141" i="3"/>
  <c r="O10" i="2"/>
  <c r="M22" i="2"/>
  <c r="F125" i="3"/>
  <c r="P35" i="1"/>
  <c r="Q35" i="1" s="1"/>
  <c r="Q33" i="1"/>
  <c r="Q82" i="1"/>
  <c r="P85" i="1"/>
  <c r="Q85" i="1" s="1"/>
  <c r="F119" i="3"/>
  <c r="M25" i="2"/>
  <c r="O10" i="1"/>
  <c r="L10" i="2"/>
  <c r="G122" i="3"/>
  <c r="G141" i="3"/>
  <c r="M198" i="1"/>
  <c r="N35" i="1"/>
  <c r="N198" i="1" s="1"/>
  <c r="O198" i="1" s="1"/>
  <c r="O33" i="1"/>
  <c r="F122" i="3"/>
  <c r="M19" i="2"/>
  <c r="O16" i="2"/>
  <c r="O85" i="1"/>
  <c r="L16" i="2"/>
  <c r="O30" i="1"/>
  <c r="F132" i="3"/>
  <c r="M92" i="1"/>
  <c r="N92" i="1" s="1"/>
  <c r="N91" i="1"/>
  <c r="O91" i="1" s="1"/>
  <c r="N16" i="2" s="1"/>
  <c r="F123" i="3"/>
  <c r="M20" i="2"/>
  <c r="G123" i="3"/>
  <c r="G142" i="3"/>
  <c r="N16" i="1"/>
  <c r="M17" i="1"/>
  <c r="N17" i="1" s="1"/>
  <c r="G119" i="3"/>
  <c r="G138" i="3"/>
  <c r="K16" i="2" l="1"/>
  <c r="K23" i="2"/>
  <c r="L23" i="2"/>
  <c r="L27" i="2" s="1"/>
  <c r="J36" i="2"/>
  <c r="L36" i="2" s="1"/>
  <c r="F126" i="3" s="1"/>
  <c r="O23" i="2"/>
  <c r="O27" i="2" s="1"/>
  <c r="K13" i="2"/>
  <c r="K14" i="2"/>
  <c r="K11" i="2"/>
  <c r="K21" i="2"/>
  <c r="K19" i="2"/>
  <c r="K20" i="2"/>
  <c r="K15" i="2"/>
  <c r="K22" i="2"/>
  <c r="K17" i="2"/>
  <c r="K18" i="2"/>
  <c r="F118" i="3"/>
  <c r="M16" i="2"/>
  <c r="S212" i="1"/>
  <c r="S223" i="1"/>
  <c r="L223" i="1" s="1"/>
  <c r="S233" i="1"/>
  <c r="S243" i="1"/>
  <c r="S216" i="1"/>
  <c r="S227" i="1"/>
  <c r="L227" i="1" s="1"/>
  <c r="S237" i="1"/>
  <c r="L237" i="1" s="1"/>
  <c r="S247" i="1"/>
  <c r="T247" i="1" s="1"/>
  <c r="S220" i="1"/>
  <c r="S230" i="1"/>
  <c r="L230" i="1" s="1"/>
  <c r="S240" i="1"/>
  <c r="L240" i="1" s="1"/>
  <c r="S213" i="1"/>
  <c r="L213" i="1" s="1"/>
  <c r="S224" i="1"/>
  <c r="S234" i="1"/>
  <c r="L234" i="1" s="1"/>
  <c r="S244" i="1"/>
  <c r="L244" i="1" s="1"/>
  <c r="S217" i="1"/>
  <c r="L217" i="1" s="1"/>
  <c r="S228" i="1"/>
  <c r="S238" i="1"/>
  <c r="S248" i="1"/>
  <c r="T248" i="1" s="1"/>
  <c r="S211" i="1"/>
  <c r="L211" i="1" s="1"/>
  <c r="S221" i="1"/>
  <c r="L221" i="1" s="1"/>
  <c r="S232" i="1"/>
  <c r="L232" i="1" s="1"/>
  <c r="S242" i="1"/>
  <c r="L242" i="1" s="1"/>
  <c r="S219" i="1"/>
  <c r="L219" i="1" s="1"/>
  <c r="S215" i="1"/>
  <c r="L215" i="1" s="1"/>
  <c r="S235" i="1"/>
  <c r="L235" i="1" s="1"/>
  <c r="S249" i="1"/>
  <c r="T249" i="1" s="1"/>
  <c r="S225" i="1"/>
  <c r="L225" i="1" s="1"/>
  <c r="S239" i="1"/>
  <c r="L239" i="1" s="1"/>
  <c r="S229" i="1"/>
  <c r="L229" i="1" s="1"/>
  <c r="S245" i="1"/>
  <c r="L245" i="1" s="1"/>
  <c r="G118" i="3"/>
  <c r="G137" i="3"/>
  <c r="O17" i="1"/>
  <c r="F131" i="3"/>
  <c r="K12" i="2"/>
  <c r="O12" i="2"/>
  <c r="K10" i="2"/>
  <c r="M42" i="1"/>
  <c r="N42" i="1" s="1"/>
  <c r="N41" i="1"/>
  <c r="O41" i="1" s="1"/>
  <c r="N12" i="2" s="1"/>
  <c r="M10" i="2"/>
  <c r="F112" i="3"/>
  <c r="O92" i="1"/>
  <c r="F137" i="3"/>
  <c r="O16" i="1"/>
  <c r="N10" i="2" s="1"/>
  <c r="M204" i="1"/>
  <c r="O35" i="1"/>
  <c r="L12" i="2"/>
  <c r="N204" i="1" l="1"/>
  <c r="O204" i="1" s="1"/>
  <c r="G85" i="3"/>
  <c r="H85" i="3" s="1"/>
  <c r="I85" i="3" s="1"/>
  <c r="T232" i="1"/>
  <c r="T244" i="1"/>
  <c r="G97" i="3"/>
  <c r="H97" i="3" s="1"/>
  <c r="I97" i="3" s="1"/>
  <c r="G74" i="3"/>
  <c r="H74" i="3" s="1"/>
  <c r="I74" i="3" s="1"/>
  <c r="T221" i="1"/>
  <c r="O42" i="1"/>
  <c r="F133" i="3"/>
  <c r="T227" i="1"/>
  <c r="G80" i="3"/>
  <c r="H80" i="3" s="1"/>
  <c r="I80" i="3" s="1"/>
  <c r="G131" i="3"/>
  <c r="G112" i="3"/>
  <c r="T234" i="1"/>
  <c r="G87" i="3"/>
  <c r="H87" i="3" s="1"/>
  <c r="I87" i="3" s="1"/>
  <c r="T213" i="1"/>
  <c r="G66" i="3"/>
  <c r="H66" i="3" s="1"/>
  <c r="I66" i="3" s="1"/>
  <c r="G88" i="3"/>
  <c r="H88" i="3" s="1"/>
  <c r="I88" i="3" s="1"/>
  <c r="T235" i="1"/>
  <c r="T230" i="1"/>
  <c r="G83" i="3"/>
  <c r="H83" i="3" s="1"/>
  <c r="I83" i="3" s="1"/>
  <c r="T223" i="1"/>
  <c r="G76" i="3"/>
  <c r="H76" i="3" s="1"/>
  <c r="I76" i="3" s="1"/>
  <c r="L38" i="2"/>
  <c r="L39" i="2" s="1"/>
  <c r="N36" i="2"/>
  <c r="T245" i="1"/>
  <c r="G98" i="3"/>
  <c r="H98" i="3" s="1"/>
  <c r="I98" i="3" s="1"/>
  <c r="T237" i="1"/>
  <c r="G90" i="3"/>
  <c r="H90" i="3" s="1"/>
  <c r="I90" i="3" s="1"/>
  <c r="T229" i="1"/>
  <c r="G82" i="3"/>
  <c r="H82" i="3" s="1"/>
  <c r="I82" i="3" s="1"/>
  <c r="T225" i="1"/>
  <c r="G78" i="3"/>
  <c r="H78" i="3" s="1"/>
  <c r="I78" i="3" s="1"/>
  <c r="F114" i="3"/>
  <c r="M12" i="2"/>
  <c r="T215" i="1"/>
  <c r="G68" i="3"/>
  <c r="H68" i="3" s="1"/>
  <c r="I68" i="3" s="1"/>
  <c r="M23" i="2"/>
  <c r="M27" i="2" s="1"/>
  <c r="G126" i="3" s="1"/>
  <c r="G145" i="3" s="1"/>
  <c r="G95" i="3"/>
  <c r="H95" i="3" s="1"/>
  <c r="I95" i="3" s="1"/>
  <c r="T242" i="1"/>
  <c r="T239" i="1"/>
  <c r="G92" i="3"/>
  <c r="H92" i="3" s="1"/>
  <c r="I92" i="3" s="1"/>
  <c r="T211" i="1"/>
  <c r="G64" i="3"/>
  <c r="H64" i="3" s="1"/>
  <c r="I64" i="3" s="1"/>
  <c r="T240" i="1"/>
  <c r="G93" i="3"/>
  <c r="H93" i="3" s="1"/>
  <c r="I93" i="3" s="1"/>
  <c r="G114" i="3"/>
  <c r="G133" i="3"/>
  <c r="T219" i="1"/>
  <c r="G72" i="3"/>
  <c r="H72" i="3" s="1"/>
  <c r="I72" i="3" s="1"/>
  <c r="T217" i="1"/>
  <c r="G70" i="3"/>
  <c r="H70" i="3" s="1"/>
  <c r="I70" i="3" s="1"/>
  <c r="N206" i="1" l="1"/>
</calcChain>
</file>

<file path=xl/sharedStrings.xml><?xml version="1.0" encoding="utf-8"?>
<sst xmlns="http://schemas.openxmlformats.org/spreadsheetml/2006/main" count="328" uniqueCount="139">
  <si>
    <t>Billing Analysis for Pass-Through Rate Increase</t>
  </si>
  <si>
    <t>#</t>
  </si>
  <si>
    <t>Item</t>
  </si>
  <si>
    <t>Present Revenue</t>
  </si>
  <si>
    <t>Proposed Revenue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</si>
  <si>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</si>
  <si>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</si>
  <si>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</si>
  <si>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</si>
  <si>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</si>
  <si>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</si>
  <si>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</si>
  <si>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</si>
  <si>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</si>
  <si>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Billing Units</t>
  </si>
  <si>
    <t>Increase $</t>
  </si>
  <si>
    <t>%</t>
  </si>
  <si>
    <t>Customer Charge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</si>
  <si>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</si>
  <si>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</si>
  <si>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</si>
  <si>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</si>
  <si>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</si>
  <si>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</si>
  <si>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</si>
  <si>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</si>
  <si>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</si>
  <si>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</si>
  <si>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TOTALS</t>
  </si>
  <si>
    <t xml:space="preserve">    Misc Adj</t>
  </si>
  <si>
    <t>Lighting</t>
  </si>
  <si>
    <t>Allocation Revenue</t>
  </si>
  <si>
    <t>Allocation Share</t>
  </si>
  <si>
    <t>Allocated Increase</t>
  </si>
  <si>
    <t>Per Unit Rate Change</t>
  </si>
  <si>
    <t>Rounding</t>
  </si>
  <si>
    <t xml:space="preserve">Total Revenue Increase Allocated by East Kentucky Power Cooperative:   </t>
  </si>
  <si>
    <t>Rate Rounding Variance</t>
  </si>
  <si>
    <t>Rate Variance</t>
  </si>
  <si>
    <t xml:space="preserve">    Other</t>
  </si>
  <si>
    <t>TOTAL Base Rates</t>
  </si>
  <si>
    <t>SubTotal Base Rates</t>
  </si>
  <si>
    <t>Base %</t>
  </si>
  <si>
    <t>Total %</t>
  </si>
  <si>
    <t>Base Rate Increase</t>
  </si>
  <si>
    <t>Present</t>
  </si>
  <si>
    <t>Proposed</t>
  </si>
  <si>
    <t>Energy Charge per kWh</t>
  </si>
  <si>
    <t>Energy Charge - On Peak per kWh</t>
  </si>
  <si>
    <t>Energy Charge - Off Peak per kWh</t>
  </si>
  <si>
    <t>Demand Charge per kW</t>
  </si>
  <si>
    <t>&lt; Set to 50% B2</t>
  </si>
  <si>
    <t>&lt; Set to increase at same % as B2</t>
  </si>
  <si>
    <t>&lt; Set to match B2</t>
  </si>
  <si>
    <t>FARMERS RECC</t>
  </si>
  <si>
    <t xml:space="preserve">Residential </t>
  </si>
  <si>
    <t>Residential TOD</t>
  </si>
  <si>
    <t>Net Metering</t>
  </si>
  <si>
    <t>Residential Off-Peak Mktg ETS</t>
  </si>
  <si>
    <t>Commercial &amp; Industrial &lt; 50 KW</t>
  </si>
  <si>
    <t>Commercial &amp; Industrial &gt; 50 KW</t>
  </si>
  <si>
    <t>Large Industrial</t>
  </si>
  <si>
    <t>Large Power Schedule LPC2</t>
  </si>
  <si>
    <t>Large Commercial Optional TOD</t>
  </si>
  <si>
    <t>Large Power Schedule LPE4</t>
  </si>
  <si>
    <t>TOD Three Phase - Schedule C</t>
  </si>
  <si>
    <t>Sodium Vapor 100 Watt</t>
  </si>
  <si>
    <t>Mercury Vapor 175 Watt</t>
  </si>
  <si>
    <t>Mercury Vapor 175 Watt (shared)</t>
  </si>
  <si>
    <t>Mercury Vapor 250 Watt</t>
  </si>
  <si>
    <t>Mercury Vapor 400 Watt</t>
  </si>
  <si>
    <t>Mercury Vapor 1000 Watt</t>
  </si>
  <si>
    <t>Sodium Vapor 150 Watt</t>
  </si>
  <si>
    <t>Sodium Vapor 250 Watt</t>
  </si>
  <si>
    <t>Sodium Vapor 400 Watt</t>
  </si>
  <si>
    <t>Sodium Vapor 1000 Watt</t>
  </si>
  <si>
    <t>LED Light 70 Watt</t>
  </si>
  <si>
    <t>LED Light 145 Watt</t>
  </si>
  <si>
    <t>LED Flood Light 199 Watt</t>
  </si>
  <si>
    <t>Street Lighting</t>
  </si>
  <si>
    <t>&lt; Rate Same as 1</t>
  </si>
  <si>
    <t>&lt; Rate Same as 2</t>
  </si>
  <si>
    <t>Target Share</t>
  </si>
  <si>
    <t>The amount of the change requested in both dollar amounts and percentage change for each customer classification to which the proposed rates will apply is set forth below:</t>
  </si>
  <si>
    <t>Increase</t>
  </si>
  <si>
    <t>Rate Class</t>
  </si>
  <si>
    <t>Dollars</t>
  </si>
  <si>
    <t>Percent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</si>
  <si>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</si>
  <si>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</si>
  <si>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</si>
  <si>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Rate</t>
  </si>
  <si>
    <t>RATES WITH NO CURRENT MEMBERS</t>
  </si>
  <si>
    <t>Customer Charge Single Phase</t>
  </si>
  <si>
    <t>Customer Charge Three Phase</t>
  </si>
  <si>
    <t>Energy Charge On Peak per kWh</t>
  </si>
  <si>
    <t>Energy Charge Off Peak per kWh</t>
  </si>
  <si>
    <t>LPC-1</t>
  </si>
  <si>
    <t>LPC-3</t>
  </si>
  <si>
    <t>LPC-4</t>
  </si>
  <si>
    <t>LPC-5</t>
  </si>
  <si>
    <t>LPE-1</t>
  </si>
  <si>
    <t>LPE-2</t>
  </si>
  <si>
    <t>LPE-3</t>
  </si>
  <si>
    <t>LPE-5</t>
  </si>
  <si>
    <t>Same as LPC2</t>
  </si>
  <si>
    <t>Same as LPE4</t>
  </si>
  <si>
    <t>Rate 5 w/ Primary Discount</t>
  </si>
  <si>
    <t>Large Commercial &amp; Industrial w/Pri Disc</t>
  </si>
  <si>
    <t>Present &amp; Proposed Rates</t>
  </si>
  <si>
    <t>2023 Rate</t>
  </si>
  <si>
    <t xml:space="preserve">          2023 Revenue</t>
  </si>
  <si>
    <t>Incr</t>
  </si>
  <si>
    <t>FAC Roll In &gt;</t>
  </si>
  <si>
    <t>Schedule LPG-1 - Large Power</t>
  </si>
  <si>
    <t>LPG-1</t>
  </si>
  <si>
    <t xml:space="preserve">Schedule LPC-1 - Large Power </t>
  </si>
  <si>
    <t xml:space="preserve">Schedule LPC-3 - Large Power </t>
  </si>
  <si>
    <t xml:space="preserve">Schedule LPC-4 - Large Power </t>
  </si>
  <si>
    <t xml:space="preserve">Schedule LPC-5 - Large Power </t>
  </si>
  <si>
    <t>Schedule LPE-1  - Large Power TOD</t>
  </si>
  <si>
    <t>Schedule LPE-2  - Large Power TOD</t>
  </si>
  <si>
    <t>Schedule LPE-3  - Large Power TOD</t>
  </si>
  <si>
    <t>Schedule LPE-5  - Large Power TOD</t>
  </si>
  <si>
    <t xml:space="preserve">    Prepay</t>
  </si>
  <si>
    <t>2023 Revenue</t>
  </si>
  <si>
    <t>Same as EKPC Rate G</t>
  </si>
  <si>
    <t>Same as EKPC Rate G plus rate adder</t>
  </si>
  <si>
    <t>FAC Roll in</t>
  </si>
  <si>
    <t>LED Light 104 Watt</t>
  </si>
  <si>
    <t>TOTAL</t>
  </si>
  <si>
    <t xml:space="preserve">Remaining Revenue Increase Allocated by East Kentucky Power Cooperative:   </t>
  </si>
  <si>
    <t xml:space="preserve">Rate C Increase Allocated by East Kentucky Power Cooperative:   </t>
  </si>
  <si>
    <t>Interruptible Service</t>
  </si>
  <si>
    <t>Demand Credit per kW - 200 Hrs</t>
  </si>
  <si>
    <t>Demand Credit per kW - 300 Hrs</t>
  </si>
  <si>
    <t>Demand Credit per kW - 400 Hrs</t>
  </si>
  <si>
    <t xml:space="preserve">Revised for </t>
  </si>
  <si>
    <t>FRECC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</si>
</sst>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  <numFmt numFmtId="167" formatCode="_(* #,##0.00000_);_(* \(#,##0.00000\);_(* &quot;-&quot;??_);_(@_)"/>
    <numFmt numFmtId="168" formatCode="_(* #,##0.000000_);_(* \(#,##0.000000\);_(* &quot;-&quot;??_);_(@_)"/>
    <numFmt numFmtId="169" formatCode="0.00000%"/>
    <numFmt numFmtId="170" formatCode="_(* #,##0.0000_);_(* \(#,##0.0000\);_(* &quot;-&quot;??_);_(@_)"/>
    <numFmt numFmtId="171" formatCode="_(&quot;$&quot;* #,##0.00000_);_(&quot;$&quot;* \(#,##0.00000\);_(&quot;$&quot;* &quot;-&quot;??_);_(@_)"/>
    <numFmt numFmtId="172" formatCode="_(&quot;$&quot;* #,##0.000000_);_(&quot;$&quot;* \(#,##0.000000\);_(&quot;$&quot;* &quot;-&quot;??_);_(@_)"/>
    <numFmt numFmtId="173" formatCode="&quot;$&quot;#,##0"/>
    <numFmt numFmtId="174" formatCode="0.00000"/>
    <numFmt numFmtId="175" formatCode="_(&quot;$&quot;* #,##0.000000_);_(&quot;$&quot;* \(#,##0.000000\);_(&quot;$&quot;* &quot;-&quot;??????_);_(@_)"/>
    <numFmt numFmtId="17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0"/>
      <color theme="1"/>
      <name val="Arial"/>
      <family val="2"/>
    </font>
    <font>
      <b/>
      <sz val="10"/>
      <color rgb="FF0000FF"/>
      <name val="Arial"/>
      <family val="2"/>
    </font>
    <font>
      <sz val="10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7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0" fontId="3" fillId="0" borderId="0" xfId="3" applyNumberFormat="1" applyFont="1"/>
    <xf numFmtId="165" fontId="3" fillId="0" borderId="0" xfId="2" applyNumberFormat="1" applyFont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5" fontId="3" fillId="0" borderId="3" xfId="2" applyNumberFormat="1" applyFont="1" applyBorder="1" applyAlignment="1">
      <alignment vertical="center"/>
    </xf>
    <xf numFmtId="10" fontId="3" fillId="0" borderId="3" xfId="3" applyNumberFormat="1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165" fontId="3" fillId="0" borderId="0" xfId="0" applyNumberFormat="1" applyFont="1"/>
    <xf numFmtId="44" fontId="3" fillId="0" borderId="0" xfId="0" applyNumberFormat="1" applyFont="1"/>
    <xf numFmtId="10" fontId="3" fillId="0" borderId="0" xfId="0" applyNumberFormat="1" applyFont="1"/>
    <xf numFmtId="43" fontId="3" fillId="0" borderId="0" xfId="1" applyFont="1"/>
    <xf numFmtId="0" fontId="3" fillId="0" borderId="5" xfId="0" applyFont="1" applyBorder="1"/>
    <xf numFmtId="165" fontId="3" fillId="0" borderId="5" xfId="2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wrapText="1"/>
    </xf>
    <xf numFmtId="0" fontId="3" fillId="0" borderId="5" xfId="0" applyFont="1" applyBorder="1" applyAlignment="1">
      <alignment vertical="center"/>
    </xf>
    <xf numFmtId="165" fontId="7" fillId="0" borderId="5" xfId="2" applyNumberFormat="1" applyFont="1" applyFill="1" applyBorder="1" applyAlignment="1">
      <alignment vertical="center"/>
    </xf>
    <xf numFmtId="10" fontId="3" fillId="0" borderId="5" xfId="3" applyNumberFormat="1" applyFont="1" applyBorder="1" applyAlignment="1">
      <alignment vertical="center"/>
    </xf>
    <xf numFmtId="10" fontId="3" fillId="0" borderId="5" xfId="0" applyNumberFormat="1" applyFont="1" applyBorder="1" applyAlignment="1">
      <alignment vertical="center"/>
    </xf>
    <xf numFmtId="43" fontId="3" fillId="0" borderId="5" xfId="1" applyFont="1" applyBorder="1"/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3" fillId="0" borderId="5" xfId="2" applyFont="1" applyBorder="1" applyAlignment="1">
      <alignment vertical="center"/>
    </xf>
    <xf numFmtId="169" fontId="3" fillId="0" borderId="0" xfId="3" applyNumberFormat="1" applyFont="1"/>
    <xf numFmtId="165" fontId="7" fillId="0" borderId="0" xfId="0" applyNumberFormat="1" applyFont="1"/>
    <xf numFmtId="10" fontId="3" fillId="0" borderId="0" xfId="3" applyNumberFormat="1" applyFont="1" applyFill="1"/>
    <xf numFmtId="165" fontId="3" fillId="0" borderId="5" xfId="3" applyNumberFormat="1" applyFont="1" applyFill="1" applyBorder="1" applyAlignment="1">
      <alignment vertical="center"/>
    </xf>
    <xf numFmtId="165" fontId="7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7" fontId="3" fillId="0" borderId="0" xfId="1" applyNumberFormat="1" applyFont="1"/>
    <xf numFmtId="0" fontId="6" fillId="0" borderId="0" xfId="0" applyFont="1"/>
    <xf numFmtId="164" fontId="3" fillId="0" borderId="0" xfId="1" applyNumberFormat="1" applyFont="1" applyAlignment="1"/>
    <xf numFmtId="9" fontId="3" fillId="0" borderId="0" xfId="3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0" fontId="3" fillId="0" borderId="2" xfId="0" applyFont="1" applyBorder="1"/>
    <xf numFmtId="165" fontId="3" fillId="0" borderId="2" xfId="2" applyNumberFormat="1" applyFont="1" applyBorder="1" applyAlignment="1"/>
    <xf numFmtId="10" fontId="3" fillId="0" borderId="2" xfId="3" applyNumberFormat="1" applyFont="1" applyBorder="1" applyAlignment="1"/>
    <xf numFmtId="165" fontId="3" fillId="0" borderId="2" xfId="0" applyNumberFormat="1" applyFont="1" applyBorder="1"/>
    <xf numFmtId="165" fontId="3" fillId="0" borderId="0" xfId="2" applyNumberFormat="1" applyFont="1" applyBorder="1" applyAlignment="1"/>
    <xf numFmtId="10" fontId="3" fillId="0" borderId="0" xfId="3" applyNumberFormat="1" applyFont="1" applyBorder="1" applyAlignment="1"/>
    <xf numFmtId="165" fontId="3" fillId="0" borderId="5" xfId="2" applyNumberFormat="1" applyFont="1" applyBorder="1" applyAlignment="1"/>
    <xf numFmtId="164" fontId="3" fillId="3" borderId="0" xfId="1" applyNumberFormat="1" applyFont="1" applyFill="1" applyAlignment="1"/>
    <xf numFmtId="0" fontId="3" fillId="3" borderId="0" xfId="0" applyFont="1" applyFill="1"/>
    <xf numFmtId="165" fontId="3" fillId="3" borderId="0" xfId="2" applyNumberFormat="1" applyFont="1" applyFill="1" applyAlignment="1"/>
    <xf numFmtId="0" fontId="3" fillId="3" borderId="2" xfId="0" applyFont="1" applyFill="1" applyBorder="1"/>
    <xf numFmtId="165" fontId="3" fillId="3" borderId="2" xfId="2" applyNumberFormat="1" applyFont="1" applyFill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9" fontId="3" fillId="0" borderId="3" xfId="3" applyFont="1" applyBorder="1" applyAlignment="1"/>
    <xf numFmtId="10" fontId="3" fillId="0" borderId="3" xfId="3" applyNumberFormat="1" applyFont="1" applyBorder="1" applyAlignment="1"/>
    <xf numFmtId="0" fontId="3" fillId="3" borderId="4" xfId="0" applyFont="1" applyFill="1" applyBorder="1"/>
    <xf numFmtId="0" fontId="3" fillId="2" borderId="0" xfId="0" applyFont="1" applyFill="1"/>
    <xf numFmtId="43" fontId="3" fillId="0" borderId="0" xfId="0" applyNumberFormat="1" applyFo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4" fontId="3" fillId="0" borderId="0" xfId="2" applyFont="1"/>
    <xf numFmtId="171" fontId="3" fillId="0" borderId="0" xfId="2" applyNumberFormat="1" applyFont="1"/>
    <xf numFmtId="0" fontId="2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70" fontId="3" fillId="0" borderId="0" xfId="1" applyNumberFormat="1" applyFont="1" applyAlignment="1">
      <alignment vertical="center"/>
    </xf>
    <xf numFmtId="172" fontId="3" fillId="0" borderId="0" xfId="2" applyNumberFormat="1" applyFont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165" fontId="3" fillId="0" borderId="0" xfId="2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4" fontId="7" fillId="0" borderId="0" xfId="1" applyNumberFormat="1" applyFont="1" applyAlignment="1">
      <alignment horizontal="right"/>
    </xf>
    <xf numFmtId="43" fontId="3" fillId="0" borderId="0" xfId="1" applyFont="1" applyAlignment="1">
      <alignment horizontal="center"/>
    </xf>
    <xf numFmtId="44" fontId="3" fillId="0" borderId="0" xfId="2" applyFont="1" applyAlignment="1">
      <alignment horizontal="right"/>
    </xf>
    <xf numFmtId="164" fontId="3" fillId="0" borderId="0" xfId="1" applyNumberFormat="1" applyFont="1"/>
    <xf numFmtId="164" fontId="3" fillId="0" borderId="0" xfId="1" applyNumberFormat="1" applyFont="1" applyAlignment="1">
      <alignment horizontal="right"/>
    </xf>
    <xf numFmtId="165" fontId="3" fillId="4" borderId="0" xfId="0" applyNumberFormat="1" applyFont="1" applyFill="1"/>
    <xf numFmtId="170" fontId="7" fillId="0" borderId="0" xfId="1" applyNumberFormat="1" applyFont="1" applyAlignment="1">
      <alignment vertical="center"/>
    </xf>
    <xf numFmtId="0" fontId="2" fillId="0" borderId="4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165" fontId="7" fillId="0" borderId="0" xfId="2" applyNumberFormat="1" applyFont="1" applyFill="1" applyAlignment="1">
      <alignment horizontal="center"/>
    </xf>
    <xf numFmtId="10" fontId="7" fillId="0" borderId="0" xfId="3" applyNumberFormat="1" applyFont="1" applyFill="1" applyAlignment="1"/>
    <xf numFmtId="165" fontId="7" fillId="0" borderId="0" xfId="2" applyNumberFormat="1" applyFont="1" applyFill="1" applyAlignment="1"/>
    <xf numFmtId="165" fontId="7" fillId="0" borderId="0" xfId="2" applyNumberFormat="1" applyFont="1" applyFill="1"/>
    <xf numFmtId="43" fontId="7" fillId="0" borderId="0" xfId="1" applyFont="1" applyFill="1"/>
    <xf numFmtId="168" fontId="7" fillId="0" borderId="0" xfId="1" applyNumberFormat="1" applyFont="1" applyFill="1"/>
    <xf numFmtId="0" fontId="7" fillId="0" borderId="5" xfId="0" applyFont="1" applyBorder="1" applyAlignment="1">
      <alignment vertical="center"/>
    </xf>
    <xf numFmtId="165" fontId="7" fillId="0" borderId="5" xfId="2" applyNumberFormat="1" applyFont="1" applyFill="1" applyBorder="1"/>
    <xf numFmtId="0" fontId="7" fillId="0" borderId="5" xfId="0" applyFont="1" applyBorder="1"/>
    <xf numFmtId="165" fontId="7" fillId="0" borderId="3" xfId="2" applyNumberFormat="1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44" fontId="7" fillId="0" borderId="0" xfId="0" applyNumberFormat="1" applyFont="1"/>
    <xf numFmtId="0" fontId="7" fillId="0" borderId="6" xfId="0" applyFont="1" applyBorder="1"/>
    <xf numFmtId="0" fontId="9" fillId="0" borderId="0" xfId="0" applyFont="1" applyAlignment="1">
      <alignment horizontal="right" wrapText="1"/>
    </xf>
    <xf numFmtId="43" fontId="7" fillId="0" borderId="0" xfId="1" applyFont="1" applyFill="1" applyAlignment="1">
      <alignment horizontal="center"/>
    </xf>
    <xf numFmtId="165" fontId="7" fillId="0" borderId="5" xfId="0" applyNumberFormat="1" applyFont="1" applyBorder="1" applyAlignment="1">
      <alignment vertical="center"/>
    </xf>
    <xf numFmtId="165" fontId="7" fillId="0" borderId="5" xfId="0" applyNumberFormat="1" applyFont="1" applyBorder="1"/>
    <xf numFmtId="174" fontId="7" fillId="0" borderId="0" xfId="0" applyNumberFormat="1" applyFont="1"/>
    <xf numFmtId="175" fontId="3" fillId="0" borderId="0" xfId="0" applyNumberFormat="1" applyFont="1"/>
    <xf numFmtId="166" fontId="3" fillId="0" borderId="0" xfId="0" applyNumberFormat="1" applyFont="1"/>
    <xf numFmtId="10" fontId="3" fillId="0" borderId="5" xfId="3" applyNumberFormat="1" applyFont="1" applyBorder="1" applyAlignment="1"/>
    <xf numFmtId="176" fontId="3" fillId="0" borderId="0" xfId="3" applyNumberFormat="1" applyFont="1"/>
    <xf numFmtId="0" fontId="11" fillId="0" borderId="4" xfId="0" applyFont="1" applyBorder="1" applyAlignment="1">
      <alignment horizontal="right" wrapText="1"/>
    </xf>
    <xf numFmtId="0" fontId="7" fillId="0" borderId="0" xfId="0" applyFont="1" applyAlignment="1">
      <alignment horizontal="right"/>
    </xf>
    <xf numFmtId="43" fontId="4" fillId="0" borderId="0" xfId="1" applyFont="1" applyFill="1"/>
    <xf numFmtId="0" fontId="3" fillId="0" borderId="7" xfId="0" applyFont="1" applyBorder="1"/>
    <xf numFmtId="43" fontId="12" fillId="0" borderId="0" xfId="1" applyFont="1" applyFill="1"/>
    <xf numFmtId="168" fontId="12" fillId="0" borderId="0" xfId="1" applyNumberFormat="1" applyFont="1" applyFill="1"/>
    <xf numFmtId="165" fontId="4" fillId="0" borderId="0" xfId="2" applyNumberFormat="1" applyFont="1" applyFill="1"/>
    <xf numFmtId="164" fontId="3" fillId="0" borderId="0" xfId="1" applyNumberFormat="1" applyFont="1" applyFill="1"/>
    <xf numFmtId="43" fontId="3" fillId="0" borderId="0" xfId="1" applyFont="1" applyFill="1"/>
    <xf numFmtId="43" fontId="3" fillId="0" borderId="0" xfId="1" applyFont="1" applyFill="1" applyAlignment="1">
      <alignment horizontal="center"/>
    </xf>
    <xf numFmtId="164" fontId="3" fillId="0" borderId="0" xfId="0" applyNumberFormat="1" applyFont="1"/>
    <xf numFmtId="168" fontId="3" fillId="0" borderId="0" xfId="1" applyNumberFormat="1" applyFont="1" applyFill="1"/>
    <xf numFmtId="165" fontId="3" fillId="0" borderId="5" xfId="0" applyNumberFormat="1" applyFont="1" applyBorder="1" applyAlignment="1">
      <alignment vertical="center"/>
    </xf>
    <xf numFmtId="165" fontId="3" fillId="0" borderId="5" xfId="0" applyNumberFormat="1" applyFont="1" applyBorder="1"/>
    <xf numFmtId="165" fontId="3" fillId="0" borderId="3" xfId="0" applyNumberFormat="1" applyFont="1" applyBorder="1" applyAlignment="1">
      <alignment vertical="center"/>
    </xf>
    <xf numFmtId="165" fontId="3" fillId="0" borderId="0" xfId="2" applyNumberFormat="1" applyFont="1" applyFill="1"/>
    <xf numFmtId="165" fontId="3" fillId="0" borderId="5" xfId="2" applyNumberFormat="1" applyFont="1" applyFill="1" applyBorder="1" applyAlignment="1">
      <alignment vertical="center"/>
    </xf>
    <xf numFmtId="10" fontId="3" fillId="0" borderId="5" xfId="3" applyNumberFormat="1" applyFont="1" applyFill="1" applyBorder="1" applyAlignment="1">
      <alignment vertical="center"/>
    </xf>
    <xf numFmtId="165" fontId="3" fillId="0" borderId="5" xfId="2" applyNumberFormat="1" applyFont="1" applyFill="1" applyBorder="1"/>
    <xf numFmtId="43" fontId="3" fillId="0" borderId="5" xfId="1" applyFont="1" applyFill="1" applyBorder="1"/>
    <xf numFmtId="165" fontId="3" fillId="0" borderId="3" xfId="2" applyNumberFormat="1" applyFont="1" applyFill="1" applyBorder="1" applyAlignment="1">
      <alignment vertical="center"/>
    </xf>
    <xf numFmtId="10" fontId="3" fillId="0" borderId="3" xfId="3" applyNumberFormat="1" applyFont="1" applyFill="1" applyBorder="1" applyAlignment="1">
      <alignment vertical="center"/>
    </xf>
    <xf numFmtId="0" fontId="3" fillId="0" borderId="2" xfId="0" applyFont="1" applyBorder="1" applyAlignment="1">
      <alignment horizontal="left"/>
    </xf>
    <xf numFmtId="173" fontId="3" fillId="0" borderId="2" xfId="0" applyNumberFormat="1" applyFont="1" applyBorder="1"/>
    <xf numFmtId="10" fontId="3" fillId="0" borderId="2" xfId="3" applyNumberFormat="1" applyFont="1" applyBorder="1"/>
    <xf numFmtId="10" fontId="3" fillId="0" borderId="2" xfId="0" applyNumberFormat="1" applyFont="1" applyBorder="1"/>
    <xf numFmtId="6" fontId="4" fillId="2" borderId="1" xfId="0" applyNumberFormat="1" applyFont="1" applyFill="1" applyBorder="1"/>
    <xf numFmtId="6" fontId="3" fillId="0" borderId="1" xfId="0" applyNumberFormat="1" applyFont="1" applyBorder="1"/>
    <xf numFmtId="0" fontId="7" fillId="0" borderId="6" xfId="0" applyFont="1" applyBorder="1" applyAlignment="1">
      <alignment horizontal="center"/>
    </xf>
    <xf numFmtId="165" fontId="7" fillId="0" borderId="0" xfId="2" applyNumberFormat="1" applyFont="1"/>
    <xf numFmtId="10" fontId="7" fillId="0" borderId="0" xfId="3" applyNumberFormat="1" applyFont="1"/>
    <xf numFmtId="10" fontId="7" fillId="0" borderId="0" xfId="3" applyNumberFormat="1" applyFont="1" applyFill="1"/>
    <xf numFmtId="171" fontId="4" fillId="0" borderId="0" xfId="2" applyNumberFormat="1" applyFont="1"/>
    <xf numFmtId="43" fontId="7" fillId="0" borderId="0" xfId="1" applyFont="1"/>
    <xf numFmtId="43" fontId="4" fillId="0" borderId="0" xfId="1" applyFont="1"/>
    <xf numFmtId="168" fontId="4" fillId="0" borderId="0" xfId="1" applyNumberFormat="1" applyFont="1" applyFill="1"/>
    <xf numFmtId="0" fontId="9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168" fontId="4" fillId="5" borderId="0" xfId="1" applyNumberFormat="1" applyFont="1" applyFill="1" applyAlignment="1">
      <alignment horizontal="center"/>
    </xf>
    <xf numFmtId="14" fontId="4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43" fontId="4" fillId="5" borderId="0" xfId="1" applyFont="1" applyFill="1"/>
    <xf numFmtId="168" fontId="4" fillId="5" borderId="0" xfId="1" applyNumberFormat="1" applyFont="1" applyFill="1"/>
    <xf numFmtId="166" fontId="4" fillId="5" borderId="0" xfId="0" applyNumberFormat="1" applyFont="1" applyFill="1"/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0000FF"/>
      <color rgb="FFFFFFCC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V40"/>
  <sheetViews>
    <sheetView view="pageBreakPreview" topLeftCell="A2" zoomScaleNormal="75" zoomScaleSheetLayoutView="100" workbookViewId="0">
      <selection activeCell="H52" sqref="H52"/>
    </sheetView>
  </sheetViews>
  <sheetFormatPr defaultColWidth="8.85546875" defaultRowHeight="12.75" x14ac:dyDescent="0.2"/>
  <cols>
    <col min="1" max="1" width="5.7109375" style="2" customWidth="1"/>
    <col min="2" max="2" width="36.5703125" style="2" customWidth="1"/>
    <col min="3" max="3" width="6.85546875" style="20" customWidth="1"/>
    <col min="4" max="4" width="18.42578125" style="2" hidden="1" customWidth="1"/>
    <col min="5" max="5" width="13.85546875" style="2" bestFit="1" customWidth="1"/>
    <col min="6" max="6" width="13.28515625" style="2" customWidth="1"/>
    <col min="7" max="7" width="13.85546875" style="2" bestFit="1" customWidth="1"/>
    <col min="8" max="8" width="10.42578125" style="2" bestFit="1" customWidth="1"/>
    <col min="9" max="9" width="12.7109375" style="2" bestFit="1" customWidth="1"/>
    <col min="10" max="10" width="16.5703125" style="2" customWidth="1"/>
    <col min="11" max="11" width="11" style="2" customWidth="1"/>
    <col min="12" max="12" width="13.42578125" style="2" customWidth="1"/>
    <col min="13" max="14" width="7.7109375" style="2" bestFit="1" customWidth="1"/>
    <col min="15" max="15" width="11.5703125" style="2" bestFit="1" customWidth="1"/>
    <col min="16" max="16" width="36.7109375" style="2" customWidth="1"/>
    <col min="17" max="17" width="16.5703125" style="2" bestFit="1" customWidth="1"/>
    <col min="18" max="18" width="14.5703125" style="2" customWidth="1"/>
    <col min="19" max="19" width="9" style="2" customWidth="1"/>
    <col min="20" max="20" width="14.7109375" style="2" customWidth="1"/>
    <col min="21" max="21" width="10" style="2" customWidth="1"/>
    <col min="22" max="16384" width="8.85546875" style="2"/>
  </cols>
  <sheetData>
    <row r="1" spans="1:22" x14ac:dyDescent="0.2">
      <c r="A1" s="1" t="s">
        <v>54</v>
      </c>
    </row>
    <row r="2" spans="1:22" x14ac:dyDescent="0.2">
      <c r="A2" s="1" t="s">
        <v>0</v>
      </c>
    </row>
    <row r="3" spans="1:22" x14ac:dyDescent="0.2">
      <c r="A3" s="1"/>
    </row>
    <row r="4" spans="1:22" x14ac:dyDescent="0.2">
      <c r="A4" s="1"/>
      <c r="K4" s="35" t="s">
        <v>36</v>
      </c>
      <c r="L4" s="154">
        <f>L5+L6</f>
        <v>2096460.6261349965</v>
      </c>
      <c r="M4" s="4"/>
    </row>
    <row r="5" spans="1:22" x14ac:dyDescent="0.2">
      <c r="A5" s="1"/>
      <c r="K5" s="35" t="s">
        <v>132</v>
      </c>
      <c r="L5" s="153">
        <v>244688.277</v>
      </c>
      <c r="M5" s="4"/>
    </row>
    <row r="6" spans="1:22" x14ac:dyDescent="0.2">
      <c r="A6" s="1"/>
      <c r="K6" s="35" t="s">
        <v>131</v>
      </c>
      <c r="L6" s="153">
        <v>1851772.3491349965</v>
      </c>
      <c r="M6" s="4"/>
    </row>
    <row r="7" spans="1:22" x14ac:dyDescent="0.2">
      <c r="M7" s="4"/>
      <c r="N7" s="4"/>
    </row>
    <row r="8" spans="1:22" s="12" customFormat="1" ht="31.9" customHeight="1" x14ac:dyDescent="0.2">
      <c r="A8" s="10" t="s">
        <v>1</v>
      </c>
      <c r="B8" s="10" t="s">
        <v>2</v>
      </c>
      <c r="C8" s="11" t="s">
        <v>11</v>
      </c>
      <c r="D8" s="13" t="s">
        <v>125</v>
      </c>
      <c r="E8" s="13" t="s">
        <v>3</v>
      </c>
      <c r="F8" s="13" t="s">
        <v>20</v>
      </c>
      <c r="G8" s="13" t="s">
        <v>31</v>
      </c>
      <c r="H8" s="13" t="s">
        <v>32</v>
      </c>
      <c r="I8" s="13" t="s">
        <v>33</v>
      </c>
      <c r="J8" s="13" t="s">
        <v>4</v>
      </c>
      <c r="K8" s="13" t="s">
        <v>22</v>
      </c>
      <c r="L8" s="13" t="s">
        <v>44</v>
      </c>
      <c r="M8" s="11" t="s">
        <v>42</v>
      </c>
      <c r="N8" s="11" t="s">
        <v>43</v>
      </c>
      <c r="O8" s="13" t="s">
        <v>35</v>
      </c>
      <c r="Q8" s="5"/>
      <c r="R8" s="126"/>
      <c r="S8" s="2"/>
      <c r="T8" s="2"/>
      <c r="U8" s="2"/>
      <c r="V8" s="2"/>
    </row>
    <row r="9" spans="1:22" x14ac:dyDescent="0.2">
      <c r="A9" s="3">
        <v>1</v>
      </c>
      <c r="B9" s="47" t="s">
        <v>5</v>
      </c>
      <c r="C9" s="77"/>
      <c r="D9" s="47"/>
      <c r="E9" s="48"/>
      <c r="F9" s="49"/>
      <c r="G9" s="49"/>
      <c r="H9" s="12"/>
      <c r="I9" s="12"/>
      <c r="J9" s="48"/>
      <c r="K9" s="49"/>
      <c r="L9" s="48"/>
      <c r="M9" s="50"/>
      <c r="N9" s="50"/>
    </row>
    <row r="10" spans="1:22" x14ac:dyDescent="0.2">
      <c r="A10" s="3">
        <f>A9+1</f>
        <v>2</v>
      </c>
      <c r="B10" s="2" t="str">
        <f>'Billing Detail'!B7</f>
        <v xml:space="preserve">Residential </v>
      </c>
      <c r="C10" s="20">
        <f>'Billing Detail'!C7</f>
        <v>1</v>
      </c>
      <c r="D10" s="51">
        <f>'Billing Detail'!G10</f>
        <v>33294150.286599997</v>
      </c>
      <c r="E10" s="51">
        <f>'Billing Detail'!I10</f>
        <v>36742830.474999994</v>
      </c>
      <c r="F10" s="50">
        <f t="shared" ref="F10:F23" si="0">E10/E$23</f>
        <v>0.70127661482659487</v>
      </c>
      <c r="G10" s="104">
        <f>E10</f>
        <v>36742830.474999994</v>
      </c>
      <c r="H10" s="105">
        <f t="shared" ref="H10:H22" si="1">G10/G$23</f>
        <v>0.70127661482659487</v>
      </c>
      <c r="I10" s="106">
        <f t="shared" ref="I10:I22" si="2">ROUND(L$6*H10,2)</f>
        <v>1298604.6399999999</v>
      </c>
      <c r="J10" s="106">
        <f>'Billing Detail'!M10</f>
        <v>38040660.579280004</v>
      </c>
      <c r="K10" s="105">
        <f t="shared" ref="K10:K23" si="3">J10/J$23</f>
        <v>0.70126712298550964</v>
      </c>
      <c r="L10" s="106">
        <f>'Billing Detail'!N10</f>
        <v>1297830.1042800033</v>
      </c>
      <c r="M10" s="105">
        <f>IF(E10=0,0,L10/E10)</f>
        <v>3.5321995815293911E-2</v>
      </c>
      <c r="N10" s="105">
        <f>'Billing Detail'!O16</f>
        <v>3.1805271848702507E-2</v>
      </c>
      <c r="O10" s="39">
        <f>J10-I10-E10</f>
        <v>-774.53571999073029</v>
      </c>
      <c r="Q10" s="14"/>
      <c r="R10" s="4"/>
    </row>
    <row r="11" spans="1:22" x14ac:dyDescent="0.2">
      <c r="A11" s="3">
        <f t="shared" ref="A11:A39" si="4">A10+1</f>
        <v>3</v>
      </c>
      <c r="B11" s="2" t="str">
        <f>'Billing Detail'!B19</f>
        <v>Residential TOD</v>
      </c>
      <c r="C11" s="20">
        <f>'Billing Detail'!C19</f>
        <v>3</v>
      </c>
      <c r="D11" s="51">
        <f>'Billing Detail'!G23</f>
        <v>1186.300663</v>
      </c>
      <c r="E11" s="51">
        <f>'Billing Detail'!I23</f>
        <v>1323.962113</v>
      </c>
      <c r="F11" s="50">
        <f t="shared" si="0"/>
        <v>2.5269247272472299E-5</v>
      </c>
      <c r="G11" s="104">
        <f t="shared" ref="G11:G22" si="5">E11</f>
        <v>1323.962113</v>
      </c>
      <c r="H11" s="105">
        <f t="shared" si="1"/>
        <v>2.5269247272472299E-5</v>
      </c>
      <c r="I11" s="106">
        <f t="shared" si="2"/>
        <v>46.79</v>
      </c>
      <c r="J11" s="106">
        <f>'Billing Detail'!M23</f>
        <v>1370.7162209999999</v>
      </c>
      <c r="K11" s="105">
        <f t="shared" si="3"/>
        <v>2.5268704751510215E-5</v>
      </c>
      <c r="L11" s="106">
        <f>'Billing Detail'!N23</f>
        <v>46.754107999999974</v>
      </c>
      <c r="M11" s="105">
        <f t="shared" ref="M11:M22" si="6">IF(E11=0,0,L11/E11)</f>
        <v>3.5313780916327454E-2</v>
      </c>
      <c r="N11" s="105">
        <f>'Billing Detail'!O29</f>
        <v>3.1739646961483944E-2</v>
      </c>
      <c r="O11" s="39">
        <f t="shared" ref="O11:O23" si="7">J11-I11-E11</f>
        <v>-3.5892000000103508E-2</v>
      </c>
      <c r="Q11" s="14"/>
    </row>
    <row r="12" spans="1:22" x14ac:dyDescent="0.2">
      <c r="A12" s="3">
        <f t="shared" si="4"/>
        <v>4</v>
      </c>
      <c r="B12" s="2" t="str">
        <f>'Billing Detail'!B32</f>
        <v>Net Metering</v>
      </c>
      <c r="C12" s="20">
        <f>'Billing Detail'!C32</f>
        <v>20</v>
      </c>
      <c r="D12" s="51">
        <f>'Billing Detail'!G35</f>
        <v>139692.76347499999</v>
      </c>
      <c r="E12" s="51">
        <f>'Billing Detail'!I35</f>
        <v>155165.17812500001</v>
      </c>
      <c r="F12" s="50">
        <f t="shared" si="0"/>
        <v>2.9614950576141107E-3</v>
      </c>
      <c r="G12" s="104">
        <f t="shared" si="5"/>
        <v>155165.17812500001</v>
      </c>
      <c r="H12" s="105">
        <f t="shared" si="1"/>
        <v>2.9614950576141107E-3</v>
      </c>
      <c r="I12" s="106">
        <f t="shared" si="2"/>
        <v>5484.01</v>
      </c>
      <c r="J12" s="106">
        <f>'Billing Detail'!M35</f>
        <v>160646.93453</v>
      </c>
      <c r="K12" s="105">
        <f t="shared" si="3"/>
        <v>2.9614736410664842E-3</v>
      </c>
      <c r="L12" s="106">
        <f>'Billing Detail'!N35</f>
        <v>5481.7564050000037</v>
      </c>
      <c r="M12" s="105">
        <f t="shared" si="6"/>
        <v>3.5328521974072935E-2</v>
      </c>
      <c r="N12" s="105">
        <f>'Billing Detail'!O41</f>
        <v>3.4907185129320728E-2</v>
      </c>
      <c r="O12" s="39">
        <f t="shared" si="7"/>
        <v>-2.253595000016503</v>
      </c>
      <c r="Q12" s="14"/>
    </row>
    <row r="13" spans="1:22" x14ac:dyDescent="0.2">
      <c r="A13" s="3">
        <f t="shared" si="4"/>
        <v>5</v>
      </c>
      <c r="B13" s="2" t="str">
        <f>'Billing Detail'!B44</f>
        <v>Residential Off-Peak Mktg ETS</v>
      </c>
      <c r="C13" s="20">
        <f>'Billing Detail'!C44</f>
        <v>7</v>
      </c>
      <c r="D13" s="51">
        <f>'Billing Detail'!G47</f>
        <v>18590.121512999998</v>
      </c>
      <c r="E13" s="51">
        <f>'Billing Detail'!I47</f>
        <v>22123.684862999999</v>
      </c>
      <c r="F13" s="50">
        <f t="shared" si="0"/>
        <v>4.2225442699008668E-4</v>
      </c>
      <c r="G13" s="104">
        <f t="shared" si="5"/>
        <v>22123.684862999999</v>
      </c>
      <c r="H13" s="105">
        <f t="shared" si="1"/>
        <v>4.2225442699008668E-4</v>
      </c>
      <c r="I13" s="106">
        <f t="shared" si="2"/>
        <v>781.92</v>
      </c>
      <c r="J13" s="106">
        <f>'Billing Detail'!M47</f>
        <v>22905.541664999997</v>
      </c>
      <c r="K13" s="105">
        <f t="shared" si="3"/>
        <v>4.2225616115058775E-4</v>
      </c>
      <c r="L13" s="106">
        <f>'Billing Detail'!N47</f>
        <v>781.85680199999842</v>
      </c>
      <c r="M13" s="105">
        <f>IF(E13=0,0,L13/E13)</f>
        <v>3.5340261210626271E-2</v>
      </c>
      <c r="N13" s="105">
        <f>'Billing Detail'!O53</f>
        <v>3.1358486533619022E-2</v>
      </c>
      <c r="O13" s="39">
        <f>J13-I13-E13</f>
        <v>-6.3197999999829335E-2</v>
      </c>
      <c r="Q13" s="14"/>
    </row>
    <row r="14" spans="1:22" x14ac:dyDescent="0.2">
      <c r="A14" s="3">
        <f t="shared" si="4"/>
        <v>6</v>
      </c>
      <c r="B14" s="2" t="str">
        <f>'Billing Detail'!B56</f>
        <v>Commercial &amp; Industrial &lt; 50 KW</v>
      </c>
      <c r="C14" s="20">
        <f>'Billing Detail'!C56</f>
        <v>4</v>
      </c>
      <c r="D14" s="51">
        <f>'Billing Detail'!G59</f>
        <v>3322119.298312</v>
      </c>
      <c r="E14" s="51">
        <f>'Billing Detail'!I59</f>
        <v>3691828.2304119999</v>
      </c>
      <c r="F14" s="50">
        <f t="shared" si="0"/>
        <v>7.046253025351841E-2</v>
      </c>
      <c r="G14" s="104">
        <f t="shared" si="5"/>
        <v>3691828.2304119999</v>
      </c>
      <c r="H14" s="105">
        <f t="shared" si="1"/>
        <v>7.046253025351841E-2</v>
      </c>
      <c r="I14" s="106">
        <f t="shared" si="2"/>
        <v>130480.57</v>
      </c>
      <c r="J14" s="106">
        <f>'Billing Detail'!M59</f>
        <v>3822340.9427319998</v>
      </c>
      <c r="K14" s="105">
        <f t="shared" si="3"/>
        <v>7.0463603816580289E-2</v>
      </c>
      <c r="L14" s="106">
        <f>'Billing Detail'!N59</f>
        <v>130512.71231999993</v>
      </c>
      <c r="M14" s="105">
        <f t="shared" ref="M14" si="8">IF(E14=0,0,L14/E14)</f>
        <v>3.5351783499806819E-2</v>
      </c>
      <c r="N14" s="105">
        <f>'Billing Detail'!O65</f>
        <v>3.1885761423627625E-2</v>
      </c>
      <c r="O14" s="39">
        <f t="shared" ref="O14" si="9">J14-I14-E14</f>
        <v>32.142320000100881</v>
      </c>
      <c r="Q14" s="14"/>
    </row>
    <row r="15" spans="1:22" x14ac:dyDescent="0.2">
      <c r="A15" s="3">
        <f t="shared" si="4"/>
        <v>7</v>
      </c>
      <c r="B15" s="2" t="str">
        <f>'Billing Detail'!B68</f>
        <v>Commercial &amp; Industrial &gt; 50 KW</v>
      </c>
      <c r="C15" s="20">
        <f>'Billing Detail'!C68</f>
        <v>5</v>
      </c>
      <c r="D15" s="51">
        <f>'Billing Detail'!G72</f>
        <v>5229243.7484599994</v>
      </c>
      <c r="E15" s="51">
        <f>'Billing Detail'!I72</f>
        <v>5835087.2039599996</v>
      </c>
      <c r="F15" s="50">
        <f t="shared" si="0"/>
        <v>0.11136894323901565</v>
      </c>
      <c r="G15" s="104">
        <f t="shared" si="5"/>
        <v>5835087.2039599996</v>
      </c>
      <c r="H15" s="105">
        <f t="shared" si="1"/>
        <v>0.11136894323901565</v>
      </c>
      <c r="I15" s="106">
        <f t="shared" si="2"/>
        <v>206229.93</v>
      </c>
      <c r="J15" s="106">
        <f>'Billing Detail'!M72</f>
        <v>6041324.0763841551</v>
      </c>
      <c r="K15" s="105">
        <f t="shared" si="3"/>
        <v>0.11136983137397435</v>
      </c>
      <c r="L15" s="106">
        <f>'Billing Detail'!N72</f>
        <v>206236.87242415582</v>
      </c>
      <c r="M15" s="105">
        <f t="shared" ref="M15:M16" si="10">IF(E15=0,0,L15/E15)</f>
        <v>3.5344265683671792E-2</v>
      </c>
      <c r="N15" s="105">
        <f>'Billing Detail'!O78</f>
        <v>3.189025747682963E-2</v>
      </c>
      <c r="O15" s="39">
        <f t="shared" si="7"/>
        <v>6.9424241557717323</v>
      </c>
      <c r="Q15" s="14"/>
    </row>
    <row r="16" spans="1:22" x14ac:dyDescent="0.2">
      <c r="A16" s="3">
        <f t="shared" si="4"/>
        <v>8</v>
      </c>
      <c r="B16" s="2" t="str">
        <f>'Billing Detail'!B81</f>
        <v>Large Commercial &amp; Industrial w/Pri Disc</v>
      </c>
      <c r="C16" s="20">
        <f>'Billing Detail'!C81</f>
        <v>9</v>
      </c>
      <c r="D16" s="51">
        <f>'Billing Detail'!G85</f>
        <v>1895238.93</v>
      </c>
      <c r="E16" s="51">
        <f>'Billing Detail'!I85</f>
        <v>2179795.35</v>
      </c>
      <c r="F16" s="50">
        <f t="shared" si="0"/>
        <v>4.1603749202251759E-2</v>
      </c>
      <c r="G16" s="104">
        <f t="shared" si="5"/>
        <v>2179795.35</v>
      </c>
      <c r="H16" s="105">
        <f t="shared" si="1"/>
        <v>4.1603749202251759E-2</v>
      </c>
      <c r="I16" s="106">
        <f t="shared" si="2"/>
        <v>77040.67</v>
      </c>
      <c r="J16" s="106">
        <f>'Billing Detail'!M85</f>
        <v>2256839.3272303799</v>
      </c>
      <c r="K16" s="105">
        <f t="shared" si="3"/>
        <v>4.160409409161097E-2</v>
      </c>
      <c r="L16" s="106">
        <f>'Billing Detail'!N85</f>
        <v>77043.977230379896</v>
      </c>
      <c r="M16" s="105">
        <f t="shared" si="10"/>
        <v>3.534459197299411E-2</v>
      </c>
      <c r="N16" s="105">
        <f>'Billing Detail'!O91</f>
        <v>3.1858939582623549E-2</v>
      </c>
      <c r="O16" s="39">
        <f t="shared" si="7"/>
        <v>3.3072303798981011</v>
      </c>
      <c r="Q16" s="14"/>
    </row>
    <row r="17" spans="1:19" x14ac:dyDescent="0.2">
      <c r="A17" s="3">
        <f t="shared" si="4"/>
        <v>9</v>
      </c>
      <c r="B17" s="2" t="str">
        <f>'Billing Detail'!B107</f>
        <v>Large Power Schedule LPC2</v>
      </c>
      <c r="C17" s="20">
        <f>'Billing Detail'!C107</f>
        <v>14</v>
      </c>
      <c r="D17" s="51">
        <f>'Billing Detail'!G111</f>
        <v>616841.44620000012</v>
      </c>
      <c r="E17" s="51">
        <f>'Billing Detail'!I111</f>
        <v>711838.15620000008</v>
      </c>
      <c r="F17" s="50">
        <f t="shared" si="0"/>
        <v>1.3586200247256291E-2</v>
      </c>
      <c r="G17" s="104">
        <f t="shared" si="5"/>
        <v>711838.15620000008</v>
      </c>
      <c r="H17" s="105">
        <f t="shared" si="1"/>
        <v>1.3586200247256291E-2</v>
      </c>
      <c r="I17" s="106">
        <f t="shared" si="2"/>
        <v>25158.55</v>
      </c>
      <c r="J17" s="106">
        <f>'Billing Detail'!M111</f>
        <v>737063.12939999998</v>
      </c>
      <c r="K17" s="105">
        <f t="shared" si="3"/>
        <v>1.3587517470571152E-2</v>
      </c>
      <c r="L17" s="106">
        <f>'Billing Detail'!N111</f>
        <v>25224.973199999862</v>
      </c>
      <c r="M17" s="105">
        <f t="shared" ref="M17:M21" si="11">IF(E17=0,0,L17/E17)</f>
        <v>3.5436388145668019E-2</v>
      </c>
      <c r="N17" s="105">
        <f>'Billing Detail'!O117</f>
        <v>3.1949139349952582E-2</v>
      </c>
      <c r="O17" s="39">
        <f t="shared" ref="O17:O21" si="12">J17-I17-E17</f>
        <v>66.423199999844655</v>
      </c>
      <c r="Q17" s="14"/>
    </row>
    <row r="18" spans="1:19" x14ac:dyDescent="0.2">
      <c r="A18" s="3">
        <f t="shared" si="4"/>
        <v>10</v>
      </c>
      <c r="B18" s="2" t="str">
        <f>'Billing Detail'!B120</f>
        <v>Large Commercial Optional TOD</v>
      </c>
      <c r="C18" s="20">
        <f>'Billing Detail'!C120</f>
        <v>15</v>
      </c>
      <c r="D18" s="51">
        <f>'Billing Detail'!G124</f>
        <v>103250.8456</v>
      </c>
      <c r="E18" s="51">
        <f>'Billing Detail'!I124</f>
        <v>112550.72560000001</v>
      </c>
      <c r="F18" s="50">
        <f t="shared" si="0"/>
        <v>2.1481521925413118E-3</v>
      </c>
      <c r="G18" s="104">
        <f t="shared" si="5"/>
        <v>112550.72560000001</v>
      </c>
      <c r="H18" s="105">
        <f t="shared" si="1"/>
        <v>2.1481521925413118E-3</v>
      </c>
      <c r="I18" s="106">
        <f t="shared" si="2"/>
        <v>3977.89</v>
      </c>
      <c r="J18" s="106">
        <f>'Billing Detail'!M124</f>
        <v>116549.0904</v>
      </c>
      <c r="K18" s="105">
        <f t="shared" si="3"/>
        <v>2.148544322490128E-3</v>
      </c>
      <c r="L18" s="106">
        <f>'Billing Detail'!N124</f>
        <v>3998.3648000000021</v>
      </c>
      <c r="M18" s="105">
        <f t="shared" si="11"/>
        <v>3.5525002426106102E-2</v>
      </c>
      <c r="N18" s="105">
        <f>'Billing Detail'!O130</f>
        <v>3.1752719082396498E-2</v>
      </c>
      <c r="O18" s="39">
        <f t="shared" si="12"/>
        <v>20.474799999996321</v>
      </c>
      <c r="Q18" s="14"/>
    </row>
    <row r="19" spans="1:19" x14ac:dyDescent="0.2">
      <c r="A19" s="3">
        <f t="shared" si="4"/>
        <v>11</v>
      </c>
      <c r="B19" s="2" t="str">
        <f>'Billing Detail'!B133</f>
        <v>Large Power Schedule LPE4</v>
      </c>
      <c r="C19" s="20">
        <f>'Billing Detail'!C133</f>
        <v>36</v>
      </c>
      <c r="D19" s="51">
        <f>'Billing Detail'!G138</f>
        <v>1540584.719273</v>
      </c>
      <c r="E19" s="51">
        <f>'Billing Detail'!I138</f>
        <v>1777892.2504730001</v>
      </c>
      <c r="F19" s="50">
        <f t="shared" si="0"/>
        <v>3.3932994350733728E-2</v>
      </c>
      <c r="G19" s="104">
        <f t="shared" si="5"/>
        <v>1777892.2504730001</v>
      </c>
      <c r="H19" s="105">
        <f t="shared" si="1"/>
        <v>3.3932994350733728E-2</v>
      </c>
      <c r="I19" s="106">
        <f t="shared" si="2"/>
        <v>62836.18</v>
      </c>
      <c r="J19" s="106">
        <f>'Billing Detail'!M138</f>
        <v>1840888.8786780001</v>
      </c>
      <c r="K19" s="105">
        <f t="shared" si="3"/>
        <v>3.3936183757799922E-2</v>
      </c>
      <c r="L19" s="106">
        <f>'Billing Detail'!N138</f>
        <v>62996.628204999914</v>
      </c>
      <c r="M19" s="105">
        <f t="shared" si="11"/>
        <v>3.5433321782149592E-2</v>
      </c>
      <c r="N19" s="105">
        <f>'Billing Detail'!O144</f>
        <v>3.1972653690009747E-2</v>
      </c>
      <c r="O19" s="39">
        <f t="shared" si="12"/>
        <v>160.44820500002243</v>
      </c>
      <c r="Q19" s="14"/>
    </row>
    <row r="20" spans="1:19" x14ac:dyDescent="0.2">
      <c r="A20" s="3">
        <f t="shared" si="4"/>
        <v>12</v>
      </c>
      <c r="B20" s="2" t="str">
        <f>'Billing Detail'!B147</f>
        <v>TOD Three Phase - Schedule C</v>
      </c>
      <c r="C20" s="20">
        <f>'Billing Detail'!C147</f>
        <v>50</v>
      </c>
      <c r="D20" s="51">
        <f>'Billing Detail'!G152</f>
        <v>31596.551963999998</v>
      </c>
      <c r="E20" s="51">
        <f>'Billing Detail'!I152</f>
        <v>34800.626063999996</v>
      </c>
      <c r="F20" s="50">
        <f t="shared" si="0"/>
        <v>6.6420754537713895E-4</v>
      </c>
      <c r="G20" s="104">
        <f t="shared" si="5"/>
        <v>34800.626063999996</v>
      </c>
      <c r="H20" s="105">
        <f t="shared" si="1"/>
        <v>6.6420754537713895E-4</v>
      </c>
      <c r="I20" s="106">
        <f t="shared" si="2"/>
        <v>1229.96</v>
      </c>
      <c r="J20" s="106">
        <f>'Billing Detail'!M152</f>
        <v>36030.506217999995</v>
      </c>
      <c r="K20" s="105">
        <f t="shared" si="3"/>
        <v>6.6421058547471204E-4</v>
      </c>
      <c r="L20" s="106">
        <f>'Billing Detail'!N152</f>
        <v>1229.8801539999986</v>
      </c>
      <c r="M20" s="105">
        <f t="shared" si="11"/>
        <v>3.5340747943390177E-2</v>
      </c>
      <c r="N20" s="105">
        <f>'Billing Detail'!O158</f>
        <v>3.1576468769466071E-2</v>
      </c>
      <c r="O20" s="39">
        <f t="shared" si="12"/>
        <v>-7.9846000000543427E-2</v>
      </c>
      <c r="Q20" s="14"/>
    </row>
    <row r="21" spans="1:19" x14ac:dyDescent="0.2">
      <c r="A21" s="3">
        <f t="shared" si="4"/>
        <v>13</v>
      </c>
      <c r="B21" s="2" t="str">
        <f>'Billing Detail'!B161</f>
        <v>Street Lighting</v>
      </c>
      <c r="C21" s="20">
        <f>'Billing Detail'!C161</f>
        <v>6</v>
      </c>
      <c r="D21" s="51">
        <f>'Billing Detail'!G164</f>
        <v>19023.340752000004</v>
      </c>
      <c r="E21" s="51">
        <f>'Billing Detail'!I164</f>
        <v>22999.679352000003</v>
      </c>
      <c r="F21" s="50">
        <f t="shared" si="0"/>
        <v>4.3897372819554656E-4</v>
      </c>
      <c r="G21" s="104">
        <f t="shared" si="5"/>
        <v>22999.679352000003</v>
      </c>
      <c r="H21" s="105">
        <f t="shared" si="1"/>
        <v>4.3897372819554656E-4</v>
      </c>
      <c r="I21" s="106">
        <f t="shared" si="2"/>
        <v>812.88</v>
      </c>
      <c r="J21" s="106">
        <f>'Billing Detail'!M164</f>
        <v>23812.395983999999</v>
      </c>
      <c r="K21" s="105">
        <f t="shared" si="3"/>
        <v>4.3897372361054415E-4</v>
      </c>
      <c r="L21" s="106">
        <f>'Billing Detail'!N164</f>
        <v>812.71663199999603</v>
      </c>
      <c r="M21" s="105">
        <f t="shared" si="11"/>
        <v>3.5335998365965217E-2</v>
      </c>
      <c r="N21" s="105">
        <f>'Billing Detail'!O170</f>
        <v>2.408108447973744E-2</v>
      </c>
      <c r="O21" s="39">
        <f t="shared" si="12"/>
        <v>-0.16336800000499352</v>
      </c>
      <c r="Q21" s="14"/>
    </row>
    <row r="22" spans="1:19" x14ac:dyDescent="0.2">
      <c r="A22" s="3">
        <f t="shared" si="4"/>
        <v>14</v>
      </c>
      <c r="B22" s="2" t="str">
        <f>'Billing Detail'!B173</f>
        <v>Lighting</v>
      </c>
      <c r="C22" s="20">
        <f>'Billing Detail'!C173</f>
        <v>6</v>
      </c>
      <c r="D22" s="51">
        <f>'Billing Detail'!G188</f>
        <v>1058358.57</v>
      </c>
      <c r="E22" s="51">
        <f>'Billing Detail'!I188</f>
        <v>1105969.1299999999</v>
      </c>
      <c r="F22" s="50">
        <f t="shared" si="0"/>
        <v>2.110861568263854E-2</v>
      </c>
      <c r="G22" s="104">
        <f t="shared" si="5"/>
        <v>1105969.1299999999</v>
      </c>
      <c r="H22" s="105">
        <f t="shared" si="1"/>
        <v>2.110861568263854E-2</v>
      </c>
      <c r="I22" s="106">
        <f t="shared" si="2"/>
        <v>39088.35</v>
      </c>
      <c r="J22" s="106">
        <f>'Billing Detail'!M188</f>
        <v>1145174.6300000001</v>
      </c>
      <c r="K22" s="105">
        <f t="shared" si="3"/>
        <v>2.1110919365409594E-2</v>
      </c>
      <c r="L22" s="106">
        <f t="shared" ref="L22:L23" si="13">J22-E22</f>
        <v>39205.500000000233</v>
      </c>
      <c r="M22" s="105">
        <f t="shared" si="6"/>
        <v>3.5449000280867005E-2</v>
      </c>
      <c r="N22" s="105">
        <f>'Billing Detail'!O194</f>
        <v>3.5449000280867005E-2</v>
      </c>
      <c r="O22" s="39">
        <f t="shared" si="7"/>
        <v>117.1500000001397</v>
      </c>
      <c r="Q22" s="14"/>
    </row>
    <row r="23" spans="1:19" ht="16.149999999999999" customHeight="1" x14ac:dyDescent="0.2">
      <c r="A23" s="3">
        <f t="shared" si="4"/>
        <v>15</v>
      </c>
      <c r="B23" s="52" t="s">
        <v>41</v>
      </c>
      <c r="C23" s="78"/>
      <c r="D23" s="53">
        <f>SUM(D10:D22)</f>
        <v>47269876.922812</v>
      </c>
      <c r="E23" s="53">
        <f>SUM(E10:E22)</f>
        <v>52394204.652162001</v>
      </c>
      <c r="F23" s="54">
        <f t="shared" si="0"/>
        <v>1</v>
      </c>
      <c r="G23" s="53">
        <f>SUM(G10:G22)</f>
        <v>52394204.652162001</v>
      </c>
      <c r="H23" s="54">
        <v>1</v>
      </c>
      <c r="I23" s="53">
        <f>SUM(I10:I22)</f>
        <v>1851772.3399999996</v>
      </c>
      <c r="J23" s="53">
        <f>SUM(J10:J22)</f>
        <v>54245606.748722546</v>
      </c>
      <c r="K23" s="54">
        <f t="shared" si="3"/>
        <v>1</v>
      </c>
      <c r="L23" s="53">
        <f t="shared" si="13"/>
        <v>1851402.0965605453</v>
      </c>
      <c r="M23" s="54">
        <f t="shared" ref="M23" si="14">L23/E23</f>
        <v>3.5336009179865444E-2</v>
      </c>
      <c r="N23" s="54"/>
      <c r="O23" s="55">
        <f t="shared" si="7"/>
        <v>-370.24343945086002</v>
      </c>
      <c r="Q23" s="14"/>
    </row>
    <row r="24" spans="1:19" ht="16.149999999999999" customHeight="1" x14ac:dyDescent="0.2">
      <c r="A24" s="3">
        <f t="shared" si="4"/>
        <v>16</v>
      </c>
      <c r="D24" s="56"/>
      <c r="E24" s="56"/>
      <c r="F24" s="57"/>
      <c r="G24" s="56"/>
      <c r="H24" s="57"/>
      <c r="I24" s="56"/>
      <c r="J24" s="56"/>
      <c r="K24" s="57"/>
      <c r="L24" s="56"/>
      <c r="M24" s="57"/>
      <c r="N24" s="57"/>
      <c r="O24" s="14"/>
      <c r="Q24" s="14"/>
    </row>
    <row r="25" spans="1:19" ht="16.149999999999999" customHeight="1" x14ac:dyDescent="0.2">
      <c r="A25" s="3">
        <f t="shared" si="4"/>
        <v>17</v>
      </c>
      <c r="B25" s="2" t="str">
        <f>'Billing Detail'!B94</f>
        <v>Large Industrial</v>
      </c>
      <c r="C25" s="20">
        <f>'Billing Detail'!C94</f>
        <v>10</v>
      </c>
      <c r="D25" s="51">
        <f>'Billing Detail'!G98</f>
        <v>2490000.9647999997</v>
      </c>
      <c r="E25" s="51">
        <f>'Billing Detail'!I98</f>
        <v>2904400.2047999999</v>
      </c>
      <c r="F25" s="50">
        <v>1</v>
      </c>
      <c r="G25" s="104">
        <f>E25</f>
        <v>2904400.2047999999</v>
      </c>
      <c r="H25" s="105">
        <v>1</v>
      </c>
      <c r="I25" s="106">
        <f>ROUND(L$5*H25,2)</f>
        <v>244688.28</v>
      </c>
      <c r="J25" s="106">
        <f>'Billing Detail'!M98</f>
        <v>3149123.6736000003</v>
      </c>
      <c r="K25" s="105">
        <f>J25/J$25</f>
        <v>1</v>
      </c>
      <c r="L25" s="106">
        <f>'Billing Detail'!N98</f>
        <v>244723.46880000041</v>
      </c>
      <c r="M25" s="105">
        <f>IF(E25=0,0,L25/E25)</f>
        <v>8.4259555000565881E-2</v>
      </c>
      <c r="N25" s="105">
        <f>'Billing Detail'!O104</f>
        <v>7.6017813112735602E-2</v>
      </c>
      <c r="O25" s="39">
        <f>J25-I25-E25</f>
        <v>35.188800000585616</v>
      </c>
      <c r="Q25" s="14"/>
    </row>
    <row r="26" spans="1:19" ht="16.149999999999999" customHeight="1" x14ac:dyDescent="0.2">
      <c r="A26" s="3">
        <f t="shared" si="4"/>
        <v>18</v>
      </c>
      <c r="D26" s="56"/>
      <c r="E26" s="56"/>
      <c r="F26" s="57"/>
      <c r="G26" s="56"/>
      <c r="H26" s="57"/>
      <c r="I26" s="56"/>
      <c r="J26" s="56"/>
      <c r="K26" s="57"/>
      <c r="L26" s="56"/>
      <c r="M26" s="57"/>
      <c r="N26" s="57"/>
      <c r="O26" s="14"/>
      <c r="Q26" s="14"/>
    </row>
    <row r="27" spans="1:19" ht="16.149999999999999" customHeight="1" x14ac:dyDescent="0.2">
      <c r="A27" s="3">
        <f t="shared" si="4"/>
        <v>19</v>
      </c>
      <c r="B27" s="18" t="s">
        <v>40</v>
      </c>
      <c r="C27" s="79"/>
      <c r="D27" s="58">
        <f>D23</f>
        <v>47269876.922812</v>
      </c>
      <c r="E27" s="58">
        <f>E23+E25</f>
        <v>55298604.856962003</v>
      </c>
      <c r="F27" s="125"/>
      <c r="G27" s="58">
        <f>G23+G25</f>
        <v>55298604.856962003</v>
      </c>
      <c r="H27" s="125"/>
      <c r="I27" s="58">
        <f>I23+I25</f>
        <v>2096460.6199999996</v>
      </c>
      <c r="J27" s="58">
        <f>J23+J25</f>
        <v>57394730.422322549</v>
      </c>
      <c r="K27" s="125"/>
      <c r="L27" s="58">
        <f>L23+L25</f>
        <v>2096125.5653605456</v>
      </c>
      <c r="M27" s="125">
        <f>M23</f>
        <v>3.5336009179865444E-2</v>
      </c>
      <c r="N27" s="58"/>
      <c r="O27" s="58">
        <f>O23</f>
        <v>-370.24343945086002</v>
      </c>
      <c r="Q27" s="14"/>
    </row>
    <row r="28" spans="1:19" ht="12.6" customHeight="1" x14ac:dyDescent="0.2">
      <c r="A28" s="3">
        <f t="shared" si="4"/>
        <v>20</v>
      </c>
      <c r="Q28" s="14"/>
      <c r="S28" s="51"/>
    </row>
    <row r="29" spans="1:19" x14ac:dyDescent="0.2">
      <c r="A29" s="3">
        <f t="shared" si="4"/>
        <v>21</v>
      </c>
      <c r="B29" s="47" t="s">
        <v>7</v>
      </c>
      <c r="C29" s="77"/>
      <c r="D29" s="47"/>
    </row>
    <row r="30" spans="1:19" x14ac:dyDescent="0.2">
      <c r="A30" s="3">
        <f t="shared" si="4"/>
        <v>22</v>
      </c>
      <c r="B30" s="2" t="str">
        <f>'Billing Detail'!D11</f>
        <v xml:space="preserve">    FAC</v>
      </c>
      <c r="D30" s="51">
        <f>'Billing Detail'!G199</f>
        <v>5549966.9200000009</v>
      </c>
      <c r="E30" s="51">
        <f>'Billing Detail'!I199</f>
        <v>58850.51065000052</v>
      </c>
      <c r="F30" s="59"/>
      <c r="G30" s="60"/>
      <c r="H30" s="60"/>
      <c r="I30" s="60"/>
      <c r="J30" s="51">
        <f>'Billing Detail'!M199</f>
        <v>58850.51065000052</v>
      </c>
      <c r="K30" s="61"/>
      <c r="L30" s="61"/>
      <c r="M30" s="60"/>
      <c r="N30" s="60"/>
    </row>
    <row r="31" spans="1:19" x14ac:dyDescent="0.2">
      <c r="A31" s="3">
        <f t="shared" si="4"/>
        <v>23</v>
      </c>
      <c r="B31" s="2" t="str">
        <f>'Billing Detail'!D12</f>
        <v xml:space="preserve">    ES</v>
      </c>
      <c r="D31" s="51">
        <f>'Billing Detail'!G200</f>
        <v>5833375.799999998</v>
      </c>
      <c r="E31" s="51">
        <f>'Billing Detail'!I200</f>
        <v>5833375.799999998</v>
      </c>
      <c r="F31" s="60"/>
      <c r="G31" s="60"/>
      <c r="H31" s="60"/>
      <c r="I31" s="60"/>
      <c r="J31" s="51">
        <f>'Billing Detail'!M200</f>
        <v>5833375.799999998</v>
      </c>
      <c r="K31" s="61"/>
      <c r="L31" s="61"/>
      <c r="M31" s="60"/>
      <c r="N31" s="60"/>
    </row>
    <row r="32" spans="1:19" x14ac:dyDescent="0.2">
      <c r="A32" s="3">
        <f t="shared" si="4"/>
        <v>24</v>
      </c>
      <c r="B32" s="2" t="str">
        <f>'Billing Detail'!D13</f>
        <v xml:space="preserve">    Prepay</v>
      </c>
      <c r="D32" s="51">
        <f>'Billing Detail'!G201</f>
        <v>60359.58</v>
      </c>
      <c r="E32" s="51">
        <f>'Billing Detail'!I201</f>
        <v>60359.58</v>
      </c>
      <c r="F32" s="60"/>
      <c r="G32" s="60"/>
      <c r="H32" s="60"/>
      <c r="I32" s="60"/>
      <c r="J32" s="51">
        <f>'Billing Detail'!M201</f>
        <v>60359.58</v>
      </c>
      <c r="K32" s="61"/>
      <c r="L32" s="61"/>
      <c r="M32" s="60"/>
      <c r="N32" s="60"/>
    </row>
    <row r="33" spans="1:14" x14ac:dyDescent="0.2">
      <c r="A33" s="3">
        <f t="shared" si="4"/>
        <v>25</v>
      </c>
      <c r="B33" s="2" t="str">
        <f>'Billing Detail'!D14</f>
        <v xml:space="preserve">    Other</v>
      </c>
      <c r="D33" s="51">
        <f>'Billing Detail'!G202</f>
        <v>0</v>
      </c>
      <c r="E33" s="51">
        <f>'Billing Detail'!I202</f>
        <v>0</v>
      </c>
      <c r="F33" s="60"/>
      <c r="G33" s="60"/>
      <c r="H33" s="60"/>
      <c r="I33" s="60"/>
      <c r="J33" s="51">
        <f>'Billing Detail'!M202</f>
        <v>0</v>
      </c>
      <c r="K33" s="61"/>
      <c r="L33" s="61"/>
      <c r="M33" s="60"/>
      <c r="N33" s="69"/>
    </row>
    <row r="34" spans="1:14" x14ac:dyDescent="0.2">
      <c r="A34" s="3">
        <f t="shared" si="4"/>
        <v>26</v>
      </c>
      <c r="B34" s="52" t="s">
        <v>8</v>
      </c>
      <c r="C34" s="78"/>
      <c r="D34" s="53">
        <f>SUM(D30:D33)</f>
        <v>11443702.299999999</v>
      </c>
      <c r="E34" s="53">
        <f>SUM(E30:E33)</f>
        <v>5952585.8906499986</v>
      </c>
      <c r="F34" s="62"/>
      <c r="G34" s="62"/>
      <c r="H34" s="62"/>
      <c r="I34" s="62"/>
      <c r="J34" s="53">
        <f>SUM(J30:J33)</f>
        <v>5952585.8906499986</v>
      </c>
      <c r="K34" s="63"/>
      <c r="L34" s="63"/>
      <c r="M34" s="62"/>
      <c r="N34" s="60"/>
    </row>
    <row r="35" spans="1:14" x14ac:dyDescent="0.2">
      <c r="A35" s="3">
        <f t="shared" si="4"/>
        <v>27</v>
      </c>
    </row>
    <row r="36" spans="1:14" ht="18" customHeight="1" thickBot="1" x14ac:dyDescent="0.25">
      <c r="A36" s="3">
        <f t="shared" si="4"/>
        <v>28</v>
      </c>
      <c r="B36" s="64" t="s">
        <v>9</v>
      </c>
      <c r="C36" s="80"/>
      <c r="D36" s="65">
        <f>D27+D34</f>
        <v>58713579.222811997</v>
      </c>
      <c r="E36" s="65">
        <f>E27+E34</f>
        <v>61251190.747612</v>
      </c>
      <c r="F36" s="66"/>
      <c r="G36" s="66"/>
      <c r="H36" s="66"/>
      <c r="I36" s="66"/>
      <c r="J36" s="65">
        <f>J27+J34</f>
        <v>63347316.312972546</v>
      </c>
      <c r="K36" s="67"/>
      <c r="L36" s="66">
        <f t="shared" ref="L36" si="15">J36-E36</f>
        <v>2096125.5653605461</v>
      </c>
      <c r="M36" s="64"/>
      <c r="N36" s="68">
        <f>L36/E36</f>
        <v>3.4221792911711971E-2</v>
      </c>
    </row>
    <row r="37" spans="1:14" ht="18" customHeight="1" thickTop="1" x14ac:dyDescent="0.2">
      <c r="A37" s="3">
        <f t="shared" si="4"/>
        <v>29</v>
      </c>
      <c r="B37" s="2" t="s">
        <v>10</v>
      </c>
      <c r="D37" s="56">
        <v>55824699</v>
      </c>
      <c r="L37" s="56">
        <f>L4</f>
        <v>2096460.6261349965</v>
      </c>
    </row>
    <row r="38" spans="1:14" ht="15" customHeight="1" x14ac:dyDescent="0.2">
      <c r="A38" s="3">
        <f t="shared" si="4"/>
        <v>30</v>
      </c>
      <c r="B38" s="52" t="s">
        <v>37</v>
      </c>
      <c r="C38" s="78"/>
      <c r="D38" s="53">
        <f>D36-D37</f>
        <v>2888880.2228119969</v>
      </c>
      <c r="E38" s="52"/>
      <c r="F38" s="52"/>
      <c r="G38" s="52"/>
      <c r="H38" s="52"/>
      <c r="I38" s="52"/>
      <c r="J38" s="52"/>
      <c r="K38" s="52"/>
      <c r="L38" s="53">
        <f>L36-L37</f>
        <v>-335.0607744504232</v>
      </c>
    </row>
    <row r="39" spans="1:14" ht="15" customHeight="1" x14ac:dyDescent="0.2">
      <c r="A39" s="3">
        <f t="shared" si="4"/>
        <v>31</v>
      </c>
      <c r="B39" s="2" t="s">
        <v>37</v>
      </c>
      <c r="D39" s="50">
        <f>D38/D37</f>
        <v>5.174914105335341E-2</v>
      </c>
      <c r="L39" s="50">
        <f>L38/L37</f>
        <v>-1.5982211651078618E-4</v>
      </c>
    </row>
    <row r="40" spans="1:14" x14ac:dyDescent="0.2">
      <c r="A40" s="3"/>
    </row>
  </sheetData>
  <printOptions horizontalCentered="1"/>
  <pageMargins left="0.7" right="0.7" top="0.75" bottom="0.75" header="0.3" footer="0.3"/>
  <pageSetup scale="68" orientation="landscape" r:id="rId1"/>
  <headerFooter>
    <oddHeader>&amp;R&amp;"Arial,Bold"&amp;10Exhibit 4
Page &amp;P of &amp;N</oddHeader>
  </headerFooter>
  <ignoredErrors>
    <ignoredError sqref="J23 F23 J15:J16 J10 G10 J11:J12 G11:G14 G15:G16 G17:G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Y264"/>
  <sheetViews>
    <sheetView tabSelected="1" view="pageBreakPreview" zoomScaleNormal="75" zoomScaleSheetLayoutView="75" workbookViewId="0">
      <pane xSplit="4" ySplit="5" topLeftCell="E142" activePane="bottomRight" state="frozen"/>
      <selection activeCell="D3" sqref="D1:D1048576"/>
      <selection pane="topRight" activeCell="D3" sqref="D1:D1048576"/>
      <selection pane="bottomLeft" activeCell="D3" sqref="D1:D1048576"/>
      <selection pane="bottomRight" activeCell="I2" sqref="I2"/>
    </sheetView>
  </sheetViews>
  <sheetFormatPr defaultColWidth="8.85546875" defaultRowHeight="12.75" x14ac:dyDescent="0.2"/>
  <cols>
    <col min="1" max="1" width="7.42578125" style="6" customWidth="1"/>
    <col min="2" max="2" width="31.140625" style="2" customWidth="1"/>
    <col min="3" max="3" width="8" style="20" customWidth="1"/>
    <col min="4" max="4" width="31.7109375" style="2" bestFit="1" customWidth="1"/>
    <col min="5" max="5" width="16.85546875" style="2" bestFit="1" customWidth="1"/>
    <col min="6" max="6" width="11" style="103" hidden="1" customWidth="1"/>
    <col min="7" max="7" width="13.85546875" style="103" hidden="1" customWidth="1"/>
    <col min="8" max="8" width="12.85546875" style="2" customWidth="1"/>
    <col min="9" max="9" width="15.28515625" style="2" bestFit="1" customWidth="1"/>
    <col min="10" max="10" width="8.5703125" style="2" bestFit="1" customWidth="1"/>
    <col min="11" max="11" width="13.42578125" style="2" bestFit="1" customWidth="1"/>
    <col min="12" max="12" width="12.140625" style="2" customWidth="1"/>
    <col min="13" max="13" width="13.85546875" style="2" bestFit="1" customWidth="1"/>
    <col min="14" max="14" width="12.28515625" style="2" bestFit="1" customWidth="1"/>
    <col min="15" max="15" width="8.85546875" style="2" customWidth="1"/>
    <col min="16" max="16" width="10" style="2" customWidth="1"/>
    <col min="17" max="17" width="10.42578125" style="2" customWidth="1"/>
    <col min="18" max="18" width="11.7109375" style="2" bestFit="1" customWidth="1"/>
    <col min="19" max="19" width="8.85546875" style="2"/>
    <col min="20" max="20" width="14.140625" style="2" customWidth="1"/>
    <col min="21" max="21" width="8.85546875" style="2"/>
    <col min="22" max="22" width="9.28515625" style="2" bestFit="1" customWidth="1"/>
    <col min="23" max="23" width="15.28515625" style="2" customWidth="1"/>
    <col min="24" max="24" width="11.7109375" style="2" customWidth="1"/>
    <col min="25" max="16384" width="8.85546875" style="2"/>
  </cols>
  <sheetData>
    <row r="1" spans="1:20" x14ac:dyDescent="0.2">
      <c r="A1" s="43" t="str">
        <f>Summary!A1</f>
        <v>FARMERS RECC</v>
      </c>
      <c r="F1" s="108"/>
      <c r="G1" s="108"/>
    </row>
    <row r="2" spans="1:20" ht="14.45" customHeight="1" x14ac:dyDescent="0.2">
      <c r="A2" s="43" t="str">
        <f>Summary!A2</f>
        <v>Billing Analysis for Pass-Through Rate Increase</v>
      </c>
      <c r="F2" s="109"/>
      <c r="G2" s="109"/>
      <c r="H2" s="165" t="s">
        <v>137</v>
      </c>
      <c r="P2" s="36"/>
    </row>
    <row r="3" spans="1:20" x14ac:dyDescent="0.2">
      <c r="H3" s="166">
        <v>46051</v>
      </c>
    </row>
    <row r="4" spans="1:20" x14ac:dyDescent="0.2">
      <c r="H4" s="167" t="s">
        <v>138</v>
      </c>
    </row>
    <row r="5" spans="1:20" ht="38.450000000000003" customHeight="1" x14ac:dyDescent="0.2">
      <c r="A5" s="22" t="s">
        <v>1</v>
      </c>
      <c r="B5" s="22" t="s">
        <v>12</v>
      </c>
      <c r="C5" s="11" t="s">
        <v>11</v>
      </c>
      <c r="D5" s="22" t="s">
        <v>13</v>
      </c>
      <c r="E5" s="13" t="s">
        <v>14</v>
      </c>
      <c r="F5" s="127" t="s">
        <v>110</v>
      </c>
      <c r="G5" s="127" t="s">
        <v>111</v>
      </c>
      <c r="H5" s="13" t="s">
        <v>23</v>
      </c>
      <c r="I5" s="13" t="s">
        <v>24</v>
      </c>
      <c r="J5" s="13" t="s">
        <v>82</v>
      </c>
      <c r="K5" s="13" t="s">
        <v>10</v>
      </c>
      <c r="L5" s="13" t="s">
        <v>21</v>
      </c>
      <c r="M5" s="13" t="s">
        <v>4</v>
      </c>
      <c r="N5" s="13" t="s">
        <v>15</v>
      </c>
      <c r="O5" s="11" t="s">
        <v>16</v>
      </c>
      <c r="P5" s="13" t="s">
        <v>22</v>
      </c>
      <c r="Q5" s="13" t="s">
        <v>25</v>
      </c>
      <c r="R5" s="13" t="s">
        <v>38</v>
      </c>
      <c r="T5" s="13" t="s">
        <v>34</v>
      </c>
    </row>
    <row r="6" spans="1:20" ht="30.6" customHeight="1" thickBot="1" x14ac:dyDescent="0.25">
      <c r="A6" s="44"/>
      <c r="B6" s="30"/>
      <c r="C6" s="31"/>
      <c r="D6" s="30"/>
      <c r="E6" s="32"/>
      <c r="F6" s="118"/>
      <c r="G6" s="118"/>
      <c r="H6" s="32"/>
      <c r="I6" s="32"/>
      <c r="J6" s="32"/>
      <c r="K6" s="32"/>
      <c r="L6" s="32"/>
      <c r="M6" s="32"/>
      <c r="N6" s="32"/>
      <c r="O6" s="31"/>
      <c r="P6" s="32"/>
      <c r="Q6" s="32"/>
      <c r="R6" s="32"/>
    </row>
    <row r="7" spans="1:20" x14ac:dyDescent="0.2">
      <c r="A7" s="45">
        <v>1</v>
      </c>
      <c r="B7" s="33" t="s">
        <v>55</v>
      </c>
      <c r="C7" s="34">
        <v>1</v>
      </c>
      <c r="D7" s="33"/>
      <c r="E7" s="33"/>
      <c r="F7" s="117"/>
      <c r="G7" s="117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spans="1:20" x14ac:dyDescent="0.2">
      <c r="A8" s="45">
        <f>A7+1</f>
        <v>2</v>
      </c>
      <c r="C8" s="2"/>
      <c r="D8" s="2" t="s">
        <v>17</v>
      </c>
      <c r="E8" s="134">
        <f>273653+18981</f>
        <v>292634</v>
      </c>
      <c r="F8" s="131">
        <f>H8</f>
        <v>23</v>
      </c>
      <c r="G8" s="107">
        <f>F8*E8</f>
        <v>6730582</v>
      </c>
      <c r="H8" s="168">
        <v>23</v>
      </c>
      <c r="I8" s="142">
        <f>H8*E8</f>
        <v>6730582</v>
      </c>
      <c r="J8" s="40">
        <f>I8/I10</f>
        <v>0.18318082502053079</v>
      </c>
      <c r="K8" s="40"/>
      <c r="L8" s="135">
        <f>ROUND(H8*S10,2)</f>
        <v>23.81</v>
      </c>
      <c r="M8" s="142">
        <f>L8*E8</f>
        <v>6967615.54</v>
      </c>
      <c r="N8" s="142">
        <f t="shared" ref="N8:N13" si="0">M8-I8</f>
        <v>237033.54000000004</v>
      </c>
      <c r="O8" s="40">
        <f>IF(I8=0,0,N8/I8)</f>
        <v>3.5217391304347832E-2</v>
      </c>
      <c r="P8" s="4">
        <f>M8/M10</f>
        <v>0.18316231721262807</v>
      </c>
      <c r="Q8" s="16">
        <f>P8-J8</f>
        <v>-1.8507807902717888E-5</v>
      </c>
      <c r="R8" s="16"/>
      <c r="T8" s="4">
        <f>L8/H8-1</f>
        <v>3.5217391304347867E-2</v>
      </c>
    </row>
    <row r="9" spans="1:20" x14ac:dyDescent="0.2">
      <c r="A9" s="45">
        <f t="shared" ref="A9:A68" si="1">A8+1</f>
        <v>3</v>
      </c>
      <c r="B9" s="17"/>
      <c r="D9" s="2" t="s">
        <v>47</v>
      </c>
      <c r="E9" s="134">
        <f>268674226+22353638</f>
        <v>291027864</v>
      </c>
      <c r="F9" s="132">
        <f>H9-$H$255</f>
        <v>9.1274999999999995E-2</v>
      </c>
      <c r="G9" s="107">
        <f t="shared" ref="G9" si="2">F9*E9</f>
        <v>26563568.286599997</v>
      </c>
      <c r="H9" s="169">
        <v>0.10312499999999999</v>
      </c>
      <c r="I9" s="142">
        <f t="shared" ref="I9" si="3">H9*E9</f>
        <v>30012248.474999998</v>
      </c>
      <c r="J9" s="40">
        <f>I9/I10</f>
        <v>0.81681917497946932</v>
      </c>
      <c r="K9" s="40"/>
      <c r="L9" s="124">
        <f>ROUND(H9*S10,6)</f>
        <v>0.10677</v>
      </c>
      <c r="M9" s="142">
        <f t="shared" ref="M9" si="4">L9*E9</f>
        <v>31073045.039280001</v>
      </c>
      <c r="N9" s="142">
        <f t="shared" si="0"/>
        <v>1060796.5642800033</v>
      </c>
      <c r="O9" s="40">
        <f t="shared" ref="O9" si="5">IF(I9=0,0,N9/I9)</f>
        <v>3.5345454545454659E-2</v>
      </c>
      <c r="P9" s="4">
        <f>M9/M10</f>
        <v>0.8168376827873719</v>
      </c>
      <c r="Q9" s="16">
        <f t="shared" ref="Q9:Q10" si="6">P9-J9</f>
        <v>1.850780790257911E-5</v>
      </c>
      <c r="R9" s="16"/>
      <c r="T9" s="4">
        <f>L9/H9-1</f>
        <v>3.5345454545454569E-2</v>
      </c>
    </row>
    <row r="10" spans="1:20" s="6" customFormat="1" ht="20.45" customHeight="1" x14ac:dyDescent="0.25">
      <c r="A10" s="45">
        <f t="shared" si="1"/>
        <v>4</v>
      </c>
      <c r="C10" s="21"/>
      <c r="D10" s="23" t="s">
        <v>6</v>
      </c>
      <c r="E10" s="23"/>
      <c r="F10" s="110"/>
      <c r="G10" s="24">
        <f>SUM(G8:G9)</f>
        <v>33294150.286599997</v>
      </c>
      <c r="H10" s="23"/>
      <c r="I10" s="143">
        <f>SUM(I8:I9)</f>
        <v>36742830.474999994</v>
      </c>
      <c r="J10" s="144">
        <f>SUM(J8:J9)</f>
        <v>1</v>
      </c>
      <c r="K10" s="41">
        <f>I10+Summary!I10</f>
        <v>38041435.114999995</v>
      </c>
      <c r="L10" s="23"/>
      <c r="M10" s="143">
        <f>SUM(M8:M9)</f>
        <v>38040660.579280004</v>
      </c>
      <c r="N10" s="143">
        <f>SUM(N8:N9)</f>
        <v>1297830.1042800033</v>
      </c>
      <c r="O10" s="144">
        <f t="shared" ref="O10" si="7">N10/I10</f>
        <v>3.5321995815293911E-2</v>
      </c>
      <c r="P10" s="25">
        <f>SUM(P8:P9)</f>
        <v>1</v>
      </c>
      <c r="Q10" s="26">
        <f t="shared" si="6"/>
        <v>0</v>
      </c>
      <c r="R10" s="37">
        <f>M10-K10</f>
        <v>-774.53571999073029</v>
      </c>
      <c r="S10" s="6">
        <f>K10/I10</f>
        <v>1.0353430757296604</v>
      </c>
    </row>
    <row r="11" spans="1:20" x14ac:dyDescent="0.2">
      <c r="A11" s="45">
        <f t="shared" si="1"/>
        <v>5</v>
      </c>
      <c r="D11" s="2" t="s">
        <v>26</v>
      </c>
      <c r="G11" s="133">
        <f>3251382.46+277036.78</f>
        <v>3528419.24</v>
      </c>
      <c r="I11" s="14">
        <f>G11-($H$255*E9)</f>
        <v>79739.051600000355</v>
      </c>
      <c r="K11" s="14"/>
      <c r="M11" s="142">
        <f>I11</f>
        <v>79739.051600000355</v>
      </c>
      <c r="N11" s="142">
        <f t="shared" si="0"/>
        <v>0</v>
      </c>
      <c r="O11" s="135">
        <v>0</v>
      </c>
      <c r="R11" s="38"/>
    </row>
    <row r="12" spans="1:20" x14ac:dyDescent="0.2">
      <c r="A12" s="45">
        <f t="shared" si="1"/>
        <v>6</v>
      </c>
      <c r="D12" s="2" t="s">
        <v>27</v>
      </c>
      <c r="G12" s="133">
        <f>3624496.76+298076.77</f>
        <v>3922573.53</v>
      </c>
      <c r="I12" s="14">
        <f>G12</f>
        <v>3922573.53</v>
      </c>
      <c r="M12" s="142">
        <f t="shared" ref="M12:M14" si="8">I12</f>
        <v>3922573.53</v>
      </c>
      <c r="N12" s="142">
        <f t="shared" si="0"/>
        <v>0</v>
      </c>
      <c r="O12" s="135">
        <v>0</v>
      </c>
    </row>
    <row r="13" spans="1:20" x14ac:dyDescent="0.2">
      <c r="A13" s="45">
        <f t="shared" si="1"/>
        <v>7</v>
      </c>
      <c r="D13" s="2" t="s">
        <v>124</v>
      </c>
      <c r="E13" s="134">
        <v>18981</v>
      </c>
      <c r="F13" s="129">
        <v>3.18</v>
      </c>
      <c r="G13" s="107">
        <f>F13*E13</f>
        <v>60359.58</v>
      </c>
      <c r="H13" s="2">
        <v>3.18</v>
      </c>
      <c r="I13" s="14">
        <f>H13*E13</f>
        <v>60359.58</v>
      </c>
      <c r="L13" s="2">
        <f>H13</f>
        <v>3.18</v>
      </c>
      <c r="M13" s="142">
        <f>L13*E13</f>
        <v>60359.58</v>
      </c>
      <c r="N13" s="142">
        <f t="shared" si="0"/>
        <v>0</v>
      </c>
      <c r="O13" s="135">
        <v>0</v>
      </c>
    </row>
    <row r="14" spans="1:20" x14ac:dyDescent="0.2">
      <c r="A14" s="45">
        <f t="shared" si="1"/>
        <v>8</v>
      </c>
      <c r="D14" s="2" t="s">
        <v>39</v>
      </c>
      <c r="G14" s="107">
        <v>0</v>
      </c>
      <c r="I14" s="14">
        <f>G14</f>
        <v>0</v>
      </c>
      <c r="M14" s="142">
        <f t="shared" si="8"/>
        <v>0</v>
      </c>
      <c r="N14" s="142"/>
      <c r="O14" s="135">
        <v>0</v>
      </c>
    </row>
    <row r="15" spans="1:20" x14ac:dyDescent="0.2">
      <c r="A15" s="45">
        <f t="shared" si="1"/>
        <v>9</v>
      </c>
      <c r="D15" s="18" t="s">
        <v>8</v>
      </c>
      <c r="E15" s="18"/>
      <c r="F15" s="112"/>
      <c r="G15" s="111">
        <f>SUM(G11:G14)</f>
        <v>7511352.3499999996</v>
      </c>
      <c r="H15" s="18"/>
      <c r="I15" s="145">
        <f>SUM(I11:I14)</f>
        <v>4062672.1616000002</v>
      </c>
      <c r="J15" s="18"/>
      <c r="K15" s="18"/>
      <c r="L15" s="18"/>
      <c r="M15" s="145">
        <f>SUM(M11:M14)</f>
        <v>4062672.1616000002</v>
      </c>
      <c r="N15" s="145">
        <f>M15-I15</f>
        <v>0</v>
      </c>
      <c r="O15" s="146">
        <v>0</v>
      </c>
    </row>
    <row r="16" spans="1:20" s="6" customFormat="1" ht="26.45" customHeight="1" thickBot="1" x14ac:dyDescent="0.25">
      <c r="A16" s="45">
        <f t="shared" si="1"/>
        <v>10</v>
      </c>
      <c r="C16" s="21"/>
      <c r="D16" s="7" t="s">
        <v>19</v>
      </c>
      <c r="E16" s="7"/>
      <c r="F16" s="114"/>
      <c r="G16" s="113">
        <f>G10+G15</f>
        <v>40805502.636599995</v>
      </c>
      <c r="H16" s="7"/>
      <c r="I16" s="141">
        <f>I15+I10</f>
        <v>40805502.636599995</v>
      </c>
      <c r="J16" s="7"/>
      <c r="K16" s="7"/>
      <c r="L16" s="7"/>
      <c r="M16" s="147">
        <f>M15+M10</f>
        <v>42103332.740880005</v>
      </c>
      <c r="N16" s="147">
        <f>M16-I16</f>
        <v>1297830.1042800099</v>
      </c>
      <c r="O16" s="148">
        <f>N16/I16</f>
        <v>3.1805271848702507E-2</v>
      </c>
      <c r="P16" s="2"/>
      <c r="Q16" s="2"/>
      <c r="R16" s="2"/>
    </row>
    <row r="17" spans="1:20" ht="13.5" thickTop="1" x14ac:dyDescent="0.2">
      <c r="A17" s="45">
        <f t="shared" si="1"/>
        <v>11</v>
      </c>
      <c r="D17" s="2" t="s">
        <v>18</v>
      </c>
      <c r="E17" s="135">
        <f>E9/E8</f>
        <v>994.511451164253</v>
      </c>
      <c r="G17" s="116">
        <f>G16/E8</f>
        <v>139.44211074789666</v>
      </c>
      <c r="I17" s="15">
        <f>I16/E8</f>
        <v>139.44211074789666</v>
      </c>
      <c r="M17" s="15">
        <f>M16/E8</f>
        <v>143.8771049873904</v>
      </c>
      <c r="N17" s="15">
        <f>M17-I17</f>
        <v>4.4349942394937329</v>
      </c>
      <c r="O17" s="40">
        <f>N17/I17</f>
        <v>3.1805271848702493E-2</v>
      </c>
    </row>
    <row r="18" spans="1:20" ht="13.5" thickBot="1" x14ac:dyDescent="0.25">
      <c r="A18" s="45">
        <f t="shared" si="1"/>
        <v>12</v>
      </c>
    </row>
    <row r="19" spans="1:20" x14ac:dyDescent="0.2">
      <c r="A19" s="45">
        <f t="shared" si="1"/>
        <v>13</v>
      </c>
      <c r="B19" s="33" t="s">
        <v>56</v>
      </c>
      <c r="C19" s="34">
        <v>3</v>
      </c>
      <c r="D19" s="33"/>
      <c r="E19" s="33"/>
      <c r="F19" s="117"/>
      <c r="G19" s="117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</row>
    <row r="20" spans="1:20" x14ac:dyDescent="0.2">
      <c r="A20" s="45">
        <f t="shared" si="1"/>
        <v>14</v>
      </c>
      <c r="C20" s="2"/>
      <c r="D20" s="2" t="s">
        <v>17</v>
      </c>
      <c r="E20" s="134">
        <v>12</v>
      </c>
      <c r="F20" s="131">
        <f>H20</f>
        <v>23</v>
      </c>
      <c r="G20" s="107">
        <f>F20*E20</f>
        <v>276</v>
      </c>
      <c r="H20" s="168">
        <v>23</v>
      </c>
      <c r="I20" s="142">
        <f>H20*E20</f>
        <v>276</v>
      </c>
      <c r="J20" s="4">
        <f>I20/I23</f>
        <v>0.20846517984914573</v>
      </c>
      <c r="K20" s="40"/>
      <c r="L20" s="135">
        <f>ROUND(H20*S23,2)</f>
        <v>23.81</v>
      </c>
      <c r="M20" s="5">
        <f>L20*E20</f>
        <v>285.71999999999997</v>
      </c>
      <c r="N20" s="5">
        <f>M20-I20</f>
        <v>9.7199999999999704</v>
      </c>
      <c r="O20" s="4">
        <f>IF(I20=0,0,N20/I20)</f>
        <v>3.5217391304347721E-2</v>
      </c>
      <c r="P20" s="4">
        <f>M20/M$23</f>
        <v>0.20844577135853418</v>
      </c>
      <c r="Q20" s="16">
        <f>P20-J20</f>
        <v>-1.9408490611549922E-5</v>
      </c>
      <c r="R20" s="16"/>
      <c r="T20" s="4">
        <f>L20/H20-1</f>
        <v>3.5217391304347867E-2</v>
      </c>
    </row>
    <row r="21" spans="1:20" x14ac:dyDescent="0.2">
      <c r="A21" s="45">
        <f t="shared" si="1"/>
        <v>15</v>
      </c>
      <c r="D21" s="2" t="s">
        <v>48</v>
      </c>
      <c r="E21" s="134">
        <v>3809</v>
      </c>
      <c r="F21" s="132">
        <f>H21-$H$255</f>
        <v>0.111191</v>
      </c>
      <c r="G21" s="107">
        <f t="shared" ref="G21" si="9">F21*E21</f>
        <v>423.52651900000001</v>
      </c>
      <c r="H21" s="169">
        <v>0.123041</v>
      </c>
      <c r="I21" s="142">
        <f t="shared" ref="I21" si="10">H21*E21</f>
        <v>468.66316899999998</v>
      </c>
      <c r="J21" s="4">
        <f>I21/I23</f>
        <v>0.35398533266034626</v>
      </c>
      <c r="K21" s="40"/>
      <c r="L21" s="124">
        <f>ROUND(H21*S23,6)</f>
        <v>0.127389</v>
      </c>
      <c r="M21" s="5">
        <f t="shared" ref="M21" si="11">L21*E21</f>
        <v>485.22470099999998</v>
      </c>
      <c r="N21" s="5">
        <f t="shared" ref="N21" si="12">M21-I21</f>
        <v>16.561532</v>
      </c>
      <c r="O21" s="4">
        <f t="shared" ref="O21" si="13">IF(I21=0,0,N21/I21)</f>
        <v>3.5337814224526781E-2</v>
      </c>
      <c r="P21" s="4">
        <f t="shared" ref="P21:P22" si="14">M21/M$23</f>
        <v>0.35399354991655857</v>
      </c>
      <c r="Q21" s="16">
        <f t="shared" ref="Q21" si="15">P21-J21</f>
        <v>8.2172562123061788E-6</v>
      </c>
      <c r="R21" s="16"/>
      <c r="T21" s="4">
        <f>L21/H21-1</f>
        <v>3.5337814224526864E-2</v>
      </c>
    </row>
    <row r="22" spans="1:20" x14ac:dyDescent="0.2">
      <c r="A22" s="45">
        <f t="shared" si="1"/>
        <v>16</v>
      </c>
      <c r="D22" s="2" t="s">
        <v>49</v>
      </c>
      <c r="E22" s="134">
        <v>7808</v>
      </c>
      <c r="F22" s="132">
        <f>H22-$H$255</f>
        <v>6.2342999999999996E-2</v>
      </c>
      <c r="G22" s="107">
        <f t="shared" ref="G22" si="16">F22*E22</f>
        <v>486.77414399999998</v>
      </c>
      <c r="H22" s="169">
        <v>7.4192999999999995E-2</v>
      </c>
      <c r="I22" s="142">
        <f t="shared" ref="I22" si="17">H22*E22</f>
        <v>579.29894400000001</v>
      </c>
      <c r="J22" s="4">
        <f>I22/I23</f>
        <v>0.43754948749050798</v>
      </c>
      <c r="K22" s="40"/>
      <c r="L22" s="124">
        <f>ROUND(H22*S23,6)</f>
        <v>7.6814999999999994E-2</v>
      </c>
      <c r="M22" s="5">
        <f t="shared" ref="M22" si="18">L22*E22</f>
        <v>599.77152000000001</v>
      </c>
      <c r="N22" s="5">
        <f t="shared" ref="N22:N30" si="19">M22-I22</f>
        <v>20.472576000000004</v>
      </c>
      <c r="O22" s="4">
        <f t="shared" ref="O22" si="20">IF(I22=0,0,N22/I22)</f>
        <v>3.5340261210626348E-2</v>
      </c>
      <c r="P22" s="4">
        <f t="shared" si="14"/>
        <v>0.43756067872490734</v>
      </c>
      <c r="Q22" s="16">
        <f t="shared" ref="Q22:Q23" si="21">P22-J22</f>
        <v>1.1191234399354766E-5</v>
      </c>
      <c r="R22" s="16"/>
      <c r="T22" s="4">
        <f>L22/H22-1</f>
        <v>3.5340261210626389E-2</v>
      </c>
    </row>
    <row r="23" spans="1:20" s="6" customFormat="1" ht="20.45" customHeight="1" x14ac:dyDescent="0.25">
      <c r="A23" s="45">
        <f t="shared" si="1"/>
        <v>17</v>
      </c>
      <c r="C23" s="21"/>
      <c r="D23" s="23" t="s">
        <v>6</v>
      </c>
      <c r="E23" s="23"/>
      <c r="F23" s="110"/>
      <c r="G23" s="24">
        <f>SUM(G20:G22)</f>
        <v>1186.300663</v>
      </c>
      <c r="H23" s="23"/>
      <c r="I23" s="143">
        <f>SUM(I20:I22)</f>
        <v>1323.962113</v>
      </c>
      <c r="J23" s="25">
        <f>SUM(J20:J22)</f>
        <v>1</v>
      </c>
      <c r="K23" s="41">
        <f>I23+Summary!I11</f>
        <v>1370.752113</v>
      </c>
      <c r="L23" s="23"/>
      <c r="M23" s="143">
        <f>SUM(M20:M22)</f>
        <v>1370.7162209999999</v>
      </c>
      <c r="N23" s="143">
        <f>SUM(N20:N22)</f>
        <v>46.754107999999974</v>
      </c>
      <c r="O23" s="25">
        <f t="shared" ref="O23" si="22">N23/I23</f>
        <v>3.5313780916327454E-2</v>
      </c>
      <c r="P23" s="25">
        <f>SUM(P20:P22)</f>
        <v>1</v>
      </c>
      <c r="Q23" s="26">
        <f t="shared" si="21"/>
        <v>0</v>
      </c>
      <c r="R23" s="37">
        <f>M23-K23</f>
        <v>-3.5892000000103508E-2</v>
      </c>
      <c r="S23" s="6">
        <f>K23/I23</f>
        <v>1.0353408904534114</v>
      </c>
    </row>
    <row r="24" spans="1:20" x14ac:dyDescent="0.2">
      <c r="A24" s="45">
        <f t="shared" si="1"/>
        <v>18</v>
      </c>
      <c r="D24" s="2" t="s">
        <v>26</v>
      </c>
      <c r="G24" s="133">
        <v>138.91999999999999</v>
      </c>
      <c r="I24" s="14">
        <f>G24-($H$255*(E21+E22))</f>
        <v>1.2585499999999854</v>
      </c>
      <c r="K24" s="14"/>
      <c r="M24" s="5">
        <f>I24</f>
        <v>1.2585499999999854</v>
      </c>
      <c r="N24" s="5">
        <f t="shared" si="19"/>
        <v>0</v>
      </c>
      <c r="O24" s="17">
        <v>0</v>
      </c>
    </row>
    <row r="25" spans="1:20" x14ac:dyDescent="0.2">
      <c r="A25" s="45">
        <f t="shared" si="1"/>
        <v>19</v>
      </c>
      <c r="D25" s="2" t="s">
        <v>27</v>
      </c>
      <c r="G25" s="133">
        <v>147.83000000000001</v>
      </c>
      <c r="I25" s="14">
        <f t="shared" ref="I25:I27" si="23">G25</f>
        <v>147.83000000000001</v>
      </c>
      <c r="M25" s="5">
        <f t="shared" ref="M25:M27" si="24">I25</f>
        <v>147.83000000000001</v>
      </c>
      <c r="N25" s="5">
        <f t="shared" si="19"/>
        <v>0</v>
      </c>
      <c r="O25" s="17">
        <v>0</v>
      </c>
    </row>
    <row r="26" spans="1:20" x14ac:dyDescent="0.2">
      <c r="A26" s="45">
        <f t="shared" si="1"/>
        <v>20</v>
      </c>
      <c r="D26" s="2" t="s">
        <v>29</v>
      </c>
      <c r="G26" s="107">
        <v>0</v>
      </c>
      <c r="I26" s="14">
        <f t="shared" si="23"/>
        <v>0</v>
      </c>
      <c r="M26" s="5">
        <f t="shared" si="24"/>
        <v>0</v>
      </c>
      <c r="N26" s="5">
        <f t="shared" si="19"/>
        <v>0</v>
      </c>
      <c r="O26" s="17">
        <v>0</v>
      </c>
    </row>
    <row r="27" spans="1:20" x14ac:dyDescent="0.2">
      <c r="A27" s="45">
        <f t="shared" si="1"/>
        <v>21</v>
      </c>
      <c r="D27" s="2" t="s">
        <v>39</v>
      </c>
      <c r="G27" s="107">
        <v>0</v>
      </c>
      <c r="I27" s="14">
        <f t="shared" si="23"/>
        <v>0</v>
      </c>
      <c r="M27" s="5">
        <f t="shared" si="24"/>
        <v>0</v>
      </c>
      <c r="N27" s="5"/>
      <c r="O27" s="17"/>
    </row>
    <row r="28" spans="1:20" x14ac:dyDescent="0.2">
      <c r="A28" s="45">
        <f t="shared" si="1"/>
        <v>22</v>
      </c>
      <c r="D28" s="18" t="s">
        <v>8</v>
      </c>
      <c r="E28" s="18"/>
      <c r="F28" s="112"/>
      <c r="G28" s="111">
        <f>SUM(G24:G27)</f>
        <v>286.75</v>
      </c>
      <c r="H28" s="18"/>
      <c r="I28" s="145">
        <f>SUM(I24:I27)</f>
        <v>149.08855</v>
      </c>
      <c r="J28" s="18"/>
      <c r="K28" s="18"/>
      <c r="L28" s="18"/>
      <c r="M28" s="19">
        <f>SUM(M24:M27)</f>
        <v>149.08855</v>
      </c>
      <c r="N28" s="19">
        <f t="shared" si="19"/>
        <v>0</v>
      </c>
      <c r="O28" s="27">
        <f t="shared" ref="O28" si="25">N28-J28</f>
        <v>0</v>
      </c>
    </row>
    <row r="29" spans="1:20" s="6" customFormat="1" ht="26.45" customHeight="1" thickBot="1" x14ac:dyDescent="0.25">
      <c r="A29" s="45">
        <f t="shared" si="1"/>
        <v>23</v>
      </c>
      <c r="C29" s="21"/>
      <c r="D29" s="7" t="s">
        <v>19</v>
      </c>
      <c r="E29" s="7"/>
      <c r="F29" s="114"/>
      <c r="G29" s="113">
        <f>G23+G28</f>
        <v>1473.050663</v>
      </c>
      <c r="H29" s="7"/>
      <c r="I29" s="141">
        <f>I28+I23</f>
        <v>1473.050663</v>
      </c>
      <c r="J29" s="7"/>
      <c r="K29" s="7"/>
      <c r="L29" s="7"/>
      <c r="M29" s="8">
        <f>M28+M23</f>
        <v>1519.8047709999998</v>
      </c>
      <c r="N29" s="8">
        <f t="shared" si="19"/>
        <v>46.75410799999986</v>
      </c>
      <c r="O29" s="9">
        <f>N29/I29</f>
        <v>3.1739646961483944E-2</v>
      </c>
      <c r="P29" s="2"/>
      <c r="Q29" s="2"/>
      <c r="R29" s="2"/>
    </row>
    <row r="30" spans="1:20" ht="13.5" thickTop="1" x14ac:dyDescent="0.2">
      <c r="A30" s="45">
        <f t="shared" si="1"/>
        <v>24</v>
      </c>
      <c r="D30" s="2" t="s">
        <v>18</v>
      </c>
      <c r="E30" s="135">
        <f>(E21+E22)/E20</f>
        <v>968.08333333333337</v>
      </c>
      <c r="G30" s="116">
        <f>G29/E20</f>
        <v>122.75422191666667</v>
      </c>
      <c r="I30" s="15">
        <f>I29/E20</f>
        <v>122.75422191666667</v>
      </c>
      <c r="M30" s="15">
        <f>M29/E20</f>
        <v>126.65039758333332</v>
      </c>
      <c r="N30" s="15">
        <f t="shared" si="19"/>
        <v>3.8961756666666503</v>
      </c>
      <c r="O30" s="4">
        <f>N30/I30</f>
        <v>3.173964696148391E-2</v>
      </c>
    </row>
    <row r="31" spans="1:20" ht="13.5" thickBot="1" x14ac:dyDescent="0.25">
      <c r="A31" s="45">
        <f t="shared" si="1"/>
        <v>25</v>
      </c>
    </row>
    <row r="32" spans="1:20" x14ac:dyDescent="0.2">
      <c r="A32" s="45">
        <f t="shared" si="1"/>
        <v>26</v>
      </c>
      <c r="B32" s="33" t="s">
        <v>57</v>
      </c>
      <c r="C32" s="34">
        <v>20</v>
      </c>
      <c r="D32" s="33"/>
      <c r="E32" s="33"/>
      <c r="F32" s="117"/>
      <c r="G32" s="117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</row>
    <row r="33" spans="1:23" x14ac:dyDescent="0.2">
      <c r="A33" s="45">
        <f t="shared" si="1"/>
        <v>27</v>
      </c>
      <c r="C33" s="2"/>
      <c r="D33" s="2" t="s">
        <v>17</v>
      </c>
      <c r="E33" s="134">
        <v>892</v>
      </c>
      <c r="F33" s="131">
        <f>H33</f>
        <v>23</v>
      </c>
      <c r="G33" s="107">
        <f>F33*E33</f>
        <v>20516</v>
      </c>
      <c r="H33" s="168">
        <v>23</v>
      </c>
      <c r="I33" s="142">
        <f>H33*E33</f>
        <v>20516</v>
      </c>
      <c r="J33" s="4">
        <f>I33/I35</f>
        <v>0.13222038764053395</v>
      </c>
      <c r="K33" s="40"/>
      <c r="L33" s="135">
        <f>L8</f>
        <v>23.81</v>
      </c>
      <c r="M33" s="5">
        <f>L33*E33</f>
        <v>21238.52</v>
      </c>
      <c r="N33" s="5">
        <f>M33-I33</f>
        <v>722.52000000000044</v>
      </c>
      <c r="O33" s="4">
        <f>IF(I33=0,0,N33/I33)</f>
        <v>3.5217391304347846E-2</v>
      </c>
      <c r="P33" s="4">
        <f>M33/M$35</f>
        <v>0.1322061952948988</v>
      </c>
      <c r="Q33" s="16">
        <f>P33-J33</f>
        <v>-1.419234563515559E-5</v>
      </c>
      <c r="R33" s="16"/>
      <c r="W33" s="70" t="s">
        <v>80</v>
      </c>
    </row>
    <row r="34" spans="1:23" x14ac:dyDescent="0.2">
      <c r="A34" s="45">
        <f t="shared" si="1"/>
        <v>28</v>
      </c>
      <c r="D34" s="2" t="s">
        <v>47</v>
      </c>
      <c r="E34" s="134">
        <v>1305689</v>
      </c>
      <c r="F34" s="132">
        <f>H34-$H$255</f>
        <v>9.1274999999999995E-2</v>
      </c>
      <c r="G34" s="107">
        <f t="shared" ref="G34" si="26">F34*E34</f>
        <v>119176.763475</v>
      </c>
      <c r="H34" s="169">
        <v>0.10312499999999999</v>
      </c>
      <c r="I34" s="142">
        <f t="shared" ref="I34" si="27">H34*E34</f>
        <v>134649.17812500001</v>
      </c>
      <c r="J34" s="4">
        <f>I34/I35</f>
        <v>0.8677796123594661</v>
      </c>
      <c r="K34" s="40"/>
      <c r="L34" s="138">
        <f>L9</f>
        <v>0.10677</v>
      </c>
      <c r="M34" s="5">
        <f t="shared" ref="M34" si="28">L34*E34</f>
        <v>139408.41453000001</v>
      </c>
      <c r="N34" s="5">
        <f t="shared" ref="N34" si="29">M34-I34</f>
        <v>4759.2364050000033</v>
      </c>
      <c r="O34" s="4">
        <f t="shared" ref="O34" si="30">IF(I34=0,0,N34/I34)</f>
        <v>3.5345454545454569E-2</v>
      </c>
      <c r="P34" s="4">
        <f>M34/M$35</f>
        <v>0.86779380470510126</v>
      </c>
      <c r="Q34" s="16">
        <f t="shared" ref="Q34" si="31">P34-J34</f>
        <v>1.419234563515559E-5</v>
      </c>
      <c r="R34" s="16"/>
      <c r="T34" s="4">
        <f>L34/H34-1</f>
        <v>3.5345454545454569E-2</v>
      </c>
      <c r="W34" s="70" t="s">
        <v>81</v>
      </c>
    </row>
    <row r="35" spans="1:23" s="6" customFormat="1" ht="20.45" customHeight="1" x14ac:dyDescent="0.25">
      <c r="A35" s="45">
        <f t="shared" si="1"/>
        <v>29</v>
      </c>
      <c r="C35" s="21"/>
      <c r="D35" s="23" t="s">
        <v>6</v>
      </c>
      <c r="E35" s="23"/>
      <c r="F35" s="110"/>
      <c r="G35" s="24">
        <f>SUM(G33:G34)</f>
        <v>139692.76347499999</v>
      </c>
      <c r="H35" s="23"/>
      <c r="I35" s="143">
        <f>SUM(I33:I34)</f>
        <v>155165.17812500001</v>
      </c>
      <c r="J35" s="25">
        <f>SUM(J33:J34)</f>
        <v>1</v>
      </c>
      <c r="K35" s="41">
        <f>I35+Summary!I12</f>
        <v>160649.18812500002</v>
      </c>
      <c r="L35" s="23"/>
      <c r="M35" s="143">
        <f>SUM(M33:M34)</f>
        <v>160646.93453</v>
      </c>
      <c r="N35" s="143">
        <f>SUM(N33:N34)</f>
        <v>5481.7564050000037</v>
      </c>
      <c r="O35" s="25">
        <f t="shared" ref="O35" si="32">N35/I35</f>
        <v>3.5328521974072935E-2</v>
      </c>
      <c r="P35" s="25">
        <f>SUM(P33:P34)</f>
        <v>1</v>
      </c>
      <c r="Q35" s="26">
        <f t="shared" ref="Q35" si="33">P35-J35</f>
        <v>0</v>
      </c>
      <c r="R35" s="37">
        <f>M35-K35</f>
        <v>-2.253595000016503</v>
      </c>
      <c r="S35" s="6">
        <f>K35/I35</f>
        <v>1.0353430458190955</v>
      </c>
    </row>
    <row r="36" spans="1:23" x14ac:dyDescent="0.2">
      <c r="A36" s="45">
        <f t="shared" si="1"/>
        <v>30</v>
      </c>
      <c r="D36" s="2" t="s">
        <v>26</v>
      </c>
      <c r="G36" s="133">
        <v>8029.05</v>
      </c>
      <c r="I36" s="14">
        <f>G36-($H$255*E34)</f>
        <v>-7443.3646499999986</v>
      </c>
      <c r="K36" s="14"/>
      <c r="M36" s="5">
        <f>I36</f>
        <v>-7443.3646499999986</v>
      </c>
      <c r="N36" s="5">
        <f t="shared" ref="N36:N42" si="34">M36-I36</f>
        <v>0</v>
      </c>
      <c r="O36" s="17">
        <v>0</v>
      </c>
    </row>
    <row r="37" spans="1:23" x14ac:dyDescent="0.2">
      <c r="A37" s="45">
        <f t="shared" si="1"/>
        <v>31</v>
      </c>
      <c r="D37" s="2" t="s">
        <v>27</v>
      </c>
      <c r="G37" s="133">
        <v>9316.24</v>
      </c>
      <c r="I37" s="14">
        <f t="shared" ref="I37:I39" si="35">G37</f>
        <v>9316.24</v>
      </c>
      <c r="M37" s="5">
        <f t="shared" ref="M37:M39" si="36">I37</f>
        <v>9316.24</v>
      </c>
      <c r="N37" s="5">
        <f t="shared" si="34"/>
        <v>0</v>
      </c>
      <c r="O37" s="17">
        <v>0</v>
      </c>
    </row>
    <row r="38" spans="1:23" x14ac:dyDescent="0.2">
      <c r="A38" s="45">
        <f t="shared" si="1"/>
        <v>32</v>
      </c>
      <c r="D38" s="2" t="s">
        <v>29</v>
      </c>
      <c r="G38" s="107">
        <v>0</v>
      </c>
      <c r="I38" s="14">
        <f t="shared" si="35"/>
        <v>0</v>
      </c>
      <c r="M38" s="5">
        <f t="shared" si="36"/>
        <v>0</v>
      </c>
      <c r="N38" s="5">
        <f t="shared" si="34"/>
        <v>0</v>
      </c>
      <c r="O38" s="17">
        <v>0</v>
      </c>
    </row>
    <row r="39" spans="1:23" x14ac:dyDescent="0.2">
      <c r="A39" s="45">
        <f t="shared" si="1"/>
        <v>33</v>
      </c>
      <c r="D39" s="2" t="s">
        <v>39</v>
      </c>
      <c r="G39" s="107">
        <v>0</v>
      </c>
      <c r="I39" s="14">
        <f t="shared" si="35"/>
        <v>0</v>
      </c>
      <c r="M39" s="5">
        <f t="shared" si="36"/>
        <v>0</v>
      </c>
      <c r="N39" s="5"/>
      <c r="O39" s="17"/>
    </row>
    <row r="40" spans="1:23" x14ac:dyDescent="0.2">
      <c r="A40" s="45">
        <f t="shared" si="1"/>
        <v>34</v>
      </c>
      <c r="D40" s="18" t="s">
        <v>8</v>
      </c>
      <c r="E40" s="18"/>
      <c r="F40" s="112"/>
      <c r="G40" s="111">
        <f>SUM(G36:G39)</f>
        <v>17345.29</v>
      </c>
      <c r="H40" s="18"/>
      <c r="I40" s="145">
        <f>SUM(I36:I39)</f>
        <v>1872.8753500000012</v>
      </c>
      <c r="J40" s="18"/>
      <c r="K40" s="18"/>
      <c r="L40" s="18"/>
      <c r="M40" s="19">
        <f>SUM(M36:M39)</f>
        <v>1872.8753500000012</v>
      </c>
      <c r="N40" s="19">
        <f t="shared" si="34"/>
        <v>0</v>
      </c>
      <c r="O40" s="27">
        <f t="shared" ref="O40" si="37">N40-J40</f>
        <v>0</v>
      </c>
    </row>
    <row r="41" spans="1:23" s="6" customFormat="1" ht="26.45" customHeight="1" thickBot="1" x14ac:dyDescent="0.25">
      <c r="A41" s="45">
        <f t="shared" si="1"/>
        <v>35</v>
      </c>
      <c r="C41" s="21"/>
      <c r="D41" s="7" t="s">
        <v>19</v>
      </c>
      <c r="E41" s="7"/>
      <c r="F41" s="114"/>
      <c r="G41" s="113">
        <f>G35+G40</f>
        <v>157038.05347499999</v>
      </c>
      <c r="H41" s="7"/>
      <c r="I41" s="141">
        <f>I40+I35</f>
        <v>157038.05347499999</v>
      </c>
      <c r="J41" s="7"/>
      <c r="K41" s="7"/>
      <c r="L41" s="7"/>
      <c r="M41" s="8">
        <f>M40+M35</f>
        <v>162519.80987999999</v>
      </c>
      <c r="N41" s="8">
        <f t="shared" si="34"/>
        <v>5481.7564049999928</v>
      </c>
      <c r="O41" s="9">
        <f>N41/I41</f>
        <v>3.4907185129320728E-2</v>
      </c>
      <c r="P41" s="2"/>
      <c r="Q41" s="2"/>
      <c r="R41" s="2"/>
    </row>
    <row r="42" spans="1:23" ht="13.5" thickTop="1" x14ac:dyDescent="0.2">
      <c r="A42" s="45">
        <f t="shared" si="1"/>
        <v>36</v>
      </c>
      <c r="D42" s="2" t="s">
        <v>18</v>
      </c>
      <c r="E42" s="135">
        <f>E34/E33</f>
        <v>1463.7769058295964</v>
      </c>
      <c r="G42" s="116">
        <f>G41/E33</f>
        <v>176.05162945627802</v>
      </c>
      <c r="I42" s="15">
        <f>I41/E33</f>
        <v>176.05162945627802</v>
      </c>
      <c r="M42" s="15">
        <f>M41/E33</f>
        <v>182.19709627802689</v>
      </c>
      <c r="N42" s="15">
        <f t="shared" si="34"/>
        <v>6.1454668217488688</v>
      </c>
      <c r="O42" s="4">
        <f>N42/I42</f>
        <v>3.4907185129320714E-2</v>
      </c>
    </row>
    <row r="43" spans="1:23" ht="13.5" thickBot="1" x14ac:dyDescent="0.25">
      <c r="A43" s="45">
        <f t="shared" si="1"/>
        <v>37</v>
      </c>
    </row>
    <row r="44" spans="1:23" x14ac:dyDescent="0.2">
      <c r="A44" s="45">
        <f t="shared" si="1"/>
        <v>38</v>
      </c>
      <c r="B44" s="33" t="s">
        <v>58</v>
      </c>
      <c r="C44" s="34">
        <v>7</v>
      </c>
      <c r="D44" s="33"/>
      <c r="E44" s="33"/>
      <c r="F44" s="117"/>
      <c r="G44" s="117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</row>
    <row r="45" spans="1:23" x14ac:dyDescent="0.2">
      <c r="A45" s="45">
        <f t="shared" si="1"/>
        <v>39</v>
      </c>
      <c r="C45" s="2"/>
      <c r="D45" s="2" t="s">
        <v>17</v>
      </c>
      <c r="E45" s="134">
        <v>1175</v>
      </c>
      <c r="F45" s="131">
        <f>H45</f>
        <v>0</v>
      </c>
      <c r="G45" s="107">
        <f>F45*E45</f>
        <v>0</v>
      </c>
      <c r="H45" s="135">
        <v>0</v>
      </c>
      <c r="I45" s="142">
        <f>H45*E45</f>
        <v>0</v>
      </c>
      <c r="J45" s="4">
        <f>I45/I47</f>
        <v>0</v>
      </c>
      <c r="K45" s="40"/>
      <c r="L45" s="135">
        <f>ROUND(H45*S47,2)</f>
        <v>0</v>
      </c>
      <c r="M45" s="5">
        <f>L45*E45</f>
        <v>0</v>
      </c>
      <c r="N45" s="5">
        <f>M45-I45</f>
        <v>0</v>
      </c>
      <c r="O45" s="4">
        <f>IF(I45=0,0,N45/I45)</f>
        <v>0</v>
      </c>
      <c r="P45" s="4">
        <f>M45/M$47</f>
        <v>0</v>
      </c>
      <c r="Q45" s="16">
        <f>P45-J45</f>
        <v>0</v>
      </c>
      <c r="R45" s="16"/>
      <c r="T45" s="4"/>
    </row>
    <row r="46" spans="1:23" x14ac:dyDescent="0.2">
      <c r="A46" s="45">
        <f t="shared" si="1"/>
        <v>40</v>
      </c>
      <c r="D46" s="2" t="s">
        <v>49</v>
      </c>
      <c r="E46" s="134">
        <v>298191</v>
      </c>
      <c r="F46" s="132">
        <f>H46-$H$255</f>
        <v>6.2342999999999996E-2</v>
      </c>
      <c r="G46" s="107">
        <f t="shared" ref="G46" si="38">F46*E46</f>
        <v>18590.121512999998</v>
      </c>
      <c r="H46" s="169">
        <v>7.4192999999999995E-2</v>
      </c>
      <c r="I46" s="142">
        <f t="shared" ref="I46" si="39">H46*E46</f>
        <v>22123.684862999999</v>
      </c>
      <c r="J46" s="4">
        <f>I46/I47</f>
        <v>1</v>
      </c>
      <c r="K46" s="40"/>
      <c r="L46" s="124">
        <f>ROUND(H46*S47,6)</f>
        <v>7.6814999999999994E-2</v>
      </c>
      <c r="M46" s="5">
        <f t="shared" ref="M46" si="40">L46*E46</f>
        <v>22905.541664999997</v>
      </c>
      <c r="N46" s="5">
        <f t="shared" ref="N46" si="41">M46-I46</f>
        <v>781.85680199999842</v>
      </c>
      <c r="O46" s="4">
        <f t="shared" ref="O46" si="42">IF(I46=0,0,N46/I46)</f>
        <v>3.5340261210626271E-2</v>
      </c>
      <c r="P46" s="4">
        <f>M46/M$47</f>
        <v>1</v>
      </c>
      <c r="Q46" s="16">
        <f t="shared" ref="Q46" si="43">P46-J46</f>
        <v>0</v>
      </c>
      <c r="R46" s="16"/>
      <c r="T46" s="4">
        <f>L46/H46-1</f>
        <v>3.5340261210626389E-2</v>
      </c>
    </row>
    <row r="47" spans="1:23" s="6" customFormat="1" ht="20.45" customHeight="1" x14ac:dyDescent="0.25">
      <c r="A47" s="45">
        <f t="shared" si="1"/>
        <v>41</v>
      </c>
      <c r="C47" s="21"/>
      <c r="D47" s="23" t="s">
        <v>6</v>
      </c>
      <c r="E47" s="23"/>
      <c r="F47" s="110"/>
      <c r="G47" s="24">
        <f>SUM(G45:G46)</f>
        <v>18590.121512999998</v>
      </c>
      <c r="H47" s="23"/>
      <c r="I47" s="143">
        <f>SUM(I45:I46)</f>
        <v>22123.684862999999</v>
      </c>
      <c r="J47" s="25">
        <f>SUM(J45:J46)</f>
        <v>1</v>
      </c>
      <c r="K47" s="41">
        <f>I47+Summary!I13</f>
        <v>22905.604862999997</v>
      </c>
      <c r="L47" s="23"/>
      <c r="M47" s="143">
        <f>SUM(M45:M46)</f>
        <v>22905.541664999997</v>
      </c>
      <c r="N47" s="143">
        <f>SUM(N45:N46)</f>
        <v>781.85680199999842</v>
      </c>
      <c r="O47" s="25">
        <f t="shared" ref="O47" si="44">N47/I47</f>
        <v>3.5340261210626271E-2</v>
      </c>
      <c r="P47" s="25">
        <f>SUM(P45:P46)</f>
        <v>1</v>
      </c>
      <c r="Q47" s="26">
        <f t="shared" ref="Q47" si="45">P47-J47</f>
        <v>0</v>
      </c>
      <c r="R47" s="37">
        <f>M47-K47</f>
        <v>-6.3197999999829335E-2</v>
      </c>
      <c r="S47" s="6">
        <f>K47/I47</f>
        <v>1.0353431177872043</v>
      </c>
    </row>
    <row r="48" spans="1:23" x14ac:dyDescent="0.2">
      <c r="A48" s="45">
        <f t="shared" si="1"/>
        <v>42</v>
      </c>
      <c r="D48" s="2" t="s">
        <v>26</v>
      </c>
      <c r="G48" s="133">
        <v>4317.1400000000003</v>
      </c>
      <c r="I48" s="14">
        <f>G48-($H$255*E46)</f>
        <v>783.57665000000043</v>
      </c>
      <c r="K48" s="14"/>
      <c r="M48" s="5">
        <f>I48</f>
        <v>783.57665000000043</v>
      </c>
      <c r="N48" s="5">
        <f t="shared" ref="N48:N54" si="46">M48-I48</f>
        <v>0</v>
      </c>
      <c r="O48" s="17">
        <v>0</v>
      </c>
    </row>
    <row r="49" spans="1:20" x14ac:dyDescent="0.2">
      <c r="A49" s="45">
        <f t="shared" si="1"/>
        <v>43</v>
      </c>
      <c r="D49" s="2" t="s">
        <v>27</v>
      </c>
      <c r="G49" s="133">
        <v>2025.6</v>
      </c>
      <c r="I49" s="14">
        <f t="shared" ref="I49:I51" si="47">G49</f>
        <v>2025.6</v>
      </c>
      <c r="M49" s="5">
        <f t="shared" ref="M49:M51" si="48">I49</f>
        <v>2025.6</v>
      </c>
      <c r="N49" s="5">
        <f t="shared" si="46"/>
        <v>0</v>
      </c>
      <c r="O49" s="17">
        <v>0</v>
      </c>
    </row>
    <row r="50" spans="1:20" x14ac:dyDescent="0.2">
      <c r="A50" s="45">
        <f t="shared" si="1"/>
        <v>44</v>
      </c>
      <c r="D50" s="2" t="s">
        <v>29</v>
      </c>
      <c r="G50" s="107">
        <v>0</v>
      </c>
      <c r="I50" s="14">
        <f t="shared" si="47"/>
        <v>0</v>
      </c>
      <c r="M50" s="5">
        <f t="shared" si="48"/>
        <v>0</v>
      </c>
      <c r="N50" s="5">
        <f t="shared" si="46"/>
        <v>0</v>
      </c>
      <c r="O50" s="17">
        <v>0</v>
      </c>
    </row>
    <row r="51" spans="1:20" x14ac:dyDescent="0.2">
      <c r="A51" s="45">
        <f t="shared" si="1"/>
        <v>45</v>
      </c>
      <c r="D51" s="2" t="s">
        <v>39</v>
      </c>
      <c r="G51" s="107">
        <v>0</v>
      </c>
      <c r="I51" s="14">
        <f t="shared" si="47"/>
        <v>0</v>
      </c>
      <c r="M51" s="5">
        <f t="shared" si="48"/>
        <v>0</v>
      </c>
      <c r="N51" s="5"/>
      <c r="O51" s="17"/>
    </row>
    <row r="52" spans="1:20" x14ac:dyDescent="0.2">
      <c r="A52" s="45">
        <f t="shared" si="1"/>
        <v>46</v>
      </c>
      <c r="D52" s="18" t="s">
        <v>8</v>
      </c>
      <c r="E52" s="18"/>
      <c r="F52" s="112"/>
      <c r="G52" s="111">
        <f>SUM(G48:G51)</f>
        <v>6342.74</v>
      </c>
      <c r="H52" s="18"/>
      <c r="I52" s="145">
        <f>SUM(I48:I51)</f>
        <v>2809.1766500000003</v>
      </c>
      <c r="J52" s="18"/>
      <c r="K52" s="18"/>
      <c r="L52" s="18"/>
      <c r="M52" s="19">
        <f>SUM(M48:M51)</f>
        <v>2809.1766500000003</v>
      </c>
      <c r="N52" s="19">
        <f t="shared" si="46"/>
        <v>0</v>
      </c>
      <c r="O52" s="27">
        <f t="shared" ref="O52" si="49">N52-J52</f>
        <v>0</v>
      </c>
    </row>
    <row r="53" spans="1:20" s="6" customFormat="1" ht="26.45" customHeight="1" thickBot="1" x14ac:dyDescent="0.25">
      <c r="A53" s="45">
        <f t="shared" si="1"/>
        <v>47</v>
      </c>
      <c r="C53" s="21"/>
      <c r="D53" s="7" t="s">
        <v>19</v>
      </c>
      <c r="E53" s="7"/>
      <c r="F53" s="114"/>
      <c r="G53" s="113">
        <f>G47+G52</f>
        <v>24932.861512999996</v>
      </c>
      <c r="H53" s="7"/>
      <c r="I53" s="141">
        <f>I52+I47</f>
        <v>24932.861513</v>
      </c>
      <c r="J53" s="7"/>
      <c r="K53" s="7"/>
      <c r="L53" s="7"/>
      <c r="M53" s="8">
        <f>M52+M47</f>
        <v>25714.718314999998</v>
      </c>
      <c r="N53" s="8">
        <f t="shared" si="46"/>
        <v>781.85680199999842</v>
      </c>
      <c r="O53" s="9">
        <f>N53/I53</f>
        <v>3.1358486533619022E-2</v>
      </c>
      <c r="P53" s="2"/>
      <c r="Q53" s="2"/>
      <c r="R53" s="2"/>
    </row>
    <row r="54" spans="1:20" ht="13.5" thickTop="1" x14ac:dyDescent="0.2">
      <c r="A54" s="45">
        <f t="shared" si="1"/>
        <v>48</v>
      </c>
      <c r="D54" s="2" t="s">
        <v>18</v>
      </c>
      <c r="E54" s="135">
        <f>E46/E45</f>
        <v>253.77957446808512</v>
      </c>
      <c r="G54" s="116">
        <f>G53/E45</f>
        <v>21.219456606808507</v>
      </c>
      <c r="I54" s="15">
        <f>I53/E45</f>
        <v>21.21945660680851</v>
      </c>
      <c r="M54" s="15">
        <f>M53/E45</f>
        <v>21.884866651063827</v>
      </c>
      <c r="N54" s="15">
        <f t="shared" si="46"/>
        <v>0.66541004425531725</v>
      </c>
      <c r="O54" s="4">
        <f>N54/I54</f>
        <v>3.1358486533618994E-2</v>
      </c>
    </row>
    <row r="55" spans="1:20" ht="13.5" thickBot="1" x14ac:dyDescent="0.25">
      <c r="A55" s="45">
        <f t="shared" si="1"/>
        <v>49</v>
      </c>
    </row>
    <row r="56" spans="1:20" x14ac:dyDescent="0.2">
      <c r="A56" s="45">
        <f t="shared" si="1"/>
        <v>50</v>
      </c>
      <c r="B56" s="33" t="s">
        <v>59</v>
      </c>
      <c r="C56" s="34">
        <v>4</v>
      </c>
      <c r="D56" s="33"/>
      <c r="E56" s="33"/>
      <c r="F56" s="117"/>
      <c r="G56" s="117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</row>
    <row r="57" spans="1:20" x14ac:dyDescent="0.2">
      <c r="A57" s="45">
        <f t="shared" si="1"/>
        <v>51</v>
      </c>
      <c r="C57" s="2"/>
      <c r="D57" s="2" t="s">
        <v>17</v>
      </c>
      <c r="E57" s="134">
        <v>20692</v>
      </c>
      <c r="F57" s="131">
        <f>H57</f>
        <v>28.27</v>
      </c>
      <c r="G57" s="107">
        <f>F57*E57</f>
        <v>584962.84</v>
      </c>
      <c r="H57" s="168">
        <v>28.27</v>
      </c>
      <c r="I57" s="142">
        <f>H57*E57</f>
        <v>584962.84</v>
      </c>
      <c r="J57" s="4">
        <f>I57/I59</f>
        <v>0.15844801098308939</v>
      </c>
      <c r="K57" s="40"/>
      <c r="L57" s="135">
        <f>ROUND(H57*S59,2)</f>
        <v>29.27</v>
      </c>
      <c r="M57" s="5">
        <f>L57*E57</f>
        <v>605654.84</v>
      </c>
      <c r="N57" s="5">
        <f>M57-I57</f>
        <v>20692</v>
      </c>
      <c r="O57" s="4">
        <f>IF(I57=0,0,N57/I57)</f>
        <v>3.5373187124159891E-2</v>
      </c>
      <c r="P57" s="4">
        <f>M57/M$59</f>
        <v>0.15845128654774346</v>
      </c>
      <c r="Q57" s="16">
        <f>P57-J57</f>
        <v>3.2755646540705285E-6</v>
      </c>
      <c r="R57" s="16"/>
      <c r="T57" s="4">
        <f>L57/H57-1</f>
        <v>3.5373187124159822E-2</v>
      </c>
    </row>
    <row r="58" spans="1:20" x14ac:dyDescent="0.2">
      <c r="A58" s="45">
        <f t="shared" si="1"/>
        <v>52</v>
      </c>
      <c r="D58" s="2" t="s">
        <v>47</v>
      </c>
      <c r="E58" s="134">
        <v>31199066</v>
      </c>
      <c r="F58" s="132">
        <f>H58-$H$255</f>
        <v>8.7732000000000004E-2</v>
      </c>
      <c r="G58" s="107">
        <f t="shared" ref="G58" si="50">F58*E58</f>
        <v>2737156.4583120001</v>
      </c>
      <c r="H58" s="138">
        <v>9.9582000000000004E-2</v>
      </c>
      <c r="I58" s="142">
        <f t="shared" ref="I58" si="51">H58*E58</f>
        <v>3106865.390412</v>
      </c>
      <c r="J58" s="4">
        <f>I58/I59</f>
        <v>0.84155198901691064</v>
      </c>
      <c r="K58" s="40"/>
      <c r="L58" s="124">
        <f>ROUND(H58*S59,6)</f>
        <v>0.103102</v>
      </c>
      <c r="M58" s="5">
        <f t="shared" ref="M58" si="52">L58*E58</f>
        <v>3216686.1027319999</v>
      </c>
      <c r="N58" s="5">
        <f t="shared" ref="N58" si="53">M58-I58</f>
        <v>109820.71231999993</v>
      </c>
      <c r="O58" s="4">
        <f t="shared" ref="O58" si="54">IF(I58=0,0,N58/I58)</f>
        <v>3.5347753610090155E-2</v>
      </c>
      <c r="P58" s="4">
        <f>M58/M$59</f>
        <v>0.84154871345225657</v>
      </c>
      <c r="Q58" s="16">
        <f t="shared" ref="Q58" si="55">P58-J58</f>
        <v>-3.2755646540705285E-6</v>
      </c>
      <c r="R58" s="16"/>
      <c r="T58" s="4">
        <f>L58/H58-1</f>
        <v>3.5347753610090127E-2</v>
      </c>
    </row>
    <row r="59" spans="1:20" s="6" customFormat="1" ht="20.45" customHeight="1" x14ac:dyDescent="0.25">
      <c r="A59" s="45">
        <f t="shared" si="1"/>
        <v>53</v>
      </c>
      <c r="C59" s="21"/>
      <c r="D59" s="23" t="s">
        <v>6</v>
      </c>
      <c r="E59" s="23"/>
      <c r="F59" s="110"/>
      <c r="G59" s="24">
        <f>SUM(G57:G58)</f>
        <v>3322119.298312</v>
      </c>
      <c r="H59" s="23"/>
      <c r="I59" s="143">
        <f>SUM(I57:I58)</f>
        <v>3691828.2304119999</v>
      </c>
      <c r="J59" s="25">
        <f>SUM(J57:J58)</f>
        <v>1</v>
      </c>
      <c r="K59" s="41">
        <f>I59+Summary!I14</f>
        <v>3822308.8004119997</v>
      </c>
      <c r="L59" s="23"/>
      <c r="M59" s="143">
        <f>SUM(M57:M58)</f>
        <v>3822340.9427319998</v>
      </c>
      <c r="N59" s="143">
        <f>SUM(N57:N58)</f>
        <v>130512.71231999993</v>
      </c>
      <c r="O59" s="25">
        <f t="shared" ref="O59" si="56">N59/I59</f>
        <v>3.5351783499806819E-2</v>
      </c>
      <c r="P59" s="25">
        <f>SUM(P57:P58)</f>
        <v>1</v>
      </c>
      <c r="Q59" s="26">
        <f t="shared" ref="Q59" si="57">P59-J59</f>
        <v>0</v>
      </c>
      <c r="R59" s="37">
        <f>M59-K59</f>
        <v>32.142320000100881</v>
      </c>
      <c r="S59" s="6">
        <f>K59/I59</f>
        <v>1.0353430771575844</v>
      </c>
    </row>
    <row r="60" spans="1:20" x14ac:dyDescent="0.2">
      <c r="A60" s="45">
        <f t="shared" si="1"/>
        <v>54</v>
      </c>
      <c r="D60" s="2" t="s">
        <v>26</v>
      </c>
      <c r="G60" s="133">
        <v>365366.39</v>
      </c>
      <c r="I60" s="14">
        <f>G60-($H$255*E58)</f>
        <v>-4342.5420999999624</v>
      </c>
      <c r="K60" s="14"/>
      <c r="M60" s="5">
        <f>I60</f>
        <v>-4342.5420999999624</v>
      </c>
      <c r="N60" s="5">
        <f t="shared" ref="N60:N62" si="58">M60-I60</f>
        <v>0</v>
      </c>
      <c r="O60" s="17">
        <v>0</v>
      </c>
    </row>
    <row r="61" spans="1:20" x14ac:dyDescent="0.2">
      <c r="A61" s="45">
        <f t="shared" si="1"/>
        <v>55</v>
      </c>
      <c r="D61" s="2" t="s">
        <v>27</v>
      </c>
      <c r="G61" s="133">
        <v>405648.88</v>
      </c>
      <c r="I61" s="14">
        <f t="shared" ref="I61:I63" si="59">G61</f>
        <v>405648.88</v>
      </c>
      <c r="M61" s="5">
        <f t="shared" ref="M61:M63" si="60">I61</f>
        <v>405648.88</v>
      </c>
      <c r="N61" s="5">
        <f t="shared" si="58"/>
        <v>0</v>
      </c>
      <c r="O61" s="17">
        <v>0</v>
      </c>
    </row>
    <row r="62" spans="1:20" x14ac:dyDescent="0.2">
      <c r="A62" s="45">
        <f t="shared" si="1"/>
        <v>56</v>
      </c>
      <c r="D62" s="2" t="s">
        <v>29</v>
      </c>
      <c r="G62" s="107">
        <v>0</v>
      </c>
      <c r="I62" s="14">
        <f t="shared" si="59"/>
        <v>0</v>
      </c>
      <c r="M62" s="5">
        <f t="shared" si="60"/>
        <v>0</v>
      </c>
      <c r="N62" s="5">
        <f t="shared" si="58"/>
        <v>0</v>
      </c>
      <c r="O62" s="17">
        <v>0</v>
      </c>
    </row>
    <row r="63" spans="1:20" x14ac:dyDescent="0.2">
      <c r="A63" s="45">
        <f t="shared" si="1"/>
        <v>57</v>
      </c>
      <c r="D63" s="2" t="s">
        <v>39</v>
      </c>
      <c r="G63" s="107">
        <v>0</v>
      </c>
      <c r="I63" s="14">
        <f t="shared" si="59"/>
        <v>0</v>
      </c>
      <c r="M63" s="5">
        <f t="shared" si="60"/>
        <v>0</v>
      </c>
      <c r="N63" s="5"/>
      <c r="O63" s="17"/>
    </row>
    <row r="64" spans="1:20" x14ac:dyDescent="0.2">
      <c r="A64" s="45">
        <f t="shared" si="1"/>
        <v>58</v>
      </c>
      <c r="D64" s="18" t="s">
        <v>8</v>
      </c>
      <c r="E64" s="18"/>
      <c r="F64" s="112"/>
      <c r="G64" s="111">
        <f>SUM(G60:G63)</f>
        <v>771015.27</v>
      </c>
      <c r="H64" s="18"/>
      <c r="I64" s="145">
        <f>SUM(I60:I63)</f>
        <v>401306.33790000004</v>
      </c>
      <c r="J64" s="18"/>
      <c r="K64" s="18"/>
      <c r="L64" s="18"/>
      <c r="M64" s="19">
        <f>SUM(M60:M63)</f>
        <v>401306.33790000004</v>
      </c>
      <c r="N64" s="19">
        <f t="shared" ref="N64:N66" si="61">M64-I64</f>
        <v>0</v>
      </c>
      <c r="O64" s="27">
        <f t="shared" ref="O64" si="62">N64-J64</f>
        <v>0</v>
      </c>
    </row>
    <row r="65" spans="1:23" s="6" customFormat="1" ht="26.45" customHeight="1" thickBot="1" x14ac:dyDescent="0.25">
      <c r="A65" s="45">
        <f t="shared" si="1"/>
        <v>59</v>
      </c>
      <c r="C65" s="21"/>
      <c r="D65" s="7" t="s">
        <v>19</v>
      </c>
      <c r="E65" s="7"/>
      <c r="F65" s="114"/>
      <c r="G65" s="113">
        <f>G59+G64</f>
        <v>4093134.568312</v>
      </c>
      <c r="H65" s="7"/>
      <c r="I65" s="141">
        <f>I64+I59</f>
        <v>4093134.568312</v>
      </c>
      <c r="J65" s="7"/>
      <c r="K65" s="7"/>
      <c r="L65" s="7"/>
      <c r="M65" s="8">
        <f>M64+M59</f>
        <v>4223647.2806319995</v>
      </c>
      <c r="N65" s="8">
        <f t="shared" si="61"/>
        <v>130512.71231999947</v>
      </c>
      <c r="O65" s="9">
        <f>N65/I65</f>
        <v>3.1885761423627625E-2</v>
      </c>
      <c r="P65" s="2"/>
      <c r="Q65" s="2"/>
      <c r="R65" s="2"/>
    </row>
    <row r="66" spans="1:23" ht="13.5" thickTop="1" x14ac:dyDescent="0.2">
      <c r="A66" s="45">
        <f t="shared" si="1"/>
        <v>60</v>
      </c>
      <c r="D66" s="2" t="s">
        <v>18</v>
      </c>
      <c r="E66" s="135">
        <f>E58/E57</f>
        <v>1507.7839744828918</v>
      </c>
      <c r="G66" s="116">
        <f>G65/E57</f>
        <v>197.81241872762419</v>
      </c>
      <c r="I66" s="15">
        <f>I65/E57</f>
        <v>197.81241872762419</v>
      </c>
      <c r="M66" s="15">
        <f>M65/E57</f>
        <v>204.11981831780395</v>
      </c>
      <c r="N66" s="15">
        <f t="shared" si="61"/>
        <v>6.3073995901797559</v>
      </c>
      <c r="O66" s="4">
        <f>N66/I66</f>
        <v>3.1885761423627632E-2</v>
      </c>
    </row>
    <row r="67" spans="1:23" ht="13.5" thickBot="1" x14ac:dyDescent="0.25">
      <c r="A67" s="45">
        <f t="shared" si="1"/>
        <v>61</v>
      </c>
    </row>
    <row r="68" spans="1:23" x14ac:dyDescent="0.2">
      <c r="A68" s="45">
        <f t="shared" si="1"/>
        <v>62</v>
      </c>
      <c r="B68" s="33" t="s">
        <v>60</v>
      </c>
      <c r="C68" s="34">
        <v>5</v>
      </c>
      <c r="D68" s="33"/>
      <c r="E68" s="33"/>
      <c r="F68" s="117"/>
      <c r="G68" s="117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</row>
    <row r="69" spans="1:23" x14ac:dyDescent="0.2">
      <c r="A69" s="45">
        <f t="shared" ref="A69:A124" si="63">A68+1</f>
        <v>63</v>
      </c>
      <c r="C69" s="2"/>
      <c r="D69" s="2" t="s">
        <v>17</v>
      </c>
      <c r="E69" s="134">
        <v>1184</v>
      </c>
      <c r="F69" s="131">
        <f>H69</f>
        <v>115.18</v>
      </c>
      <c r="G69" s="107">
        <f>F69*E69</f>
        <v>136373.12</v>
      </c>
      <c r="H69" s="135">
        <v>115.18</v>
      </c>
      <c r="I69" s="142">
        <f>H69*E69</f>
        <v>136373.12</v>
      </c>
      <c r="J69" s="4">
        <f>IF(I72=0,0,I69/I72)</f>
        <v>2.3371222268529245E-2</v>
      </c>
      <c r="K69" s="40"/>
      <c r="L69" s="135">
        <f>ROUND(H69*S72,2)</f>
        <v>119.25</v>
      </c>
      <c r="M69" s="5">
        <f>L69*E69</f>
        <v>141192</v>
      </c>
      <c r="N69" s="5">
        <f>M69-I69</f>
        <v>4818.8800000000047</v>
      </c>
      <c r="O69" s="4">
        <f>IF(I69=0,0,N69/I69)</f>
        <v>3.5335995832609865E-2</v>
      </c>
      <c r="P69" s="4">
        <f>IF(M$72=0,0,M69/M$72)</f>
        <v>2.3371035590016888E-2</v>
      </c>
      <c r="Q69" s="16">
        <f>P69-J69</f>
        <v>-1.8667851235665278E-7</v>
      </c>
      <c r="R69" s="16"/>
      <c r="T69" s="4">
        <f t="shared" ref="T69:T71" si="64">L69/H69-1</f>
        <v>3.5335995832609823E-2</v>
      </c>
      <c r="W69" s="70" t="s">
        <v>51</v>
      </c>
    </row>
    <row r="70" spans="1:23" x14ac:dyDescent="0.2">
      <c r="A70" s="45">
        <f t="shared" si="63"/>
        <v>64</v>
      </c>
      <c r="D70" s="2" t="s">
        <v>47</v>
      </c>
      <c r="E70" s="134">
        <v>51126030</v>
      </c>
      <c r="F70" s="132">
        <f>H70-$H$255</f>
        <v>6.6689999999999999E-2</v>
      </c>
      <c r="G70" s="107">
        <f t="shared" ref="G70" si="65">F70*E70</f>
        <v>3409594.9407000002</v>
      </c>
      <c r="H70" s="138">
        <v>7.8539999999999999E-2</v>
      </c>
      <c r="I70" s="142">
        <f t="shared" ref="I70" si="66">H70*E70</f>
        <v>4015438.3961999998</v>
      </c>
      <c r="J70" s="4">
        <f>IF(I73=0,0,I70/I$72)</f>
        <v>0.68815396511553595</v>
      </c>
      <c r="K70" s="40"/>
      <c r="L70" s="124">
        <f>ROUND(H70*S72,6)</f>
        <v>8.1315999999999999E-2</v>
      </c>
      <c r="M70" s="5">
        <f t="shared" ref="M70" si="67">L70*E70</f>
        <v>4157364.2554799998</v>
      </c>
      <c r="N70" s="5">
        <f t="shared" ref="N70:N78" si="68">M70-I70</f>
        <v>141925.85927999998</v>
      </c>
      <c r="O70" s="4">
        <f t="shared" ref="O70" si="69">IF(I70=0,0,N70/I70)</f>
        <v>3.5345047109752989E-2</v>
      </c>
      <c r="P70" s="4">
        <f>IF(M$72=0,0,M70/M$72)</f>
        <v>0.68815448449973893</v>
      </c>
      <c r="Q70" s="16">
        <f t="shared" ref="Q70:Q72" si="70">P70-J70</f>
        <v>5.1938420297936716E-7</v>
      </c>
      <c r="R70" s="16"/>
      <c r="T70" s="4">
        <f t="shared" si="64"/>
        <v>3.5345047109752947E-2</v>
      </c>
      <c r="W70" s="70" t="s">
        <v>52</v>
      </c>
    </row>
    <row r="71" spans="1:23" x14ac:dyDescent="0.2">
      <c r="A71" s="45">
        <f t="shared" si="63"/>
        <v>65</v>
      </c>
      <c r="D71" s="2" t="s">
        <v>50</v>
      </c>
      <c r="E71" s="134">
        <v>194373.63599999994</v>
      </c>
      <c r="F71" s="131">
        <f>H71</f>
        <v>8.66</v>
      </c>
      <c r="G71" s="107">
        <f t="shared" ref="G71" si="71">F71*E71</f>
        <v>1683275.6877599994</v>
      </c>
      <c r="H71" s="135">
        <v>8.66</v>
      </c>
      <c r="I71" s="142">
        <f t="shared" ref="I71" si="72">H71*E71</f>
        <v>1683275.6877599994</v>
      </c>
      <c r="J71" s="4">
        <f>IF(I74=0,0,I71/I$72)</f>
        <v>0.28847481261593472</v>
      </c>
      <c r="K71" s="40"/>
      <c r="L71" s="135">
        <f>ROUND(H71*S72,6)</f>
        <v>8.9660709999999995</v>
      </c>
      <c r="M71" s="5">
        <f t="shared" ref="M71" si="73">L71*E71</f>
        <v>1742767.8209041553</v>
      </c>
      <c r="N71" s="5">
        <f t="shared" ref="N71" si="74">M71-I71</f>
        <v>59492.133144155843</v>
      </c>
      <c r="O71" s="4">
        <f t="shared" ref="O71" si="75">IF(I71=0,0,N71/I71)</f>
        <v>3.5343071593533407E-2</v>
      </c>
      <c r="P71" s="4">
        <f>IF(M$72=0,0,M71/M$72)</f>
        <v>0.28847447991024416</v>
      </c>
      <c r="Q71" s="16">
        <f t="shared" ref="Q71" si="76">P71-J71</f>
        <v>-3.3270569055332544E-7</v>
      </c>
      <c r="R71" s="16"/>
      <c r="T71" s="4">
        <f t="shared" si="64"/>
        <v>3.5343071593533448E-2</v>
      </c>
      <c r="W71" s="70" t="s">
        <v>53</v>
      </c>
    </row>
    <row r="72" spans="1:23" s="6" customFormat="1" ht="20.45" customHeight="1" x14ac:dyDescent="0.25">
      <c r="A72" s="45">
        <f t="shared" si="63"/>
        <v>66</v>
      </c>
      <c r="C72" s="21"/>
      <c r="D72" s="23" t="s">
        <v>6</v>
      </c>
      <c r="E72" s="23"/>
      <c r="F72" s="110"/>
      <c r="G72" s="24">
        <f>SUM(G69:G71)</f>
        <v>5229243.7484599994</v>
      </c>
      <c r="H72" s="23"/>
      <c r="I72" s="143">
        <f>SUM(I69:I71)</f>
        <v>5835087.2039599996</v>
      </c>
      <c r="J72" s="25">
        <f>SUM(J69:J71)</f>
        <v>1</v>
      </c>
      <c r="K72" s="41">
        <f>I72+Summary!I15</f>
        <v>6041317.1339599993</v>
      </c>
      <c r="L72" s="23"/>
      <c r="M72" s="143">
        <f>SUM(M69:M71)</f>
        <v>6041324.0763841551</v>
      </c>
      <c r="N72" s="143">
        <f>SUM(N69:N71)</f>
        <v>206236.87242415582</v>
      </c>
      <c r="O72" s="25">
        <f>IF(I72=0,0,N72/I72)</f>
        <v>3.5344265683671792E-2</v>
      </c>
      <c r="P72" s="25">
        <f>SUM(P69:P71)</f>
        <v>1</v>
      </c>
      <c r="Q72" s="26">
        <f t="shared" si="70"/>
        <v>0</v>
      </c>
      <c r="R72" s="37">
        <f>M72-K72</f>
        <v>6.9424241557717323</v>
      </c>
      <c r="S72" s="6">
        <f>IF(I72=0,0,K72/I72)</f>
        <v>1.0353430759115376</v>
      </c>
    </row>
    <row r="73" spans="1:23" x14ac:dyDescent="0.2">
      <c r="A73" s="45">
        <f t="shared" si="63"/>
        <v>67</v>
      </c>
      <c r="D73" s="2" t="s">
        <v>26</v>
      </c>
      <c r="G73" s="133">
        <v>597649.85</v>
      </c>
      <c r="I73" s="14">
        <f>G73-($H$255*E70)</f>
        <v>-8193.6054999999469</v>
      </c>
      <c r="K73" s="14"/>
      <c r="M73" s="5">
        <f>I73</f>
        <v>-8193.6054999999469</v>
      </c>
      <c r="N73" s="5">
        <f t="shared" si="68"/>
        <v>0</v>
      </c>
      <c r="O73" s="17">
        <v>0</v>
      </c>
    </row>
    <row r="74" spans="1:23" x14ac:dyDescent="0.2">
      <c r="A74" s="45">
        <f t="shared" si="63"/>
        <v>68</v>
      </c>
      <c r="D74" s="2" t="s">
        <v>27</v>
      </c>
      <c r="G74" s="133">
        <v>640187.22</v>
      </c>
      <c r="I74" s="14">
        <f t="shared" ref="I74:I76" si="77">G74</f>
        <v>640187.22</v>
      </c>
      <c r="M74" s="5">
        <f t="shared" ref="M74:M76" si="78">I74</f>
        <v>640187.22</v>
      </c>
      <c r="N74" s="5">
        <f t="shared" si="68"/>
        <v>0</v>
      </c>
      <c r="O74" s="17">
        <v>0</v>
      </c>
    </row>
    <row r="75" spans="1:23" x14ac:dyDescent="0.2">
      <c r="A75" s="45">
        <f t="shared" si="63"/>
        <v>69</v>
      </c>
      <c r="D75" s="2" t="s">
        <v>29</v>
      </c>
      <c r="G75" s="107">
        <v>0</v>
      </c>
      <c r="I75" s="14">
        <f t="shared" si="77"/>
        <v>0</v>
      </c>
      <c r="M75" s="5">
        <f t="shared" si="78"/>
        <v>0</v>
      </c>
      <c r="N75" s="5">
        <f t="shared" si="68"/>
        <v>0</v>
      </c>
      <c r="O75" s="17">
        <v>0</v>
      </c>
    </row>
    <row r="76" spans="1:23" x14ac:dyDescent="0.2">
      <c r="A76" s="45">
        <f t="shared" si="63"/>
        <v>70</v>
      </c>
      <c r="D76" s="2" t="s">
        <v>39</v>
      </c>
      <c r="G76" s="107">
        <v>0</v>
      </c>
      <c r="I76" s="14">
        <f t="shared" si="77"/>
        <v>0</v>
      </c>
      <c r="M76" s="5">
        <f t="shared" si="78"/>
        <v>0</v>
      </c>
      <c r="N76" s="5"/>
      <c r="O76" s="17"/>
    </row>
    <row r="77" spans="1:23" x14ac:dyDescent="0.2">
      <c r="A77" s="45">
        <f t="shared" si="63"/>
        <v>71</v>
      </c>
      <c r="D77" s="18" t="s">
        <v>8</v>
      </c>
      <c r="E77" s="18"/>
      <c r="F77" s="112"/>
      <c r="G77" s="111">
        <f>SUM(G73:G76)</f>
        <v>1237837.0699999998</v>
      </c>
      <c r="H77" s="18"/>
      <c r="I77" s="145">
        <f>SUM(I73:I76)</f>
        <v>631993.61450000003</v>
      </c>
      <c r="J77" s="18"/>
      <c r="K77" s="18"/>
      <c r="L77" s="18"/>
      <c r="M77" s="19">
        <f>SUM(M73:M76)</f>
        <v>631993.61450000003</v>
      </c>
      <c r="N77" s="19">
        <f t="shared" si="68"/>
        <v>0</v>
      </c>
      <c r="O77" s="27">
        <f t="shared" ref="O77" si="79">N77-J77</f>
        <v>0</v>
      </c>
    </row>
    <row r="78" spans="1:23" s="6" customFormat="1" ht="26.45" customHeight="1" thickBot="1" x14ac:dyDescent="0.25">
      <c r="A78" s="45">
        <f t="shared" si="63"/>
        <v>72</v>
      </c>
      <c r="C78" s="21"/>
      <c r="D78" s="7" t="s">
        <v>19</v>
      </c>
      <c r="E78" s="7"/>
      <c r="F78" s="114"/>
      <c r="G78" s="113">
        <f>G72+G77</f>
        <v>6467080.8184599988</v>
      </c>
      <c r="H78" s="7"/>
      <c r="I78" s="141">
        <f>I77+I72</f>
        <v>6467080.8184599997</v>
      </c>
      <c r="J78" s="7"/>
      <c r="K78" s="7"/>
      <c r="L78" s="7"/>
      <c r="M78" s="8">
        <f>M77+M72</f>
        <v>6673317.6908841552</v>
      </c>
      <c r="N78" s="8">
        <f t="shared" si="68"/>
        <v>206236.87242415547</v>
      </c>
      <c r="O78" s="9">
        <f>IF(I78=0,0,N78/I78)</f>
        <v>3.189025747682963E-2</v>
      </c>
      <c r="P78" s="2"/>
      <c r="Q78" s="2"/>
      <c r="R78" s="2"/>
    </row>
    <row r="79" spans="1:23" ht="13.5" thickTop="1" x14ac:dyDescent="0.2">
      <c r="A79" s="45">
        <f t="shared" si="63"/>
        <v>73</v>
      </c>
      <c r="D79" s="20"/>
      <c r="E79" s="136">
        <f>E70/E69</f>
        <v>43180.76858108108</v>
      </c>
      <c r="F79" s="119"/>
      <c r="G79" s="119">
        <f>G78/E69</f>
        <v>5462.0615020777013</v>
      </c>
      <c r="H79" s="136"/>
      <c r="I79" s="136">
        <f>I78/E69</f>
        <v>5462.0615020777022</v>
      </c>
      <c r="J79" s="92"/>
      <c r="K79" s="92"/>
      <c r="L79" s="136"/>
      <c r="M79" s="92">
        <f>M78/E69</f>
        <v>5636.248049733239</v>
      </c>
      <c r="N79" s="92">
        <f>M79-I79</f>
        <v>174.18654765553674</v>
      </c>
      <c r="O79" s="20"/>
      <c r="P79" s="20"/>
      <c r="Q79" s="20"/>
    </row>
    <row r="80" spans="1:23" ht="13.5" thickBot="1" x14ac:dyDescent="0.25">
      <c r="A80" s="45">
        <f t="shared" si="63"/>
        <v>74</v>
      </c>
    </row>
    <row r="81" spans="1:25" x14ac:dyDescent="0.2">
      <c r="A81" s="45">
        <f t="shared" si="63"/>
        <v>75</v>
      </c>
      <c r="B81" s="33" t="s">
        <v>108</v>
      </c>
      <c r="C81" s="34">
        <v>9</v>
      </c>
      <c r="D81" s="33"/>
      <c r="E81" s="33"/>
      <c r="F81" s="117"/>
      <c r="G81" s="117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</row>
    <row r="82" spans="1:25" x14ac:dyDescent="0.2">
      <c r="A82" s="45">
        <f t="shared" si="63"/>
        <v>76</v>
      </c>
      <c r="B82" s="2" t="s">
        <v>107</v>
      </c>
      <c r="C82" s="2"/>
      <c r="D82" s="2" t="s">
        <v>17</v>
      </c>
      <c r="E82" s="134">
        <v>48</v>
      </c>
      <c r="F82" s="131">
        <f>H82</f>
        <v>115.18</v>
      </c>
      <c r="G82" s="107">
        <f>F82*E82</f>
        <v>5528.64</v>
      </c>
      <c r="H82" s="135">
        <f>H69</f>
        <v>115.18</v>
      </c>
      <c r="I82" s="142">
        <f>H82*E82</f>
        <v>5528.64</v>
      </c>
      <c r="J82" s="4">
        <f>I82/I85</f>
        <v>2.5363114936454928E-3</v>
      </c>
      <c r="K82" s="40"/>
      <c r="L82" s="135">
        <f>ROUND(H82*S85,2)</f>
        <v>119.25</v>
      </c>
      <c r="M82" s="5">
        <f>L82*E82</f>
        <v>5724</v>
      </c>
      <c r="N82" s="5">
        <f>M82-I82</f>
        <v>195.35999999999967</v>
      </c>
      <c r="O82" s="4">
        <f>IF(I82=0,0,N82/I82)</f>
        <v>3.5335995832609768E-2</v>
      </c>
      <c r="P82" s="4">
        <f>M82/M$85</f>
        <v>2.5362904354491911E-3</v>
      </c>
      <c r="Q82" s="16">
        <f>P82-J82</f>
        <v>-2.1058196301732696E-8</v>
      </c>
      <c r="R82" s="16"/>
      <c r="T82" s="4">
        <f t="shared" ref="T82:T84" si="80">L82/H82-1</f>
        <v>3.5335995832609823E-2</v>
      </c>
    </row>
    <row r="83" spans="1:25" x14ac:dyDescent="0.2">
      <c r="A83" s="45">
        <f t="shared" si="63"/>
        <v>77</v>
      </c>
      <c r="D83" s="2" t="s">
        <v>50</v>
      </c>
      <c r="E83" s="134">
        <v>61184.2</v>
      </c>
      <c r="F83" s="131">
        <f>H83</f>
        <v>7.7940000000000005</v>
      </c>
      <c r="G83" s="107">
        <f t="shared" ref="G83" si="81">F83*E83</f>
        <v>476869.65480000002</v>
      </c>
      <c r="H83" s="135">
        <f>0.9*H71</f>
        <v>7.7940000000000005</v>
      </c>
      <c r="I83" s="142">
        <f t="shared" ref="I83" si="82">H83*E83</f>
        <v>476869.65480000002</v>
      </c>
      <c r="J83" s="4">
        <f>I83/I85</f>
        <v>0.21876808517827143</v>
      </c>
      <c r="K83" s="40"/>
      <c r="L83" s="135">
        <f>0.9*L71</f>
        <v>8.0694639000000006</v>
      </c>
      <c r="M83" s="5">
        <f t="shared" ref="M83" si="83">L83*E83</f>
        <v>493723.69315037999</v>
      </c>
      <c r="N83" s="5">
        <f t="shared" ref="N83" si="84">M83-I83</f>
        <v>16854.038350379968</v>
      </c>
      <c r="O83" s="4">
        <f t="shared" ref="O83" si="85">IF(I83=0,0,N83/I83)</f>
        <v>3.5343071593533421E-2</v>
      </c>
      <c r="P83" s="4">
        <f>M83/M$85</f>
        <v>0.21876776392242489</v>
      </c>
      <c r="Q83" s="16">
        <f t="shared" ref="Q83" si="86">P83-J83</f>
        <v>-3.2125584653597272E-7</v>
      </c>
      <c r="R83" s="16"/>
      <c r="T83" s="4">
        <f t="shared" ref="T83" si="87">L83/H83-1</f>
        <v>3.5343071593533448E-2</v>
      </c>
    </row>
    <row r="84" spans="1:25" x14ac:dyDescent="0.2">
      <c r="A84" s="45">
        <f t="shared" si="63"/>
        <v>78</v>
      </c>
      <c r="B84" s="71"/>
      <c r="D84" s="2" t="s">
        <v>47</v>
      </c>
      <c r="E84" s="134">
        <v>24013200</v>
      </c>
      <c r="F84" s="132">
        <f>H84-$H$255</f>
        <v>5.8835999999999999E-2</v>
      </c>
      <c r="G84" s="107">
        <f t="shared" ref="G84" si="88">F84*E84</f>
        <v>1412840.6351999999</v>
      </c>
      <c r="H84" s="138">
        <f>0.9*H70</f>
        <v>7.0685999999999999E-2</v>
      </c>
      <c r="I84" s="142">
        <f t="shared" ref="I84" si="89">H84*E84</f>
        <v>1697397.0552000001</v>
      </c>
      <c r="J84" s="4">
        <f>I84/I85</f>
        <v>0.77869560332808307</v>
      </c>
      <c r="K84" s="40"/>
      <c r="L84" s="138">
        <f>0.9*L70</f>
        <v>7.3184399999999997E-2</v>
      </c>
      <c r="M84" s="5">
        <f t="shared" ref="M84" si="90">L84*E84</f>
        <v>1757391.63408</v>
      </c>
      <c r="N84" s="5">
        <f t="shared" ref="N84:N92" si="91">M84-I84</f>
        <v>59994.578879999928</v>
      </c>
      <c r="O84" s="4">
        <f t="shared" ref="O84" si="92">IF(I84=0,0,N84/I84)</f>
        <v>3.5345047109752947E-2</v>
      </c>
      <c r="P84" s="4">
        <f>M84/M$85</f>
        <v>0.77869594564212596</v>
      </c>
      <c r="Q84" s="16">
        <f t="shared" ref="Q84:Q85" si="93">P84-J84</f>
        <v>3.4231404288931344E-7</v>
      </c>
      <c r="R84" s="16"/>
      <c r="T84" s="4">
        <f t="shared" si="80"/>
        <v>3.5345047109752947E-2</v>
      </c>
    </row>
    <row r="85" spans="1:25" s="6" customFormat="1" ht="20.45" customHeight="1" x14ac:dyDescent="0.25">
      <c r="A85" s="45">
        <f t="shared" si="63"/>
        <v>79</v>
      </c>
      <c r="C85" s="21"/>
      <c r="D85" s="23" t="s">
        <v>6</v>
      </c>
      <c r="E85" s="23"/>
      <c r="F85" s="110"/>
      <c r="G85" s="24">
        <f>SUM(G82:G84)</f>
        <v>1895238.93</v>
      </c>
      <c r="H85" s="23"/>
      <c r="I85" s="143">
        <f>SUM(I82:I84)</f>
        <v>2179795.35</v>
      </c>
      <c r="J85" s="25">
        <f>SUM(J82:J84)</f>
        <v>1</v>
      </c>
      <c r="K85" s="41">
        <f>I85+Summary!I16</f>
        <v>2256836.02</v>
      </c>
      <c r="L85" s="23"/>
      <c r="M85" s="143">
        <f>SUM(M82:M84)</f>
        <v>2256839.3272303799</v>
      </c>
      <c r="N85" s="143">
        <f>SUM(N82:N84)</f>
        <v>77043.977230379896</v>
      </c>
      <c r="O85" s="25">
        <f t="shared" ref="O85" si="94">N85/I85</f>
        <v>3.534459197299411E-2</v>
      </c>
      <c r="P85" s="25">
        <f>SUM(P82:P84)</f>
        <v>1</v>
      </c>
      <c r="Q85" s="26">
        <f t="shared" si="93"/>
        <v>0</v>
      </c>
      <c r="R85" s="37">
        <f>M85-K85</f>
        <v>3.3072303798981011</v>
      </c>
      <c r="S85" s="6">
        <f>K85/I85</f>
        <v>1.0353430747524073</v>
      </c>
    </row>
    <row r="86" spans="1:25" x14ac:dyDescent="0.2">
      <c r="A86" s="45">
        <f t="shared" si="63"/>
        <v>80</v>
      </c>
      <c r="D86" s="2" t="s">
        <v>26</v>
      </c>
      <c r="G86" s="133">
        <v>282327.89</v>
      </c>
      <c r="I86" s="14">
        <f>G86-($H$255*E84)</f>
        <v>-2228.5299999999697</v>
      </c>
      <c r="K86" s="14"/>
      <c r="M86" s="5">
        <f>I86</f>
        <v>-2228.5299999999697</v>
      </c>
      <c r="N86" s="5">
        <f t="shared" si="91"/>
        <v>0</v>
      </c>
      <c r="O86" s="17">
        <v>0</v>
      </c>
    </row>
    <row r="87" spans="1:25" x14ac:dyDescent="0.2">
      <c r="A87" s="45">
        <f t="shared" si="63"/>
        <v>81</v>
      </c>
      <c r="D87" s="2" t="s">
        <v>27</v>
      </c>
      <c r="G87" s="133">
        <v>240717.6</v>
      </c>
      <c r="I87" s="14">
        <f t="shared" ref="I87:I89" si="95">G87</f>
        <v>240717.6</v>
      </c>
      <c r="M87" s="5">
        <f t="shared" ref="M87:M89" si="96">I87</f>
        <v>240717.6</v>
      </c>
      <c r="N87" s="5">
        <f t="shared" si="91"/>
        <v>0</v>
      </c>
      <c r="O87" s="17">
        <v>0</v>
      </c>
    </row>
    <row r="88" spans="1:25" x14ac:dyDescent="0.2">
      <c r="A88" s="45">
        <f t="shared" si="63"/>
        <v>82</v>
      </c>
      <c r="D88" s="2" t="s">
        <v>29</v>
      </c>
      <c r="G88" s="107">
        <v>0</v>
      </c>
      <c r="I88" s="14">
        <f t="shared" si="95"/>
        <v>0</v>
      </c>
      <c r="M88" s="5">
        <f t="shared" si="96"/>
        <v>0</v>
      </c>
      <c r="N88" s="5">
        <f t="shared" si="91"/>
        <v>0</v>
      </c>
      <c r="O88" s="17">
        <v>0</v>
      </c>
    </row>
    <row r="89" spans="1:25" x14ac:dyDescent="0.2">
      <c r="A89" s="45">
        <f t="shared" si="63"/>
        <v>83</v>
      </c>
      <c r="D89" s="2" t="s">
        <v>39</v>
      </c>
      <c r="G89" s="107">
        <v>0</v>
      </c>
      <c r="I89" s="14">
        <f t="shared" si="95"/>
        <v>0</v>
      </c>
      <c r="M89" s="5">
        <f t="shared" si="96"/>
        <v>0</v>
      </c>
      <c r="N89" s="5"/>
      <c r="O89" s="17"/>
    </row>
    <row r="90" spans="1:25" x14ac:dyDescent="0.2">
      <c r="A90" s="45">
        <f t="shared" si="63"/>
        <v>84</v>
      </c>
      <c r="D90" s="18" t="s">
        <v>8</v>
      </c>
      <c r="E90" s="18"/>
      <c r="F90" s="112"/>
      <c r="G90" s="111">
        <f>SUM(G86:G89)</f>
        <v>523045.49</v>
      </c>
      <c r="H90" s="18"/>
      <c r="I90" s="145">
        <f>SUM(I86:I89)</f>
        <v>238489.07000000004</v>
      </c>
      <c r="J90" s="18"/>
      <c r="K90" s="18"/>
      <c r="L90" s="18"/>
      <c r="M90" s="19">
        <f>SUM(M86:M89)</f>
        <v>238489.07000000004</v>
      </c>
      <c r="N90" s="19">
        <f t="shared" si="91"/>
        <v>0</v>
      </c>
      <c r="O90" s="27">
        <f t="shared" ref="O90" si="97">N90-J90</f>
        <v>0</v>
      </c>
    </row>
    <row r="91" spans="1:25" s="6" customFormat="1" ht="26.45" customHeight="1" thickBot="1" x14ac:dyDescent="0.25">
      <c r="A91" s="45">
        <f t="shared" si="63"/>
        <v>85</v>
      </c>
      <c r="C91" s="21"/>
      <c r="D91" s="7" t="s">
        <v>19</v>
      </c>
      <c r="E91" s="7"/>
      <c r="F91" s="114"/>
      <c r="G91" s="113">
        <f>G85+G90</f>
        <v>2418284.42</v>
      </c>
      <c r="H91" s="7"/>
      <c r="I91" s="141">
        <f>I90+I85</f>
        <v>2418284.42</v>
      </c>
      <c r="J91" s="7"/>
      <c r="K91" s="7"/>
      <c r="L91" s="7"/>
      <c r="M91" s="8">
        <f>M90+M85</f>
        <v>2495328.3972303797</v>
      </c>
      <c r="N91" s="8">
        <f t="shared" si="91"/>
        <v>77043.977230379824</v>
      </c>
      <c r="O91" s="9">
        <f>N91/I91</f>
        <v>3.1858939582623549E-2</v>
      </c>
      <c r="P91" s="2"/>
      <c r="Q91" s="2"/>
      <c r="R91" s="2"/>
    </row>
    <row r="92" spans="1:25" ht="13.5" thickTop="1" x14ac:dyDescent="0.2">
      <c r="A92" s="45">
        <f t="shared" si="63"/>
        <v>86</v>
      </c>
      <c r="D92" s="2" t="s">
        <v>18</v>
      </c>
      <c r="E92" s="135">
        <f>E84/E82</f>
        <v>500275</v>
      </c>
      <c r="G92" s="116">
        <f>G91/E82</f>
        <v>50380.925416666665</v>
      </c>
      <c r="I92" s="15">
        <f>I91/E82</f>
        <v>50380.925416666665</v>
      </c>
      <c r="M92" s="15">
        <f>M91/E82</f>
        <v>51986.008275632914</v>
      </c>
      <c r="N92" s="15">
        <f t="shared" si="91"/>
        <v>1605.0828589662488</v>
      </c>
      <c r="O92" s="4">
        <f>N92/I92</f>
        <v>3.1858939582623598E-2</v>
      </c>
    </row>
    <row r="93" spans="1:25" ht="13.5" thickBot="1" x14ac:dyDescent="0.25">
      <c r="A93" s="45">
        <f t="shared" si="63"/>
        <v>87</v>
      </c>
    </row>
    <row r="94" spans="1:25" x14ac:dyDescent="0.2">
      <c r="A94" s="45">
        <f t="shared" si="63"/>
        <v>88</v>
      </c>
      <c r="B94" s="33" t="s">
        <v>61</v>
      </c>
      <c r="C94" s="34">
        <v>10</v>
      </c>
      <c r="D94" s="33"/>
      <c r="E94" s="33"/>
      <c r="F94" s="117"/>
      <c r="G94" s="117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X94" s="6"/>
      <c r="Y94" s="6"/>
    </row>
    <row r="95" spans="1:25" x14ac:dyDescent="0.2">
      <c r="A95" s="45">
        <f t="shared" si="63"/>
        <v>89</v>
      </c>
      <c r="C95" s="2"/>
      <c r="D95" s="2" t="s">
        <v>17</v>
      </c>
      <c r="E95" s="134">
        <v>12</v>
      </c>
      <c r="F95" s="131">
        <f>H95</f>
        <v>1253.27</v>
      </c>
      <c r="G95" s="107">
        <f>F95*E95</f>
        <v>15039.24</v>
      </c>
      <c r="H95" s="135">
        <v>1253.27</v>
      </c>
      <c r="I95" s="142">
        <f>H95*E95</f>
        <v>15039.24</v>
      </c>
      <c r="J95" s="4">
        <f>I95/I98</f>
        <v>5.1780880524471724E-3</v>
      </c>
      <c r="K95" s="40"/>
      <c r="L95" s="135">
        <f>ROUND(H95*S98,2)</f>
        <v>1358.85</v>
      </c>
      <c r="M95" s="5">
        <f>L95*E95</f>
        <v>16306.199999999999</v>
      </c>
      <c r="N95" s="5">
        <f>M95-I95</f>
        <v>1266.9599999999991</v>
      </c>
      <c r="O95" s="4">
        <f>IF(I95=0,0,N95/I95)</f>
        <v>8.4243618693497752E-2</v>
      </c>
      <c r="P95" s="4">
        <f>M95/M$98</f>
        <v>5.1780119455769593E-3</v>
      </c>
      <c r="Q95" s="16">
        <f>P95-J95</f>
        <v>-7.6106870213095423E-8</v>
      </c>
      <c r="R95" s="16"/>
      <c r="T95" s="4">
        <f t="shared" ref="T95:T97" si="98">L95/H95-1</f>
        <v>8.4243618693497835E-2</v>
      </c>
      <c r="V95" s="46"/>
      <c r="X95" s="6"/>
      <c r="Y95" s="6"/>
    </row>
    <row r="96" spans="1:25" x14ac:dyDescent="0.2">
      <c r="A96" s="45">
        <f t="shared" si="63"/>
        <v>90</v>
      </c>
      <c r="D96" s="2" t="s">
        <v>50</v>
      </c>
      <c r="E96" s="134">
        <v>75679.200000000012</v>
      </c>
      <c r="F96" s="131">
        <f>H96</f>
        <v>8.66</v>
      </c>
      <c r="G96" s="107">
        <f t="shared" ref="G96:G97" si="99">F96*E96</f>
        <v>655381.87200000009</v>
      </c>
      <c r="H96" s="135">
        <v>8.66</v>
      </c>
      <c r="I96" s="142">
        <f>H96*E96</f>
        <v>655381.87200000009</v>
      </c>
      <c r="J96" s="40">
        <f>I96/I98</f>
        <v>0.22565136544091738</v>
      </c>
      <c r="K96" s="40"/>
      <c r="L96" s="135">
        <f>ROUND(H96*S98,2)</f>
        <v>9.39</v>
      </c>
      <c r="M96" s="5">
        <f t="shared" ref="M96:M97" si="100">L96*E96</f>
        <v>710627.6880000002</v>
      </c>
      <c r="N96" s="5">
        <f t="shared" ref="N96:N101" si="101">M96-I96</f>
        <v>55245.816000000108</v>
      </c>
      <c r="O96" s="4">
        <f t="shared" ref="O96:O97" si="102">IF(I96=0,0,N96/I96)</f>
        <v>8.4295612009238033E-2</v>
      </c>
      <c r="P96" s="4">
        <f>M96/M$98</f>
        <v>0.22565886946816166</v>
      </c>
      <c r="Q96" s="16">
        <f t="shared" ref="Q96:Q98" si="103">P96-J96</f>
        <v>7.5040272442816747E-6</v>
      </c>
      <c r="R96" s="16"/>
      <c r="T96" s="4">
        <f t="shared" si="98"/>
        <v>8.4295612009237963E-2</v>
      </c>
      <c r="X96" s="6"/>
      <c r="Y96" s="6"/>
    </row>
    <row r="97" spans="1:25" x14ac:dyDescent="0.2">
      <c r="A97" s="45">
        <f t="shared" si="63"/>
        <v>91</v>
      </c>
      <c r="D97" s="2" t="s">
        <v>47</v>
      </c>
      <c r="E97" s="134">
        <v>34970400</v>
      </c>
      <c r="F97" s="132">
        <f>H97-$H$255</f>
        <v>5.2031999999999995E-2</v>
      </c>
      <c r="G97" s="107">
        <f t="shared" si="99"/>
        <v>1819579.8527999998</v>
      </c>
      <c r="H97" s="138">
        <v>6.3881999999999994E-2</v>
      </c>
      <c r="I97" s="142">
        <f t="shared" ref="I97" si="104">H97*E97</f>
        <v>2233979.0927999998</v>
      </c>
      <c r="J97" s="4">
        <f>I97/I98</f>
        <v>0.76917054650663541</v>
      </c>
      <c r="K97" s="40"/>
      <c r="L97" s="124">
        <f>ROUND(H97*S98,6)</f>
        <v>6.9264000000000006E-2</v>
      </c>
      <c r="M97" s="5">
        <f t="shared" si="100"/>
        <v>2422189.7856000001</v>
      </c>
      <c r="N97" s="5">
        <f t="shared" si="101"/>
        <v>188210.69280000031</v>
      </c>
      <c r="O97" s="4">
        <f t="shared" si="102"/>
        <v>8.4249084249084394E-2</v>
      </c>
      <c r="P97" s="4">
        <f>M97/M$98</f>
        <v>0.76916311858626141</v>
      </c>
      <c r="Q97" s="16">
        <f t="shared" si="103"/>
        <v>-7.4279203740035271E-6</v>
      </c>
      <c r="R97" s="16"/>
      <c r="T97" s="4">
        <f t="shared" si="98"/>
        <v>8.4249084249084394E-2</v>
      </c>
      <c r="X97" s="6"/>
      <c r="Y97" s="6"/>
    </row>
    <row r="98" spans="1:25" s="6" customFormat="1" ht="20.45" customHeight="1" x14ac:dyDescent="0.25">
      <c r="A98" s="45">
        <f t="shared" si="63"/>
        <v>92</v>
      </c>
      <c r="C98" s="21"/>
      <c r="D98" s="23" t="s">
        <v>6</v>
      </c>
      <c r="E98" s="23"/>
      <c r="F98" s="110"/>
      <c r="G98" s="24">
        <f>SUM(G95:G97)</f>
        <v>2490000.9647999997</v>
      </c>
      <c r="H98" s="23"/>
      <c r="I98" s="143">
        <f>SUM(I95:I97)</f>
        <v>2904400.2047999999</v>
      </c>
      <c r="J98" s="25">
        <f>SUM(J95:J97)</f>
        <v>1</v>
      </c>
      <c r="K98" s="41">
        <f>I98+Summary!I25</f>
        <v>3149088.4847999997</v>
      </c>
      <c r="L98" s="23"/>
      <c r="M98" s="143">
        <f>SUM(M95:M97)</f>
        <v>3149123.6736000003</v>
      </c>
      <c r="N98" s="143">
        <f>SUM(N95:N97)</f>
        <v>244723.46880000041</v>
      </c>
      <c r="O98" s="25">
        <f t="shared" ref="O98" si="105">N98/I98</f>
        <v>8.4259555000565881E-2</v>
      </c>
      <c r="P98" s="25">
        <f>SUM(P95:P97)</f>
        <v>1</v>
      </c>
      <c r="Q98" s="26">
        <f t="shared" si="103"/>
        <v>0</v>
      </c>
      <c r="R98" s="37">
        <f>M98-K98</f>
        <v>35.188800000585616</v>
      </c>
      <c r="S98" s="81">
        <f>K98/I98</f>
        <v>1.0842474393148755</v>
      </c>
    </row>
    <row r="99" spans="1:25" x14ac:dyDescent="0.2">
      <c r="A99" s="45">
        <f t="shared" si="63"/>
        <v>93</v>
      </c>
      <c r="D99" s="2" t="s">
        <v>26</v>
      </c>
      <c r="G99" s="133">
        <v>413822.32</v>
      </c>
      <c r="I99" s="14">
        <f>G99-($H$255*E97)</f>
        <v>-576.9199999999837</v>
      </c>
      <c r="K99" s="14"/>
      <c r="M99" s="5">
        <f>I99</f>
        <v>-576.9199999999837</v>
      </c>
      <c r="N99" s="5">
        <f t="shared" si="101"/>
        <v>0</v>
      </c>
      <c r="O99" s="17">
        <v>0</v>
      </c>
      <c r="X99" s="6"/>
      <c r="Y99" s="6"/>
    </row>
    <row r="100" spans="1:25" x14ac:dyDescent="0.2">
      <c r="A100" s="45">
        <f t="shared" si="63"/>
        <v>94</v>
      </c>
      <c r="D100" s="2" t="s">
        <v>27</v>
      </c>
      <c r="G100" s="133">
        <v>315467.81</v>
      </c>
      <c r="I100" s="14">
        <f t="shared" ref="I100:I102" si="106">G100</f>
        <v>315467.81</v>
      </c>
      <c r="M100" s="5">
        <f t="shared" ref="M100:M102" si="107">I100</f>
        <v>315467.81</v>
      </c>
      <c r="N100" s="5">
        <f t="shared" si="101"/>
        <v>0</v>
      </c>
      <c r="O100" s="17">
        <v>0</v>
      </c>
      <c r="X100" s="6"/>
      <c r="Y100" s="6"/>
    </row>
    <row r="101" spans="1:25" x14ac:dyDescent="0.2">
      <c r="A101" s="45">
        <f t="shared" si="63"/>
        <v>95</v>
      </c>
      <c r="D101" s="2" t="s">
        <v>29</v>
      </c>
      <c r="G101" s="107">
        <v>0</v>
      </c>
      <c r="I101" s="14">
        <f t="shared" si="106"/>
        <v>0</v>
      </c>
      <c r="M101" s="5">
        <f t="shared" si="107"/>
        <v>0</v>
      </c>
      <c r="N101" s="5">
        <f t="shared" si="101"/>
        <v>0</v>
      </c>
      <c r="O101" s="17">
        <v>0</v>
      </c>
    </row>
    <row r="102" spans="1:25" x14ac:dyDescent="0.2">
      <c r="A102" s="45">
        <f t="shared" si="63"/>
        <v>96</v>
      </c>
      <c r="D102" s="2" t="s">
        <v>39</v>
      </c>
      <c r="G102" s="107">
        <v>0</v>
      </c>
      <c r="I102" s="14">
        <f t="shared" si="106"/>
        <v>0</v>
      </c>
      <c r="M102" s="5">
        <f t="shared" si="107"/>
        <v>0</v>
      </c>
      <c r="N102" s="5"/>
      <c r="O102" s="17"/>
    </row>
    <row r="103" spans="1:25" x14ac:dyDescent="0.2">
      <c r="A103" s="45">
        <f t="shared" si="63"/>
        <v>97</v>
      </c>
      <c r="D103" s="18" t="s">
        <v>8</v>
      </c>
      <c r="E103" s="18"/>
      <c r="F103" s="112"/>
      <c r="G103" s="111">
        <f>SUM(G99:G102)</f>
        <v>729290.13</v>
      </c>
      <c r="H103" s="18"/>
      <c r="I103" s="145">
        <f>SUM(I99:I102)</f>
        <v>314890.89</v>
      </c>
      <c r="J103" s="18"/>
      <c r="K103" s="18"/>
      <c r="L103" s="18"/>
      <c r="M103" s="19">
        <f>SUM(M99:M102)</f>
        <v>314890.89</v>
      </c>
      <c r="N103" s="19">
        <f t="shared" ref="N103:N104" si="108">M103-I103</f>
        <v>0</v>
      </c>
      <c r="O103" s="27">
        <f t="shared" ref="O103" si="109">N103-J103</f>
        <v>0</v>
      </c>
    </row>
    <row r="104" spans="1:25" s="6" customFormat="1" ht="26.45" customHeight="1" thickBot="1" x14ac:dyDescent="0.25">
      <c r="A104" s="45">
        <f t="shared" si="63"/>
        <v>98</v>
      </c>
      <c r="C104" s="21"/>
      <c r="D104" s="7" t="s">
        <v>19</v>
      </c>
      <c r="E104" s="7"/>
      <c r="F104" s="114"/>
      <c r="G104" s="113">
        <f>G98+G103</f>
        <v>3219291.0947999996</v>
      </c>
      <c r="H104" s="7"/>
      <c r="I104" s="141">
        <f>I103+I98</f>
        <v>3219291.0948000001</v>
      </c>
      <c r="J104" s="7"/>
      <c r="K104" s="7"/>
      <c r="L104" s="7"/>
      <c r="M104" s="8">
        <f>M103+M98</f>
        <v>3464014.5636000005</v>
      </c>
      <c r="N104" s="8">
        <f t="shared" si="108"/>
        <v>244723.46880000038</v>
      </c>
      <c r="O104" s="9">
        <f>N104/I104</f>
        <v>7.6017813112735602E-2</v>
      </c>
      <c r="P104" s="2"/>
      <c r="Q104" s="2"/>
      <c r="R104" s="2"/>
    </row>
    <row r="105" spans="1:25" ht="13.5" thickTop="1" x14ac:dyDescent="0.2">
      <c r="A105" s="45">
        <f t="shared" si="63"/>
        <v>99</v>
      </c>
      <c r="E105" s="136">
        <f>E96/E95</f>
        <v>6306.6000000000013</v>
      </c>
      <c r="F105" s="119"/>
      <c r="G105" s="119">
        <f>G104/E95</f>
        <v>268274.25789999997</v>
      </c>
      <c r="H105" s="136"/>
      <c r="I105" s="136">
        <f>I104/E95</f>
        <v>268274.25790000003</v>
      </c>
      <c r="J105" s="92"/>
      <c r="K105" s="92"/>
      <c r="L105" s="136"/>
      <c r="M105" s="92">
        <f>M104/E95</f>
        <v>288667.88030000002</v>
      </c>
      <c r="N105" s="92">
        <f>M105-I105</f>
        <v>20393.622399999993</v>
      </c>
      <c r="O105" s="4"/>
    </row>
    <row r="106" spans="1:25" ht="13.5" thickBot="1" x14ac:dyDescent="0.25">
      <c r="A106" s="45">
        <f t="shared" si="63"/>
        <v>100</v>
      </c>
    </row>
    <row r="107" spans="1:25" x14ac:dyDescent="0.2">
      <c r="A107" s="45">
        <f t="shared" si="63"/>
        <v>101</v>
      </c>
      <c r="B107" s="33" t="s">
        <v>62</v>
      </c>
      <c r="C107" s="34">
        <v>14</v>
      </c>
      <c r="D107" s="33"/>
      <c r="E107" s="33"/>
      <c r="F107" s="117"/>
      <c r="G107" s="117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</row>
    <row r="108" spans="1:25" x14ac:dyDescent="0.2">
      <c r="A108" s="45">
        <f t="shared" si="63"/>
        <v>102</v>
      </c>
      <c r="C108" s="2"/>
      <c r="D108" s="2" t="s">
        <v>17</v>
      </c>
      <c r="E108" s="134">
        <v>12</v>
      </c>
      <c r="F108" s="131">
        <f>H108</f>
        <v>1412.92</v>
      </c>
      <c r="G108" s="107">
        <f>F108*E108</f>
        <v>16955.04</v>
      </c>
      <c r="H108" s="135">
        <v>1412.92</v>
      </c>
      <c r="I108" s="142">
        <f>H108*E108</f>
        <v>16955.04</v>
      </c>
      <c r="J108" s="4">
        <f>I108/I111</f>
        <v>2.3818672618662301E-2</v>
      </c>
      <c r="K108" s="40"/>
      <c r="L108" s="135">
        <f>ROUND(H108*S111,2)</f>
        <v>1462.86</v>
      </c>
      <c r="M108" s="5">
        <f>L108*E108</f>
        <v>17554.32</v>
      </c>
      <c r="N108" s="5">
        <f t="shared" ref="N108:N114" si="110">M108-I108</f>
        <v>599.27999999999884</v>
      </c>
      <c r="O108" s="4">
        <f>IF(I108=0,0,N108/I108)</f>
        <v>3.5345242476573266E-2</v>
      </c>
      <c r="P108" s="4">
        <f>M108/M111</f>
        <v>2.3816575948236544E-2</v>
      </c>
      <c r="Q108" s="16">
        <f>P108-J108</f>
        <v>-2.0966704257566193E-6</v>
      </c>
      <c r="R108" s="16"/>
      <c r="T108" s="4">
        <f>L108/H108-1</f>
        <v>3.5345242476573224E-2</v>
      </c>
    </row>
    <row r="109" spans="1:25" x14ac:dyDescent="0.2">
      <c r="A109" s="45">
        <f t="shared" si="63"/>
        <v>103</v>
      </c>
      <c r="D109" s="2" t="s">
        <v>50</v>
      </c>
      <c r="E109" s="134">
        <v>16804.8</v>
      </c>
      <c r="F109" s="131">
        <f>H109</f>
        <v>8.66</v>
      </c>
      <c r="G109" s="107">
        <f t="shared" ref="G109" si="111">F109*E109</f>
        <v>145529.568</v>
      </c>
      <c r="H109" s="135">
        <v>8.66</v>
      </c>
      <c r="I109" s="142">
        <f t="shared" ref="I109:I110" si="112">H109*E109</f>
        <v>145529.568</v>
      </c>
      <c r="J109" s="40">
        <f>I109/I111</f>
        <v>0.20444193210557765</v>
      </c>
      <c r="K109" s="40"/>
      <c r="L109" s="135">
        <f>ROUND(H109*S111,2)</f>
        <v>8.9700000000000006</v>
      </c>
      <c r="M109" s="5">
        <f t="shared" ref="M109:M110" si="113">L109*E109</f>
        <v>150739.05600000001</v>
      </c>
      <c r="N109" s="5">
        <f t="shared" si="110"/>
        <v>5209.4880000000121</v>
      </c>
      <c r="O109" s="4">
        <f t="shared" ref="O109" si="114">IF(I109=0,0,N109/I109)</f>
        <v>3.5796766743649046E-2</v>
      </c>
      <c r="P109" s="4">
        <f>M109/M111</f>
        <v>0.20451308712553273</v>
      </c>
      <c r="Q109" s="16">
        <f t="shared" ref="Q109" si="115">P109-J109</f>
        <v>7.1155019955082555E-5</v>
      </c>
      <c r="R109" s="16"/>
      <c r="T109" s="4">
        <f t="shared" ref="T109" si="116">L109/H109-1</f>
        <v>3.5796766743648956E-2</v>
      </c>
      <c r="X109" s="6"/>
      <c r="Y109" s="6"/>
    </row>
    <row r="110" spans="1:25" x14ac:dyDescent="0.2">
      <c r="A110" s="45">
        <f t="shared" si="63"/>
        <v>104</v>
      </c>
      <c r="B110" s="17"/>
      <c r="D110" s="2" t="s">
        <v>47</v>
      </c>
      <c r="E110" s="134">
        <v>8016600</v>
      </c>
      <c r="F110" s="132">
        <f>H110-$H$255</f>
        <v>5.6677000000000005E-2</v>
      </c>
      <c r="G110" s="107">
        <f t="shared" ref="G110" si="117">F110*E110</f>
        <v>454356.83820000006</v>
      </c>
      <c r="H110" s="138">
        <v>6.8527000000000005E-2</v>
      </c>
      <c r="I110" s="142">
        <f t="shared" si="112"/>
        <v>549353.54820000008</v>
      </c>
      <c r="J110" s="4">
        <f>I110/I111</f>
        <v>0.77173939527576008</v>
      </c>
      <c r="K110" s="40"/>
      <c r="L110" s="124">
        <f>ROUND(H110*S111,6)</f>
        <v>7.0948999999999998E-2</v>
      </c>
      <c r="M110" s="5">
        <f t="shared" si="113"/>
        <v>568769.75339999993</v>
      </c>
      <c r="N110" s="5">
        <f t="shared" si="110"/>
        <v>19416.205199999851</v>
      </c>
      <c r="O110" s="4">
        <f t="shared" ref="O110" si="118">IF(I110=0,0,N110/I110)</f>
        <v>3.5343733127088314E-2</v>
      </c>
      <c r="P110" s="4">
        <f>M110/M111</f>
        <v>0.77167033692623066</v>
      </c>
      <c r="Q110" s="16">
        <f t="shared" ref="Q110:Q111" si="119">P110-J110</f>
        <v>-6.9058349529416141E-5</v>
      </c>
      <c r="R110" s="16"/>
      <c r="T110" s="4">
        <f>L110/H110-1</f>
        <v>3.5343733127088495E-2</v>
      </c>
    </row>
    <row r="111" spans="1:25" s="6" customFormat="1" ht="20.45" customHeight="1" x14ac:dyDescent="0.25">
      <c r="A111" s="45">
        <f t="shared" si="63"/>
        <v>105</v>
      </c>
      <c r="C111" s="21"/>
      <c r="D111" s="23" t="s">
        <v>6</v>
      </c>
      <c r="E111" s="23"/>
      <c r="F111" s="110"/>
      <c r="G111" s="24">
        <f>SUM(G108:G110)</f>
        <v>616841.44620000012</v>
      </c>
      <c r="H111" s="23"/>
      <c r="I111" s="143">
        <f>SUM(I108:I110)</f>
        <v>711838.15620000008</v>
      </c>
      <c r="J111" s="25">
        <f>SUM(J108:J110)</f>
        <v>1</v>
      </c>
      <c r="K111" s="41">
        <f>I111+Summary!I17</f>
        <v>736996.70620000013</v>
      </c>
      <c r="L111" s="23"/>
      <c r="M111" s="143">
        <f>SUM(M108:M110)</f>
        <v>737063.12939999998</v>
      </c>
      <c r="N111" s="143">
        <f>SUM(N108:N110)</f>
        <v>25224.973199999862</v>
      </c>
      <c r="O111" s="25">
        <f t="shared" ref="O111" si="120">N111/I111</f>
        <v>3.5436388145668019E-2</v>
      </c>
      <c r="P111" s="25">
        <f>SUM(P108:P110)</f>
        <v>1</v>
      </c>
      <c r="Q111" s="26">
        <f t="shared" si="119"/>
        <v>0</v>
      </c>
      <c r="R111" s="37">
        <f>M111-K111</f>
        <v>66.423199999844655</v>
      </c>
      <c r="S111" s="81">
        <f>K111/I111</f>
        <v>1.0353430759237516</v>
      </c>
    </row>
    <row r="112" spans="1:25" x14ac:dyDescent="0.2">
      <c r="A112" s="45">
        <f t="shared" si="63"/>
        <v>106</v>
      </c>
      <c r="D112" s="2" t="s">
        <v>26</v>
      </c>
      <c r="G112" s="133">
        <v>95365.8</v>
      </c>
      <c r="I112" s="14">
        <f>G112-($H$255*E110)</f>
        <v>369.09000000001106</v>
      </c>
      <c r="K112" s="14"/>
      <c r="M112" s="5">
        <f>I112</f>
        <v>369.09000000001106</v>
      </c>
      <c r="N112" s="5">
        <f t="shared" si="110"/>
        <v>0</v>
      </c>
      <c r="O112" s="17">
        <v>0</v>
      </c>
      <c r="R112" s="38"/>
    </row>
    <row r="113" spans="1:20" x14ac:dyDescent="0.2">
      <c r="A113" s="45">
        <f t="shared" si="63"/>
        <v>107</v>
      </c>
      <c r="D113" s="2" t="s">
        <v>27</v>
      </c>
      <c r="G113" s="133">
        <v>77328.05</v>
      </c>
      <c r="I113" s="14">
        <f>G113</f>
        <v>77328.05</v>
      </c>
      <c r="M113" s="5">
        <f t="shared" ref="M113:M115" si="121">I113</f>
        <v>77328.05</v>
      </c>
      <c r="N113" s="5">
        <f t="shared" si="110"/>
        <v>0</v>
      </c>
      <c r="O113" s="17">
        <v>0</v>
      </c>
    </row>
    <row r="114" spans="1:20" x14ac:dyDescent="0.2">
      <c r="A114" s="45">
        <f t="shared" si="63"/>
        <v>108</v>
      </c>
      <c r="D114" s="2" t="s">
        <v>29</v>
      </c>
      <c r="G114" s="107">
        <v>0</v>
      </c>
      <c r="I114" s="14">
        <f>G114</f>
        <v>0</v>
      </c>
      <c r="M114" s="5">
        <f t="shared" si="121"/>
        <v>0</v>
      </c>
      <c r="N114" s="5">
        <f t="shared" si="110"/>
        <v>0</v>
      </c>
      <c r="O114" s="17">
        <v>0</v>
      </c>
    </row>
    <row r="115" spans="1:20" x14ac:dyDescent="0.2">
      <c r="A115" s="45">
        <f t="shared" si="63"/>
        <v>109</v>
      </c>
      <c r="D115" s="2" t="s">
        <v>39</v>
      </c>
      <c r="G115" s="107">
        <v>0</v>
      </c>
      <c r="I115" s="14">
        <f>G115</f>
        <v>0</v>
      </c>
      <c r="M115" s="5">
        <f t="shared" si="121"/>
        <v>0</v>
      </c>
      <c r="N115" s="5"/>
      <c r="O115" s="17">
        <v>0</v>
      </c>
    </row>
    <row r="116" spans="1:20" x14ac:dyDescent="0.2">
      <c r="A116" s="45">
        <f t="shared" si="63"/>
        <v>110</v>
      </c>
      <c r="D116" s="18" t="s">
        <v>8</v>
      </c>
      <c r="E116" s="18"/>
      <c r="F116" s="112"/>
      <c r="G116" s="111">
        <f>SUM(G112:G115)</f>
        <v>172693.85</v>
      </c>
      <c r="H116" s="18"/>
      <c r="I116" s="145">
        <f>SUM(I112:I115)</f>
        <v>77697.140000000014</v>
      </c>
      <c r="J116" s="18"/>
      <c r="K116" s="18"/>
      <c r="L116" s="18"/>
      <c r="M116" s="19">
        <f>SUM(M112:M115)</f>
        <v>77697.140000000014</v>
      </c>
      <c r="N116" s="19">
        <f>M116-I116</f>
        <v>0</v>
      </c>
      <c r="O116" s="27">
        <v>0</v>
      </c>
    </row>
    <row r="117" spans="1:20" s="6" customFormat="1" ht="26.45" customHeight="1" thickBot="1" x14ac:dyDescent="0.25">
      <c r="A117" s="45">
        <f t="shared" si="63"/>
        <v>111</v>
      </c>
      <c r="C117" s="21"/>
      <c r="D117" s="7" t="s">
        <v>19</v>
      </c>
      <c r="E117" s="7"/>
      <c r="F117" s="114"/>
      <c r="G117" s="113">
        <f>G111+G116</f>
        <v>789535.2962000001</v>
      </c>
      <c r="H117" s="7"/>
      <c r="I117" s="141">
        <f>I116+I111</f>
        <v>789535.2962000001</v>
      </c>
      <c r="J117" s="7"/>
      <c r="K117" s="7"/>
      <c r="L117" s="7"/>
      <c r="M117" s="8">
        <f>M116+M111</f>
        <v>814760.26939999999</v>
      </c>
      <c r="N117" s="8">
        <f>M117-I117</f>
        <v>25224.973199999891</v>
      </c>
      <c r="O117" s="9">
        <f>N117/I117</f>
        <v>3.1949139349952582E-2</v>
      </c>
      <c r="P117" s="2"/>
      <c r="Q117" s="2"/>
      <c r="R117" s="2"/>
    </row>
    <row r="118" spans="1:20" ht="13.5" thickTop="1" x14ac:dyDescent="0.2">
      <c r="A118" s="45">
        <f t="shared" si="63"/>
        <v>112</v>
      </c>
      <c r="D118" s="2" t="s">
        <v>18</v>
      </c>
      <c r="E118" s="135">
        <f>E110/E108</f>
        <v>668050</v>
      </c>
      <c r="G118" s="116">
        <f>G117/E108</f>
        <v>65794.60801666668</v>
      </c>
      <c r="I118" s="15">
        <f>I117/E108</f>
        <v>65794.60801666668</v>
      </c>
      <c r="M118" s="15">
        <f>M117/E108</f>
        <v>67896.689116666661</v>
      </c>
      <c r="N118" s="15">
        <f>M118-I118</f>
        <v>2102.0810999999812</v>
      </c>
      <c r="O118" s="4">
        <f>N118/I118</f>
        <v>3.1949139349952436E-2</v>
      </c>
    </row>
    <row r="119" spans="1:20" ht="13.5" thickBot="1" x14ac:dyDescent="0.25">
      <c r="A119" s="45">
        <f t="shared" si="63"/>
        <v>113</v>
      </c>
    </row>
    <row r="120" spans="1:20" x14ac:dyDescent="0.2">
      <c r="A120" s="45">
        <f t="shared" si="63"/>
        <v>114</v>
      </c>
      <c r="B120" s="33" t="s">
        <v>63</v>
      </c>
      <c r="C120" s="34">
        <v>15</v>
      </c>
      <c r="D120" s="33"/>
      <c r="E120" s="33"/>
      <c r="F120" s="117"/>
      <c r="G120" s="117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</row>
    <row r="121" spans="1:20" x14ac:dyDescent="0.2">
      <c r="A121" s="45">
        <f t="shared" si="63"/>
        <v>115</v>
      </c>
      <c r="C121" s="2"/>
      <c r="D121" s="2" t="s">
        <v>17</v>
      </c>
      <c r="E121" s="134">
        <v>48</v>
      </c>
      <c r="F121" s="131">
        <f>H121</f>
        <v>115.18</v>
      </c>
      <c r="G121" s="107">
        <f>F121*E121</f>
        <v>5528.64</v>
      </c>
      <c r="H121" s="135">
        <v>115.18</v>
      </c>
      <c r="I121" s="142">
        <f>H121*E121</f>
        <v>5528.64</v>
      </c>
      <c r="J121" s="4">
        <f>I121/I124</f>
        <v>4.9121318148125738E-2</v>
      </c>
      <c r="K121" s="40"/>
      <c r="L121" s="135">
        <f>ROUND(H121*S124,2)</f>
        <v>119.25</v>
      </c>
      <c r="M121" s="5">
        <f>L121*E121</f>
        <v>5724</v>
      </c>
      <c r="N121" s="5">
        <f>M121-I121</f>
        <v>195.35999999999967</v>
      </c>
      <c r="O121" s="4">
        <f>IF(I121=0,0,N121/I121)</f>
        <v>3.5335995832609768E-2</v>
      </c>
      <c r="P121" s="4">
        <f>M121/M124</f>
        <v>4.9112352403223904E-2</v>
      </c>
      <c r="Q121" s="16">
        <f>P121-J121</f>
        <v>-8.9657449018343272E-6</v>
      </c>
      <c r="R121" s="16"/>
    </row>
    <row r="122" spans="1:20" x14ac:dyDescent="0.2">
      <c r="A122" s="45">
        <f t="shared" si="63"/>
        <v>116</v>
      </c>
      <c r="D122" s="2" t="s">
        <v>50</v>
      </c>
      <c r="E122" s="134">
        <v>5239.9999999999991</v>
      </c>
      <c r="F122" s="131">
        <f>H122</f>
        <v>8.66</v>
      </c>
      <c r="G122" s="107">
        <f t="shared" ref="G122:G123" si="122">F122*E122</f>
        <v>45378.399999999994</v>
      </c>
      <c r="H122" s="135">
        <v>8.66</v>
      </c>
      <c r="I122" s="142">
        <f t="shared" ref="I122:I123" si="123">H122*E122</f>
        <v>45378.399999999994</v>
      </c>
      <c r="J122" s="4">
        <f>I122/I124</f>
        <v>0.40318176322801058</v>
      </c>
      <c r="K122" s="40"/>
      <c r="L122" s="135">
        <f>ROUND(H122*S124,2)</f>
        <v>8.9700000000000006</v>
      </c>
      <c r="M122" s="5">
        <f t="shared" ref="M122:M123" si="124">L122*E122</f>
        <v>47002.799999999996</v>
      </c>
      <c r="N122" s="5">
        <f t="shared" ref="N122:N127" si="125">M122-I122</f>
        <v>1624.4000000000015</v>
      </c>
      <c r="O122" s="4">
        <f t="shared" ref="O122:O123" si="126">IF(I122=0,0,N122/I122)</f>
        <v>3.5796766743648997E-2</v>
      </c>
      <c r="P122" s="4">
        <f>M122/M124</f>
        <v>0.40328757469221738</v>
      </c>
      <c r="Q122" s="16">
        <f t="shared" ref="Q122:Q124" si="127">P122-J122</f>
        <v>1.0581146420679532E-4</v>
      </c>
      <c r="R122" s="16"/>
      <c r="T122" s="4">
        <f>L122/H122-1</f>
        <v>3.5796766743648956E-2</v>
      </c>
    </row>
    <row r="123" spans="1:20" x14ac:dyDescent="0.2">
      <c r="A123" s="45">
        <f t="shared" si="63"/>
        <v>117</v>
      </c>
      <c r="D123" s="2" t="s">
        <v>47</v>
      </c>
      <c r="E123" s="134">
        <v>784800</v>
      </c>
      <c r="F123" s="132">
        <f>H123-$H$255</f>
        <v>6.6697000000000006E-2</v>
      </c>
      <c r="G123" s="107">
        <f t="shared" si="122"/>
        <v>52343.805600000007</v>
      </c>
      <c r="H123" s="138">
        <v>7.8547000000000006E-2</v>
      </c>
      <c r="I123" s="142">
        <f t="shared" si="123"/>
        <v>61643.685600000004</v>
      </c>
      <c r="J123" s="4">
        <f>I123/I124</f>
        <v>0.5476969186238636</v>
      </c>
      <c r="K123" s="40"/>
      <c r="L123" s="124">
        <f>ROUND(H123*S124,6)</f>
        <v>8.1323000000000006E-2</v>
      </c>
      <c r="M123" s="5">
        <f t="shared" si="124"/>
        <v>63822.290400000005</v>
      </c>
      <c r="N123" s="5">
        <f t="shared" si="125"/>
        <v>2178.604800000001</v>
      </c>
      <c r="O123" s="4">
        <f t="shared" si="126"/>
        <v>3.5341897208041061E-2</v>
      </c>
      <c r="P123" s="4">
        <f>M123/M124</f>
        <v>0.5476000729045587</v>
      </c>
      <c r="Q123" s="16">
        <f t="shared" si="127"/>
        <v>-9.6845719304905487E-5</v>
      </c>
      <c r="R123" s="16"/>
      <c r="T123" s="4">
        <f>L123/H123-1</f>
        <v>3.534189720804104E-2</v>
      </c>
    </row>
    <row r="124" spans="1:20" s="6" customFormat="1" ht="20.45" customHeight="1" x14ac:dyDescent="0.25">
      <c r="A124" s="45">
        <f t="shared" si="63"/>
        <v>118</v>
      </c>
      <c r="C124" s="21"/>
      <c r="D124" s="23" t="s">
        <v>6</v>
      </c>
      <c r="E124" s="23"/>
      <c r="F124" s="110"/>
      <c r="G124" s="24">
        <f>SUM(G121:G123)</f>
        <v>103250.8456</v>
      </c>
      <c r="H124" s="23"/>
      <c r="I124" s="143">
        <f>SUM(I121:I123)</f>
        <v>112550.72560000001</v>
      </c>
      <c r="J124" s="25">
        <f>SUM(J121:J123)</f>
        <v>1</v>
      </c>
      <c r="K124" s="41">
        <f>I124+Summary!I18</f>
        <v>116528.6156</v>
      </c>
      <c r="L124" s="23"/>
      <c r="M124" s="143">
        <f>SUM(M121:M123)</f>
        <v>116549.0904</v>
      </c>
      <c r="N124" s="143">
        <f>SUM(N121:N123)</f>
        <v>3998.3648000000021</v>
      </c>
      <c r="O124" s="25">
        <f t="shared" ref="O124" si="128">N124/I124</f>
        <v>3.5525002426106102E-2</v>
      </c>
      <c r="P124" s="25">
        <f>SUM(P121:P123)</f>
        <v>1</v>
      </c>
      <c r="Q124" s="26">
        <f t="shared" si="127"/>
        <v>0</v>
      </c>
      <c r="R124" s="37">
        <f>M124-K124</f>
        <v>20.474799999996321</v>
      </c>
      <c r="S124" s="81">
        <f>K124/I124</f>
        <v>1.0353430862288462</v>
      </c>
    </row>
    <row r="125" spans="1:20" x14ac:dyDescent="0.2">
      <c r="A125" s="45">
        <f t="shared" ref="A125:A188" si="129">A124+1</f>
        <v>119</v>
      </c>
      <c r="D125" s="2" t="s">
        <v>26</v>
      </c>
      <c r="G125" s="133">
        <v>10561.73</v>
      </c>
      <c r="I125" s="14">
        <f>G125-($H$255*E123)</f>
        <v>1261.8500000000004</v>
      </c>
      <c r="K125" s="14"/>
      <c r="M125" s="5">
        <f>I125</f>
        <v>1261.8500000000004</v>
      </c>
      <c r="N125" s="5">
        <f t="shared" si="125"/>
        <v>0</v>
      </c>
      <c r="O125" s="17">
        <v>0</v>
      </c>
    </row>
    <row r="126" spans="1:20" x14ac:dyDescent="0.2">
      <c r="A126" s="45">
        <f t="shared" si="129"/>
        <v>120</v>
      </c>
      <c r="D126" s="2" t="s">
        <v>27</v>
      </c>
      <c r="G126" s="133">
        <v>12109.39</v>
      </c>
      <c r="I126" s="14">
        <f t="shared" ref="I126:I128" si="130">G126</f>
        <v>12109.39</v>
      </c>
      <c r="M126" s="5">
        <f t="shared" ref="M126:M128" si="131">I126</f>
        <v>12109.39</v>
      </c>
      <c r="N126" s="5">
        <f t="shared" si="125"/>
        <v>0</v>
      </c>
      <c r="O126" s="17">
        <v>0</v>
      </c>
    </row>
    <row r="127" spans="1:20" x14ac:dyDescent="0.2">
      <c r="A127" s="45">
        <f t="shared" si="129"/>
        <v>121</v>
      </c>
      <c r="D127" s="2" t="s">
        <v>29</v>
      </c>
      <c r="G127" s="107">
        <v>0</v>
      </c>
      <c r="I127" s="14">
        <f t="shared" si="130"/>
        <v>0</v>
      </c>
      <c r="M127" s="5">
        <f t="shared" si="131"/>
        <v>0</v>
      </c>
      <c r="N127" s="5">
        <f t="shared" si="125"/>
        <v>0</v>
      </c>
      <c r="O127" s="17">
        <v>0</v>
      </c>
    </row>
    <row r="128" spans="1:20" x14ac:dyDescent="0.2">
      <c r="A128" s="45">
        <f t="shared" si="129"/>
        <v>122</v>
      </c>
      <c r="D128" s="2" t="s">
        <v>39</v>
      </c>
      <c r="G128" s="107">
        <v>0</v>
      </c>
      <c r="I128" s="14">
        <f t="shared" si="130"/>
        <v>0</v>
      </c>
      <c r="M128" s="5">
        <f t="shared" si="131"/>
        <v>0</v>
      </c>
      <c r="N128" s="5"/>
      <c r="O128" s="17"/>
    </row>
    <row r="129" spans="1:20" x14ac:dyDescent="0.2">
      <c r="A129" s="45">
        <f t="shared" si="129"/>
        <v>123</v>
      </c>
      <c r="D129" s="18" t="s">
        <v>8</v>
      </c>
      <c r="E129" s="18"/>
      <c r="F129" s="112"/>
      <c r="G129" s="111">
        <f>SUM(G125:G128)</f>
        <v>22671.119999999999</v>
      </c>
      <c r="H129" s="18"/>
      <c r="I129" s="145">
        <f>SUM(I125:I128)</f>
        <v>13371.24</v>
      </c>
      <c r="J129" s="18"/>
      <c r="K129" s="18"/>
      <c r="L129" s="18"/>
      <c r="M129" s="19">
        <f>SUM(M125:M128)</f>
        <v>13371.24</v>
      </c>
      <c r="N129" s="19">
        <f t="shared" ref="N129:N131" si="132">M129-I129</f>
        <v>0</v>
      </c>
      <c r="O129" s="27">
        <f t="shared" ref="O129" si="133">N129-J129</f>
        <v>0</v>
      </c>
    </row>
    <row r="130" spans="1:20" s="6" customFormat="1" ht="26.45" customHeight="1" thickBot="1" x14ac:dyDescent="0.25">
      <c r="A130" s="45">
        <f t="shared" si="129"/>
        <v>124</v>
      </c>
      <c r="C130" s="21"/>
      <c r="D130" s="7" t="s">
        <v>19</v>
      </c>
      <c r="E130" s="7"/>
      <c r="F130" s="114"/>
      <c r="G130" s="113">
        <f>G124+G129</f>
        <v>125921.9656</v>
      </c>
      <c r="H130" s="7"/>
      <c r="I130" s="141">
        <f>I129+I124</f>
        <v>125921.96560000001</v>
      </c>
      <c r="J130" s="7"/>
      <c r="K130" s="7"/>
      <c r="L130" s="7"/>
      <c r="M130" s="8">
        <f>M129+M124</f>
        <v>129920.33040000001</v>
      </c>
      <c r="N130" s="8">
        <f t="shared" si="132"/>
        <v>3998.3647999999957</v>
      </c>
      <c r="O130" s="9">
        <f>N130/I130</f>
        <v>3.1752719082396498E-2</v>
      </c>
      <c r="P130" s="2"/>
      <c r="Q130" s="2"/>
      <c r="R130" s="2"/>
    </row>
    <row r="131" spans="1:20" ht="13.5" thickTop="1" x14ac:dyDescent="0.2">
      <c r="A131" s="45">
        <f t="shared" si="129"/>
        <v>125</v>
      </c>
      <c r="D131" s="2" t="s">
        <v>18</v>
      </c>
      <c r="E131" s="135">
        <f>E123/E121</f>
        <v>16350</v>
      </c>
      <c r="G131" s="116">
        <f>G130/E121</f>
        <v>2623.3742833333331</v>
      </c>
      <c r="I131" s="15">
        <f>I130/E121</f>
        <v>2623.3742833333336</v>
      </c>
      <c r="M131" s="15">
        <f>M130/E121</f>
        <v>2706.67355</v>
      </c>
      <c r="N131" s="15">
        <f t="shared" si="132"/>
        <v>83.299266666666426</v>
      </c>
      <c r="O131" s="4">
        <f>N131/I131</f>
        <v>3.1752719082396443E-2</v>
      </c>
    </row>
    <row r="132" spans="1:20" ht="13.5" thickBot="1" x14ac:dyDescent="0.25">
      <c r="A132" s="45">
        <f t="shared" si="129"/>
        <v>126</v>
      </c>
    </row>
    <row r="133" spans="1:20" x14ac:dyDescent="0.2">
      <c r="A133" s="45">
        <f t="shared" si="129"/>
        <v>127</v>
      </c>
      <c r="B133" s="33" t="s">
        <v>64</v>
      </c>
      <c r="C133" s="34">
        <v>36</v>
      </c>
      <c r="D133" s="33"/>
      <c r="E133" s="33"/>
      <c r="F133" s="117"/>
      <c r="G133" s="117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</row>
    <row r="134" spans="1:20" x14ac:dyDescent="0.2">
      <c r="A134" s="45">
        <f t="shared" si="129"/>
        <v>128</v>
      </c>
      <c r="C134" s="2"/>
      <c r="D134" s="2" t="s">
        <v>17</v>
      </c>
      <c r="E134" s="134">
        <v>12</v>
      </c>
      <c r="F134" s="131">
        <f>H134</f>
        <v>3526.81</v>
      </c>
      <c r="G134" s="107">
        <f>F134*E134</f>
        <v>42321.72</v>
      </c>
      <c r="H134" s="135">
        <v>3526.81</v>
      </c>
      <c r="I134" s="142">
        <f>H134*E134</f>
        <v>42321.72</v>
      </c>
      <c r="J134" s="4">
        <f>I134/I138</f>
        <v>2.3804434711237703E-2</v>
      </c>
      <c r="K134" s="40"/>
      <c r="L134" s="135">
        <f>ROUND(H134*S138,2)</f>
        <v>3651.46</v>
      </c>
      <c r="M134" s="5">
        <f>L134*E134</f>
        <v>43817.520000000004</v>
      </c>
      <c r="N134" s="5">
        <f>M134-I134</f>
        <v>1495.8000000000029</v>
      </c>
      <c r="O134" s="4">
        <f>IF(I134=0,0,N134/I134)</f>
        <v>3.5343554089956715E-2</v>
      </c>
      <c r="P134" s="4">
        <f>M134/M138</f>
        <v>2.380237096737025E-2</v>
      </c>
      <c r="Q134" s="16">
        <f>P134-J134</f>
        <v>-2.06374386745381E-6</v>
      </c>
      <c r="R134" s="16"/>
      <c r="T134" s="4">
        <f>L134/H134-1</f>
        <v>3.5343554089956708E-2</v>
      </c>
    </row>
    <row r="135" spans="1:20" x14ac:dyDescent="0.2">
      <c r="A135" s="45">
        <f t="shared" si="129"/>
        <v>129</v>
      </c>
      <c r="D135" s="2" t="s">
        <v>50</v>
      </c>
      <c r="E135" s="134">
        <v>45994.400000000001</v>
      </c>
      <c r="F135" s="131">
        <f>H135</f>
        <v>7.26</v>
      </c>
      <c r="G135" s="107">
        <f t="shared" ref="G135" si="134">F135*E135</f>
        <v>333919.34399999998</v>
      </c>
      <c r="H135" s="135">
        <v>7.26</v>
      </c>
      <c r="I135" s="142">
        <f t="shared" ref="I135" si="135">H135*E135</f>
        <v>333919.34399999998</v>
      </c>
      <c r="J135" s="4">
        <f>I135/I138</f>
        <v>0.18781753726141856</v>
      </c>
      <c r="K135" s="40"/>
      <c r="L135" s="135">
        <f>ROUND(H135*S138,2)</f>
        <v>7.52</v>
      </c>
      <c r="M135" s="5">
        <f t="shared" ref="M135" si="136">L135*E135</f>
        <v>345877.88799999998</v>
      </c>
      <c r="N135" s="5">
        <f t="shared" ref="N135" si="137">M135-I135</f>
        <v>11958.543999999994</v>
      </c>
      <c r="O135" s="4">
        <f t="shared" ref="O135" si="138">IF(I135=0,0,N135/I135)</f>
        <v>3.5812672176308527E-2</v>
      </c>
      <c r="P135" s="4">
        <f>M135/M138</f>
        <v>0.18788634773457141</v>
      </c>
      <c r="Q135" s="16">
        <f t="shared" ref="Q135" si="139">P135-J135</f>
        <v>6.8810473152852714E-5</v>
      </c>
      <c r="R135" s="16"/>
      <c r="T135" s="4">
        <f>L135/H135-1</f>
        <v>3.5812672176308569E-2</v>
      </c>
    </row>
    <row r="136" spans="1:20" x14ac:dyDescent="0.2">
      <c r="A136" s="45">
        <f t="shared" si="129"/>
        <v>130</v>
      </c>
      <c r="D136" s="2" t="s">
        <v>48</v>
      </c>
      <c r="E136" s="134">
        <v>8384203</v>
      </c>
      <c r="F136" s="132">
        <f>H136-$H$255</f>
        <v>6.3515000000000002E-2</v>
      </c>
      <c r="G136" s="107">
        <f t="shared" ref="G136:G137" si="140">F136*E136</f>
        <v>532522.65354500001</v>
      </c>
      <c r="H136" s="138">
        <v>7.5365000000000001E-2</v>
      </c>
      <c r="I136" s="142">
        <f t="shared" ref="I136:I137" si="141">H136*E136</f>
        <v>631875.45909500006</v>
      </c>
      <c r="J136" s="4">
        <f>I136/I138</f>
        <v>0.35540706076360506</v>
      </c>
      <c r="K136" s="40"/>
      <c r="L136" s="124">
        <f>ROUND(H136*S138,6)</f>
        <v>7.8029000000000001E-2</v>
      </c>
      <c r="M136" s="5">
        <f t="shared" ref="M136:M137" si="142">L136*E136</f>
        <v>654210.97588699998</v>
      </c>
      <c r="N136" s="5">
        <f t="shared" ref="N136:N141" si="143">M136-I136</f>
        <v>22335.516791999922</v>
      </c>
      <c r="O136" s="4">
        <f t="shared" ref="O136:O137" si="144">IF(I136=0,0,N136/I136)</f>
        <v>3.5347973197107287E-2</v>
      </c>
      <c r="P136" s="4">
        <f>M136/M138</f>
        <v>0.3553777653091203</v>
      </c>
      <c r="Q136" s="16">
        <f t="shared" ref="Q136:Q138" si="145">P136-J136</f>
        <v>-2.9295454484767891E-5</v>
      </c>
      <c r="R136" s="16"/>
      <c r="T136" s="4">
        <f>L136/H136-1</f>
        <v>3.5347973197107363E-2</v>
      </c>
    </row>
    <row r="137" spans="1:20" x14ac:dyDescent="0.2">
      <c r="A137" s="45">
        <f t="shared" si="129"/>
        <v>131</v>
      </c>
      <c r="D137" s="2" t="s">
        <v>49</v>
      </c>
      <c r="E137" s="134">
        <v>11641749</v>
      </c>
      <c r="F137" s="132">
        <f>H137-$H$255</f>
        <v>5.4272000000000001E-2</v>
      </c>
      <c r="G137" s="107">
        <f t="shared" si="140"/>
        <v>631821.001728</v>
      </c>
      <c r="H137" s="138">
        <v>6.6122E-2</v>
      </c>
      <c r="I137" s="142">
        <f t="shared" si="141"/>
        <v>769775.72737800004</v>
      </c>
      <c r="J137" s="4">
        <f>I137/I138</f>
        <v>0.43297096726373868</v>
      </c>
      <c r="K137" s="40"/>
      <c r="L137" s="124">
        <f>ROUND(H137*S138,6)</f>
        <v>6.8459000000000006E-2</v>
      </c>
      <c r="M137" s="5">
        <f t="shared" si="142"/>
        <v>796982.49479100003</v>
      </c>
      <c r="N137" s="5">
        <f t="shared" si="143"/>
        <v>27206.767412999994</v>
      </c>
      <c r="O137" s="4">
        <f t="shared" si="144"/>
        <v>3.53437585070022E-2</v>
      </c>
      <c r="P137" s="4">
        <f>M137/M138</f>
        <v>0.43293351598893798</v>
      </c>
      <c r="Q137" s="16">
        <f t="shared" si="145"/>
        <v>-3.7451274800703871E-5</v>
      </c>
      <c r="R137" s="16"/>
      <c r="T137" s="4">
        <f>L137/H137-1</f>
        <v>3.5343758507002221E-2</v>
      </c>
    </row>
    <row r="138" spans="1:20" s="6" customFormat="1" ht="20.45" customHeight="1" x14ac:dyDescent="0.25">
      <c r="A138" s="45">
        <f t="shared" si="129"/>
        <v>132</v>
      </c>
      <c r="C138" s="21"/>
      <c r="D138" s="23" t="s">
        <v>6</v>
      </c>
      <c r="E138" s="23"/>
      <c r="F138" s="110"/>
      <c r="G138" s="24">
        <f>SUM(G134:G137)</f>
        <v>1540584.719273</v>
      </c>
      <c r="H138" s="23"/>
      <c r="I138" s="143">
        <f>SUM(I134:I137)</f>
        <v>1777892.2504730001</v>
      </c>
      <c r="J138" s="25">
        <f>SUM(J134:J137)</f>
        <v>1</v>
      </c>
      <c r="K138" s="41">
        <f>I138+Summary!I19</f>
        <v>1840728.430473</v>
      </c>
      <c r="L138" s="23"/>
      <c r="M138" s="143">
        <f>SUM(M134:M137)</f>
        <v>1840888.8786780001</v>
      </c>
      <c r="N138" s="143">
        <f>SUM(N134:N137)</f>
        <v>62996.628204999914</v>
      </c>
      <c r="O138" s="25">
        <f t="shared" ref="O138" si="146">N138/I138</f>
        <v>3.5433321782149592E-2</v>
      </c>
      <c r="P138" s="25">
        <f>SUM(P134:P137)</f>
        <v>1</v>
      </c>
      <c r="Q138" s="26">
        <f t="shared" si="145"/>
        <v>0</v>
      </c>
      <c r="R138" s="37">
        <f>M138-K138</f>
        <v>160.44820500002243</v>
      </c>
      <c r="S138" s="81">
        <f>K138/I138</f>
        <v>1.035343075477877</v>
      </c>
    </row>
    <row r="139" spans="1:20" x14ac:dyDescent="0.2">
      <c r="A139" s="45">
        <f t="shared" si="129"/>
        <v>133</v>
      </c>
      <c r="D139" s="2" t="s">
        <v>26</v>
      </c>
      <c r="G139" s="133">
        <v>236871.45</v>
      </c>
      <c r="I139" s="14">
        <f>G139-($H$255*(E136+E137))</f>
        <v>-436.08119999998598</v>
      </c>
      <c r="K139" s="14"/>
      <c r="M139" s="5">
        <f>I139</f>
        <v>-436.08119999998598</v>
      </c>
      <c r="N139" s="5">
        <f t="shared" si="143"/>
        <v>0</v>
      </c>
      <c r="O139" s="17">
        <v>0</v>
      </c>
    </row>
    <row r="140" spans="1:20" x14ac:dyDescent="0.2">
      <c r="A140" s="45">
        <f t="shared" si="129"/>
        <v>134</v>
      </c>
      <c r="D140" s="2" t="s">
        <v>27</v>
      </c>
      <c r="G140" s="133">
        <v>192872.25</v>
      </c>
      <c r="I140" s="14">
        <f t="shared" ref="I140:I142" si="147">G140</f>
        <v>192872.25</v>
      </c>
      <c r="M140" s="5">
        <f t="shared" ref="M140:M142" si="148">I140</f>
        <v>192872.25</v>
      </c>
      <c r="N140" s="5">
        <f t="shared" si="143"/>
        <v>0</v>
      </c>
      <c r="O140" s="17">
        <v>0</v>
      </c>
    </row>
    <row r="141" spans="1:20" x14ac:dyDescent="0.2">
      <c r="A141" s="45">
        <f t="shared" si="129"/>
        <v>135</v>
      </c>
      <c r="D141" s="2" t="s">
        <v>29</v>
      </c>
      <c r="G141" s="107">
        <v>0</v>
      </c>
      <c r="I141" s="14">
        <f t="shared" si="147"/>
        <v>0</v>
      </c>
      <c r="M141" s="5">
        <f t="shared" si="148"/>
        <v>0</v>
      </c>
      <c r="N141" s="5">
        <f t="shared" si="143"/>
        <v>0</v>
      </c>
      <c r="O141" s="17">
        <v>0</v>
      </c>
    </row>
    <row r="142" spans="1:20" x14ac:dyDescent="0.2">
      <c r="A142" s="45">
        <f t="shared" si="129"/>
        <v>136</v>
      </c>
      <c r="D142" s="2" t="s">
        <v>39</v>
      </c>
      <c r="G142" s="107">
        <v>0</v>
      </c>
      <c r="I142" s="14">
        <f t="shared" si="147"/>
        <v>0</v>
      </c>
      <c r="M142" s="5">
        <f t="shared" si="148"/>
        <v>0</v>
      </c>
      <c r="N142" s="5"/>
      <c r="O142" s="17"/>
    </row>
    <row r="143" spans="1:20" x14ac:dyDescent="0.2">
      <c r="A143" s="45">
        <f t="shared" si="129"/>
        <v>137</v>
      </c>
      <c r="D143" s="18" t="s">
        <v>8</v>
      </c>
      <c r="E143" s="18"/>
      <c r="F143" s="112"/>
      <c r="G143" s="111">
        <f>SUM(G139:G142)</f>
        <v>429743.7</v>
      </c>
      <c r="H143" s="18"/>
      <c r="I143" s="145">
        <f>SUM(I139:I142)</f>
        <v>192436.16880000001</v>
      </c>
      <c r="J143" s="18"/>
      <c r="K143" s="18"/>
      <c r="L143" s="18"/>
      <c r="M143" s="19">
        <f>SUM(M139:M142)</f>
        <v>192436.16880000001</v>
      </c>
      <c r="N143" s="19">
        <f t="shared" ref="N143:N145" si="149">M143-I143</f>
        <v>0</v>
      </c>
      <c r="O143" s="27">
        <f t="shared" ref="O143" si="150">N143-J143</f>
        <v>0</v>
      </c>
    </row>
    <row r="144" spans="1:20" s="6" customFormat="1" ht="26.45" customHeight="1" thickBot="1" x14ac:dyDescent="0.25">
      <c r="A144" s="45">
        <f t="shared" si="129"/>
        <v>138</v>
      </c>
      <c r="C144" s="21"/>
      <c r="D144" s="7" t="s">
        <v>19</v>
      </c>
      <c r="E144" s="7"/>
      <c r="F144" s="114"/>
      <c r="G144" s="113">
        <f>G138+G143</f>
        <v>1970328.419273</v>
      </c>
      <c r="H144" s="7"/>
      <c r="I144" s="141">
        <f>I143+I138</f>
        <v>1970328.4192730002</v>
      </c>
      <c r="J144" s="7"/>
      <c r="K144" s="7"/>
      <c r="L144" s="7"/>
      <c r="M144" s="8">
        <f>M143+M138</f>
        <v>2033325.0474780002</v>
      </c>
      <c r="N144" s="8">
        <f t="shared" si="149"/>
        <v>62996.628204999957</v>
      </c>
      <c r="O144" s="9">
        <f>N144/I144</f>
        <v>3.1972653690009747E-2</v>
      </c>
      <c r="P144" s="2"/>
      <c r="Q144" s="2"/>
      <c r="R144" s="2"/>
    </row>
    <row r="145" spans="1:20" ht="13.5" thickTop="1" x14ac:dyDescent="0.2">
      <c r="A145" s="45">
        <f t="shared" si="129"/>
        <v>139</v>
      </c>
      <c r="D145" s="2" t="s">
        <v>18</v>
      </c>
      <c r="E145" s="135">
        <f>(E136+E137)/E134</f>
        <v>1668829.3333333333</v>
      </c>
      <c r="G145" s="116">
        <f>G144/E134</f>
        <v>164194.03493941666</v>
      </c>
      <c r="I145" s="15">
        <f>I144/E134</f>
        <v>164194.03493941668</v>
      </c>
      <c r="M145" s="15">
        <f>M144/E134</f>
        <v>169443.7539565</v>
      </c>
      <c r="N145" s="15">
        <f t="shared" si="149"/>
        <v>5249.7190170833201</v>
      </c>
      <c r="O145" s="4">
        <f>N145/I145</f>
        <v>3.1972653690009685E-2</v>
      </c>
    </row>
    <row r="146" spans="1:20" ht="13.5" thickBot="1" x14ac:dyDescent="0.25">
      <c r="A146" s="45">
        <f t="shared" si="129"/>
        <v>140</v>
      </c>
    </row>
    <row r="147" spans="1:20" x14ac:dyDescent="0.2">
      <c r="A147" s="45">
        <f t="shared" si="129"/>
        <v>141</v>
      </c>
      <c r="B147" s="33" t="s">
        <v>65</v>
      </c>
      <c r="C147" s="34">
        <v>50</v>
      </c>
      <c r="D147" s="33"/>
      <c r="E147" s="33"/>
      <c r="F147" s="117"/>
      <c r="G147" s="117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</row>
    <row r="148" spans="1:20" x14ac:dyDescent="0.2">
      <c r="A148" s="45">
        <f t="shared" si="129"/>
        <v>142</v>
      </c>
      <c r="C148" s="2"/>
      <c r="D148" s="2" t="s">
        <v>93</v>
      </c>
      <c r="E148" s="134">
        <v>0</v>
      </c>
      <c r="F148" s="131">
        <f>H148</f>
        <v>28.27</v>
      </c>
      <c r="G148" s="107">
        <f>F148*E148</f>
        <v>0</v>
      </c>
      <c r="H148" s="168">
        <v>28.27</v>
      </c>
      <c r="I148" s="142">
        <f>H148*E148</f>
        <v>0</v>
      </c>
      <c r="J148" s="4">
        <f>I148/I151</f>
        <v>0</v>
      </c>
      <c r="K148" s="40"/>
      <c r="L148" s="135">
        <f>H148*S152</f>
        <v>29.269147806595619</v>
      </c>
      <c r="M148" s="5">
        <f>L148*E148</f>
        <v>0</v>
      </c>
      <c r="N148" s="5">
        <f>M148-I148</f>
        <v>0</v>
      </c>
      <c r="O148" s="4">
        <f>IF(I148=0,0,N148/I148)</f>
        <v>0</v>
      </c>
      <c r="P148" s="4">
        <f>M148/M151</f>
        <v>0</v>
      </c>
      <c r="Q148" s="16">
        <f>P148-J148</f>
        <v>0</v>
      </c>
      <c r="R148" s="16"/>
      <c r="T148" s="4">
        <f t="shared" ref="T148:T149" si="151">L148/H148-1</f>
        <v>3.534304232740082E-2</v>
      </c>
    </row>
    <row r="149" spans="1:20" x14ac:dyDescent="0.2">
      <c r="A149" s="45">
        <f t="shared" si="129"/>
        <v>143</v>
      </c>
      <c r="C149" s="2"/>
      <c r="D149" s="2" t="s">
        <v>94</v>
      </c>
      <c r="E149" s="134">
        <v>72</v>
      </c>
      <c r="F149" s="131">
        <f>H149</f>
        <v>115.18</v>
      </c>
      <c r="G149" s="107">
        <f>F149*E149</f>
        <v>8292.9600000000009</v>
      </c>
      <c r="H149" s="135">
        <v>115.18</v>
      </c>
      <c r="I149" s="142">
        <f>H149*E149</f>
        <v>8292.9600000000009</v>
      </c>
      <c r="J149" s="4">
        <f>I149/I152</f>
        <v>0.23829916119178016</v>
      </c>
      <c r="K149" s="40"/>
      <c r="L149" s="135">
        <f>ROUND(H149*S152,2)</f>
        <v>119.25</v>
      </c>
      <c r="M149" s="5">
        <f>L149*E149</f>
        <v>8586</v>
      </c>
      <c r="N149" s="5">
        <f>M149-I149</f>
        <v>293.03999999999905</v>
      </c>
      <c r="O149" s="4">
        <f>IF(I149=0,0,N149/I149)</f>
        <v>3.5335995832609712E-2</v>
      </c>
      <c r="P149" s="4">
        <f>M149/M152</f>
        <v>0.23829806742239543</v>
      </c>
      <c r="Q149" s="16">
        <f>P149-J149</f>
        <v>-1.0937693847301588E-6</v>
      </c>
      <c r="R149" s="16"/>
      <c r="T149" s="4">
        <f t="shared" si="151"/>
        <v>3.5335995832609823E-2</v>
      </c>
    </row>
    <row r="150" spans="1:20" x14ac:dyDescent="0.2">
      <c r="A150" s="45">
        <f t="shared" si="129"/>
        <v>144</v>
      </c>
      <c r="D150" s="2" t="s">
        <v>48</v>
      </c>
      <c r="E150" s="134">
        <v>105866</v>
      </c>
      <c r="F150" s="132">
        <f>H150-$H$255</f>
        <v>0.12479399999999999</v>
      </c>
      <c r="G150" s="107">
        <f t="shared" ref="G150:G151" si="152">F150*E150</f>
        <v>13211.441604</v>
      </c>
      <c r="H150" s="138">
        <v>0.13664399999999999</v>
      </c>
      <c r="I150" s="142">
        <f t="shared" ref="I150:I151" si="153">H150*E150</f>
        <v>14465.953704</v>
      </c>
      <c r="J150" s="4">
        <f>I150/I152</f>
        <v>0.41568084658581794</v>
      </c>
      <c r="K150" s="40"/>
      <c r="L150" s="124">
        <f>ROUND(H150*S152,6)</f>
        <v>0.14147299999999999</v>
      </c>
      <c r="M150" s="5">
        <f t="shared" ref="M150:M151" si="154">L150*E150</f>
        <v>14977.180617999999</v>
      </c>
      <c r="N150" s="5">
        <f t="shared" ref="N150:N155" si="155">M150-I150</f>
        <v>511.22691399999894</v>
      </c>
      <c r="O150" s="4">
        <f t="shared" ref="O150:O151" si="156">IF(I150=0,0,N150/I150)</f>
        <v>3.534000761101834E-2</v>
      </c>
      <c r="P150" s="4">
        <f>M150/M152</f>
        <v>0.41568054934842275</v>
      </c>
      <c r="Q150" s="16">
        <f t="shared" ref="Q150:Q152" si="157">P150-J150</f>
        <v>-2.972373951970475E-7</v>
      </c>
      <c r="R150" s="16"/>
      <c r="T150" s="4">
        <f>L150/H150-1</f>
        <v>3.5340007611018409E-2</v>
      </c>
    </row>
    <row r="151" spans="1:20" x14ac:dyDescent="0.2">
      <c r="A151" s="45">
        <f t="shared" si="129"/>
        <v>145</v>
      </c>
      <c r="D151" s="2" t="s">
        <v>49</v>
      </c>
      <c r="E151" s="134">
        <v>164520</v>
      </c>
      <c r="F151" s="132">
        <f>H151-$H$255</f>
        <v>6.1342999999999995E-2</v>
      </c>
      <c r="G151" s="107">
        <f t="shared" si="152"/>
        <v>10092.15036</v>
      </c>
      <c r="H151" s="138">
        <v>7.3192999999999994E-2</v>
      </c>
      <c r="I151" s="142">
        <f t="shared" si="153"/>
        <v>12041.71236</v>
      </c>
      <c r="J151" s="4">
        <f>I151/I152</f>
        <v>0.34601999222240204</v>
      </c>
      <c r="K151" s="40"/>
      <c r="L151" s="124">
        <f>ROUND(H151*S152,6)</f>
        <v>7.578E-2</v>
      </c>
      <c r="M151" s="5">
        <f t="shared" si="154"/>
        <v>12467.3256</v>
      </c>
      <c r="N151" s="5">
        <f t="shared" si="155"/>
        <v>425.61324000000059</v>
      </c>
      <c r="O151" s="4">
        <f t="shared" si="156"/>
        <v>3.5344910032380196E-2</v>
      </c>
      <c r="P151" s="4">
        <f>M151/M152</f>
        <v>0.34602138322918197</v>
      </c>
      <c r="Q151" s="16">
        <f t="shared" si="157"/>
        <v>1.3910067799272063E-6</v>
      </c>
      <c r="R151" s="16"/>
      <c r="T151" s="4">
        <f>L151/H151-1</f>
        <v>3.5344910032380161E-2</v>
      </c>
    </row>
    <row r="152" spans="1:20" s="6" customFormat="1" ht="20.45" customHeight="1" x14ac:dyDescent="0.25">
      <c r="A152" s="45">
        <f t="shared" si="129"/>
        <v>146</v>
      </c>
      <c r="C152" s="21"/>
      <c r="D152" s="23" t="s">
        <v>6</v>
      </c>
      <c r="E152" s="23"/>
      <c r="F152" s="110"/>
      <c r="G152" s="24">
        <f>SUM(G149:G151)</f>
        <v>31596.551963999998</v>
      </c>
      <c r="H152" s="23"/>
      <c r="I152" s="143">
        <f>SUM(I149:I151)</f>
        <v>34800.626063999996</v>
      </c>
      <c r="J152" s="25">
        <f>SUM(J149:J151)</f>
        <v>1.0000000000000002</v>
      </c>
      <c r="K152" s="41">
        <f>I152+Summary!I20</f>
        <v>36030.586063999996</v>
      </c>
      <c r="L152" s="23"/>
      <c r="M152" s="143">
        <f>SUM(M149:M151)</f>
        <v>36030.506217999995</v>
      </c>
      <c r="N152" s="143">
        <f>SUM(N149:N151)</f>
        <v>1229.8801539999986</v>
      </c>
      <c r="O152" s="25">
        <f t="shared" ref="O152" si="158">N152/I152</f>
        <v>3.5340747943390177E-2</v>
      </c>
      <c r="P152" s="25">
        <f>SUM(P149:P151)</f>
        <v>1</v>
      </c>
      <c r="Q152" s="26">
        <f t="shared" si="157"/>
        <v>0</v>
      </c>
      <c r="R152" s="37">
        <f>M152-K152</f>
        <v>-7.9846000000543427E-2</v>
      </c>
      <c r="S152" s="81">
        <f>K152/I152</f>
        <v>1.0353430423274008</v>
      </c>
    </row>
    <row r="153" spans="1:20" x14ac:dyDescent="0.2">
      <c r="A153" s="45">
        <f t="shared" si="129"/>
        <v>147</v>
      </c>
      <c r="D153" s="2" t="s">
        <v>26</v>
      </c>
      <c r="G153" s="133">
        <v>3061.82</v>
      </c>
      <c r="I153" s="14">
        <f>G153-($H$255*(E150+E151))</f>
        <v>-142.25409999999965</v>
      </c>
      <c r="K153" s="14"/>
      <c r="M153" s="5">
        <f>I153</f>
        <v>-142.25409999999965</v>
      </c>
      <c r="N153" s="5">
        <f t="shared" si="155"/>
        <v>0</v>
      </c>
      <c r="O153" s="17">
        <v>0</v>
      </c>
    </row>
    <row r="154" spans="1:20" x14ac:dyDescent="0.2">
      <c r="A154" s="45">
        <f t="shared" si="129"/>
        <v>148</v>
      </c>
      <c r="D154" s="2" t="s">
        <v>27</v>
      </c>
      <c r="G154" s="133">
        <v>4290.8900000000003</v>
      </c>
      <c r="I154" s="14">
        <f t="shared" ref="I154:I156" si="159">G154</f>
        <v>4290.8900000000003</v>
      </c>
      <c r="M154" s="5">
        <f t="shared" ref="M154:M156" si="160">I154</f>
        <v>4290.8900000000003</v>
      </c>
      <c r="N154" s="5">
        <f t="shared" si="155"/>
        <v>0</v>
      </c>
      <c r="O154" s="17">
        <v>0</v>
      </c>
    </row>
    <row r="155" spans="1:20" x14ac:dyDescent="0.2">
      <c r="A155" s="45">
        <f t="shared" si="129"/>
        <v>149</v>
      </c>
      <c r="D155" s="2" t="s">
        <v>29</v>
      </c>
      <c r="G155" s="107">
        <v>0</v>
      </c>
      <c r="I155" s="14">
        <f t="shared" si="159"/>
        <v>0</v>
      </c>
      <c r="M155" s="5">
        <f t="shared" si="160"/>
        <v>0</v>
      </c>
      <c r="N155" s="5">
        <f t="shared" si="155"/>
        <v>0</v>
      </c>
      <c r="O155" s="17">
        <v>0</v>
      </c>
    </row>
    <row r="156" spans="1:20" x14ac:dyDescent="0.2">
      <c r="A156" s="45">
        <f t="shared" si="129"/>
        <v>150</v>
      </c>
      <c r="D156" s="2" t="s">
        <v>39</v>
      </c>
      <c r="G156" s="107">
        <v>0</v>
      </c>
      <c r="I156" s="14">
        <f t="shared" si="159"/>
        <v>0</v>
      </c>
      <c r="M156" s="5">
        <f t="shared" si="160"/>
        <v>0</v>
      </c>
      <c r="N156" s="5"/>
      <c r="O156" s="17"/>
    </row>
    <row r="157" spans="1:20" x14ac:dyDescent="0.2">
      <c r="A157" s="45">
        <f t="shared" si="129"/>
        <v>151</v>
      </c>
      <c r="D157" s="18" t="s">
        <v>8</v>
      </c>
      <c r="E157" s="18"/>
      <c r="F157" s="112"/>
      <c r="G157" s="111">
        <f>SUM(G153:G156)</f>
        <v>7352.7100000000009</v>
      </c>
      <c r="H157" s="18"/>
      <c r="I157" s="145">
        <f>SUM(I153:I156)</f>
        <v>4148.6359000000011</v>
      </c>
      <c r="J157" s="18"/>
      <c r="K157" s="18"/>
      <c r="L157" s="18"/>
      <c r="M157" s="19">
        <f>SUM(M153:M156)</f>
        <v>4148.6359000000011</v>
      </c>
      <c r="N157" s="19">
        <f t="shared" ref="N157:N159" si="161">M157-I157</f>
        <v>0</v>
      </c>
      <c r="O157" s="27">
        <f t="shared" ref="O157" si="162">N157-J157</f>
        <v>0</v>
      </c>
    </row>
    <row r="158" spans="1:20" s="6" customFormat="1" ht="26.45" customHeight="1" thickBot="1" x14ac:dyDescent="0.25">
      <c r="A158" s="45">
        <f t="shared" si="129"/>
        <v>152</v>
      </c>
      <c r="C158" s="21"/>
      <c r="D158" s="7" t="s">
        <v>19</v>
      </c>
      <c r="E158" s="7"/>
      <c r="F158" s="114"/>
      <c r="G158" s="113">
        <f>G152+G157</f>
        <v>38949.261963999998</v>
      </c>
      <c r="H158" s="7"/>
      <c r="I158" s="141">
        <f>I157+I152</f>
        <v>38949.261963999998</v>
      </c>
      <c r="J158" s="7"/>
      <c r="K158" s="7"/>
      <c r="L158" s="7"/>
      <c r="M158" s="8">
        <f>M157+M152</f>
        <v>40179.142117999996</v>
      </c>
      <c r="N158" s="8">
        <f t="shared" si="161"/>
        <v>1229.8801539999986</v>
      </c>
      <c r="O158" s="9">
        <f>N158/I158</f>
        <v>3.1576468769466071E-2</v>
      </c>
      <c r="P158" s="2"/>
      <c r="Q158" s="2"/>
      <c r="R158" s="2"/>
    </row>
    <row r="159" spans="1:20" ht="13.5" thickTop="1" x14ac:dyDescent="0.2">
      <c r="A159" s="45">
        <f t="shared" si="129"/>
        <v>153</v>
      </c>
      <c r="D159" s="2" t="s">
        <v>18</v>
      </c>
      <c r="E159" s="135">
        <f>(E150+E151)/E149</f>
        <v>3755.3611111111113</v>
      </c>
      <c r="G159" s="116">
        <f>G158/E149</f>
        <v>540.96197172222219</v>
      </c>
      <c r="I159" s="15">
        <f>I158/E149</f>
        <v>540.96197172222219</v>
      </c>
      <c r="M159" s="15">
        <f>M158/E149</f>
        <v>558.04364052777771</v>
      </c>
      <c r="N159" s="15">
        <f t="shared" si="161"/>
        <v>17.081668805555523</v>
      </c>
      <c r="O159" s="4">
        <f>N159/I159</f>
        <v>3.1576468769466043E-2</v>
      </c>
    </row>
    <row r="160" spans="1:20" ht="13.5" thickBot="1" x14ac:dyDescent="0.25">
      <c r="A160" s="45">
        <f t="shared" si="129"/>
        <v>154</v>
      </c>
    </row>
    <row r="161" spans="1:20" x14ac:dyDescent="0.2">
      <c r="A161" s="45">
        <f t="shared" si="129"/>
        <v>155</v>
      </c>
      <c r="B161" s="33" t="s">
        <v>79</v>
      </c>
      <c r="C161" s="34">
        <v>6</v>
      </c>
      <c r="D161" s="33"/>
      <c r="E161" s="33"/>
      <c r="F161" s="117"/>
      <c r="G161" s="117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</row>
    <row r="162" spans="1:20" x14ac:dyDescent="0.2">
      <c r="A162" s="45">
        <f t="shared" si="129"/>
        <v>156</v>
      </c>
      <c r="C162" s="2"/>
      <c r="D162" s="2" t="s">
        <v>17</v>
      </c>
      <c r="E162" s="134"/>
      <c r="F162" s="131">
        <f>H162</f>
        <v>0</v>
      </c>
      <c r="G162" s="107">
        <f>F162*E162</f>
        <v>0</v>
      </c>
      <c r="H162" s="135">
        <v>0</v>
      </c>
      <c r="I162" s="142">
        <f>H162*E162</f>
        <v>0</v>
      </c>
      <c r="J162" s="4">
        <f>I162/I164</f>
        <v>0</v>
      </c>
      <c r="K162" s="40"/>
      <c r="L162" s="135">
        <f>ROUND(H162*S164,2)</f>
        <v>0</v>
      </c>
      <c r="M162" s="5">
        <f>L162*E162</f>
        <v>0</v>
      </c>
      <c r="N162" s="5">
        <f>M162-I162</f>
        <v>0</v>
      </c>
      <c r="O162" s="4">
        <f>IF(I162=0,0,N162/I162)</f>
        <v>0</v>
      </c>
      <c r="P162" s="4">
        <f>M162/M164</f>
        <v>0</v>
      </c>
      <c r="Q162" s="16">
        <f>P162-J162</f>
        <v>0</v>
      </c>
      <c r="R162" s="16"/>
      <c r="T162" s="4"/>
    </row>
    <row r="163" spans="1:20" x14ac:dyDescent="0.2">
      <c r="A163" s="45">
        <f t="shared" si="129"/>
        <v>157</v>
      </c>
      <c r="D163" s="2" t="s">
        <v>47</v>
      </c>
      <c r="E163" s="134">
        <v>335556</v>
      </c>
      <c r="F163" s="132">
        <f>H163-$H$255</f>
        <v>5.6692000000000006E-2</v>
      </c>
      <c r="G163" s="107">
        <f t="shared" ref="G163" si="163">F163*E163</f>
        <v>19023.340752000004</v>
      </c>
      <c r="H163" s="138">
        <v>6.8542000000000006E-2</v>
      </c>
      <c r="I163" s="142">
        <f t="shared" ref="I163" si="164">H163*E163</f>
        <v>22999.679352000003</v>
      </c>
      <c r="J163" s="4">
        <f>I163/I164</f>
        <v>1</v>
      </c>
      <c r="K163" s="40"/>
      <c r="L163" s="124">
        <f>ROUND(H163*S164,6)</f>
        <v>7.0963999999999999E-2</v>
      </c>
      <c r="M163" s="5">
        <f t="shared" ref="M163" si="165">L163*E163</f>
        <v>23812.395983999999</v>
      </c>
      <c r="N163" s="5">
        <f t="shared" ref="N163:N167" si="166">M163-I163</f>
        <v>812.71663199999603</v>
      </c>
      <c r="O163" s="4">
        <f t="shared" ref="O163" si="167">IF(I163=0,0,N163/I163)</f>
        <v>3.5335998365965217E-2</v>
      </c>
      <c r="P163" s="4">
        <f>M163/M164</f>
        <v>1</v>
      </c>
      <c r="Q163" s="16">
        <f t="shared" ref="Q163:Q164" si="168">P163-J163</f>
        <v>0</v>
      </c>
      <c r="R163" s="16"/>
      <c r="T163" s="4">
        <f>L163/H163-1</f>
        <v>3.5335998365965349E-2</v>
      </c>
    </row>
    <row r="164" spans="1:20" s="6" customFormat="1" ht="20.45" customHeight="1" x14ac:dyDescent="0.25">
      <c r="A164" s="45">
        <f t="shared" si="129"/>
        <v>158</v>
      </c>
      <c r="C164" s="21"/>
      <c r="D164" s="23" t="s">
        <v>6</v>
      </c>
      <c r="E164" s="23"/>
      <c r="F164" s="110"/>
      <c r="G164" s="24">
        <f>SUM(G162:G163)</f>
        <v>19023.340752000004</v>
      </c>
      <c r="H164" s="23"/>
      <c r="I164" s="143">
        <f>SUM(I162:I163)</f>
        <v>22999.679352000003</v>
      </c>
      <c r="J164" s="25">
        <f>SUM(J162:J163)</f>
        <v>1</v>
      </c>
      <c r="K164" s="41">
        <f>I164+Summary!I21</f>
        <v>23812.559352000004</v>
      </c>
      <c r="L164" s="23"/>
      <c r="M164" s="143">
        <f>SUM(M162:M163)</f>
        <v>23812.395983999999</v>
      </c>
      <c r="N164" s="143">
        <f>SUM(N162:N163)</f>
        <v>812.71663199999603</v>
      </c>
      <c r="O164" s="25">
        <f t="shared" ref="O164" si="169">N164/I164</f>
        <v>3.5335998365965217E-2</v>
      </c>
      <c r="P164" s="25">
        <f>SUM(P162:P163)</f>
        <v>1</v>
      </c>
      <c r="Q164" s="26">
        <f t="shared" si="168"/>
        <v>0</v>
      </c>
      <c r="R164" s="37">
        <f>M164-K164</f>
        <v>-0.16336800000499352</v>
      </c>
      <c r="S164" s="81">
        <f>K164/I164</f>
        <v>1.0353431014215124</v>
      </c>
    </row>
    <row r="165" spans="1:20" x14ac:dyDescent="0.2">
      <c r="A165" s="45">
        <f t="shared" si="129"/>
        <v>159</v>
      </c>
      <c r="D165" s="2" t="s">
        <v>26</v>
      </c>
      <c r="G165" s="133">
        <v>4035.32</v>
      </c>
      <c r="I165" s="14">
        <f>G165-($H$255*E163)</f>
        <v>58.981400000000576</v>
      </c>
      <c r="K165" s="14"/>
      <c r="M165" s="5">
        <f>I165</f>
        <v>58.981400000000576</v>
      </c>
      <c r="N165" s="5">
        <f t="shared" si="166"/>
        <v>0</v>
      </c>
      <c r="O165" s="17">
        <v>0</v>
      </c>
    </row>
    <row r="166" spans="1:20" x14ac:dyDescent="0.2">
      <c r="A166" s="45">
        <f t="shared" si="129"/>
        <v>160</v>
      </c>
      <c r="D166" s="2" t="s">
        <v>27</v>
      </c>
      <c r="G166" s="133">
        <v>10690.51</v>
      </c>
      <c r="I166" s="14">
        <f t="shared" ref="I166:I168" si="170">G166</f>
        <v>10690.51</v>
      </c>
      <c r="M166" s="5">
        <f t="shared" ref="M166:M168" si="171">I166</f>
        <v>10690.51</v>
      </c>
      <c r="N166" s="5">
        <f t="shared" si="166"/>
        <v>0</v>
      </c>
      <c r="O166" s="17">
        <v>0</v>
      </c>
    </row>
    <row r="167" spans="1:20" x14ac:dyDescent="0.2">
      <c r="A167" s="45">
        <f t="shared" si="129"/>
        <v>161</v>
      </c>
      <c r="D167" s="2" t="s">
        <v>29</v>
      </c>
      <c r="G167" s="107">
        <v>0</v>
      </c>
      <c r="I167" s="14">
        <f t="shared" si="170"/>
        <v>0</v>
      </c>
      <c r="M167" s="5">
        <f t="shared" si="171"/>
        <v>0</v>
      </c>
      <c r="N167" s="5">
        <f t="shared" si="166"/>
        <v>0</v>
      </c>
      <c r="O167" s="17">
        <v>0</v>
      </c>
    </row>
    <row r="168" spans="1:20" x14ac:dyDescent="0.2">
      <c r="A168" s="45">
        <f t="shared" si="129"/>
        <v>162</v>
      </c>
      <c r="D168" s="2" t="s">
        <v>39</v>
      </c>
      <c r="G168" s="107">
        <v>0</v>
      </c>
      <c r="I168" s="14">
        <f t="shared" si="170"/>
        <v>0</v>
      </c>
      <c r="M168" s="5">
        <f t="shared" si="171"/>
        <v>0</v>
      </c>
      <c r="N168" s="5"/>
      <c r="O168" s="17"/>
    </row>
    <row r="169" spans="1:20" x14ac:dyDescent="0.2">
      <c r="A169" s="45">
        <f t="shared" si="129"/>
        <v>163</v>
      </c>
      <c r="D169" s="18" t="s">
        <v>8</v>
      </c>
      <c r="E169" s="18"/>
      <c r="F169" s="112"/>
      <c r="G169" s="111">
        <f>SUM(G165:G168)</f>
        <v>14725.83</v>
      </c>
      <c r="H169" s="18"/>
      <c r="I169" s="145">
        <f>SUM(I165:I168)</f>
        <v>10749.491400000001</v>
      </c>
      <c r="J169" s="18"/>
      <c r="K169" s="18"/>
      <c r="L169" s="18"/>
      <c r="M169" s="19">
        <f>SUM(M165:M168)</f>
        <v>10749.491400000001</v>
      </c>
      <c r="N169" s="19">
        <f t="shared" ref="N169:N170" si="172">M169-I169</f>
        <v>0</v>
      </c>
      <c r="O169" s="27">
        <f t="shared" ref="O169" si="173">N169-J169</f>
        <v>0</v>
      </c>
    </row>
    <row r="170" spans="1:20" s="6" customFormat="1" ht="26.45" customHeight="1" thickBot="1" x14ac:dyDescent="0.25">
      <c r="A170" s="45">
        <f t="shared" si="129"/>
        <v>164</v>
      </c>
      <c r="C170" s="21"/>
      <c r="D170" s="7" t="s">
        <v>19</v>
      </c>
      <c r="E170" s="7"/>
      <c r="F170" s="114"/>
      <c r="G170" s="113">
        <f>G164+G169</f>
        <v>33749.170752000005</v>
      </c>
      <c r="H170" s="7"/>
      <c r="I170" s="141">
        <f>I169+I164</f>
        <v>33749.170752000005</v>
      </c>
      <c r="J170" s="7"/>
      <c r="K170" s="7"/>
      <c r="L170" s="7"/>
      <c r="M170" s="8">
        <f>M169+M164</f>
        <v>34561.887384000001</v>
      </c>
      <c r="N170" s="8">
        <f t="shared" si="172"/>
        <v>812.71663199999603</v>
      </c>
      <c r="O170" s="9">
        <f>N170/I170</f>
        <v>2.408108447973744E-2</v>
      </c>
      <c r="P170" s="2"/>
      <c r="Q170" s="2"/>
      <c r="R170" s="2"/>
    </row>
    <row r="171" spans="1:20" ht="13.5" thickTop="1" x14ac:dyDescent="0.2">
      <c r="A171" s="45">
        <f t="shared" si="129"/>
        <v>165</v>
      </c>
      <c r="E171" s="137">
        <f>E163</f>
        <v>335556</v>
      </c>
      <c r="G171" s="116"/>
      <c r="I171" s="15"/>
      <c r="M171" s="15"/>
      <c r="N171" s="15"/>
      <c r="O171" s="4"/>
    </row>
    <row r="172" spans="1:20" ht="13.5" thickBot="1" x14ac:dyDescent="0.25">
      <c r="A172" s="45">
        <f t="shared" si="129"/>
        <v>166</v>
      </c>
    </row>
    <row r="173" spans="1:20" x14ac:dyDescent="0.2">
      <c r="A173" s="45">
        <f t="shared" si="129"/>
        <v>167</v>
      </c>
      <c r="B173" s="33" t="s">
        <v>30</v>
      </c>
      <c r="C173" s="34">
        <v>6</v>
      </c>
      <c r="D173" s="33"/>
      <c r="E173" s="33"/>
      <c r="F173" s="117"/>
      <c r="G173" s="117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</row>
    <row r="174" spans="1:20" x14ac:dyDescent="0.2">
      <c r="A174" s="45">
        <f t="shared" si="129"/>
        <v>168</v>
      </c>
      <c r="B174" s="42"/>
      <c r="C174" s="39"/>
      <c r="D174" s="2" t="s">
        <v>67</v>
      </c>
      <c r="E174" s="134">
        <v>24095</v>
      </c>
      <c r="F174" s="129">
        <v>10.35</v>
      </c>
      <c r="G174" s="107">
        <f t="shared" ref="G174" si="174">F174*E174</f>
        <v>249383.25</v>
      </c>
      <c r="H174" s="135">
        <v>11.18</v>
      </c>
      <c r="I174" s="142">
        <f t="shared" ref="I174" si="175">H174*E174</f>
        <v>269382.09999999998</v>
      </c>
      <c r="J174" s="4">
        <f t="shared" ref="J174:J187" si="176">I174/I$188</f>
        <v>0.24357108412239317</v>
      </c>
      <c r="K174" s="40"/>
      <c r="L174" s="135">
        <f t="shared" ref="L174:L187" si="177">ROUND(H174*S$188,2)</f>
        <v>11.58</v>
      </c>
      <c r="M174" s="5">
        <f t="shared" ref="M174" si="178">L174*E174</f>
        <v>279020.09999999998</v>
      </c>
      <c r="N174" s="5">
        <f t="shared" ref="N174" si="179">M174-I174</f>
        <v>9638</v>
      </c>
      <c r="O174" s="4">
        <f t="shared" ref="O174" si="180">IF(I174=0,0,N174/I174)</f>
        <v>3.5778175313059039E-2</v>
      </c>
      <c r="P174" s="4">
        <f t="shared" ref="P174:P187" si="181">M174/M$188</f>
        <v>0.2436485167332077</v>
      </c>
      <c r="Q174" s="16">
        <f t="shared" ref="Q174" si="182">P174-J174</f>
        <v>7.7432610814526237E-5</v>
      </c>
      <c r="R174" s="16"/>
      <c r="T174" s="4">
        <f>L174/H174-1</f>
        <v>3.5778175313059046E-2</v>
      </c>
    </row>
    <row r="175" spans="1:20" x14ac:dyDescent="0.2">
      <c r="A175" s="45">
        <f t="shared" si="129"/>
        <v>169</v>
      </c>
      <c r="B175" s="42"/>
      <c r="C175" s="39"/>
      <c r="D175" s="2" t="s">
        <v>68</v>
      </c>
      <c r="E175" s="134">
        <v>592</v>
      </c>
      <c r="F175" s="129">
        <v>3.45</v>
      </c>
      <c r="G175" s="107">
        <f t="shared" ref="G175:G178" si="183">F175*E175</f>
        <v>2042.4</v>
      </c>
      <c r="H175" s="135">
        <v>4.28</v>
      </c>
      <c r="I175" s="142">
        <f t="shared" ref="I175:I178" si="184">H175*E175</f>
        <v>2533.7600000000002</v>
      </c>
      <c r="J175" s="4">
        <f t="shared" si="176"/>
        <v>2.2909861869291059E-3</v>
      </c>
      <c r="K175" s="40"/>
      <c r="L175" s="135">
        <f t="shared" si="177"/>
        <v>4.43</v>
      </c>
      <c r="M175" s="5">
        <f t="shared" ref="M175:M178" si="185">L175*E175</f>
        <v>2622.56</v>
      </c>
      <c r="N175" s="5">
        <f t="shared" ref="N175:N178" si="186">M175-I175</f>
        <v>88.799999999999727</v>
      </c>
      <c r="O175" s="4">
        <f t="shared" ref="O175:O178" si="187">IF(I175=0,0,N175/I175)</f>
        <v>3.5046728971962503E-2</v>
      </c>
      <c r="P175" s="4">
        <f t="shared" si="181"/>
        <v>2.290096140184314E-3</v>
      </c>
      <c r="Q175" s="16">
        <f t="shared" ref="Q175:Q178" si="188">P175-J175</f>
        <v>-8.9004674479198354E-7</v>
      </c>
      <c r="R175" s="16"/>
      <c r="T175" s="4">
        <f t="shared" ref="T175:T187" si="189">L175/H175-1</f>
        <v>3.5046728971962482E-2</v>
      </c>
    </row>
    <row r="176" spans="1:20" x14ac:dyDescent="0.2">
      <c r="A176" s="45">
        <f t="shared" si="129"/>
        <v>170</v>
      </c>
      <c r="B176" s="42"/>
      <c r="C176" s="39"/>
      <c r="D176" s="2" t="s">
        <v>69</v>
      </c>
      <c r="E176" s="134">
        <v>168</v>
      </c>
      <c r="F176" s="129">
        <v>11.77</v>
      </c>
      <c r="G176" s="107">
        <f t="shared" si="183"/>
        <v>1977.36</v>
      </c>
      <c r="H176" s="135">
        <v>12.93</v>
      </c>
      <c r="I176" s="142">
        <f t="shared" si="184"/>
        <v>2172.2399999999998</v>
      </c>
      <c r="J176" s="4">
        <f t="shared" si="176"/>
        <v>1.9641054538294392E-3</v>
      </c>
      <c r="K176" s="40"/>
      <c r="L176" s="135">
        <f t="shared" si="177"/>
        <v>13.39</v>
      </c>
      <c r="M176" s="5">
        <f t="shared" si="185"/>
        <v>2249.52</v>
      </c>
      <c r="N176" s="5">
        <f t="shared" si="186"/>
        <v>77.2800000000002</v>
      </c>
      <c r="O176" s="4">
        <f t="shared" si="187"/>
        <v>3.5576179427687642E-2</v>
      </c>
      <c r="P176" s="4">
        <f t="shared" si="181"/>
        <v>1.964346695315805E-3</v>
      </c>
      <c r="Q176" s="16">
        <f t="shared" si="188"/>
        <v>2.4124148636584311E-7</v>
      </c>
      <c r="R176" s="16"/>
      <c r="T176" s="4">
        <f t="shared" si="189"/>
        <v>3.5576179427687649E-2</v>
      </c>
    </row>
    <row r="177" spans="1:20" x14ac:dyDescent="0.2">
      <c r="A177" s="45">
        <f t="shared" si="129"/>
        <v>171</v>
      </c>
      <c r="B177" s="42"/>
      <c r="C177" s="39"/>
      <c r="D177" s="2" t="s">
        <v>70</v>
      </c>
      <c r="E177" s="134">
        <v>180</v>
      </c>
      <c r="F177" s="129">
        <v>17.88</v>
      </c>
      <c r="G177" s="107">
        <f t="shared" si="183"/>
        <v>3218.3999999999996</v>
      </c>
      <c r="H177" s="135">
        <v>19.73</v>
      </c>
      <c r="I177" s="142">
        <f t="shared" si="184"/>
        <v>3551.4</v>
      </c>
      <c r="J177" s="4">
        <f t="shared" si="176"/>
        <v>3.2111203682511466E-3</v>
      </c>
      <c r="K177" s="40"/>
      <c r="L177" s="135">
        <f t="shared" si="177"/>
        <v>20.43</v>
      </c>
      <c r="M177" s="5">
        <f t="shared" si="185"/>
        <v>3677.4</v>
      </c>
      <c r="N177" s="5">
        <f t="shared" si="186"/>
        <v>126</v>
      </c>
      <c r="O177" s="4">
        <f t="shared" si="187"/>
        <v>3.5478966041561075E-2</v>
      </c>
      <c r="P177" s="4">
        <f t="shared" si="181"/>
        <v>3.2112132976609862E-3</v>
      </c>
      <c r="Q177" s="16">
        <f t="shared" si="188"/>
        <v>9.2929409839601768E-8</v>
      </c>
      <c r="R177" s="16"/>
      <c r="T177" s="4">
        <f t="shared" si="189"/>
        <v>3.5478966041561089E-2</v>
      </c>
    </row>
    <row r="178" spans="1:20" x14ac:dyDescent="0.2">
      <c r="A178" s="45">
        <f t="shared" si="129"/>
        <v>172</v>
      </c>
      <c r="B178" s="42"/>
      <c r="C178" s="39"/>
      <c r="D178" s="2" t="s">
        <v>71</v>
      </c>
      <c r="E178" s="134">
        <v>36</v>
      </c>
      <c r="F178" s="129">
        <v>31.35</v>
      </c>
      <c r="G178" s="107">
        <f t="shared" si="183"/>
        <v>1128.6000000000001</v>
      </c>
      <c r="H178" s="135">
        <v>35.83</v>
      </c>
      <c r="I178" s="142">
        <f t="shared" si="184"/>
        <v>1289.8799999999999</v>
      </c>
      <c r="J178" s="4">
        <f t="shared" si="176"/>
        <v>1.1662893339527479E-3</v>
      </c>
      <c r="K178" s="40"/>
      <c r="L178" s="135">
        <f t="shared" si="177"/>
        <v>37.1</v>
      </c>
      <c r="M178" s="5">
        <f t="shared" si="185"/>
        <v>1335.6000000000001</v>
      </c>
      <c r="N178" s="5">
        <f t="shared" si="186"/>
        <v>45.720000000000255</v>
      </c>
      <c r="O178" s="4">
        <f t="shared" si="187"/>
        <v>3.5445157689087556E-2</v>
      </c>
      <c r="P178" s="4">
        <f t="shared" si="181"/>
        <v>1.1662850058073676E-3</v>
      </c>
      <c r="Q178" s="16">
        <f t="shared" si="188"/>
        <v>-4.328145380289028E-9</v>
      </c>
      <c r="R178" s="16"/>
      <c r="T178" s="4">
        <f t="shared" si="189"/>
        <v>3.5445157689087514E-2</v>
      </c>
    </row>
    <row r="179" spans="1:20" x14ac:dyDescent="0.2">
      <c r="A179" s="45">
        <f t="shared" si="129"/>
        <v>173</v>
      </c>
      <c r="B179" s="42"/>
      <c r="C179" s="39"/>
      <c r="D179" s="2" t="s">
        <v>66</v>
      </c>
      <c r="E179" s="134">
        <v>2212</v>
      </c>
      <c r="F179" s="129">
        <v>10.78</v>
      </c>
      <c r="G179" s="107">
        <f t="shared" ref="G179:G187" si="190">F179*E179</f>
        <v>23845.359999999997</v>
      </c>
      <c r="H179" s="135">
        <v>11.28</v>
      </c>
      <c r="I179" s="142">
        <f t="shared" ref="I179:I187" si="191">H179*E179</f>
        <v>24951.359999999997</v>
      </c>
      <c r="J179" s="4">
        <f t="shared" si="176"/>
        <v>2.2560629698588422E-2</v>
      </c>
      <c r="K179" s="40"/>
      <c r="L179" s="135">
        <f t="shared" si="177"/>
        <v>11.68</v>
      </c>
      <c r="M179" s="5">
        <f t="shared" ref="M179:M187" si="192">L179*E179</f>
        <v>25836.16</v>
      </c>
      <c r="N179" s="5">
        <f t="shared" ref="N179:N187" si="193">M179-I179</f>
        <v>884.80000000000291</v>
      </c>
      <c r="O179" s="4">
        <f t="shared" ref="O179:O187" si="194">IF(I179=0,0,N179/I179)</f>
        <v>3.5460992907801539E-2</v>
      </c>
      <c r="P179" s="4">
        <f t="shared" si="181"/>
        <v>2.2560890997035097E-2</v>
      </c>
      <c r="Q179" s="16">
        <f t="shared" ref="Q179:Q187" si="195">P179-J179</f>
        <v>2.6129844667502344E-7</v>
      </c>
      <c r="R179" s="16"/>
      <c r="T179" s="4">
        <f t="shared" si="189"/>
        <v>3.5460992907801359E-2</v>
      </c>
    </row>
    <row r="180" spans="1:20" x14ac:dyDescent="0.2">
      <c r="A180" s="45">
        <f t="shared" si="129"/>
        <v>174</v>
      </c>
      <c r="B180" s="42"/>
      <c r="C180" s="39"/>
      <c r="D180" s="2" t="s">
        <v>72</v>
      </c>
      <c r="E180" s="134">
        <v>12</v>
      </c>
      <c r="F180" s="129">
        <v>12.55</v>
      </c>
      <c r="G180" s="107">
        <f t="shared" si="190"/>
        <v>150.60000000000002</v>
      </c>
      <c r="H180" s="135">
        <v>13.3</v>
      </c>
      <c r="I180" s="142">
        <f t="shared" si="191"/>
        <v>159.60000000000002</v>
      </c>
      <c r="J180" s="4">
        <f t="shared" si="176"/>
        <v>1.4430782530069355E-4</v>
      </c>
      <c r="K180" s="40"/>
      <c r="L180" s="135">
        <f t="shared" si="177"/>
        <v>13.77</v>
      </c>
      <c r="M180" s="5">
        <f t="shared" si="192"/>
        <v>165.24</v>
      </c>
      <c r="N180" s="5">
        <f t="shared" si="193"/>
        <v>5.6399999999999864</v>
      </c>
      <c r="O180" s="4">
        <f t="shared" si="194"/>
        <v>3.5338345864661565E-2</v>
      </c>
      <c r="P180" s="4">
        <f t="shared" si="181"/>
        <v>1.442924036834452E-4</v>
      </c>
      <c r="Q180" s="16">
        <f t="shared" si="195"/>
        <v>-1.5421617248349059E-8</v>
      </c>
      <c r="R180" s="16"/>
      <c r="T180" s="4">
        <f t="shared" si="189"/>
        <v>3.5338345864661669E-2</v>
      </c>
    </row>
    <row r="181" spans="1:20" x14ac:dyDescent="0.2">
      <c r="A181" s="45">
        <f t="shared" si="129"/>
        <v>175</v>
      </c>
      <c r="B181" s="42"/>
      <c r="C181" s="39"/>
      <c r="D181" s="2" t="s">
        <v>73</v>
      </c>
      <c r="E181" s="134">
        <v>180</v>
      </c>
      <c r="F181" s="129">
        <v>17.02</v>
      </c>
      <c r="G181" s="107">
        <f t="shared" si="190"/>
        <v>3063.6</v>
      </c>
      <c r="H181" s="135">
        <v>18.260000000000002</v>
      </c>
      <c r="I181" s="142">
        <f t="shared" si="191"/>
        <v>3286.8</v>
      </c>
      <c r="J181" s="4">
        <f t="shared" si="176"/>
        <v>2.9718731841999971E-3</v>
      </c>
      <c r="K181" s="40"/>
      <c r="L181" s="135">
        <f t="shared" si="177"/>
        <v>18.91</v>
      </c>
      <c r="M181" s="5">
        <f t="shared" si="192"/>
        <v>3403.8</v>
      </c>
      <c r="N181" s="5">
        <f t="shared" si="193"/>
        <v>117</v>
      </c>
      <c r="O181" s="4">
        <f t="shared" si="194"/>
        <v>3.5596933187294628E-2</v>
      </c>
      <c r="P181" s="4">
        <f t="shared" si="181"/>
        <v>2.9722977708648676E-3</v>
      </c>
      <c r="Q181" s="16">
        <f t="shared" si="195"/>
        <v>4.2458666487050004E-7</v>
      </c>
      <c r="R181" s="16"/>
      <c r="T181" s="4">
        <f t="shared" si="189"/>
        <v>3.5596933187294511E-2</v>
      </c>
    </row>
    <row r="182" spans="1:20" x14ac:dyDescent="0.2">
      <c r="A182" s="45">
        <f t="shared" si="129"/>
        <v>176</v>
      </c>
      <c r="B182" s="42"/>
      <c r="C182" s="39"/>
      <c r="D182" s="2" t="s">
        <v>74</v>
      </c>
      <c r="E182" s="134">
        <v>1059</v>
      </c>
      <c r="F182" s="129">
        <v>21.86</v>
      </c>
      <c r="G182" s="107">
        <f t="shared" si="190"/>
        <v>23149.739999999998</v>
      </c>
      <c r="H182" s="135">
        <v>23.82</v>
      </c>
      <c r="I182" s="142">
        <f t="shared" si="191"/>
        <v>25225.38</v>
      </c>
      <c r="J182" s="4">
        <f t="shared" si="176"/>
        <v>2.2808394299396045E-2</v>
      </c>
      <c r="K182" s="40"/>
      <c r="L182" s="135">
        <f t="shared" si="177"/>
        <v>24.66</v>
      </c>
      <c r="M182" s="5">
        <f t="shared" si="192"/>
        <v>26114.94</v>
      </c>
      <c r="N182" s="5">
        <f t="shared" si="193"/>
        <v>889.55999999999767</v>
      </c>
      <c r="O182" s="4">
        <f t="shared" si="194"/>
        <v>3.5264483627203934E-2</v>
      </c>
      <c r="P182" s="4">
        <f t="shared" si="181"/>
        <v>2.2804329851421872E-2</v>
      </c>
      <c r="Q182" s="16">
        <f t="shared" si="195"/>
        <v>-4.0644479741731854E-6</v>
      </c>
      <c r="R182" s="16"/>
      <c r="T182" s="4">
        <f t="shared" si="189"/>
        <v>3.5264483627204024E-2</v>
      </c>
    </row>
    <row r="183" spans="1:20" x14ac:dyDescent="0.2">
      <c r="A183" s="45">
        <f t="shared" si="129"/>
        <v>177</v>
      </c>
      <c r="B183" s="42"/>
      <c r="C183" s="39"/>
      <c r="D183" s="2" t="s">
        <v>75</v>
      </c>
      <c r="E183" s="134">
        <v>0</v>
      </c>
      <c r="F183" s="129">
        <v>47.29</v>
      </c>
      <c r="G183" s="107">
        <f t="shared" si="190"/>
        <v>0</v>
      </c>
      <c r="H183" s="135">
        <v>51.85</v>
      </c>
      <c r="I183" s="142">
        <f t="shared" si="191"/>
        <v>0</v>
      </c>
      <c r="J183" s="4">
        <f t="shared" si="176"/>
        <v>0</v>
      </c>
      <c r="K183" s="40"/>
      <c r="L183" s="135">
        <f t="shared" si="177"/>
        <v>53.68</v>
      </c>
      <c r="M183" s="5">
        <f t="shared" si="192"/>
        <v>0</v>
      </c>
      <c r="N183" s="5">
        <f t="shared" si="193"/>
        <v>0</v>
      </c>
      <c r="O183" s="4">
        <f t="shared" si="194"/>
        <v>0</v>
      </c>
      <c r="P183" s="4">
        <f t="shared" si="181"/>
        <v>0</v>
      </c>
      <c r="Q183" s="16">
        <f t="shared" si="195"/>
        <v>0</v>
      </c>
      <c r="R183" s="16"/>
      <c r="T183" s="4">
        <f t="shared" si="189"/>
        <v>3.5294117647058698E-2</v>
      </c>
    </row>
    <row r="184" spans="1:20" x14ac:dyDescent="0.2">
      <c r="A184" s="45">
        <f t="shared" si="129"/>
        <v>178</v>
      </c>
      <c r="B184" s="42"/>
      <c r="C184" s="39"/>
      <c r="D184" s="2" t="s">
        <v>76</v>
      </c>
      <c r="E184" s="134">
        <v>62645</v>
      </c>
      <c r="F184" s="129">
        <v>10.71</v>
      </c>
      <c r="G184" s="107">
        <f t="shared" si="190"/>
        <v>670927.95000000007</v>
      </c>
      <c r="H184" s="135">
        <v>11.03</v>
      </c>
      <c r="I184" s="142">
        <f t="shared" si="191"/>
        <v>690974.35</v>
      </c>
      <c r="J184" s="4">
        <f t="shared" si="176"/>
        <v>0.62476820668584121</v>
      </c>
      <c r="K184" s="40"/>
      <c r="L184" s="135">
        <f t="shared" si="177"/>
        <v>11.42</v>
      </c>
      <c r="M184" s="5">
        <f t="shared" si="192"/>
        <v>715405.9</v>
      </c>
      <c r="N184" s="5">
        <f t="shared" si="193"/>
        <v>24431.550000000047</v>
      </c>
      <c r="O184" s="4">
        <f t="shared" si="194"/>
        <v>3.5358114233907591E-2</v>
      </c>
      <c r="P184" s="4">
        <f t="shared" si="181"/>
        <v>0.62471336795157606</v>
      </c>
      <c r="Q184" s="16">
        <f t="shared" si="195"/>
        <v>-5.483873426515018E-5</v>
      </c>
      <c r="R184" s="16"/>
      <c r="T184" s="4">
        <f t="shared" si="189"/>
        <v>3.5358114233907667E-2</v>
      </c>
    </row>
    <row r="185" spans="1:20" x14ac:dyDescent="0.2">
      <c r="A185" s="45">
        <f t="shared" si="129"/>
        <v>179</v>
      </c>
      <c r="B185" s="42"/>
      <c r="C185" s="39"/>
      <c r="D185" s="2" t="s">
        <v>129</v>
      </c>
      <c r="E185" s="134">
        <v>687</v>
      </c>
      <c r="F185" s="129">
        <v>16.46</v>
      </c>
      <c r="G185" s="107">
        <f t="shared" si="190"/>
        <v>11308.02</v>
      </c>
      <c r="H185" s="135">
        <v>16.95</v>
      </c>
      <c r="I185" s="142">
        <f t="shared" si="191"/>
        <v>11644.65</v>
      </c>
      <c r="J185" s="4">
        <f t="shared" si="176"/>
        <v>1.0528910513080959E-2</v>
      </c>
      <c r="K185" s="40"/>
      <c r="L185" s="135">
        <f t="shared" si="177"/>
        <v>17.55</v>
      </c>
      <c r="M185" s="5">
        <f t="shared" si="192"/>
        <v>12056.85</v>
      </c>
      <c r="N185" s="5">
        <f t="shared" si="193"/>
        <v>412.20000000000073</v>
      </c>
      <c r="O185" s="4">
        <f t="shared" si="194"/>
        <v>3.5398230088495637E-2</v>
      </c>
      <c r="P185" s="4">
        <f t="shared" si="181"/>
        <v>1.0528394258961184E-2</v>
      </c>
      <c r="Q185" s="16">
        <f t="shared" si="195"/>
        <v>-5.1625411977458679E-7</v>
      </c>
      <c r="R185" s="16"/>
      <c r="T185" s="4">
        <f t="shared" si="189"/>
        <v>3.539823008849563E-2</v>
      </c>
    </row>
    <row r="186" spans="1:20" x14ac:dyDescent="0.2">
      <c r="A186" s="45">
        <f t="shared" si="129"/>
        <v>180</v>
      </c>
      <c r="B186" s="42"/>
      <c r="C186" s="39"/>
      <c r="D186" s="2" t="s">
        <v>77</v>
      </c>
      <c r="E186" s="134">
        <v>1735</v>
      </c>
      <c r="F186" s="129">
        <v>18.11</v>
      </c>
      <c r="G186" s="107">
        <f t="shared" si="190"/>
        <v>31420.85</v>
      </c>
      <c r="H186" s="135">
        <v>18.79</v>
      </c>
      <c r="I186" s="142">
        <f t="shared" si="191"/>
        <v>32600.649999999998</v>
      </c>
      <c r="J186" s="4">
        <f t="shared" si="176"/>
        <v>2.9476998150933926E-2</v>
      </c>
      <c r="K186" s="40"/>
      <c r="L186" s="135">
        <f t="shared" si="177"/>
        <v>19.45</v>
      </c>
      <c r="M186" s="5">
        <f t="shared" si="192"/>
        <v>33745.75</v>
      </c>
      <c r="N186" s="5">
        <f t="shared" si="193"/>
        <v>1145.1000000000022</v>
      </c>
      <c r="O186" s="4">
        <f t="shared" si="194"/>
        <v>3.5125066524747277E-2</v>
      </c>
      <c r="P186" s="4">
        <f t="shared" si="181"/>
        <v>2.9467776456067664E-2</v>
      </c>
      <c r="Q186" s="16">
        <f t="shared" si="195"/>
        <v>-9.2216948662619813E-6</v>
      </c>
      <c r="R186" s="16"/>
      <c r="T186" s="4">
        <f t="shared" si="189"/>
        <v>3.5125066524747117E-2</v>
      </c>
    </row>
    <row r="187" spans="1:20" x14ac:dyDescent="0.2">
      <c r="A187" s="45">
        <f t="shared" si="129"/>
        <v>181</v>
      </c>
      <c r="B187" s="42"/>
      <c r="C187" s="39"/>
      <c r="D187" s="2" t="s">
        <v>78</v>
      </c>
      <c r="E187" s="134">
        <v>1581</v>
      </c>
      <c r="F187" s="129">
        <v>23.24</v>
      </c>
      <c r="G187" s="107">
        <f t="shared" si="190"/>
        <v>36742.439999999995</v>
      </c>
      <c r="H187" s="135">
        <v>24.16</v>
      </c>
      <c r="I187" s="142">
        <f t="shared" si="191"/>
        <v>38196.959999999999</v>
      </c>
      <c r="J187" s="4">
        <f t="shared" si="176"/>
        <v>3.4537094177303128E-2</v>
      </c>
      <c r="K187" s="40"/>
      <c r="L187" s="135">
        <f t="shared" si="177"/>
        <v>25.01</v>
      </c>
      <c r="M187" s="5">
        <f t="shared" si="192"/>
        <v>39540.810000000005</v>
      </c>
      <c r="N187" s="5">
        <f t="shared" si="193"/>
        <v>1343.8500000000058</v>
      </c>
      <c r="O187" s="4">
        <f t="shared" si="194"/>
        <v>3.5182119205298165E-2</v>
      </c>
      <c r="P187" s="4">
        <f t="shared" si="181"/>
        <v>3.4528192438213548E-2</v>
      </c>
      <c r="Q187" s="16">
        <f t="shared" si="195"/>
        <v>-8.9017390895798632E-6</v>
      </c>
      <c r="R187" s="16"/>
      <c r="T187" s="4">
        <f t="shared" si="189"/>
        <v>3.5182119205298124E-2</v>
      </c>
    </row>
    <row r="188" spans="1:20" s="6" customFormat="1" ht="24.6" customHeight="1" x14ac:dyDescent="0.25">
      <c r="A188" s="45">
        <f t="shared" si="129"/>
        <v>182</v>
      </c>
      <c r="C188" s="21"/>
      <c r="D188" s="23" t="s">
        <v>6</v>
      </c>
      <c r="E188" s="23"/>
      <c r="F188" s="110"/>
      <c r="G188" s="24">
        <f>SUM(G174:G187)</f>
        <v>1058358.57</v>
      </c>
      <c r="H188" s="23"/>
      <c r="I188" s="143">
        <f>SUM(I174:I187)</f>
        <v>1105969.1299999999</v>
      </c>
      <c r="J188" s="25">
        <f>SUM(J174:J187)</f>
        <v>0.99999999999999989</v>
      </c>
      <c r="K188" s="41">
        <f>I188+Summary!I22</f>
        <v>1145057.48</v>
      </c>
      <c r="L188" s="23"/>
      <c r="M188" s="143">
        <f>SUM(M174:M187)</f>
        <v>1145174.6300000001</v>
      </c>
      <c r="N188" s="143">
        <f>SUM(N174:N187)</f>
        <v>39205.500000000058</v>
      </c>
      <c r="O188" s="25">
        <f t="shared" ref="O188" si="196">N188/I188</f>
        <v>3.5449000280866845E-2</v>
      </c>
      <c r="P188" s="25">
        <f>SUM(P174:P187)</f>
        <v>1</v>
      </c>
      <c r="Q188" s="26">
        <f t="shared" ref="Q188" si="197">P188-J188</f>
        <v>0</v>
      </c>
      <c r="R188" s="37">
        <f>M188-K188</f>
        <v>117.1500000001397</v>
      </c>
      <c r="S188" s="6">
        <f>K188/I188</f>
        <v>1.0353430750820325</v>
      </c>
    </row>
    <row r="189" spans="1:20" x14ac:dyDescent="0.2">
      <c r="A189" s="45">
        <f t="shared" ref="A189:A227" si="198">A188+1</f>
        <v>183</v>
      </c>
      <c r="D189" s="2" t="s">
        <v>26</v>
      </c>
      <c r="G189" s="107">
        <v>0</v>
      </c>
      <c r="I189" s="14">
        <f>G189</f>
        <v>0</v>
      </c>
      <c r="K189" s="14"/>
      <c r="M189" s="5">
        <f>I189</f>
        <v>0</v>
      </c>
      <c r="N189" s="5">
        <f>M189-I189</f>
        <v>0</v>
      </c>
      <c r="O189" s="17">
        <v>0</v>
      </c>
    </row>
    <row r="190" spans="1:20" x14ac:dyDescent="0.2">
      <c r="A190" s="45">
        <f t="shared" si="198"/>
        <v>184</v>
      </c>
      <c r="D190" s="2" t="s">
        <v>27</v>
      </c>
      <c r="G190" s="107">
        <v>0</v>
      </c>
      <c r="I190" s="14">
        <f>G190</f>
        <v>0</v>
      </c>
      <c r="M190" s="5">
        <f t="shared" ref="M190:M191" si="199">I190</f>
        <v>0</v>
      </c>
      <c r="N190" s="5">
        <f>M190-I190</f>
        <v>0</v>
      </c>
      <c r="O190" s="17">
        <v>0</v>
      </c>
    </row>
    <row r="191" spans="1:20" x14ac:dyDescent="0.2">
      <c r="A191" s="45">
        <f t="shared" si="198"/>
        <v>185</v>
      </c>
      <c r="D191" s="2" t="s">
        <v>29</v>
      </c>
      <c r="G191" s="107">
        <v>0</v>
      </c>
      <c r="I191" s="14">
        <v>0</v>
      </c>
      <c r="M191" s="5">
        <f t="shared" si="199"/>
        <v>0</v>
      </c>
      <c r="N191" s="5">
        <f>M191-I191</f>
        <v>0</v>
      </c>
      <c r="O191" s="17">
        <v>0</v>
      </c>
    </row>
    <row r="192" spans="1:20" x14ac:dyDescent="0.2">
      <c r="A192" s="45">
        <f t="shared" si="198"/>
        <v>186</v>
      </c>
      <c r="D192" s="2" t="s">
        <v>39</v>
      </c>
      <c r="G192" s="107"/>
      <c r="I192" s="14"/>
      <c r="M192" s="5"/>
      <c r="N192" s="5"/>
      <c r="O192" s="17"/>
    </row>
    <row r="193" spans="1:25" x14ac:dyDescent="0.2">
      <c r="A193" s="45">
        <f t="shared" si="198"/>
        <v>187</v>
      </c>
      <c r="D193" s="18" t="s">
        <v>8</v>
      </c>
      <c r="E193" s="18"/>
      <c r="F193" s="112"/>
      <c r="G193" s="111">
        <f>SUM(G189:G191)</f>
        <v>0</v>
      </c>
      <c r="H193" s="18"/>
      <c r="I193" s="145">
        <f>SUM(I189:I191)</f>
        <v>0</v>
      </c>
      <c r="J193" s="18"/>
      <c r="K193" s="18"/>
      <c r="L193" s="18"/>
      <c r="M193" s="19">
        <f>SUM(M189:M191)</f>
        <v>0</v>
      </c>
      <c r="N193" s="19">
        <f>M193-I193</f>
        <v>0</v>
      </c>
      <c r="O193" s="27">
        <f>N193-J193</f>
        <v>0</v>
      </c>
    </row>
    <row r="194" spans="1:25" s="6" customFormat="1" ht="26.45" customHeight="1" thickBot="1" x14ac:dyDescent="0.25">
      <c r="A194" s="45">
        <f t="shared" si="198"/>
        <v>188</v>
      </c>
      <c r="C194" s="21"/>
      <c r="D194" s="7" t="s">
        <v>19</v>
      </c>
      <c r="E194" s="7"/>
      <c r="F194" s="114"/>
      <c r="G194" s="113">
        <f>G188+G193</f>
        <v>1058358.57</v>
      </c>
      <c r="H194" s="7"/>
      <c r="I194" s="141">
        <f>I193+I188</f>
        <v>1105969.1299999999</v>
      </c>
      <c r="J194" s="7"/>
      <c r="K194" s="7"/>
      <c r="L194" s="7"/>
      <c r="M194" s="8">
        <f>M193+M188</f>
        <v>1145174.6300000001</v>
      </c>
      <c r="N194" s="8">
        <f>M194-I194</f>
        <v>39205.500000000233</v>
      </c>
      <c r="O194" s="9">
        <f>N194/I194</f>
        <v>3.5449000280867005E-2</v>
      </c>
      <c r="P194" s="2"/>
      <c r="Q194" s="2"/>
      <c r="R194" s="2"/>
    </row>
    <row r="195" spans="1:25" ht="13.5" thickTop="1" x14ac:dyDescent="0.2">
      <c r="A195" s="45">
        <f t="shared" si="198"/>
        <v>189</v>
      </c>
      <c r="G195" s="116"/>
      <c r="I195" s="15"/>
      <c r="M195" s="15"/>
      <c r="N195" s="15"/>
      <c r="O195" s="4"/>
      <c r="X195" s="6"/>
      <c r="Y195" s="6"/>
    </row>
    <row r="196" spans="1:25" x14ac:dyDescent="0.2">
      <c r="A196" s="45">
        <f t="shared" si="198"/>
        <v>190</v>
      </c>
      <c r="B196" s="28"/>
      <c r="C196" s="29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</row>
    <row r="197" spans="1:25" x14ac:dyDescent="0.2">
      <c r="A197" s="45">
        <f t="shared" si="198"/>
        <v>191</v>
      </c>
    </row>
    <row r="198" spans="1:25" s="6" customFormat="1" ht="19.899999999999999" customHeight="1" x14ac:dyDescent="0.25">
      <c r="A198" s="45">
        <f t="shared" si="198"/>
        <v>192</v>
      </c>
      <c r="B198" s="6" t="s">
        <v>28</v>
      </c>
      <c r="C198" s="21"/>
      <c r="D198" s="23" t="s">
        <v>6</v>
      </c>
      <c r="E198" s="23"/>
      <c r="F198" s="110"/>
      <c r="G198" s="120">
        <f>G10+G23+G35+G72+G85+G47+G188+G59+G98+G111+G124+G138+G152+G164</f>
        <v>49759877.887612</v>
      </c>
      <c r="H198" s="139"/>
      <c r="I198" s="139">
        <f>I10+I23+I35+I72+I85+I47+I188+I59+I98+I111+I124+I138+I152+I164</f>
        <v>55298604.856962003</v>
      </c>
      <c r="J198" s="23"/>
      <c r="K198" s="23"/>
      <c r="L198" s="23"/>
      <c r="M198" s="139">
        <f>M10+M23+M35+M72+M85+M47+M188+M59+M98+M111+M124+M138+M152+M164</f>
        <v>57394730.422322549</v>
      </c>
      <c r="N198" s="139">
        <f>N10+N23+N35+N72+N85+N47+N188+N59+N98+N111+N124+N138+N152+N164</f>
        <v>2096125.5653605394</v>
      </c>
      <c r="O198" s="25">
        <f>N198/I198</f>
        <v>3.7905577740749104E-2</v>
      </c>
    </row>
    <row r="199" spans="1:25" x14ac:dyDescent="0.2">
      <c r="A199" s="45">
        <f t="shared" si="198"/>
        <v>193</v>
      </c>
      <c r="D199" s="2" t="s">
        <v>26</v>
      </c>
      <c r="G199" s="39">
        <f t="shared" ref="G199:I204" si="200">G11+G24+G36+G73+G86+G48+G189+G60+G99+G112+G125+G139+G153+G165</f>
        <v>5549966.9200000009</v>
      </c>
      <c r="H199" s="14"/>
      <c r="I199" s="14">
        <f t="shared" si="200"/>
        <v>58850.51065000052</v>
      </c>
      <c r="M199" s="14">
        <f t="shared" ref="M199:N199" si="201">M11+M24+M36+M73+M86+M48+M189+M60+M99+M112+M125+M139+M153+M165</f>
        <v>58850.51065000052</v>
      </c>
      <c r="N199" s="14">
        <f t="shared" si="201"/>
        <v>0</v>
      </c>
    </row>
    <row r="200" spans="1:25" x14ac:dyDescent="0.2">
      <c r="A200" s="45">
        <f t="shared" si="198"/>
        <v>194</v>
      </c>
      <c r="D200" s="2" t="s">
        <v>27</v>
      </c>
      <c r="G200" s="39">
        <f t="shared" si="200"/>
        <v>5833375.799999998</v>
      </c>
      <c r="H200" s="14"/>
      <c r="I200" s="14">
        <f t="shared" si="200"/>
        <v>5833375.799999998</v>
      </c>
      <c r="M200" s="14">
        <f t="shared" ref="M200:N200" si="202">M12+M25+M37+M74+M87+M49+M190+M61+M100+M113+M126+M140+M154+M166</f>
        <v>5833375.799999998</v>
      </c>
      <c r="N200" s="14">
        <f t="shared" si="202"/>
        <v>0</v>
      </c>
    </row>
    <row r="201" spans="1:25" x14ac:dyDescent="0.2">
      <c r="A201" s="45">
        <f t="shared" si="198"/>
        <v>195</v>
      </c>
      <c r="D201" s="2" t="s">
        <v>29</v>
      </c>
      <c r="G201" s="39">
        <f t="shared" si="200"/>
        <v>60359.58</v>
      </c>
      <c r="H201" s="14"/>
      <c r="I201" s="14">
        <f t="shared" si="200"/>
        <v>60359.58</v>
      </c>
      <c r="M201" s="14">
        <f t="shared" ref="M201:N201" si="203">M13+M26+M38+M75+M88+M50+M191+M62+M101+M114+M127+M141+M155+M167</f>
        <v>60359.58</v>
      </c>
      <c r="N201" s="14">
        <f t="shared" si="203"/>
        <v>0</v>
      </c>
    </row>
    <row r="202" spans="1:25" x14ac:dyDescent="0.2">
      <c r="A202" s="45">
        <f t="shared" si="198"/>
        <v>196</v>
      </c>
      <c r="D202" s="2" t="s">
        <v>39</v>
      </c>
      <c r="G202" s="39">
        <f t="shared" si="200"/>
        <v>0</v>
      </c>
      <c r="I202" s="14">
        <f t="shared" si="200"/>
        <v>0</v>
      </c>
      <c r="M202" s="14">
        <f t="shared" ref="M202:N202" si="204">M14+M27+M39+M76+M89+M51+M192+M63+M102+M115+M128+M142+M156+M168</f>
        <v>0</v>
      </c>
      <c r="N202" s="14">
        <f t="shared" si="204"/>
        <v>0</v>
      </c>
      <c r="O202" s="17"/>
    </row>
    <row r="203" spans="1:25" x14ac:dyDescent="0.2">
      <c r="A203" s="45">
        <f t="shared" si="198"/>
        <v>197</v>
      </c>
      <c r="D203" s="18" t="s">
        <v>8</v>
      </c>
      <c r="E203" s="18"/>
      <c r="F203" s="112"/>
      <c r="G203" s="121">
        <f t="shared" si="200"/>
        <v>11443702.299999999</v>
      </c>
      <c r="H203" s="140"/>
      <c r="I203" s="140">
        <f t="shared" si="200"/>
        <v>5952585.8906499995</v>
      </c>
      <c r="J203" s="18"/>
      <c r="K203" s="18"/>
      <c r="L203" s="18"/>
      <c r="M203" s="140">
        <f t="shared" ref="M203:N203" si="205">M15+M28+M40+M77+M90+M52+M193+M64+M103+M116+M129+M143+M157+M169</f>
        <v>5952585.8906499995</v>
      </c>
      <c r="N203" s="140">
        <f t="shared" si="205"/>
        <v>0</v>
      </c>
      <c r="O203" s="18"/>
    </row>
    <row r="204" spans="1:25" s="6" customFormat="1" ht="21" customHeight="1" thickBot="1" x14ac:dyDescent="0.3">
      <c r="A204" s="45">
        <f t="shared" si="198"/>
        <v>198</v>
      </c>
      <c r="C204" s="21"/>
      <c r="D204" s="7" t="s">
        <v>19</v>
      </c>
      <c r="E204" s="7"/>
      <c r="F204" s="114"/>
      <c r="G204" s="115">
        <f t="shared" si="200"/>
        <v>61203580.18761199</v>
      </c>
      <c r="H204" s="141"/>
      <c r="I204" s="141">
        <f t="shared" si="200"/>
        <v>61251190.747612</v>
      </c>
      <c r="J204" s="7"/>
      <c r="K204" s="7"/>
      <c r="L204" s="7"/>
      <c r="M204" s="141">
        <f t="shared" ref="M204:N204" si="206">M16+M29+M41+M78+M91+M53+M194+M65+M104+M117+M130+M144+M158+M170</f>
        <v>63347316.312972538</v>
      </c>
      <c r="N204" s="141">
        <f t="shared" si="206"/>
        <v>2096125.5653605452</v>
      </c>
      <c r="O204" s="9">
        <f>N204/I204</f>
        <v>3.4221792911711957E-2</v>
      </c>
    </row>
    <row r="205" spans="1:25" ht="13.5" thickTop="1" x14ac:dyDescent="0.2">
      <c r="A205" s="45">
        <f t="shared" si="198"/>
        <v>199</v>
      </c>
    </row>
    <row r="206" spans="1:25" x14ac:dyDescent="0.2">
      <c r="A206" s="45">
        <f t="shared" si="198"/>
        <v>200</v>
      </c>
      <c r="D206" s="2" t="s">
        <v>37</v>
      </c>
      <c r="N206" s="14">
        <f>N204-Summary!L6</f>
        <v>244353.21622554865</v>
      </c>
    </row>
    <row r="207" spans="1:25" x14ac:dyDescent="0.2">
      <c r="A207" s="45">
        <f t="shared" si="198"/>
        <v>201</v>
      </c>
      <c r="N207" s="14"/>
    </row>
    <row r="208" spans="1:25" x14ac:dyDescent="0.2">
      <c r="A208" s="45">
        <f t="shared" si="198"/>
        <v>202</v>
      </c>
      <c r="B208" s="1" t="s">
        <v>92</v>
      </c>
      <c r="E208" s="28"/>
      <c r="F208" s="28"/>
      <c r="G208" s="28"/>
      <c r="H208" s="28"/>
      <c r="I208" s="28"/>
      <c r="J208" s="28"/>
      <c r="K208" s="28"/>
      <c r="L208" s="28"/>
      <c r="M208" s="28"/>
      <c r="N208" s="96"/>
      <c r="O208" s="28"/>
      <c r="P208" s="28"/>
      <c r="Q208" s="28"/>
      <c r="R208" s="28"/>
    </row>
    <row r="209" spans="1:23" ht="13.5" thickBot="1" x14ac:dyDescent="0.25">
      <c r="A209" s="45">
        <f t="shared" si="198"/>
        <v>203</v>
      </c>
      <c r="D209" s="20"/>
      <c r="E209" s="20"/>
      <c r="F209" s="89"/>
      <c r="G209" s="89"/>
    </row>
    <row r="210" spans="1:23" x14ac:dyDescent="0.2">
      <c r="A210" s="45">
        <f t="shared" si="198"/>
        <v>204</v>
      </c>
      <c r="B210" s="117" t="s">
        <v>116</v>
      </c>
      <c r="C210" s="34" t="s">
        <v>97</v>
      </c>
      <c r="D210" s="33"/>
      <c r="E210" s="33"/>
      <c r="F210" s="117"/>
      <c r="G210" s="117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</row>
    <row r="211" spans="1:23" ht="12.6" customHeight="1" x14ac:dyDescent="0.2">
      <c r="A211" s="45">
        <f t="shared" si="198"/>
        <v>205</v>
      </c>
      <c r="D211" s="2" t="s">
        <v>17</v>
      </c>
      <c r="E211" s="134"/>
      <c r="F211" s="108"/>
      <c r="G211" s="107"/>
      <c r="H211" s="168">
        <v>1114.92</v>
      </c>
      <c r="I211" s="142"/>
      <c r="J211" s="4"/>
      <c r="K211" s="40"/>
      <c r="L211" s="135">
        <f>H211*S211</f>
        <v>1157.1816867347161</v>
      </c>
      <c r="M211" s="5"/>
      <c r="N211" s="5"/>
      <c r="O211" s="4"/>
      <c r="P211" s="4"/>
      <c r="Q211" s="16"/>
      <c r="R211" s="16"/>
      <c r="S211" s="97">
        <f>1+$O$198</f>
        <v>1.0379055777407491</v>
      </c>
      <c r="T211" s="4">
        <f t="shared" ref="T211:T213" si="207">L211/H211-1</f>
        <v>3.7905577740749097E-2</v>
      </c>
    </row>
    <row r="212" spans="1:23" x14ac:dyDescent="0.2">
      <c r="A212" s="45">
        <f t="shared" si="198"/>
        <v>206</v>
      </c>
      <c r="D212" s="2" t="s">
        <v>50</v>
      </c>
      <c r="E212" s="134"/>
      <c r="F212" s="122"/>
      <c r="G212" s="107"/>
      <c r="H212" s="168">
        <v>8.66</v>
      </c>
      <c r="I212" s="142"/>
      <c r="J212" s="4"/>
      <c r="K212" s="40"/>
      <c r="L212" s="135">
        <f>L109</f>
        <v>8.9700000000000006</v>
      </c>
      <c r="M212" s="5"/>
      <c r="N212" s="5"/>
      <c r="O212" s="4"/>
      <c r="P212" s="4"/>
      <c r="Q212" s="16"/>
      <c r="R212" s="16"/>
      <c r="S212" s="97">
        <f t="shared" ref="S212:S213" si="208">1+$O$198</f>
        <v>1.0379055777407491</v>
      </c>
      <c r="T212" s="4">
        <f t="shared" si="207"/>
        <v>3.5796766743648956E-2</v>
      </c>
      <c r="W212" s="2" t="s">
        <v>105</v>
      </c>
    </row>
    <row r="213" spans="1:23" ht="13.5" thickBot="1" x14ac:dyDescent="0.25">
      <c r="A213" s="45">
        <f t="shared" si="198"/>
        <v>207</v>
      </c>
      <c r="D213" s="2" t="s">
        <v>47</v>
      </c>
      <c r="E213" s="134"/>
      <c r="F213" s="122"/>
      <c r="G213" s="107"/>
      <c r="H213" s="170">
        <v>7.1446999999999997E-2</v>
      </c>
      <c r="I213" s="142"/>
      <c r="J213" s="4"/>
      <c r="K213" s="40"/>
      <c r="L213" s="124">
        <f>H213*S213</f>
        <v>7.415523981284329E-2</v>
      </c>
      <c r="M213" s="5"/>
      <c r="N213" s="5"/>
      <c r="O213" s="4"/>
      <c r="P213" s="4"/>
      <c r="Q213" s="16"/>
      <c r="R213" s="16"/>
      <c r="S213" s="97">
        <f t="shared" si="208"/>
        <v>1.0379055777407491</v>
      </c>
      <c r="T213" s="4">
        <f t="shared" si="207"/>
        <v>3.7905577740749097E-2</v>
      </c>
    </row>
    <row r="214" spans="1:23" x14ac:dyDescent="0.2">
      <c r="A214" s="45">
        <f t="shared" si="198"/>
        <v>208</v>
      </c>
      <c r="B214" s="117" t="s">
        <v>117</v>
      </c>
      <c r="C214" s="34" t="s">
        <v>98</v>
      </c>
      <c r="D214" s="33"/>
      <c r="E214" s="33"/>
      <c r="F214" s="117"/>
      <c r="G214" s="117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</row>
    <row r="215" spans="1:23" ht="12.6" customHeight="1" x14ac:dyDescent="0.2">
      <c r="A215" s="45">
        <f t="shared" si="198"/>
        <v>209</v>
      </c>
      <c r="D215" s="2" t="s">
        <v>17</v>
      </c>
      <c r="E215" s="134"/>
      <c r="F215" s="108"/>
      <c r="G215" s="107"/>
      <c r="H215" s="168">
        <v>3222.96</v>
      </c>
      <c r="I215" s="142"/>
      <c r="J215" s="4"/>
      <c r="K215" s="40"/>
      <c r="L215" s="135">
        <f>H215*S215</f>
        <v>3345.1281608353247</v>
      </c>
      <c r="M215" s="5"/>
      <c r="N215" s="5"/>
      <c r="O215" s="4"/>
      <c r="P215" s="4"/>
      <c r="Q215" s="16"/>
      <c r="R215" s="16"/>
      <c r="S215" s="97">
        <f>1+$O$198</f>
        <v>1.0379055777407491</v>
      </c>
      <c r="T215" s="4">
        <f t="shared" ref="T215:T217" si="209">L215/H215-1</f>
        <v>3.7905577740749097E-2</v>
      </c>
    </row>
    <row r="216" spans="1:23" x14ac:dyDescent="0.2">
      <c r="A216" s="45">
        <f t="shared" si="198"/>
        <v>210</v>
      </c>
      <c r="D216" s="2" t="s">
        <v>50</v>
      </c>
      <c r="E216" s="134"/>
      <c r="F216" s="122"/>
      <c r="G216" s="107"/>
      <c r="H216" s="168">
        <v>8.66</v>
      </c>
      <c r="I216" s="142"/>
      <c r="J216" s="4"/>
      <c r="K216" s="40"/>
      <c r="L216" s="135">
        <f>L212</f>
        <v>8.9700000000000006</v>
      </c>
      <c r="M216" s="5"/>
      <c r="N216" s="5"/>
      <c r="O216" s="4"/>
      <c r="P216" s="4"/>
      <c r="Q216" s="16"/>
      <c r="R216" s="16"/>
      <c r="S216" s="97">
        <f t="shared" ref="S216:S217" si="210">1+$O$198</f>
        <v>1.0379055777407491</v>
      </c>
      <c r="T216" s="4">
        <f t="shared" si="209"/>
        <v>3.5796766743648956E-2</v>
      </c>
      <c r="W216" s="2" t="s">
        <v>105</v>
      </c>
    </row>
    <row r="217" spans="1:23" ht="13.5" thickBot="1" x14ac:dyDescent="0.25">
      <c r="A217" s="45">
        <f t="shared" si="198"/>
        <v>211</v>
      </c>
      <c r="D217" s="2" t="s">
        <v>47</v>
      </c>
      <c r="E217" s="134"/>
      <c r="F217" s="122"/>
      <c r="G217" s="107"/>
      <c r="H217" s="170">
        <v>6.7615999999999996E-2</v>
      </c>
      <c r="I217" s="142"/>
      <c r="J217" s="4"/>
      <c r="K217" s="40"/>
      <c r="L217" s="124">
        <f>H217*S217</f>
        <v>7.0179023544518493E-2</v>
      </c>
      <c r="M217" s="5"/>
      <c r="N217" s="5"/>
      <c r="O217" s="4"/>
      <c r="P217" s="4"/>
      <c r="Q217" s="16"/>
      <c r="R217" s="16"/>
      <c r="S217" s="97">
        <f t="shared" si="210"/>
        <v>1.0379055777407491</v>
      </c>
      <c r="T217" s="4">
        <f t="shared" si="209"/>
        <v>3.7905577740749097E-2</v>
      </c>
    </row>
    <row r="218" spans="1:23" x14ac:dyDescent="0.2">
      <c r="A218" s="45">
        <f t="shared" si="198"/>
        <v>212</v>
      </c>
      <c r="B218" s="117" t="s">
        <v>118</v>
      </c>
      <c r="C218" s="34" t="s">
        <v>99</v>
      </c>
      <c r="D218" s="33"/>
      <c r="E218" s="33"/>
      <c r="F218" s="117"/>
      <c r="G218" s="117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</row>
    <row r="219" spans="1:23" ht="12.6" customHeight="1" x14ac:dyDescent="0.2">
      <c r="A219" s="45">
        <f t="shared" si="198"/>
        <v>213</v>
      </c>
      <c r="D219" s="2" t="s">
        <v>17</v>
      </c>
      <c r="E219" s="134"/>
      <c r="F219" s="108"/>
      <c r="G219" s="107"/>
      <c r="H219" s="168">
        <v>3528.03</v>
      </c>
      <c r="I219" s="142"/>
      <c r="J219" s="4"/>
      <c r="K219" s="40"/>
      <c r="L219" s="135">
        <f>H219*S219</f>
        <v>3661.762015436695</v>
      </c>
      <c r="M219" s="5"/>
      <c r="N219" s="5"/>
      <c r="O219" s="4"/>
      <c r="P219" s="4"/>
      <c r="Q219" s="16"/>
      <c r="R219" s="16"/>
      <c r="S219" s="97">
        <f>1+$O$198</f>
        <v>1.0379055777407491</v>
      </c>
      <c r="T219" s="4">
        <f t="shared" ref="T219:T221" si="211">L219/H219-1</f>
        <v>3.7905577740749097E-2</v>
      </c>
    </row>
    <row r="220" spans="1:23" x14ac:dyDescent="0.2">
      <c r="A220" s="45">
        <f t="shared" si="198"/>
        <v>214</v>
      </c>
      <c r="D220" s="2" t="s">
        <v>50</v>
      </c>
      <c r="E220" s="134"/>
      <c r="F220" s="122"/>
      <c r="G220" s="107"/>
      <c r="H220" s="168">
        <v>8.66</v>
      </c>
      <c r="I220" s="142"/>
      <c r="J220" s="4"/>
      <c r="K220" s="40"/>
      <c r="L220" s="135">
        <f>L212</f>
        <v>8.9700000000000006</v>
      </c>
      <c r="M220" s="5"/>
      <c r="N220" s="5"/>
      <c r="O220" s="4"/>
      <c r="P220" s="4"/>
      <c r="Q220" s="16"/>
      <c r="R220" s="16"/>
      <c r="S220" s="97">
        <f t="shared" ref="S220:S221" si="212">1+$O$198</f>
        <v>1.0379055777407491</v>
      </c>
      <c r="T220" s="4">
        <f t="shared" si="211"/>
        <v>3.5796766743648956E-2</v>
      </c>
      <c r="W220" s="2" t="s">
        <v>105</v>
      </c>
    </row>
    <row r="221" spans="1:23" ht="13.5" thickBot="1" x14ac:dyDescent="0.25">
      <c r="A221" s="45">
        <f t="shared" si="198"/>
        <v>215</v>
      </c>
      <c r="D221" s="2" t="s">
        <v>47</v>
      </c>
      <c r="E221" s="134"/>
      <c r="F221" s="122"/>
      <c r="G221" s="107"/>
      <c r="H221" s="170">
        <v>6.4879000000000006E-2</v>
      </c>
      <c r="I221" s="142"/>
      <c r="J221" s="4"/>
      <c r="K221" s="40"/>
      <c r="L221" s="124">
        <f>H221*S221</f>
        <v>6.7338275978242074E-2</v>
      </c>
      <c r="M221" s="5"/>
      <c r="N221" s="5"/>
      <c r="O221" s="4"/>
      <c r="P221" s="4"/>
      <c r="Q221" s="16"/>
      <c r="R221" s="16"/>
      <c r="S221" s="97">
        <f t="shared" si="212"/>
        <v>1.0379055777407491</v>
      </c>
      <c r="T221" s="4">
        <f t="shared" si="211"/>
        <v>3.7905577740749097E-2</v>
      </c>
    </row>
    <row r="222" spans="1:23" x14ac:dyDescent="0.2">
      <c r="A222" s="45">
        <f t="shared" si="198"/>
        <v>216</v>
      </c>
      <c r="B222" s="117" t="s">
        <v>119</v>
      </c>
      <c r="C222" s="34" t="s">
        <v>100</v>
      </c>
      <c r="D222" s="33"/>
      <c r="E222" s="33"/>
      <c r="F222" s="117"/>
      <c r="G222" s="117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</row>
    <row r="223" spans="1:23" ht="12.6" customHeight="1" x14ac:dyDescent="0.2">
      <c r="A223" s="45">
        <f t="shared" si="198"/>
        <v>217</v>
      </c>
      <c r="D223" s="2" t="s">
        <v>17</v>
      </c>
      <c r="E223" s="134"/>
      <c r="F223" s="108"/>
      <c r="G223" s="107"/>
      <c r="H223" s="168">
        <v>4939.24</v>
      </c>
      <c r="I223" s="142"/>
      <c r="J223" s="4"/>
      <c r="K223" s="40"/>
      <c r="L223" s="135">
        <f>H223*S223</f>
        <v>5126.4647458002173</v>
      </c>
      <c r="M223" s="5"/>
      <c r="N223" s="5"/>
      <c r="O223" s="4"/>
      <c r="P223" s="4"/>
      <c r="Q223" s="16"/>
      <c r="R223" s="16"/>
      <c r="S223" s="97">
        <f>1+$O$198</f>
        <v>1.0379055777407491</v>
      </c>
      <c r="T223" s="4">
        <f t="shared" ref="T223:T225" si="213">L223/H223-1</f>
        <v>3.7905577740749097E-2</v>
      </c>
    </row>
    <row r="224" spans="1:23" x14ac:dyDescent="0.2">
      <c r="A224" s="45">
        <f t="shared" si="198"/>
        <v>218</v>
      </c>
      <c r="D224" s="2" t="s">
        <v>50</v>
      </c>
      <c r="E224" s="134"/>
      <c r="F224" s="122"/>
      <c r="G224" s="107"/>
      <c r="H224" s="168">
        <v>8.66</v>
      </c>
      <c r="I224" s="142"/>
      <c r="J224" s="4"/>
      <c r="K224" s="40"/>
      <c r="L224" s="135">
        <f>L212</f>
        <v>8.9700000000000006</v>
      </c>
      <c r="M224" s="5"/>
      <c r="N224" s="5"/>
      <c r="O224" s="4"/>
      <c r="P224" s="4"/>
      <c r="Q224" s="16"/>
      <c r="R224" s="16"/>
      <c r="S224" s="97">
        <f t="shared" ref="S224:S225" si="214">1+$O$198</f>
        <v>1.0379055777407491</v>
      </c>
      <c r="T224" s="4">
        <f t="shared" si="213"/>
        <v>3.5796766743648956E-2</v>
      </c>
      <c r="W224" s="2" t="s">
        <v>105</v>
      </c>
    </row>
    <row r="225" spans="1:23" ht="13.5" thickBot="1" x14ac:dyDescent="0.25">
      <c r="A225" s="45">
        <f t="shared" si="198"/>
        <v>219</v>
      </c>
      <c r="D225" s="2" t="s">
        <v>47</v>
      </c>
      <c r="E225" s="134"/>
      <c r="F225" s="122"/>
      <c r="G225" s="107"/>
      <c r="H225" s="170">
        <v>6.2142999999999997E-2</v>
      </c>
      <c r="I225" s="142"/>
      <c r="J225" s="4"/>
      <c r="K225" s="40"/>
      <c r="L225" s="124">
        <f>H225*S225</f>
        <v>6.4498566317543374E-2</v>
      </c>
      <c r="M225" s="5"/>
      <c r="N225" s="5"/>
      <c r="O225" s="4"/>
      <c r="P225" s="4"/>
      <c r="Q225" s="16"/>
      <c r="R225" s="16"/>
      <c r="S225" s="97">
        <f t="shared" si="214"/>
        <v>1.0379055777407491</v>
      </c>
      <c r="T225" s="4">
        <f t="shared" si="213"/>
        <v>3.7905577740749097E-2</v>
      </c>
    </row>
    <row r="226" spans="1:23" x14ac:dyDescent="0.2">
      <c r="A226" s="45">
        <f t="shared" si="198"/>
        <v>220</v>
      </c>
      <c r="B226" s="33" t="s">
        <v>120</v>
      </c>
      <c r="C226" s="34" t="s">
        <v>101</v>
      </c>
      <c r="D226" s="33"/>
      <c r="E226" s="33"/>
      <c r="F226" s="117"/>
      <c r="G226" s="117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</row>
    <row r="227" spans="1:23" ht="12.6" customHeight="1" x14ac:dyDescent="0.2">
      <c r="A227" s="45">
        <f t="shared" si="198"/>
        <v>221</v>
      </c>
      <c r="D227" s="2" t="s">
        <v>17</v>
      </c>
      <c r="E227" s="134"/>
      <c r="F227" s="108"/>
      <c r="G227" s="107"/>
      <c r="H227" s="168">
        <v>1114.92</v>
      </c>
      <c r="I227" s="142"/>
      <c r="J227" s="4"/>
      <c r="K227" s="40"/>
      <c r="L227" s="135">
        <f>H227*S227</f>
        <v>1157.1816867347161</v>
      </c>
      <c r="M227" s="5"/>
      <c r="N227" s="5"/>
      <c r="O227" s="4"/>
      <c r="P227" s="4"/>
      <c r="Q227" s="16"/>
      <c r="R227" s="16"/>
      <c r="S227" s="97">
        <f>1+$O$198</f>
        <v>1.0379055777407491</v>
      </c>
      <c r="T227" s="4">
        <f t="shared" ref="T227:T230" si="215">L227/H227-1</f>
        <v>3.7905577740749097E-2</v>
      </c>
    </row>
    <row r="228" spans="1:23" x14ac:dyDescent="0.2">
      <c r="A228" s="45">
        <f t="shared" ref="A228:A254" si="216">A227+1</f>
        <v>222</v>
      </c>
      <c r="D228" s="2" t="s">
        <v>50</v>
      </c>
      <c r="E228" s="134"/>
      <c r="F228" s="122"/>
      <c r="G228" s="107"/>
      <c r="H228" s="168">
        <v>7.26</v>
      </c>
      <c r="I228" s="142"/>
      <c r="J228" s="4"/>
      <c r="K228" s="40"/>
      <c r="L228" s="135">
        <f>L135</f>
        <v>7.52</v>
      </c>
      <c r="M228" s="5"/>
      <c r="N228" s="5"/>
      <c r="O228" s="4"/>
      <c r="P228" s="4"/>
      <c r="Q228" s="16"/>
      <c r="R228" s="16"/>
      <c r="S228" s="97">
        <f t="shared" ref="S228:S230" si="217">1+$O$198</f>
        <v>1.0379055777407491</v>
      </c>
      <c r="T228" s="4">
        <f t="shared" si="215"/>
        <v>3.5812672176308569E-2</v>
      </c>
      <c r="W228" s="2" t="s">
        <v>106</v>
      </c>
    </row>
    <row r="229" spans="1:23" x14ac:dyDescent="0.2">
      <c r="A229" s="45">
        <f t="shared" si="216"/>
        <v>223</v>
      </c>
      <c r="D229" s="2" t="s">
        <v>95</v>
      </c>
      <c r="E229" s="134"/>
      <c r="F229" s="122"/>
      <c r="G229" s="107"/>
      <c r="H229" s="169">
        <v>8.2650000000000001E-2</v>
      </c>
      <c r="I229" s="142"/>
      <c r="J229" s="4"/>
      <c r="K229" s="40"/>
      <c r="L229" s="138">
        <f>H229*S229</f>
        <v>8.5782896000272918E-2</v>
      </c>
      <c r="M229" s="5"/>
      <c r="N229" s="5"/>
      <c r="O229" s="4"/>
      <c r="P229" s="4"/>
      <c r="Q229" s="16"/>
      <c r="R229" s="16"/>
      <c r="S229" s="97">
        <f t="shared" si="217"/>
        <v>1.0379055777407491</v>
      </c>
      <c r="T229" s="4">
        <f t="shared" si="215"/>
        <v>3.7905577740749097E-2</v>
      </c>
    </row>
    <row r="230" spans="1:23" ht="13.5" thickBot="1" x14ac:dyDescent="0.25">
      <c r="A230" s="45">
        <f t="shared" si="216"/>
        <v>224</v>
      </c>
      <c r="D230" s="2" t="s">
        <v>96</v>
      </c>
      <c r="E230" s="134"/>
      <c r="F230" s="122"/>
      <c r="G230" s="107"/>
      <c r="H230" s="169">
        <v>7.3436000000000001E-2</v>
      </c>
      <c r="I230" s="142"/>
      <c r="J230" s="4"/>
      <c r="K230" s="40"/>
      <c r="L230" s="138">
        <f>H230*S230</f>
        <v>7.6219634006969655E-2</v>
      </c>
      <c r="M230" s="5"/>
      <c r="N230" s="5"/>
      <c r="O230" s="4"/>
      <c r="P230" s="4"/>
      <c r="Q230" s="16"/>
      <c r="R230" s="16"/>
      <c r="S230" s="97">
        <f t="shared" si="217"/>
        <v>1.0379055777407491</v>
      </c>
      <c r="T230" s="4">
        <f t="shared" si="215"/>
        <v>3.7905577740749097E-2</v>
      </c>
    </row>
    <row r="231" spans="1:23" x14ac:dyDescent="0.2">
      <c r="A231" s="45">
        <f t="shared" si="216"/>
        <v>225</v>
      </c>
      <c r="B231" s="33" t="s">
        <v>121</v>
      </c>
      <c r="C231" s="34" t="s">
        <v>102</v>
      </c>
      <c r="D231" s="33"/>
      <c r="E231" s="33"/>
      <c r="F231" s="117"/>
      <c r="G231" s="117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</row>
    <row r="232" spans="1:23" ht="12.6" customHeight="1" x14ac:dyDescent="0.2">
      <c r="A232" s="45">
        <f t="shared" si="216"/>
        <v>226</v>
      </c>
      <c r="D232" s="2" t="s">
        <v>17</v>
      </c>
      <c r="E232" s="134"/>
      <c r="F232" s="108"/>
      <c r="G232" s="107"/>
      <c r="H232" s="168">
        <v>1413.4</v>
      </c>
      <c r="I232" s="142"/>
      <c r="J232" s="4"/>
      <c r="K232" s="40"/>
      <c r="L232" s="135">
        <f>H232*S232</f>
        <v>1466.9757435787749</v>
      </c>
      <c r="M232" s="5"/>
      <c r="N232" s="5"/>
      <c r="O232" s="4"/>
      <c r="P232" s="4"/>
      <c r="Q232" s="16"/>
      <c r="R232" s="16"/>
      <c r="S232" s="97">
        <f>1+$O$198</f>
        <v>1.0379055777407491</v>
      </c>
      <c r="T232" s="4">
        <f t="shared" ref="T232:T235" si="218">L232/H232-1</f>
        <v>3.7905577740749097E-2</v>
      </c>
    </row>
    <row r="233" spans="1:23" x14ac:dyDescent="0.2">
      <c r="A233" s="45">
        <f t="shared" si="216"/>
        <v>227</v>
      </c>
      <c r="D233" s="2" t="s">
        <v>50</v>
      </c>
      <c r="E233" s="134"/>
      <c r="F233" s="122"/>
      <c r="G233" s="107"/>
      <c r="H233" s="168">
        <v>7.26</v>
      </c>
      <c r="I233" s="142"/>
      <c r="J233" s="4"/>
      <c r="K233" s="40"/>
      <c r="L233" s="135">
        <f>L228</f>
        <v>7.52</v>
      </c>
      <c r="M233" s="5"/>
      <c r="N233" s="5"/>
      <c r="O233" s="4"/>
      <c r="P233" s="4"/>
      <c r="Q233" s="16"/>
      <c r="R233" s="16"/>
      <c r="S233" s="97">
        <f t="shared" ref="S233:S235" si="219">1+$O$198</f>
        <v>1.0379055777407491</v>
      </c>
      <c r="T233" s="4">
        <f t="shared" si="218"/>
        <v>3.5812672176308569E-2</v>
      </c>
      <c r="W233" s="2" t="s">
        <v>106</v>
      </c>
    </row>
    <row r="234" spans="1:23" x14ac:dyDescent="0.2">
      <c r="A234" s="45">
        <f t="shared" si="216"/>
        <v>228</v>
      </c>
      <c r="D234" s="2" t="s">
        <v>95</v>
      </c>
      <c r="E234" s="134"/>
      <c r="F234" s="122"/>
      <c r="G234" s="107"/>
      <c r="H234" s="169">
        <v>8.0466999999999997E-2</v>
      </c>
      <c r="I234" s="142"/>
      <c r="J234" s="4"/>
      <c r="K234" s="40"/>
      <c r="L234" s="138">
        <f>H234*S234</f>
        <v>8.3517148124064855E-2</v>
      </c>
      <c r="M234" s="5"/>
      <c r="N234" s="5"/>
      <c r="O234" s="4"/>
      <c r="P234" s="4"/>
      <c r="Q234" s="16"/>
      <c r="R234" s="16"/>
      <c r="S234" s="97">
        <f t="shared" si="219"/>
        <v>1.0379055777407491</v>
      </c>
      <c r="T234" s="4">
        <f t="shared" si="218"/>
        <v>3.7905577740749097E-2</v>
      </c>
    </row>
    <row r="235" spans="1:23" ht="13.5" thickBot="1" x14ac:dyDescent="0.25">
      <c r="A235" s="45">
        <f t="shared" si="216"/>
        <v>229</v>
      </c>
      <c r="D235" s="2" t="s">
        <v>96</v>
      </c>
      <c r="E235" s="134"/>
      <c r="F235" s="122"/>
      <c r="G235" s="107"/>
      <c r="H235" s="169">
        <v>7.1242E-2</v>
      </c>
      <c r="I235" s="142"/>
      <c r="J235" s="4"/>
      <c r="K235" s="40"/>
      <c r="L235" s="138">
        <f>H235*S235</f>
        <v>7.3942469169406444E-2</v>
      </c>
      <c r="M235" s="5"/>
      <c r="N235" s="5"/>
      <c r="O235" s="4"/>
      <c r="P235" s="4"/>
      <c r="Q235" s="16"/>
      <c r="R235" s="16"/>
      <c r="S235" s="97">
        <f t="shared" si="219"/>
        <v>1.0379055777407491</v>
      </c>
      <c r="T235" s="4">
        <f t="shared" si="218"/>
        <v>3.7905577740749097E-2</v>
      </c>
    </row>
    <row r="236" spans="1:23" x14ac:dyDescent="0.2">
      <c r="A236" s="45">
        <f t="shared" si="216"/>
        <v>230</v>
      </c>
      <c r="B236" s="33" t="s">
        <v>122</v>
      </c>
      <c r="C236" s="34" t="s">
        <v>103</v>
      </c>
      <c r="D236" s="33"/>
      <c r="E236" s="33"/>
      <c r="F236" s="117"/>
      <c r="G236" s="117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</row>
    <row r="237" spans="1:23" ht="12.6" customHeight="1" x14ac:dyDescent="0.2">
      <c r="A237" s="45">
        <f t="shared" si="216"/>
        <v>231</v>
      </c>
      <c r="D237" s="2" t="s">
        <v>17</v>
      </c>
      <c r="E237" s="134"/>
      <c r="F237" s="108"/>
      <c r="G237" s="107"/>
      <c r="H237" s="168">
        <v>3222.96</v>
      </c>
      <c r="I237" s="142"/>
      <c r="J237" s="4"/>
      <c r="K237" s="40"/>
      <c r="L237" s="135">
        <f>H237*S237</f>
        <v>3345.1281608353247</v>
      </c>
      <c r="M237" s="5"/>
      <c r="N237" s="5"/>
      <c r="O237" s="4"/>
      <c r="P237" s="4"/>
      <c r="Q237" s="16"/>
      <c r="R237" s="16"/>
      <c r="S237" s="97">
        <f>1+$O$198</f>
        <v>1.0379055777407491</v>
      </c>
      <c r="T237" s="4">
        <f t="shared" ref="T237:T240" si="220">L237/H237-1</f>
        <v>3.7905577740749097E-2</v>
      </c>
    </row>
    <row r="238" spans="1:23" x14ac:dyDescent="0.2">
      <c r="A238" s="45">
        <f t="shared" si="216"/>
        <v>232</v>
      </c>
      <c r="D238" s="2" t="s">
        <v>50</v>
      </c>
      <c r="E238" s="134"/>
      <c r="F238" s="122"/>
      <c r="G238" s="107"/>
      <c r="H238" s="168">
        <v>7.26</v>
      </c>
      <c r="I238" s="142"/>
      <c r="J238" s="4"/>
      <c r="K238" s="40"/>
      <c r="L238" s="135">
        <f>L228</f>
        <v>7.52</v>
      </c>
      <c r="M238" s="5"/>
      <c r="N238" s="5"/>
      <c r="O238" s="4"/>
      <c r="P238" s="4"/>
      <c r="Q238" s="16"/>
      <c r="R238" s="16"/>
      <c r="S238" s="97">
        <f t="shared" ref="S238:S240" si="221">1+$O$198</f>
        <v>1.0379055777407491</v>
      </c>
      <c r="T238" s="4">
        <f t="shared" si="220"/>
        <v>3.5812672176308569E-2</v>
      </c>
      <c r="W238" s="2" t="s">
        <v>106</v>
      </c>
    </row>
    <row r="239" spans="1:23" x14ac:dyDescent="0.2">
      <c r="A239" s="45">
        <f t="shared" si="216"/>
        <v>233</v>
      </c>
      <c r="D239" s="2" t="s">
        <v>95</v>
      </c>
      <c r="E239" s="134"/>
      <c r="F239" s="122"/>
      <c r="G239" s="107"/>
      <c r="H239" s="169">
        <v>7.8828999999999996E-2</v>
      </c>
      <c r="I239" s="142"/>
      <c r="J239" s="4"/>
      <c r="K239" s="40"/>
      <c r="L239" s="138">
        <f>H239*S239</f>
        <v>8.1817058787725508E-2</v>
      </c>
      <c r="M239" s="5"/>
      <c r="N239" s="5"/>
      <c r="O239" s="4"/>
      <c r="P239" s="4"/>
      <c r="Q239" s="16"/>
      <c r="R239" s="16"/>
      <c r="S239" s="97">
        <f t="shared" si="221"/>
        <v>1.0379055777407491</v>
      </c>
      <c r="T239" s="4">
        <f t="shared" si="220"/>
        <v>3.7905577740749097E-2</v>
      </c>
    </row>
    <row r="240" spans="1:23" ht="13.5" thickBot="1" x14ac:dyDescent="0.25">
      <c r="A240" s="45">
        <f t="shared" si="216"/>
        <v>234</v>
      </c>
      <c r="D240" s="2" t="s">
        <v>96</v>
      </c>
      <c r="E240" s="134"/>
      <c r="F240" s="122"/>
      <c r="G240" s="107"/>
      <c r="H240" s="169">
        <v>6.9595000000000004E-2</v>
      </c>
      <c r="I240" s="142"/>
      <c r="J240" s="4"/>
      <c r="K240" s="40"/>
      <c r="L240" s="138">
        <f>H240*S240</f>
        <v>7.2233038682867443E-2</v>
      </c>
      <c r="M240" s="5"/>
      <c r="N240" s="5"/>
      <c r="O240" s="4"/>
      <c r="P240" s="4"/>
      <c r="Q240" s="16"/>
      <c r="R240" s="16"/>
      <c r="S240" s="97">
        <f t="shared" si="221"/>
        <v>1.0379055777407491</v>
      </c>
      <c r="T240" s="4">
        <f t="shared" si="220"/>
        <v>3.7905577740749097E-2</v>
      </c>
    </row>
    <row r="241" spans="1:23" x14ac:dyDescent="0.2">
      <c r="A241" s="45">
        <f t="shared" si="216"/>
        <v>235</v>
      </c>
      <c r="B241" s="33" t="s">
        <v>123</v>
      </c>
      <c r="C241" s="34" t="s">
        <v>104</v>
      </c>
      <c r="D241" s="33"/>
      <c r="E241" s="33"/>
      <c r="F241" s="117"/>
      <c r="G241" s="117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</row>
    <row r="242" spans="1:23" ht="12.6" customHeight="1" x14ac:dyDescent="0.2">
      <c r="A242" s="45">
        <f t="shared" si="216"/>
        <v>236</v>
      </c>
      <c r="D242" s="2" t="s">
        <v>17</v>
      </c>
      <c r="E242" s="134"/>
      <c r="F242" s="108"/>
      <c r="G242" s="107"/>
      <c r="H242" s="168">
        <v>4939.24</v>
      </c>
      <c r="I242" s="142"/>
      <c r="J242" s="4"/>
      <c r="K242" s="40"/>
      <c r="L242" s="135">
        <f>H242*S242</f>
        <v>5126.4647458002173</v>
      </c>
      <c r="M242" s="5"/>
      <c r="N242" s="5"/>
      <c r="O242" s="4"/>
      <c r="P242" s="4"/>
      <c r="Q242" s="16"/>
      <c r="R242" s="16"/>
      <c r="S242" s="97">
        <f>1+$O$198</f>
        <v>1.0379055777407491</v>
      </c>
      <c r="T242" s="4">
        <f t="shared" ref="T242:T245" si="222">L242/H242-1</f>
        <v>3.7905577740749097E-2</v>
      </c>
    </row>
    <row r="243" spans="1:23" x14ac:dyDescent="0.2">
      <c r="A243" s="45">
        <f t="shared" si="216"/>
        <v>237</v>
      </c>
      <c r="D243" s="2" t="s">
        <v>50</v>
      </c>
      <c r="E243" s="134"/>
      <c r="F243" s="122"/>
      <c r="G243" s="107"/>
      <c r="H243" s="168">
        <v>7.26</v>
      </c>
      <c r="I243" s="142"/>
      <c r="J243" s="4"/>
      <c r="K243" s="40"/>
      <c r="L243" s="135">
        <f>L228</f>
        <v>7.52</v>
      </c>
      <c r="M243" s="5"/>
      <c r="N243" s="5"/>
      <c r="O243" s="4"/>
      <c r="P243" s="4"/>
      <c r="Q243" s="16"/>
      <c r="R243" s="16"/>
      <c r="S243" s="97">
        <f t="shared" ref="S243:S245" si="223">1+$O$198</f>
        <v>1.0379055777407491</v>
      </c>
      <c r="T243" s="4">
        <f t="shared" si="222"/>
        <v>3.5812672176308569E-2</v>
      </c>
      <c r="W243" s="2" t="s">
        <v>106</v>
      </c>
    </row>
    <row r="244" spans="1:23" x14ac:dyDescent="0.2">
      <c r="A244" s="45">
        <f t="shared" si="216"/>
        <v>238</v>
      </c>
      <c r="D244" s="2" t="s">
        <v>95</v>
      </c>
      <c r="E244" s="134"/>
      <c r="F244" s="122"/>
      <c r="G244" s="107"/>
      <c r="H244" s="169">
        <v>7.8828999999999996E-2</v>
      </c>
      <c r="I244" s="142"/>
      <c r="J244" s="4"/>
      <c r="K244" s="40"/>
      <c r="L244" s="138">
        <f>H244*S244</f>
        <v>8.1817058787725508E-2</v>
      </c>
      <c r="M244" s="5"/>
      <c r="N244" s="5"/>
      <c r="O244" s="4"/>
      <c r="P244" s="4"/>
      <c r="Q244" s="16"/>
      <c r="R244" s="16"/>
      <c r="S244" s="97">
        <f t="shared" si="223"/>
        <v>1.0379055777407491</v>
      </c>
      <c r="T244" s="4">
        <f t="shared" si="222"/>
        <v>3.7905577740749097E-2</v>
      </c>
    </row>
    <row r="245" spans="1:23" ht="13.5" thickBot="1" x14ac:dyDescent="0.25">
      <c r="A245" s="45">
        <f t="shared" si="216"/>
        <v>239</v>
      </c>
      <c r="B245" s="130"/>
      <c r="D245" s="2" t="s">
        <v>96</v>
      </c>
      <c r="E245" s="134"/>
      <c r="F245" s="122"/>
      <c r="G245" s="107"/>
      <c r="H245" s="169">
        <v>6.4108999999999999E-2</v>
      </c>
      <c r="I245" s="142"/>
      <c r="J245" s="4"/>
      <c r="K245" s="40"/>
      <c r="L245" s="138">
        <f>H245*S245</f>
        <v>6.6539088683381681E-2</v>
      </c>
      <c r="M245" s="5"/>
      <c r="N245" s="5"/>
      <c r="O245" s="4"/>
      <c r="P245" s="4"/>
      <c r="Q245" s="16"/>
      <c r="R245" s="16"/>
      <c r="S245" s="97">
        <f t="shared" si="223"/>
        <v>1.0379055777407491</v>
      </c>
      <c r="T245" s="4">
        <f t="shared" si="222"/>
        <v>3.7905577740749097E-2</v>
      </c>
    </row>
    <row r="246" spans="1:23" x14ac:dyDescent="0.2">
      <c r="A246" s="45">
        <f t="shared" si="216"/>
        <v>240</v>
      </c>
      <c r="B246" s="33" t="s">
        <v>114</v>
      </c>
      <c r="C246" s="34" t="s">
        <v>115</v>
      </c>
      <c r="D246" s="33"/>
      <c r="E246" s="33"/>
      <c r="F246" s="117"/>
      <c r="G246" s="117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</row>
    <row r="247" spans="1:23" ht="12.6" customHeight="1" x14ac:dyDescent="0.2">
      <c r="A247" s="45">
        <f t="shared" si="216"/>
        <v>241</v>
      </c>
      <c r="D247" s="2" t="s">
        <v>17</v>
      </c>
      <c r="E247" s="134"/>
      <c r="F247" s="108"/>
      <c r="G247" s="107"/>
      <c r="H247" s="135">
        <v>4659.66</v>
      </c>
      <c r="I247" s="142"/>
      <c r="J247" s="4"/>
      <c r="K247" s="40"/>
      <c r="L247" s="129">
        <v>6013</v>
      </c>
      <c r="M247" s="5"/>
      <c r="N247" s="5"/>
      <c r="O247" s="4"/>
      <c r="P247" s="4"/>
      <c r="Q247" s="16"/>
      <c r="R247" s="16"/>
      <c r="S247" s="97">
        <f>1+$O$198</f>
        <v>1.0379055777407491</v>
      </c>
      <c r="T247" s="4">
        <f t="shared" ref="T247:T249" si="224">L247/H247-1</f>
        <v>0.29043749973174005</v>
      </c>
      <c r="W247" s="2" t="s">
        <v>126</v>
      </c>
    </row>
    <row r="248" spans="1:23" x14ac:dyDescent="0.2">
      <c r="A248" s="45">
        <f t="shared" si="216"/>
        <v>242</v>
      </c>
      <c r="D248" s="2" t="s">
        <v>50</v>
      </c>
      <c r="E248" s="134"/>
      <c r="F248" s="122"/>
      <c r="G248" s="107"/>
      <c r="H248" s="135">
        <v>7.3</v>
      </c>
      <c r="I248" s="142"/>
      <c r="J248" s="4"/>
      <c r="K248" s="40"/>
      <c r="L248" s="129">
        <v>8.91</v>
      </c>
      <c r="M248" s="5"/>
      <c r="N248" s="5"/>
      <c r="O248" s="4"/>
      <c r="P248" s="4"/>
      <c r="Q248" s="16"/>
      <c r="R248" s="16"/>
      <c r="S248" s="97">
        <f t="shared" ref="S248:S249" si="225">1+$O$198</f>
        <v>1.0379055777407491</v>
      </c>
      <c r="T248" s="4">
        <f t="shared" si="224"/>
        <v>0.22054794520547949</v>
      </c>
      <c r="W248" s="2" t="s">
        <v>126</v>
      </c>
    </row>
    <row r="249" spans="1:23" ht="13.5" thickBot="1" x14ac:dyDescent="0.25">
      <c r="A249" s="45">
        <f t="shared" si="216"/>
        <v>243</v>
      </c>
      <c r="D249" s="2" t="s">
        <v>47</v>
      </c>
      <c r="E249" s="134"/>
      <c r="F249" s="122"/>
      <c r="G249" s="107"/>
      <c r="H249" s="138">
        <v>5.1630000000000002E-2</v>
      </c>
      <c r="I249" s="142"/>
      <c r="J249" s="4"/>
      <c r="K249" s="40"/>
      <c r="L249" s="162">
        <f>(H249-0.04903)+0.052044</f>
        <v>5.4644000000000005E-2</v>
      </c>
      <c r="M249" s="5"/>
      <c r="N249" s="5"/>
      <c r="O249" s="4"/>
      <c r="P249" s="4"/>
      <c r="Q249" s="16"/>
      <c r="R249" s="16"/>
      <c r="S249" s="97">
        <f t="shared" si="225"/>
        <v>1.0379055777407491</v>
      </c>
      <c r="T249" s="4">
        <f t="shared" si="224"/>
        <v>5.8376912647685408E-2</v>
      </c>
      <c r="W249" s="2" t="s">
        <v>127</v>
      </c>
    </row>
    <row r="250" spans="1:23" x14ac:dyDescent="0.2">
      <c r="A250" s="45">
        <f t="shared" si="216"/>
        <v>244</v>
      </c>
      <c r="B250" s="117" t="s">
        <v>133</v>
      </c>
      <c r="C250" s="155"/>
      <c r="D250" s="117"/>
      <c r="E250" s="117"/>
      <c r="F250" s="117"/>
      <c r="G250" s="33"/>
      <c r="H250" s="33"/>
      <c r="I250" s="117"/>
      <c r="J250" s="117"/>
      <c r="K250" s="117"/>
      <c r="L250" s="117"/>
      <c r="M250" s="117"/>
      <c r="N250" s="117"/>
      <c r="O250" s="117"/>
      <c r="P250" s="117"/>
      <c r="Q250" s="117"/>
      <c r="R250" s="117"/>
      <c r="S250" s="97"/>
      <c r="T250" s="4"/>
    </row>
    <row r="251" spans="1:23" x14ac:dyDescent="0.2">
      <c r="A251" s="45">
        <f t="shared" si="216"/>
        <v>245</v>
      </c>
      <c r="B251" s="103"/>
      <c r="C251" s="89"/>
      <c r="D251" s="103" t="s">
        <v>134</v>
      </c>
      <c r="E251" s="90"/>
      <c r="F251" s="122"/>
      <c r="G251" s="82"/>
      <c r="H251" s="17">
        <v>4.2</v>
      </c>
      <c r="I251" s="156"/>
      <c r="J251" s="157"/>
      <c r="K251" s="158"/>
      <c r="L251" s="129">
        <f>6.2</f>
        <v>6.2</v>
      </c>
      <c r="M251" s="103"/>
      <c r="N251" s="39"/>
      <c r="O251" s="103"/>
      <c r="P251" s="103"/>
      <c r="Q251" s="103"/>
      <c r="R251" s="103"/>
      <c r="S251" s="97"/>
      <c r="T251" s="4"/>
    </row>
    <row r="252" spans="1:23" x14ac:dyDescent="0.2">
      <c r="A252" s="45">
        <f t="shared" si="216"/>
        <v>246</v>
      </c>
      <c r="B252" s="103"/>
      <c r="C252" s="89"/>
      <c r="D252" s="103" t="s">
        <v>135</v>
      </c>
      <c r="E252" s="90"/>
      <c r="F252" s="122"/>
      <c r="G252" s="159"/>
      <c r="H252" s="160">
        <v>4.9000000000000004</v>
      </c>
      <c r="I252" s="156"/>
      <c r="J252" s="157"/>
      <c r="K252" s="158"/>
      <c r="L252" s="161">
        <f>6.9</f>
        <v>6.9</v>
      </c>
      <c r="M252" s="103"/>
      <c r="N252" s="39"/>
      <c r="O252" s="103"/>
      <c r="P252" s="103"/>
      <c r="Q252" s="103"/>
      <c r="R252" s="103"/>
      <c r="S252" s="97"/>
      <c r="T252" s="4"/>
    </row>
    <row r="253" spans="1:23" x14ac:dyDescent="0.2">
      <c r="A253" s="45">
        <f t="shared" si="216"/>
        <v>247</v>
      </c>
      <c r="B253" s="103"/>
      <c r="C253" s="89"/>
      <c r="D253" s="103" t="s">
        <v>136</v>
      </c>
      <c r="E253" s="103"/>
      <c r="H253" s="160">
        <v>5.6</v>
      </c>
      <c r="I253" s="103"/>
      <c r="J253" s="103"/>
      <c r="K253" s="103"/>
      <c r="L253" s="161">
        <f>7.6</f>
        <v>7.6</v>
      </c>
      <c r="N253" s="14"/>
      <c r="S253" s="97"/>
      <c r="T253" s="4"/>
    </row>
    <row r="254" spans="1:23" x14ac:dyDescent="0.2">
      <c r="A254" s="45">
        <f t="shared" si="216"/>
        <v>248</v>
      </c>
    </row>
    <row r="255" spans="1:23" x14ac:dyDescent="0.2">
      <c r="G255" s="128" t="s">
        <v>113</v>
      </c>
      <c r="H255" s="2">
        <v>1.1849999999999999E-2</v>
      </c>
      <c r="I255" s="2" t="s">
        <v>128</v>
      </c>
    </row>
    <row r="257" spans="5:5" x14ac:dyDescent="0.2">
      <c r="E257" s="94">
        <v>462239573</v>
      </c>
    </row>
    <row r="258" spans="5:5" x14ac:dyDescent="0.2">
      <c r="E258" s="94">
        <f>E9+E21+E22+E34+E46+E58+E70+E84+E97+E110+E123+E136+E137+E150+E151+E163</f>
        <v>463385351</v>
      </c>
    </row>
    <row r="259" spans="5:5" x14ac:dyDescent="0.2">
      <c r="E259" s="94">
        <f>E258-E257</f>
        <v>1145778</v>
      </c>
    </row>
    <row r="260" spans="5:5" x14ac:dyDescent="0.2">
      <c r="E260" s="4">
        <f>E259/E257</f>
        <v>2.478753587806728E-3</v>
      </c>
    </row>
    <row r="264" spans="5:5" x14ac:dyDescent="0.2">
      <c r="E264" s="137">
        <f>E8+E20+E33+E45+E57+E69+E82+E95+E108+E121+E134+E148+E149</f>
        <v>316793</v>
      </c>
    </row>
  </sheetData>
  <phoneticPr fontId="8" type="noConversion"/>
  <printOptions horizontalCentered="1"/>
  <pageMargins left="0.7" right="0.7" top="0.75" bottom="0.75" header="0.3" footer="0.3"/>
  <pageSetup scale="50" fitToHeight="6" orientation="landscape" r:id="rId1"/>
  <headerFooter>
    <oddHeader>&amp;R&amp;"Arial,Bold"&amp;10Exhibit 4
Page &amp;P of &amp;N</oddHeader>
  </headerFooter>
  <rowBreaks count="5" manualBreakCount="5">
    <brk id="55" max="17" man="1"/>
    <brk id="93" max="17" man="1"/>
    <brk id="132" max="17" man="1"/>
    <brk id="172" max="17" man="1"/>
    <brk id="240" max="17" man="1"/>
  </rowBreaks>
  <ignoredErrors>
    <ignoredError sqref="M10:O10 N23:O23 N35:O35 N47:O47 N59 N85 N98 N111 N124 N138:O138 N152 N164 N188:O188 O59:O65 O85:O98 O111:O124 O152:O164 L212:L225 L226:L233 L238:L243 F70 I13 M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D2D1-0261-4B16-940C-DD9AB8DBD482}">
  <dimension ref="A1:M145"/>
  <sheetViews>
    <sheetView view="pageBreakPreview" topLeftCell="A22" zoomScaleNormal="85" zoomScaleSheetLayoutView="100" workbookViewId="0">
      <selection activeCell="F18" sqref="F18"/>
    </sheetView>
  </sheetViews>
  <sheetFormatPr defaultColWidth="8.85546875" defaultRowHeight="12.75" x14ac:dyDescent="0.2"/>
  <cols>
    <col min="1" max="1" width="1.7109375" style="2" customWidth="1"/>
    <col min="2" max="2" width="1.28515625" style="2" customWidth="1"/>
    <col min="3" max="3" width="8" style="20" customWidth="1"/>
    <col min="4" max="4" width="35.140625" style="3" bestFit="1" customWidth="1"/>
    <col min="5" max="5" width="33.7109375" style="2" bestFit="1" customWidth="1"/>
    <col min="6" max="6" width="14.7109375" style="2" customWidth="1"/>
    <col min="7" max="7" width="12.5703125" style="2" customWidth="1"/>
    <col min="8" max="9" width="11.85546875" style="2" customWidth="1"/>
    <col min="10" max="12" width="8.85546875" style="2"/>
    <col min="13" max="13" width="13.28515625" style="2" customWidth="1"/>
    <col min="14" max="14" width="17.7109375" style="2" customWidth="1"/>
    <col min="15" max="16384" width="8.85546875" style="2"/>
  </cols>
  <sheetData>
    <row r="1" spans="1:13" x14ac:dyDescent="0.2">
      <c r="A1" s="1" t="str">
        <f>Summary!A1</f>
        <v>FARMERS RECC</v>
      </c>
    </row>
    <row r="2" spans="1:13" x14ac:dyDescent="0.2">
      <c r="A2" s="1" t="s">
        <v>109</v>
      </c>
    </row>
    <row r="4" spans="1:13" x14ac:dyDescent="0.2">
      <c r="C4" s="73" t="s">
        <v>91</v>
      </c>
      <c r="D4" s="98"/>
      <c r="E4" s="72" t="s">
        <v>2</v>
      </c>
      <c r="F4" s="76" t="s">
        <v>45</v>
      </c>
      <c r="G4" s="76" t="s">
        <v>46</v>
      </c>
      <c r="H4" s="76" t="s">
        <v>112</v>
      </c>
      <c r="I4" s="76" t="s">
        <v>16</v>
      </c>
    </row>
    <row r="5" spans="1:13" x14ac:dyDescent="0.2">
      <c r="C5" s="20">
        <f>'Billing Detail'!C7</f>
        <v>1</v>
      </c>
      <c r="D5" s="99" t="str">
        <f>'Billing Detail'!B7</f>
        <v xml:space="preserve">Residential </v>
      </c>
    </row>
    <row r="6" spans="1:13" x14ac:dyDescent="0.2">
      <c r="D6" s="99"/>
      <c r="E6" s="2" t="str">
        <f>'Billing Detail'!D8</f>
        <v>Customer Charge</v>
      </c>
      <c r="F6" s="74">
        <f>'Billing Detail'!H8</f>
        <v>23</v>
      </c>
      <c r="G6" s="74">
        <f>'Billing Detail'!L8</f>
        <v>23.81</v>
      </c>
      <c r="H6" s="74">
        <f>G6-F6</f>
        <v>0.80999999999999872</v>
      </c>
      <c r="I6" s="4">
        <f>H6/F6</f>
        <v>3.521739130434777E-2</v>
      </c>
      <c r="M6" s="15"/>
    </row>
    <row r="7" spans="1:13" x14ac:dyDescent="0.2">
      <c r="D7" s="99"/>
      <c r="E7" s="2" t="str">
        <f>'Billing Detail'!D9</f>
        <v>Energy Charge per kWh</v>
      </c>
      <c r="F7" s="82">
        <f>'Billing Detail'!H9</f>
        <v>0.10312499999999999</v>
      </c>
      <c r="G7" s="82">
        <f>'Billing Detail'!L9</f>
        <v>0.10677</v>
      </c>
      <c r="H7" s="74">
        <f t="shared" ref="H7:H68" si="0">G7-F7</f>
        <v>3.6450000000000093E-3</v>
      </c>
      <c r="I7" s="4">
        <f t="shared" ref="I7:I68" si="1">H7/F7</f>
        <v>3.5345454545454638E-2</v>
      </c>
      <c r="L7" s="124"/>
      <c r="M7" s="123"/>
    </row>
    <row r="8" spans="1:13" x14ac:dyDescent="0.2">
      <c r="C8" s="20">
        <f>'Billing Detail'!C19</f>
        <v>3</v>
      </c>
      <c r="D8" s="99" t="str">
        <f>'Billing Detail'!B19</f>
        <v>Residential TOD</v>
      </c>
      <c r="F8" s="75"/>
      <c r="G8" s="75"/>
      <c r="H8" s="74"/>
      <c r="I8" s="4"/>
    </row>
    <row r="9" spans="1:13" x14ac:dyDescent="0.2">
      <c r="D9" s="99"/>
      <c r="E9" s="2" t="str">
        <f>'Billing Detail'!D20</f>
        <v>Customer Charge</v>
      </c>
      <c r="F9" s="74">
        <f>'Billing Detail'!H20</f>
        <v>23</v>
      </c>
      <c r="G9" s="74">
        <f>'Billing Detail'!L20</f>
        <v>23.81</v>
      </c>
      <c r="H9" s="74">
        <f t="shared" si="0"/>
        <v>0.80999999999999872</v>
      </c>
      <c r="I9" s="4">
        <f t="shared" si="1"/>
        <v>3.521739130434777E-2</v>
      </c>
    </row>
    <row r="10" spans="1:13" x14ac:dyDescent="0.2">
      <c r="D10" s="99"/>
      <c r="E10" s="2" t="str">
        <f>'Billing Detail'!D21</f>
        <v>Energy Charge - On Peak per kWh</v>
      </c>
      <c r="F10" s="82">
        <f>'Billing Detail'!H21</f>
        <v>0.123041</v>
      </c>
      <c r="G10" s="82">
        <f>'Billing Detail'!L21</f>
        <v>0.127389</v>
      </c>
      <c r="H10" s="74">
        <f t="shared" si="0"/>
        <v>4.3480000000000046E-3</v>
      </c>
      <c r="I10" s="4">
        <f t="shared" si="1"/>
        <v>3.5337814224526823E-2</v>
      </c>
    </row>
    <row r="11" spans="1:13" x14ac:dyDescent="0.2">
      <c r="D11" s="99"/>
      <c r="E11" s="2" t="str">
        <f>'Billing Detail'!D22</f>
        <v>Energy Charge - Off Peak per kWh</v>
      </c>
      <c r="F11" s="82">
        <f>'Billing Detail'!H22</f>
        <v>7.4192999999999995E-2</v>
      </c>
      <c r="G11" s="82">
        <f>'Billing Detail'!L22</f>
        <v>7.6814999999999994E-2</v>
      </c>
      <c r="H11" s="74">
        <f t="shared" si="0"/>
        <v>2.6219999999999993E-3</v>
      </c>
      <c r="I11" s="4">
        <f t="shared" si="1"/>
        <v>3.5340261210626334E-2</v>
      </c>
    </row>
    <row r="12" spans="1:13" x14ac:dyDescent="0.2">
      <c r="C12" s="20">
        <f>'Billing Detail'!C32</f>
        <v>20</v>
      </c>
      <c r="D12" s="99" t="str">
        <f>'Billing Detail'!B32</f>
        <v>Net Metering</v>
      </c>
      <c r="F12" s="74"/>
      <c r="G12" s="74"/>
      <c r="H12" s="74"/>
      <c r="I12" s="4"/>
    </row>
    <row r="13" spans="1:13" x14ac:dyDescent="0.2">
      <c r="D13" s="99"/>
      <c r="E13" s="2" t="str">
        <f>'Billing Detail'!D33</f>
        <v>Customer Charge</v>
      </c>
      <c r="F13" s="74">
        <f>'Billing Detail'!H33</f>
        <v>23</v>
      </c>
      <c r="G13" s="74">
        <f>'Billing Detail'!L33</f>
        <v>23.81</v>
      </c>
      <c r="H13" s="74">
        <f t="shared" si="0"/>
        <v>0.80999999999999872</v>
      </c>
      <c r="I13" s="4">
        <f t="shared" si="1"/>
        <v>3.521739130434777E-2</v>
      </c>
    </row>
    <row r="14" spans="1:13" x14ac:dyDescent="0.2">
      <c r="D14" s="99"/>
      <c r="E14" s="2" t="str">
        <f>'Billing Detail'!D34</f>
        <v>Energy Charge per kWh</v>
      </c>
      <c r="F14" s="82">
        <f>'Billing Detail'!H34</f>
        <v>0.10312499999999999</v>
      </c>
      <c r="G14" s="82">
        <f>'Billing Detail'!L34</f>
        <v>0.10677</v>
      </c>
      <c r="H14" s="74">
        <f t="shared" si="0"/>
        <v>3.6450000000000093E-3</v>
      </c>
      <c r="I14" s="4">
        <f t="shared" si="1"/>
        <v>3.5345454545454638E-2</v>
      </c>
    </row>
    <row r="15" spans="1:13" x14ac:dyDescent="0.2">
      <c r="C15" s="20">
        <f>'Billing Detail'!C44</f>
        <v>7</v>
      </c>
      <c r="D15" s="99" t="str">
        <f>'Billing Detail'!B44</f>
        <v>Residential Off-Peak Mktg ETS</v>
      </c>
      <c r="F15" s="75"/>
      <c r="G15" s="75"/>
      <c r="H15" s="74"/>
      <c r="I15" s="4"/>
    </row>
    <row r="16" spans="1:13" x14ac:dyDescent="0.2">
      <c r="D16" s="99"/>
      <c r="E16" s="2" t="str">
        <f>'Billing Detail'!D46</f>
        <v>Energy Charge - Off Peak per kWh</v>
      </c>
      <c r="F16" s="82">
        <f>'Billing Detail'!H46</f>
        <v>7.4192999999999995E-2</v>
      </c>
      <c r="G16" s="82">
        <f>'Billing Detail'!L46</f>
        <v>7.6814999999999994E-2</v>
      </c>
      <c r="H16" s="74">
        <f t="shared" si="0"/>
        <v>2.6219999999999993E-3</v>
      </c>
      <c r="I16" s="4">
        <f t="shared" si="1"/>
        <v>3.5340261210626334E-2</v>
      </c>
    </row>
    <row r="17" spans="3:9" x14ac:dyDescent="0.2">
      <c r="C17" s="20">
        <f>'Billing Detail'!C56</f>
        <v>4</v>
      </c>
      <c r="D17" s="99" t="str">
        <f>'Billing Detail'!B56</f>
        <v>Commercial &amp; Industrial &lt; 50 KW</v>
      </c>
      <c r="F17" s="74"/>
      <c r="G17" s="74"/>
      <c r="H17" s="74"/>
      <c r="I17" s="4"/>
    </row>
    <row r="18" spans="3:9" x14ac:dyDescent="0.2">
      <c r="D18" s="99"/>
      <c r="E18" s="2" t="str">
        <f>'Billing Detail'!D57</f>
        <v>Customer Charge</v>
      </c>
      <c r="F18" s="74">
        <f>'Billing Detail'!H57</f>
        <v>28.27</v>
      </c>
      <c r="G18" s="74">
        <f>'Billing Detail'!L57</f>
        <v>29.27</v>
      </c>
      <c r="H18" s="74">
        <f t="shared" si="0"/>
        <v>1</v>
      </c>
      <c r="I18" s="4">
        <f t="shared" si="1"/>
        <v>3.5373187124159884E-2</v>
      </c>
    </row>
    <row r="19" spans="3:9" x14ac:dyDescent="0.2">
      <c r="D19" s="99"/>
      <c r="E19" s="2" t="str">
        <f>'Billing Detail'!D58</f>
        <v>Energy Charge per kWh</v>
      </c>
      <c r="F19" s="82">
        <f>'Billing Detail'!H58</f>
        <v>9.9582000000000004E-2</v>
      </c>
      <c r="G19" s="82">
        <f>'Billing Detail'!L58</f>
        <v>0.103102</v>
      </c>
      <c r="H19" s="74">
        <f t="shared" si="0"/>
        <v>3.5199999999999954E-3</v>
      </c>
      <c r="I19" s="4">
        <f t="shared" si="1"/>
        <v>3.5347753610090127E-2</v>
      </c>
    </row>
    <row r="20" spans="3:9" x14ac:dyDescent="0.2">
      <c r="C20" s="20">
        <f>'Billing Detail'!C68</f>
        <v>5</v>
      </c>
      <c r="D20" s="99" t="str">
        <f>'Billing Detail'!B68</f>
        <v>Commercial &amp; Industrial &gt; 50 KW</v>
      </c>
      <c r="F20" s="74"/>
      <c r="G20" s="74"/>
      <c r="H20" s="74"/>
      <c r="I20" s="4"/>
    </row>
    <row r="21" spans="3:9" x14ac:dyDescent="0.2">
      <c r="D21" s="99"/>
      <c r="E21" s="2" t="str">
        <f>'Billing Detail'!D69</f>
        <v>Customer Charge</v>
      </c>
      <c r="F21" s="74">
        <f>'Billing Detail'!H69</f>
        <v>115.18</v>
      </c>
      <c r="G21" s="74">
        <f>'Billing Detail'!L69</f>
        <v>119.25</v>
      </c>
      <c r="H21" s="74">
        <f t="shared" si="0"/>
        <v>4.0699999999999932</v>
      </c>
      <c r="I21" s="4">
        <f t="shared" si="1"/>
        <v>3.5335995832609768E-2</v>
      </c>
    </row>
    <row r="22" spans="3:9" x14ac:dyDescent="0.2">
      <c r="D22" s="99"/>
      <c r="E22" s="2" t="str">
        <f>'Billing Detail'!D70</f>
        <v>Energy Charge per kWh</v>
      </c>
      <c r="F22" s="82">
        <f>'Billing Detail'!H70</f>
        <v>7.8539999999999999E-2</v>
      </c>
      <c r="G22" s="82">
        <f>'Billing Detail'!L70</f>
        <v>8.1315999999999999E-2</v>
      </c>
      <c r="H22" s="74">
        <f t="shared" si="0"/>
        <v>2.7760000000000007E-3</v>
      </c>
      <c r="I22" s="4">
        <f t="shared" si="1"/>
        <v>3.5345047109753003E-2</v>
      </c>
    </row>
    <row r="23" spans="3:9" x14ac:dyDescent="0.2">
      <c r="D23" s="99"/>
      <c r="E23" s="2" t="str">
        <f>'Billing Detail'!D71</f>
        <v>Demand Charge per kW</v>
      </c>
      <c r="F23" s="74">
        <f>'Billing Detail'!H71</f>
        <v>8.66</v>
      </c>
      <c r="G23" s="74">
        <f>'Billing Detail'!L71</f>
        <v>8.9660709999999995</v>
      </c>
      <c r="H23" s="74">
        <f t="shared" si="0"/>
        <v>0.30607099999999932</v>
      </c>
      <c r="I23" s="4">
        <f t="shared" si="1"/>
        <v>3.5343071593533407E-2</v>
      </c>
    </row>
    <row r="24" spans="3:9" x14ac:dyDescent="0.2">
      <c r="C24" s="20">
        <f>'Billing Detail'!C94</f>
        <v>10</v>
      </c>
      <c r="D24" s="99" t="str">
        <f>'Billing Detail'!B94</f>
        <v>Large Industrial</v>
      </c>
      <c r="F24" s="74"/>
      <c r="G24" s="74"/>
      <c r="H24" s="74"/>
      <c r="I24" s="4"/>
    </row>
    <row r="25" spans="3:9" x14ac:dyDescent="0.2">
      <c r="D25" s="99"/>
      <c r="E25" s="2" t="str">
        <f>'Billing Detail'!D95</f>
        <v>Customer Charge</v>
      </c>
      <c r="F25" s="74">
        <f>'Billing Detail'!H95</f>
        <v>1253.27</v>
      </c>
      <c r="G25" s="74">
        <f>'Billing Detail'!L95</f>
        <v>1358.85</v>
      </c>
      <c r="H25" s="74">
        <f t="shared" si="0"/>
        <v>105.57999999999993</v>
      </c>
      <c r="I25" s="4">
        <f t="shared" si="1"/>
        <v>8.4243618693497752E-2</v>
      </c>
    </row>
    <row r="26" spans="3:9" x14ac:dyDescent="0.2">
      <c r="D26" s="99"/>
      <c r="E26" s="2" t="str">
        <f>'Billing Detail'!D96</f>
        <v>Demand Charge per kW</v>
      </c>
      <c r="F26" s="74">
        <f>'Billing Detail'!H96</f>
        <v>8.66</v>
      </c>
      <c r="G26" s="74">
        <f>'Billing Detail'!L96</f>
        <v>9.39</v>
      </c>
      <c r="H26" s="74">
        <f t="shared" si="0"/>
        <v>0.73000000000000043</v>
      </c>
      <c r="I26" s="4">
        <f t="shared" si="1"/>
        <v>8.4295612009237922E-2</v>
      </c>
    </row>
    <row r="27" spans="3:9" x14ac:dyDescent="0.2">
      <c r="D27" s="99"/>
      <c r="E27" s="2" t="str">
        <f>'Billing Detail'!D97</f>
        <v>Energy Charge per kWh</v>
      </c>
      <c r="F27" s="82">
        <f>'Billing Detail'!H97</f>
        <v>6.3881999999999994E-2</v>
      </c>
      <c r="G27" s="82">
        <f>'Billing Detail'!L97</f>
        <v>6.9264000000000006E-2</v>
      </c>
      <c r="H27" s="74">
        <f t="shared" si="0"/>
        <v>5.3820000000000118E-3</v>
      </c>
      <c r="I27" s="4">
        <f t="shared" si="1"/>
        <v>8.4249084249084435E-2</v>
      </c>
    </row>
    <row r="28" spans="3:9" x14ac:dyDescent="0.2">
      <c r="C28" s="20">
        <f>'Billing Detail'!C107</f>
        <v>14</v>
      </c>
      <c r="D28" s="99" t="str">
        <f>'Billing Detail'!B107</f>
        <v>Large Power Schedule LPC2</v>
      </c>
      <c r="E28" s="71"/>
      <c r="F28" s="74"/>
      <c r="G28" s="74"/>
      <c r="H28" s="74"/>
      <c r="I28" s="4"/>
    </row>
    <row r="29" spans="3:9" x14ac:dyDescent="0.2">
      <c r="D29" s="99"/>
      <c r="E29" s="2" t="str">
        <f>'Billing Detail'!D108</f>
        <v>Customer Charge</v>
      </c>
      <c r="F29" s="74">
        <f>'Billing Detail'!H108</f>
        <v>1412.92</v>
      </c>
      <c r="G29" s="74">
        <f>'Billing Detail'!L108</f>
        <v>1462.86</v>
      </c>
      <c r="H29" s="74">
        <f t="shared" si="0"/>
        <v>49.939999999999827</v>
      </c>
      <c r="I29" s="4">
        <f t="shared" si="1"/>
        <v>3.534524247657321E-2</v>
      </c>
    </row>
    <row r="30" spans="3:9" x14ac:dyDescent="0.2">
      <c r="D30" s="99"/>
      <c r="E30" s="2" t="str">
        <f>'Billing Detail'!D109</f>
        <v>Demand Charge per kW</v>
      </c>
      <c r="F30" s="74">
        <f>'Billing Detail'!H109</f>
        <v>8.66</v>
      </c>
      <c r="G30" s="74">
        <f>'Billing Detail'!L109</f>
        <v>8.9700000000000006</v>
      </c>
      <c r="H30" s="74">
        <f t="shared" si="0"/>
        <v>0.3100000000000005</v>
      </c>
      <c r="I30" s="4">
        <f t="shared" si="1"/>
        <v>3.5796766743649018E-2</v>
      </c>
    </row>
    <row r="31" spans="3:9" x14ac:dyDescent="0.2">
      <c r="D31" s="99"/>
      <c r="E31" s="2" t="str">
        <f>'Billing Detail'!D110</f>
        <v>Energy Charge per kWh</v>
      </c>
      <c r="F31" s="82">
        <f>'Billing Detail'!H110</f>
        <v>6.8527000000000005E-2</v>
      </c>
      <c r="G31" s="82">
        <f>'Billing Detail'!L110</f>
        <v>7.0948999999999998E-2</v>
      </c>
      <c r="H31" s="74">
        <f t="shared" si="0"/>
        <v>2.4219999999999936E-3</v>
      </c>
      <c r="I31" s="4">
        <f t="shared" si="1"/>
        <v>3.5343733127088495E-2</v>
      </c>
    </row>
    <row r="32" spans="3:9" x14ac:dyDescent="0.2">
      <c r="C32" s="20">
        <f>'Billing Detail'!C120</f>
        <v>15</v>
      </c>
      <c r="D32" s="99" t="str">
        <f>'Billing Detail'!B120</f>
        <v>Large Commercial Optional TOD</v>
      </c>
      <c r="F32" s="74"/>
      <c r="G32" s="74"/>
      <c r="H32" s="74"/>
      <c r="I32" s="4"/>
    </row>
    <row r="33" spans="3:9" x14ac:dyDescent="0.2">
      <c r="D33" s="99"/>
      <c r="E33" s="2" t="str">
        <f>'Billing Detail'!D121</f>
        <v>Customer Charge</v>
      </c>
      <c r="F33" s="17">
        <f>'Billing Detail'!H121</f>
        <v>115.18</v>
      </c>
      <c r="G33" s="17">
        <f>'Billing Detail'!L121</f>
        <v>119.25</v>
      </c>
      <c r="H33" s="74">
        <f t="shared" si="0"/>
        <v>4.0699999999999932</v>
      </c>
      <c r="I33" s="4">
        <f t="shared" si="1"/>
        <v>3.5335995832609768E-2</v>
      </c>
    </row>
    <row r="34" spans="3:9" x14ac:dyDescent="0.2">
      <c r="D34" s="99"/>
      <c r="E34" s="2" t="str">
        <f>'Billing Detail'!D122</f>
        <v>Demand Charge per kW</v>
      </c>
      <c r="F34" s="74">
        <f>'Billing Detail'!H122</f>
        <v>8.66</v>
      </c>
      <c r="G34" s="74">
        <f>'Billing Detail'!L122</f>
        <v>8.9700000000000006</v>
      </c>
      <c r="H34" s="74">
        <f t="shared" si="0"/>
        <v>0.3100000000000005</v>
      </c>
      <c r="I34" s="4">
        <f t="shared" si="1"/>
        <v>3.5796766743649018E-2</v>
      </c>
    </row>
    <row r="35" spans="3:9" x14ac:dyDescent="0.2">
      <c r="D35" s="99"/>
      <c r="E35" s="2" t="str">
        <f>'Billing Detail'!D123</f>
        <v>Energy Charge per kWh</v>
      </c>
      <c r="F35" s="82">
        <f>'Billing Detail'!H123</f>
        <v>7.8547000000000006E-2</v>
      </c>
      <c r="G35" s="82">
        <f>'Billing Detail'!L123</f>
        <v>8.1323000000000006E-2</v>
      </c>
      <c r="H35" s="74">
        <f t="shared" si="0"/>
        <v>2.7760000000000007E-3</v>
      </c>
      <c r="I35" s="4">
        <f t="shared" si="1"/>
        <v>3.5341897208041054E-2</v>
      </c>
    </row>
    <row r="36" spans="3:9" x14ac:dyDescent="0.2">
      <c r="C36" s="20">
        <f>'Billing Detail'!C133</f>
        <v>36</v>
      </c>
      <c r="D36" s="99" t="str">
        <f>'Billing Detail'!B133</f>
        <v>Large Power Schedule LPE4</v>
      </c>
      <c r="F36" s="74"/>
      <c r="G36" s="74"/>
      <c r="H36" s="74"/>
      <c r="I36" s="4"/>
    </row>
    <row r="37" spans="3:9" x14ac:dyDescent="0.2">
      <c r="D37" s="99"/>
      <c r="E37" s="2" t="str">
        <f>'Billing Detail'!D134</f>
        <v>Customer Charge</v>
      </c>
      <c r="F37" s="74">
        <f>'Billing Detail'!H134</f>
        <v>3526.81</v>
      </c>
      <c r="G37" s="74">
        <f>'Billing Detail'!L134</f>
        <v>3651.46</v>
      </c>
      <c r="H37" s="74">
        <f t="shared" si="0"/>
        <v>124.65000000000009</v>
      </c>
      <c r="I37" s="4">
        <f t="shared" si="1"/>
        <v>3.5343554089956673E-2</v>
      </c>
    </row>
    <row r="38" spans="3:9" x14ac:dyDescent="0.2">
      <c r="D38" s="99"/>
      <c r="E38" s="2" t="str">
        <f>'Billing Detail'!D135</f>
        <v>Demand Charge per kW</v>
      </c>
      <c r="F38" s="74">
        <f>'Billing Detail'!H135</f>
        <v>7.26</v>
      </c>
      <c r="G38" s="74">
        <f>'Billing Detail'!L135</f>
        <v>7.52</v>
      </c>
      <c r="H38" s="74">
        <f t="shared" si="0"/>
        <v>0.25999999999999979</v>
      </c>
      <c r="I38" s="4">
        <f t="shared" si="1"/>
        <v>3.5812672176308513E-2</v>
      </c>
    </row>
    <row r="39" spans="3:9" x14ac:dyDescent="0.2">
      <c r="D39" s="99"/>
      <c r="E39" s="2" t="str">
        <f>'Billing Detail'!D136</f>
        <v>Energy Charge - On Peak per kWh</v>
      </c>
      <c r="F39" s="82">
        <f>'Billing Detail'!H136</f>
        <v>7.5365000000000001E-2</v>
      </c>
      <c r="G39" s="82">
        <f>'Billing Detail'!L136</f>
        <v>7.8029000000000001E-2</v>
      </c>
      <c r="H39" s="74">
        <f t="shared" si="0"/>
        <v>2.6639999999999997E-3</v>
      </c>
      <c r="I39" s="4">
        <f t="shared" si="1"/>
        <v>3.5347973197107405E-2</v>
      </c>
    </row>
    <row r="40" spans="3:9" x14ac:dyDescent="0.2">
      <c r="D40" s="99"/>
      <c r="E40" s="2" t="str">
        <f>'Billing Detail'!D137</f>
        <v>Energy Charge - Off Peak per kWh</v>
      </c>
      <c r="F40" s="82">
        <f>'Billing Detail'!H137</f>
        <v>6.6122E-2</v>
      </c>
      <c r="G40" s="82">
        <f>'Billing Detail'!L137</f>
        <v>6.8459000000000006E-2</v>
      </c>
      <c r="H40" s="74">
        <f t="shared" si="0"/>
        <v>2.3370000000000057E-3</v>
      </c>
      <c r="I40" s="4">
        <f t="shared" si="1"/>
        <v>3.5343758507002297E-2</v>
      </c>
    </row>
    <row r="41" spans="3:9" x14ac:dyDescent="0.2">
      <c r="C41" s="20">
        <f>'Billing Detail'!C147</f>
        <v>50</v>
      </c>
      <c r="D41" s="99" t="str">
        <f>'Billing Detail'!B147</f>
        <v>TOD Three Phase - Schedule C</v>
      </c>
      <c r="F41" s="74"/>
      <c r="G41" s="74"/>
      <c r="H41" s="74"/>
      <c r="I41" s="4"/>
    </row>
    <row r="42" spans="3:9" x14ac:dyDescent="0.2">
      <c r="D42" s="99"/>
      <c r="E42" s="2" t="str">
        <f>'Billing Detail'!D148</f>
        <v>Customer Charge Single Phase</v>
      </c>
      <c r="F42" s="74">
        <f>'Billing Detail'!H148</f>
        <v>28.27</v>
      </c>
      <c r="G42" s="74">
        <f>'Billing Detail'!L148</f>
        <v>29.269147806595619</v>
      </c>
      <c r="H42" s="74">
        <f t="shared" si="0"/>
        <v>0.99914780659561941</v>
      </c>
      <c r="I42" s="4">
        <f t="shared" si="1"/>
        <v>3.5343042327400757E-2</v>
      </c>
    </row>
    <row r="43" spans="3:9" x14ac:dyDescent="0.2">
      <c r="D43" s="99"/>
      <c r="E43" s="2" t="str">
        <f>'Billing Detail'!D149</f>
        <v>Customer Charge Three Phase</v>
      </c>
      <c r="F43" s="74">
        <f>'Billing Detail'!H149</f>
        <v>115.18</v>
      </c>
      <c r="G43" s="74">
        <f>'Billing Detail'!L149</f>
        <v>119.25</v>
      </c>
      <c r="H43" s="74">
        <f t="shared" si="0"/>
        <v>4.0699999999999932</v>
      </c>
      <c r="I43" s="4">
        <f t="shared" si="1"/>
        <v>3.5335995832609768E-2</v>
      </c>
    </row>
    <row r="44" spans="3:9" x14ac:dyDescent="0.2">
      <c r="D44" s="99"/>
      <c r="E44" s="2" t="str">
        <f>'Billing Detail'!D150</f>
        <v>Energy Charge - On Peak per kWh</v>
      </c>
      <c r="F44" s="82">
        <f>'Billing Detail'!H150</f>
        <v>0.13664399999999999</v>
      </c>
      <c r="G44" s="82">
        <f>'Billing Detail'!L150</f>
        <v>0.14147299999999999</v>
      </c>
      <c r="H44" s="74">
        <f t="shared" si="0"/>
        <v>4.829E-3</v>
      </c>
      <c r="I44" s="4">
        <f t="shared" si="1"/>
        <v>3.5340007611018416E-2</v>
      </c>
    </row>
    <row r="45" spans="3:9" x14ac:dyDescent="0.2">
      <c r="D45" s="99"/>
      <c r="E45" s="2" t="str">
        <f>'Billing Detail'!D151</f>
        <v>Energy Charge - Off Peak per kWh</v>
      </c>
      <c r="F45" s="82">
        <f>'Billing Detail'!H151</f>
        <v>7.3192999999999994E-2</v>
      </c>
      <c r="G45" s="82">
        <f>'Billing Detail'!L151</f>
        <v>7.578E-2</v>
      </c>
      <c r="H45" s="74">
        <f t="shared" si="0"/>
        <v>2.587000000000006E-3</v>
      </c>
      <c r="I45" s="4">
        <f t="shared" si="1"/>
        <v>3.5344910032380231E-2</v>
      </c>
    </row>
    <row r="46" spans="3:9" x14ac:dyDescent="0.2">
      <c r="C46" s="20">
        <f>'Billing Detail'!C161</f>
        <v>6</v>
      </c>
      <c r="D46" s="99" t="str">
        <f>'Billing Detail'!B161</f>
        <v>Street Lighting</v>
      </c>
      <c r="F46" s="74"/>
      <c r="G46" s="74"/>
      <c r="H46" s="74"/>
      <c r="I46" s="4"/>
    </row>
    <row r="47" spans="3:9" x14ac:dyDescent="0.2">
      <c r="D47" s="99"/>
      <c r="E47" s="2" t="str">
        <f>'Billing Detail'!D163</f>
        <v>Energy Charge per kWh</v>
      </c>
      <c r="F47" s="82">
        <f>'Billing Detail'!H163</f>
        <v>6.8542000000000006E-2</v>
      </c>
      <c r="G47" s="82">
        <f>'Billing Detail'!L163</f>
        <v>7.0963999999999999E-2</v>
      </c>
      <c r="H47" s="74">
        <f t="shared" si="0"/>
        <v>2.4219999999999936E-3</v>
      </c>
      <c r="I47" s="4">
        <f t="shared" si="1"/>
        <v>3.53359983659653E-2</v>
      </c>
    </row>
    <row r="48" spans="3:9" x14ac:dyDescent="0.2">
      <c r="C48" s="20">
        <f>'Billing Detail'!C173</f>
        <v>6</v>
      </c>
      <c r="D48" s="99" t="str">
        <f>'Billing Detail'!B173</f>
        <v>Lighting</v>
      </c>
      <c r="F48" s="74"/>
      <c r="G48" s="74"/>
      <c r="H48" s="74"/>
      <c r="I48" s="4"/>
    </row>
    <row r="49" spans="3:9" x14ac:dyDescent="0.2">
      <c r="D49" s="99"/>
      <c r="E49" s="2" t="str">
        <f>'Billing Detail'!D174</f>
        <v>Mercury Vapor 175 Watt</v>
      </c>
      <c r="F49" s="74">
        <f>'Billing Detail'!H174</f>
        <v>11.18</v>
      </c>
      <c r="G49" s="74">
        <f>'Billing Detail'!L174</f>
        <v>11.58</v>
      </c>
      <c r="H49" s="74">
        <f t="shared" si="0"/>
        <v>0.40000000000000036</v>
      </c>
      <c r="I49" s="4">
        <f t="shared" si="1"/>
        <v>3.5778175313059067E-2</v>
      </c>
    </row>
    <row r="50" spans="3:9" x14ac:dyDescent="0.2">
      <c r="E50" s="2" t="str">
        <f>'Billing Detail'!D175</f>
        <v>Mercury Vapor 175 Watt (shared)</v>
      </c>
      <c r="F50" s="74">
        <f>'Billing Detail'!H175</f>
        <v>4.28</v>
      </c>
      <c r="G50" s="74">
        <f>'Billing Detail'!L175</f>
        <v>4.43</v>
      </c>
      <c r="H50" s="74">
        <f t="shared" si="0"/>
        <v>0.14999999999999947</v>
      </c>
      <c r="I50" s="4">
        <f t="shared" si="1"/>
        <v>3.5046728971962489E-2</v>
      </c>
    </row>
    <row r="51" spans="3:9" x14ac:dyDescent="0.2">
      <c r="E51" s="2" t="str">
        <f>'Billing Detail'!D176</f>
        <v>Mercury Vapor 250 Watt</v>
      </c>
      <c r="F51" s="74">
        <f>'Billing Detail'!H176</f>
        <v>12.93</v>
      </c>
      <c r="G51" s="74">
        <f>'Billing Detail'!L176</f>
        <v>13.39</v>
      </c>
      <c r="H51" s="74">
        <f t="shared" si="0"/>
        <v>0.46000000000000085</v>
      </c>
      <c r="I51" s="4">
        <f t="shared" si="1"/>
        <v>3.5576179427687614E-2</v>
      </c>
    </row>
    <row r="52" spans="3:9" x14ac:dyDescent="0.2">
      <c r="E52" s="2" t="str">
        <f>'Billing Detail'!D177</f>
        <v>Mercury Vapor 400 Watt</v>
      </c>
      <c r="F52" s="74">
        <f>'Billing Detail'!H177</f>
        <v>19.73</v>
      </c>
      <c r="G52" s="74">
        <f>'Billing Detail'!L177</f>
        <v>20.43</v>
      </c>
      <c r="H52" s="74">
        <f t="shared" si="0"/>
        <v>0.69999999999999929</v>
      </c>
      <c r="I52" s="4">
        <f t="shared" si="1"/>
        <v>3.547896604156104E-2</v>
      </c>
    </row>
    <row r="53" spans="3:9" x14ac:dyDescent="0.2">
      <c r="E53" s="2" t="str">
        <f>'Billing Detail'!D178</f>
        <v>Mercury Vapor 1000 Watt</v>
      </c>
      <c r="F53" s="74">
        <f>'Billing Detail'!H178</f>
        <v>35.83</v>
      </c>
      <c r="G53" s="74">
        <f>'Billing Detail'!L178</f>
        <v>37.1</v>
      </c>
      <c r="H53" s="74">
        <f t="shared" si="0"/>
        <v>1.2700000000000031</v>
      </c>
      <c r="I53" s="4">
        <f t="shared" si="1"/>
        <v>3.5445157689087445E-2</v>
      </c>
    </row>
    <row r="54" spans="3:9" x14ac:dyDescent="0.2">
      <c r="E54" s="2" t="str">
        <f>'Billing Detail'!D179</f>
        <v>Sodium Vapor 100 Watt</v>
      </c>
      <c r="F54" s="74">
        <f>'Billing Detail'!H179</f>
        <v>11.28</v>
      </c>
      <c r="G54" s="74">
        <f>'Billing Detail'!L179</f>
        <v>11.68</v>
      </c>
      <c r="H54" s="74">
        <f t="shared" si="0"/>
        <v>0.40000000000000036</v>
      </c>
      <c r="I54" s="4">
        <f t="shared" si="1"/>
        <v>3.5460992907801449E-2</v>
      </c>
    </row>
    <row r="55" spans="3:9" x14ac:dyDescent="0.2">
      <c r="E55" s="2" t="str">
        <f>'Billing Detail'!D180</f>
        <v>Sodium Vapor 150 Watt</v>
      </c>
      <c r="F55" s="74">
        <f>'Billing Detail'!H180</f>
        <v>13.3</v>
      </c>
      <c r="G55" s="74">
        <f>'Billing Detail'!L180</f>
        <v>13.77</v>
      </c>
      <c r="H55" s="74">
        <f t="shared" si="0"/>
        <v>0.46999999999999886</v>
      </c>
      <c r="I55" s="4">
        <f t="shared" si="1"/>
        <v>3.5338345864661565E-2</v>
      </c>
    </row>
    <row r="56" spans="3:9" x14ac:dyDescent="0.2">
      <c r="E56" s="2" t="str">
        <f>'Billing Detail'!D181</f>
        <v>Sodium Vapor 250 Watt</v>
      </c>
      <c r="F56" s="74">
        <f>'Billing Detail'!H181</f>
        <v>18.260000000000002</v>
      </c>
      <c r="G56" s="74">
        <f>'Billing Detail'!L181</f>
        <v>18.91</v>
      </c>
      <c r="H56" s="74">
        <f t="shared" si="0"/>
        <v>0.64999999999999858</v>
      </c>
      <c r="I56" s="4">
        <f t="shared" si="1"/>
        <v>3.5596933187294552E-2</v>
      </c>
    </row>
    <row r="57" spans="3:9" x14ac:dyDescent="0.2">
      <c r="E57" s="2" t="str">
        <f>'Billing Detail'!D182</f>
        <v>Sodium Vapor 400 Watt</v>
      </c>
      <c r="F57" s="74">
        <f>'Billing Detail'!H182</f>
        <v>23.82</v>
      </c>
      <c r="G57" s="74">
        <f>'Billing Detail'!L182</f>
        <v>24.66</v>
      </c>
      <c r="H57" s="74">
        <f t="shared" si="0"/>
        <v>0.83999999999999986</v>
      </c>
      <c r="I57" s="4">
        <f t="shared" si="1"/>
        <v>3.5264483627204024E-2</v>
      </c>
    </row>
    <row r="58" spans="3:9" x14ac:dyDescent="0.2">
      <c r="E58" s="2" t="str">
        <f>'Billing Detail'!D183</f>
        <v>Sodium Vapor 1000 Watt</v>
      </c>
      <c r="F58" s="74">
        <f>'Billing Detail'!H183</f>
        <v>51.85</v>
      </c>
      <c r="G58" s="74">
        <f>'Billing Detail'!L183</f>
        <v>53.68</v>
      </c>
      <c r="H58" s="74">
        <f t="shared" si="0"/>
        <v>1.8299999999999983</v>
      </c>
      <c r="I58" s="4">
        <f t="shared" si="1"/>
        <v>3.5294117647058788E-2</v>
      </c>
    </row>
    <row r="59" spans="3:9" x14ac:dyDescent="0.2">
      <c r="E59" s="2" t="str">
        <f>'Billing Detail'!D184</f>
        <v>LED Light 70 Watt</v>
      </c>
      <c r="F59" s="74">
        <f>'Billing Detail'!H184</f>
        <v>11.03</v>
      </c>
      <c r="G59" s="74">
        <f>'Billing Detail'!L184</f>
        <v>11.42</v>
      </c>
      <c r="H59" s="74">
        <f t="shared" si="0"/>
        <v>0.39000000000000057</v>
      </c>
      <c r="I59" s="4">
        <f t="shared" si="1"/>
        <v>3.5358114233907577E-2</v>
      </c>
    </row>
    <row r="60" spans="3:9" x14ac:dyDescent="0.2">
      <c r="E60" s="2" t="str">
        <f>'Billing Detail'!D185</f>
        <v>LED Light 104 Watt</v>
      </c>
      <c r="F60" s="74">
        <f>'Billing Detail'!H185</f>
        <v>16.95</v>
      </c>
      <c r="G60" s="74">
        <f>'Billing Detail'!L185</f>
        <v>17.55</v>
      </c>
      <c r="H60" s="74">
        <f t="shared" si="0"/>
        <v>0.60000000000000142</v>
      </c>
      <c r="I60" s="4">
        <f t="shared" si="1"/>
        <v>3.5398230088495658E-2</v>
      </c>
    </row>
    <row r="61" spans="3:9" x14ac:dyDescent="0.2">
      <c r="E61" s="2" t="str">
        <f>'Billing Detail'!D186</f>
        <v>LED Light 145 Watt</v>
      </c>
      <c r="F61" s="74">
        <f>'Billing Detail'!H186</f>
        <v>18.79</v>
      </c>
      <c r="G61" s="74">
        <f>'Billing Detail'!L186</f>
        <v>19.45</v>
      </c>
      <c r="H61" s="74">
        <f t="shared" si="0"/>
        <v>0.66000000000000014</v>
      </c>
      <c r="I61" s="4">
        <f t="shared" si="1"/>
        <v>3.5125066524747214E-2</v>
      </c>
    </row>
    <row r="62" spans="3:9" x14ac:dyDescent="0.2">
      <c r="E62" s="2" t="str">
        <f>'Billing Detail'!D187</f>
        <v>LED Flood Light 199 Watt</v>
      </c>
      <c r="F62" s="74">
        <f>'Billing Detail'!H187</f>
        <v>24.16</v>
      </c>
      <c r="G62" s="74">
        <f>'Billing Detail'!L187</f>
        <v>25.01</v>
      </c>
      <c r="H62" s="74">
        <f t="shared" si="0"/>
        <v>0.85000000000000142</v>
      </c>
      <c r="I62" s="4">
        <f t="shared" si="1"/>
        <v>3.5182119205298075E-2</v>
      </c>
    </row>
    <row r="63" spans="3:9" x14ac:dyDescent="0.2">
      <c r="C63" s="20" t="str">
        <f>'Billing Detail'!C210</f>
        <v>LPC-1</v>
      </c>
      <c r="D63" s="99" t="str">
        <f>'Billing Detail'!B210</f>
        <v xml:space="preserve">Schedule LPC-1 - Large Power </v>
      </c>
      <c r="F63" s="71"/>
      <c r="G63" s="71"/>
      <c r="H63" s="74"/>
      <c r="I63" s="4"/>
    </row>
    <row r="64" spans="3:9" x14ac:dyDescent="0.2">
      <c r="D64" s="99"/>
      <c r="E64" s="2" t="str">
        <f>'Billing Detail'!D211</f>
        <v>Customer Charge</v>
      </c>
      <c r="F64" s="74">
        <f>'Billing Detail'!H211</f>
        <v>1114.92</v>
      </c>
      <c r="G64" s="74">
        <f>'Billing Detail'!L211</f>
        <v>1157.1816867347161</v>
      </c>
      <c r="H64" s="74">
        <f t="shared" si="0"/>
        <v>42.261686734716022</v>
      </c>
      <c r="I64" s="4">
        <f t="shared" si="1"/>
        <v>3.7905577740749131E-2</v>
      </c>
    </row>
    <row r="65" spans="3:9" x14ac:dyDescent="0.2">
      <c r="D65" s="99"/>
      <c r="E65" s="2" t="str">
        <f>'Billing Detail'!D212</f>
        <v>Demand Charge per kW</v>
      </c>
      <c r="F65" s="74">
        <f>'Billing Detail'!H212</f>
        <v>8.66</v>
      </c>
      <c r="G65" s="74">
        <f>'Billing Detail'!L212</f>
        <v>8.9700000000000006</v>
      </c>
      <c r="H65" s="74">
        <f t="shared" si="0"/>
        <v>0.3100000000000005</v>
      </c>
      <c r="I65" s="4">
        <f t="shared" si="1"/>
        <v>3.5796766743649018E-2</v>
      </c>
    </row>
    <row r="66" spans="3:9" x14ac:dyDescent="0.2">
      <c r="D66" s="99"/>
      <c r="E66" s="2" t="str">
        <f>'Billing Detail'!D213</f>
        <v>Energy Charge per kWh</v>
      </c>
      <c r="F66" s="82">
        <f>'Billing Detail'!H213</f>
        <v>7.1446999999999997E-2</v>
      </c>
      <c r="G66" s="82">
        <f>'Billing Detail'!L213</f>
        <v>7.415523981284329E-2</v>
      </c>
      <c r="H66" s="74">
        <f t="shared" si="0"/>
        <v>2.7082398128432938E-3</v>
      </c>
      <c r="I66" s="4">
        <f t="shared" si="1"/>
        <v>3.7905577740749E-2</v>
      </c>
    </row>
    <row r="67" spans="3:9" x14ac:dyDescent="0.2">
      <c r="C67" s="20" t="str">
        <f>'Billing Detail'!C214</f>
        <v>LPC-3</v>
      </c>
      <c r="D67" s="99" t="str">
        <f>'Billing Detail'!B214</f>
        <v xml:space="preserve">Schedule LPC-3 - Large Power </v>
      </c>
      <c r="H67" s="74"/>
      <c r="I67" s="4"/>
    </row>
    <row r="68" spans="3:9" x14ac:dyDescent="0.2">
      <c r="D68" s="99"/>
      <c r="E68" s="2" t="str">
        <f>'Billing Detail'!D215</f>
        <v>Customer Charge</v>
      </c>
      <c r="F68" s="74">
        <f>'Billing Detail'!H215</f>
        <v>3222.96</v>
      </c>
      <c r="G68" s="74">
        <f>'Billing Detail'!L215</f>
        <v>3345.1281608353247</v>
      </c>
      <c r="H68" s="74">
        <f t="shared" si="0"/>
        <v>122.16816083532467</v>
      </c>
      <c r="I68" s="4">
        <f t="shared" si="1"/>
        <v>3.7905577740749083E-2</v>
      </c>
    </row>
    <row r="69" spans="3:9" x14ac:dyDescent="0.2">
      <c r="D69" s="99"/>
      <c r="E69" s="2" t="str">
        <f>'Billing Detail'!D216</f>
        <v>Demand Charge per kW</v>
      </c>
      <c r="F69" s="74">
        <f>'Billing Detail'!H216</f>
        <v>8.66</v>
      </c>
      <c r="G69" s="74">
        <f>'Billing Detail'!L216</f>
        <v>8.9700000000000006</v>
      </c>
      <c r="H69" s="74">
        <f t="shared" ref="H69:H98" si="2">G69-F69</f>
        <v>0.3100000000000005</v>
      </c>
      <c r="I69" s="4">
        <f t="shared" ref="I69:I98" si="3">H69/F69</f>
        <v>3.5796766743649018E-2</v>
      </c>
    </row>
    <row r="70" spans="3:9" x14ac:dyDescent="0.2">
      <c r="D70" s="99"/>
      <c r="E70" s="2" t="str">
        <f>'Billing Detail'!D217</f>
        <v>Energy Charge per kWh</v>
      </c>
      <c r="F70" s="82">
        <f>'Billing Detail'!H217</f>
        <v>6.7615999999999996E-2</v>
      </c>
      <c r="G70" s="82">
        <f>'Billing Detail'!L217</f>
        <v>7.0179023544518493E-2</v>
      </c>
      <c r="H70" s="74">
        <f t="shared" si="2"/>
        <v>2.5630235445184973E-3</v>
      </c>
      <c r="I70" s="4">
        <f t="shared" si="3"/>
        <v>3.7905577740749194E-2</v>
      </c>
    </row>
    <row r="71" spans="3:9" x14ac:dyDescent="0.2">
      <c r="C71" s="20" t="str">
        <f>'Billing Detail'!C218</f>
        <v>LPC-4</v>
      </c>
      <c r="D71" s="99" t="str">
        <f>'Billing Detail'!B218</f>
        <v xml:space="preserve">Schedule LPC-4 - Large Power </v>
      </c>
      <c r="H71" s="74"/>
      <c r="I71" s="4"/>
    </row>
    <row r="72" spans="3:9" x14ac:dyDescent="0.2">
      <c r="D72" s="99"/>
      <c r="E72" s="2" t="str">
        <f>'Billing Detail'!D219</f>
        <v>Customer Charge</v>
      </c>
      <c r="F72" s="74">
        <f>'Billing Detail'!H219</f>
        <v>3528.03</v>
      </c>
      <c r="G72" s="74">
        <f>'Billing Detail'!L219</f>
        <v>3661.762015436695</v>
      </c>
      <c r="H72" s="74">
        <f t="shared" si="2"/>
        <v>133.73201543669484</v>
      </c>
      <c r="I72" s="4">
        <f t="shared" si="3"/>
        <v>3.7905577740749041E-2</v>
      </c>
    </row>
    <row r="73" spans="3:9" x14ac:dyDescent="0.2">
      <c r="D73" s="99"/>
      <c r="E73" s="2" t="str">
        <f>'Billing Detail'!D220</f>
        <v>Demand Charge per kW</v>
      </c>
      <c r="F73" s="74">
        <f>'Billing Detail'!H220</f>
        <v>8.66</v>
      </c>
      <c r="G73" s="74">
        <f>'Billing Detail'!L220</f>
        <v>8.9700000000000006</v>
      </c>
      <c r="H73" s="74">
        <f t="shared" si="2"/>
        <v>0.3100000000000005</v>
      </c>
      <c r="I73" s="4">
        <f t="shared" si="3"/>
        <v>3.5796766743649018E-2</v>
      </c>
    </row>
    <row r="74" spans="3:9" x14ac:dyDescent="0.2">
      <c r="D74" s="99"/>
      <c r="E74" s="2" t="str">
        <f>'Billing Detail'!D221</f>
        <v>Energy Charge per kWh</v>
      </c>
      <c r="F74" s="82">
        <f>'Billing Detail'!H221</f>
        <v>6.4879000000000006E-2</v>
      </c>
      <c r="G74" s="82">
        <f>'Billing Detail'!L221</f>
        <v>6.7338275978242074E-2</v>
      </c>
      <c r="H74" s="74">
        <f t="shared" si="2"/>
        <v>2.4592759782420676E-3</v>
      </c>
      <c r="I74" s="4">
        <f t="shared" si="3"/>
        <v>3.7905577740749201E-2</v>
      </c>
    </row>
    <row r="75" spans="3:9" x14ac:dyDescent="0.2">
      <c r="C75" s="20" t="str">
        <f>'Billing Detail'!C222</f>
        <v>LPC-5</v>
      </c>
      <c r="D75" s="99" t="str">
        <f>'Billing Detail'!B222</f>
        <v xml:space="preserve">Schedule LPC-5 - Large Power </v>
      </c>
      <c r="H75" s="74"/>
      <c r="I75" s="4"/>
    </row>
    <row r="76" spans="3:9" x14ac:dyDescent="0.2">
      <c r="D76" s="99"/>
      <c r="E76" s="2" t="str">
        <f>'Billing Detail'!D223</f>
        <v>Customer Charge</v>
      </c>
      <c r="F76" s="74">
        <f>'Billing Detail'!H223</f>
        <v>4939.24</v>
      </c>
      <c r="G76" s="74">
        <f>'Billing Detail'!L223</f>
        <v>5126.4647458002173</v>
      </c>
      <c r="H76" s="74">
        <f t="shared" si="2"/>
        <v>187.22474580021753</v>
      </c>
      <c r="I76" s="4">
        <f t="shared" si="3"/>
        <v>3.790557774074909E-2</v>
      </c>
    </row>
    <row r="77" spans="3:9" x14ac:dyDescent="0.2">
      <c r="D77" s="99"/>
      <c r="E77" s="2" t="str">
        <f>'Billing Detail'!D224</f>
        <v>Demand Charge per kW</v>
      </c>
      <c r="F77" s="74">
        <f>'Billing Detail'!H224</f>
        <v>8.66</v>
      </c>
      <c r="G77" s="74">
        <f>'Billing Detail'!L224</f>
        <v>8.9700000000000006</v>
      </c>
      <c r="H77" s="74">
        <f t="shared" si="2"/>
        <v>0.3100000000000005</v>
      </c>
      <c r="I77" s="4">
        <f t="shared" si="3"/>
        <v>3.5796766743649018E-2</v>
      </c>
    </row>
    <row r="78" spans="3:9" x14ac:dyDescent="0.2">
      <c r="D78" s="99"/>
      <c r="E78" s="2" t="str">
        <f>'Billing Detail'!D225</f>
        <v>Energy Charge per kWh</v>
      </c>
      <c r="F78" s="82">
        <f>'Billing Detail'!H225</f>
        <v>6.2142999999999997E-2</v>
      </c>
      <c r="G78" s="82">
        <f>'Billing Detail'!L225</f>
        <v>6.4498566317543374E-2</v>
      </c>
      <c r="H78" s="74">
        <f t="shared" si="2"/>
        <v>2.3555663175433769E-3</v>
      </c>
      <c r="I78" s="4">
        <f t="shared" si="3"/>
        <v>3.7905577740749194E-2</v>
      </c>
    </row>
    <row r="79" spans="3:9" x14ac:dyDescent="0.2">
      <c r="C79" s="20" t="str">
        <f>'Billing Detail'!C226</f>
        <v>LPE-1</v>
      </c>
      <c r="D79" s="99" t="str">
        <f>'Billing Detail'!B226</f>
        <v>Schedule LPE-1  - Large Power TOD</v>
      </c>
      <c r="F79" s="71"/>
      <c r="G79" s="71"/>
      <c r="H79" s="74"/>
      <c r="I79" s="4"/>
    </row>
    <row r="80" spans="3:9" x14ac:dyDescent="0.2">
      <c r="D80" s="99"/>
      <c r="E80" s="2" t="str">
        <f>'Billing Detail'!D227</f>
        <v>Customer Charge</v>
      </c>
      <c r="F80" s="74">
        <f>'Billing Detail'!H227</f>
        <v>1114.92</v>
      </c>
      <c r="G80" s="74">
        <f>'Billing Detail'!L227</f>
        <v>1157.1816867347161</v>
      </c>
      <c r="H80" s="74">
        <f t="shared" si="2"/>
        <v>42.261686734716022</v>
      </c>
      <c r="I80" s="4">
        <f t="shared" si="3"/>
        <v>3.7905577740749131E-2</v>
      </c>
    </row>
    <row r="81" spans="3:9" x14ac:dyDescent="0.2">
      <c r="D81" s="99"/>
      <c r="E81" s="2" t="str">
        <f>'Billing Detail'!D228</f>
        <v>Demand Charge per kW</v>
      </c>
      <c r="F81" s="74">
        <f>'Billing Detail'!H228</f>
        <v>7.26</v>
      </c>
      <c r="G81" s="74">
        <f>'Billing Detail'!L228</f>
        <v>7.52</v>
      </c>
      <c r="H81" s="74">
        <f t="shared" si="2"/>
        <v>0.25999999999999979</v>
      </c>
      <c r="I81" s="4">
        <f t="shared" si="3"/>
        <v>3.5812672176308513E-2</v>
      </c>
    </row>
    <row r="82" spans="3:9" x14ac:dyDescent="0.2">
      <c r="D82" s="99"/>
      <c r="E82" s="2" t="str">
        <f>'Billing Detail'!D229</f>
        <v>Energy Charge On Peak per kWh</v>
      </c>
      <c r="F82" s="82">
        <f>'Billing Detail'!H229</f>
        <v>8.2650000000000001E-2</v>
      </c>
      <c r="G82" s="82">
        <f>'Billing Detail'!L229</f>
        <v>8.5782896000272918E-2</v>
      </c>
      <c r="H82" s="74">
        <f t="shared" si="2"/>
        <v>3.1328960002729167E-3</v>
      </c>
      <c r="I82" s="4">
        <f t="shared" si="3"/>
        <v>3.7905577740749145E-2</v>
      </c>
    </row>
    <row r="83" spans="3:9" x14ac:dyDescent="0.2">
      <c r="D83" s="99"/>
      <c r="E83" s="2" t="str">
        <f>'Billing Detail'!D230</f>
        <v>Energy Charge Off Peak per kWh</v>
      </c>
      <c r="F83" s="82">
        <f>'Billing Detail'!H230</f>
        <v>7.3436000000000001E-2</v>
      </c>
      <c r="G83" s="82">
        <f>'Billing Detail'!L230</f>
        <v>7.6219634006969655E-2</v>
      </c>
      <c r="H83" s="74">
        <f t="shared" si="2"/>
        <v>2.7836340069696541E-3</v>
      </c>
      <c r="I83" s="4">
        <f t="shared" si="3"/>
        <v>3.7905577740749145E-2</v>
      </c>
    </row>
    <row r="84" spans="3:9" x14ac:dyDescent="0.2">
      <c r="C84" s="20" t="str">
        <f>'Billing Detail'!C231</f>
        <v>LPE-2</v>
      </c>
      <c r="D84" s="99" t="str">
        <f>'Billing Detail'!B231</f>
        <v>Schedule LPE-2  - Large Power TOD</v>
      </c>
      <c r="F84" s="71"/>
      <c r="G84" s="71"/>
      <c r="H84" s="74"/>
      <c r="I84" s="4"/>
    </row>
    <row r="85" spans="3:9" x14ac:dyDescent="0.2">
      <c r="D85" s="99"/>
      <c r="E85" s="2" t="str">
        <f>'Billing Detail'!D232</f>
        <v>Customer Charge</v>
      </c>
      <c r="F85" s="74">
        <f>'Billing Detail'!H232</f>
        <v>1413.4</v>
      </c>
      <c r="G85" s="74">
        <f>'Billing Detail'!L232</f>
        <v>1466.9757435787749</v>
      </c>
      <c r="H85" s="74">
        <f t="shared" si="2"/>
        <v>53.575743578774791</v>
      </c>
      <c r="I85" s="4">
        <f t="shared" si="3"/>
        <v>3.7905577740749104E-2</v>
      </c>
    </row>
    <row r="86" spans="3:9" x14ac:dyDescent="0.2">
      <c r="D86" s="99"/>
      <c r="E86" s="2" t="str">
        <f>'Billing Detail'!D233</f>
        <v>Demand Charge per kW</v>
      </c>
      <c r="F86" s="74">
        <f>'Billing Detail'!H233</f>
        <v>7.26</v>
      </c>
      <c r="G86" s="74">
        <f>'Billing Detail'!L233</f>
        <v>7.52</v>
      </c>
      <c r="H86" s="74">
        <f t="shared" si="2"/>
        <v>0.25999999999999979</v>
      </c>
      <c r="I86" s="4">
        <f t="shared" si="3"/>
        <v>3.5812672176308513E-2</v>
      </c>
    </row>
    <row r="87" spans="3:9" x14ac:dyDescent="0.2">
      <c r="D87" s="99"/>
      <c r="E87" s="2" t="str">
        <f>'Billing Detail'!D234</f>
        <v>Energy Charge On Peak per kWh</v>
      </c>
      <c r="F87" s="82">
        <f>'Billing Detail'!H234</f>
        <v>8.0466999999999997E-2</v>
      </c>
      <c r="G87" s="82">
        <f>'Billing Detail'!L234</f>
        <v>8.3517148124064855E-2</v>
      </c>
      <c r="H87" s="74">
        <f t="shared" si="2"/>
        <v>3.0501481240648581E-3</v>
      </c>
      <c r="I87" s="4">
        <f t="shared" si="3"/>
        <v>3.7905577740749104E-2</v>
      </c>
    </row>
    <row r="88" spans="3:9" x14ac:dyDescent="0.2">
      <c r="D88" s="99"/>
      <c r="E88" s="2" t="str">
        <f>'Billing Detail'!D235</f>
        <v>Energy Charge Off Peak per kWh</v>
      </c>
      <c r="F88" s="82">
        <f>'Billing Detail'!H235</f>
        <v>7.1242E-2</v>
      </c>
      <c r="G88" s="82">
        <f>'Billing Detail'!L235</f>
        <v>7.3942469169406444E-2</v>
      </c>
      <c r="H88" s="74">
        <f t="shared" si="2"/>
        <v>2.7004691694064442E-3</v>
      </c>
      <c r="I88" s="4">
        <f t="shared" si="3"/>
        <v>3.7905577740749055E-2</v>
      </c>
    </row>
    <row r="89" spans="3:9" x14ac:dyDescent="0.2">
      <c r="C89" s="20" t="str">
        <f>'Billing Detail'!C236</f>
        <v>LPE-3</v>
      </c>
      <c r="D89" s="99" t="str">
        <f>'Billing Detail'!B236</f>
        <v>Schedule LPE-3  - Large Power TOD</v>
      </c>
      <c r="F89" s="71"/>
      <c r="G89" s="71"/>
      <c r="H89" s="74"/>
      <c r="I89" s="4"/>
    </row>
    <row r="90" spans="3:9" x14ac:dyDescent="0.2">
      <c r="D90" s="99"/>
      <c r="E90" s="2" t="str">
        <f>'Billing Detail'!D237</f>
        <v>Customer Charge</v>
      </c>
      <c r="F90" s="74">
        <f>'Billing Detail'!H237</f>
        <v>3222.96</v>
      </c>
      <c r="G90" s="74">
        <f>'Billing Detail'!L237</f>
        <v>3345.1281608353247</v>
      </c>
      <c r="H90" s="74">
        <f t="shared" si="2"/>
        <v>122.16816083532467</v>
      </c>
      <c r="I90" s="4">
        <f t="shared" si="3"/>
        <v>3.7905577740749083E-2</v>
      </c>
    </row>
    <row r="91" spans="3:9" x14ac:dyDescent="0.2">
      <c r="D91" s="99"/>
      <c r="E91" s="2" t="str">
        <f>'Billing Detail'!D238</f>
        <v>Demand Charge per kW</v>
      </c>
      <c r="F91" s="74">
        <f>'Billing Detail'!H238</f>
        <v>7.26</v>
      </c>
      <c r="G91" s="74">
        <f>'Billing Detail'!L238</f>
        <v>7.52</v>
      </c>
      <c r="H91" s="74">
        <f t="shared" si="2"/>
        <v>0.25999999999999979</v>
      </c>
      <c r="I91" s="4">
        <f t="shared" si="3"/>
        <v>3.5812672176308513E-2</v>
      </c>
    </row>
    <row r="92" spans="3:9" x14ac:dyDescent="0.2">
      <c r="D92" s="99"/>
      <c r="E92" s="2" t="str">
        <f>'Billing Detail'!D239</f>
        <v>Energy Charge On Peak per kWh</v>
      </c>
      <c r="F92" s="82">
        <f>'Billing Detail'!H239</f>
        <v>7.8828999999999996E-2</v>
      </c>
      <c r="G92" s="82">
        <f>'Billing Detail'!L239</f>
        <v>8.1817058787725508E-2</v>
      </c>
      <c r="H92" s="74">
        <f t="shared" si="2"/>
        <v>2.9880587877255116E-3</v>
      </c>
      <c r="I92" s="4">
        <f t="shared" si="3"/>
        <v>3.7905577740749111E-2</v>
      </c>
    </row>
    <row r="93" spans="3:9" x14ac:dyDescent="0.2">
      <c r="D93" s="99"/>
      <c r="E93" s="2" t="str">
        <f>'Billing Detail'!D240</f>
        <v>Energy Charge Off Peak per kWh</v>
      </c>
      <c r="F93" s="82">
        <f>'Billing Detail'!H240</f>
        <v>6.9595000000000004E-2</v>
      </c>
      <c r="G93" s="82">
        <f>'Billing Detail'!L240</f>
        <v>7.2233038682867443E-2</v>
      </c>
      <c r="H93" s="74">
        <f t="shared" si="2"/>
        <v>2.6380386828674385E-3</v>
      </c>
      <c r="I93" s="4">
        <f t="shared" si="3"/>
        <v>3.7905577740749166E-2</v>
      </c>
    </row>
    <row r="94" spans="3:9" x14ac:dyDescent="0.2">
      <c r="C94" s="20" t="str">
        <f>'Billing Detail'!C241</f>
        <v>LPE-5</v>
      </c>
      <c r="D94" s="99" t="str">
        <f>'Billing Detail'!B241</f>
        <v>Schedule LPE-5  - Large Power TOD</v>
      </c>
      <c r="F94" s="71"/>
      <c r="G94" s="71"/>
      <c r="H94" s="74"/>
      <c r="I94" s="4"/>
    </row>
    <row r="95" spans="3:9" x14ac:dyDescent="0.2">
      <c r="D95" s="99"/>
      <c r="E95" s="2" t="str">
        <f>'Billing Detail'!D242</f>
        <v>Customer Charge</v>
      </c>
      <c r="F95" s="74">
        <f>'Billing Detail'!H242</f>
        <v>4939.24</v>
      </c>
      <c r="G95" s="74">
        <f>'Billing Detail'!L242</f>
        <v>5126.4647458002173</v>
      </c>
      <c r="H95" s="74">
        <f t="shared" si="2"/>
        <v>187.22474580021753</v>
      </c>
      <c r="I95" s="4">
        <f t="shared" si="3"/>
        <v>3.790557774074909E-2</v>
      </c>
    </row>
    <row r="96" spans="3:9" x14ac:dyDescent="0.2">
      <c r="D96" s="99"/>
      <c r="E96" s="2" t="str">
        <f>'Billing Detail'!D243</f>
        <v>Demand Charge per kW</v>
      </c>
      <c r="F96" s="74">
        <f>'Billing Detail'!H243</f>
        <v>7.26</v>
      </c>
      <c r="G96" s="74">
        <f>'Billing Detail'!L243</f>
        <v>7.52</v>
      </c>
      <c r="H96" s="74">
        <f t="shared" si="2"/>
        <v>0.25999999999999979</v>
      </c>
      <c r="I96" s="4">
        <f t="shared" si="3"/>
        <v>3.5812672176308513E-2</v>
      </c>
    </row>
    <row r="97" spans="3:9" x14ac:dyDescent="0.2">
      <c r="D97" s="99"/>
      <c r="E97" s="2" t="str">
        <f>'Billing Detail'!D244</f>
        <v>Energy Charge On Peak per kWh</v>
      </c>
      <c r="F97" s="82">
        <f>'Billing Detail'!H244</f>
        <v>7.8828999999999996E-2</v>
      </c>
      <c r="G97" s="82">
        <f>'Billing Detail'!L244</f>
        <v>8.1817058787725508E-2</v>
      </c>
      <c r="H97" s="74">
        <f t="shared" si="2"/>
        <v>2.9880587877255116E-3</v>
      </c>
      <c r="I97" s="4">
        <f t="shared" si="3"/>
        <v>3.7905577740749111E-2</v>
      </c>
    </row>
    <row r="98" spans="3:9" x14ac:dyDescent="0.2">
      <c r="D98" s="99"/>
      <c r="E98" s="2" t="str">
        <f>'Billing Detail'!D245</f>
        <v>Energy Charge Off Peak per kWh</v>
      </c>
      <c r="F98" s="82">
        <f>'Billing Detail'!H245</f>
        <v>6.4108999999999999E-2</v>
      </c>
      <c r="G98" s="82">
        <f>'Billing Detail'!L245</f>
        <v>6.6539088683381681E-2</v>
      </c>
      <c r="H98" s="74">
        <f t="shared" si="2"/>
        <v>2.4300886833816815E-3</v>
      </c>
      <c r="I98" s="4">
        <f t="shared" si="3"/>
        <v>3.7905577740749062E-2</v>
      </c>
    </row>
    <row r="99" spans="3:9" x14ac:dyDescent="0.2">
      <c r="C99" s="20" t="str">
        <f>'Billing Detail'!C246</f>
        <v>LPG-1</v>
      </c>
      <c r="D99" s="99" t="str">
        <f>'Billing Detail'!B246</f>
        <v>Schedule LPG-1 - Large Power</v>
      </c>
      <c r="F99" s="82"/>
      <c r="G99" s="82"/>
      <c r="H99" s="74"/>
      <c r="I99" s="4"/>
    </row>
    <row r="100" spans="3:9" x14ac:dyDescent="0.2">
      <c r="E100" s="2" t="str">
        <f>'Billing Detail'!D247</f>
        <v>Customer Charge</v>
      </c>
      <c r="F100" s="74">
        <f>'Billing Detail'!H247</f>
        <v>4659.66</v>
      </c>
      <c r="G100" s="74">
        <f>'Billing Detail'!L247</f>
        <v>6013</v>
      </c>
      <c r="H100" s="74">
        <f t="shared" ref="H100:H102" si="4">G100-F100</f>
        <v>1353.3400000000001</v>
      </c>
      <c r="I100" s="4">
        <f t="shared" ref="I100:I102" si="5">H100/F100</f>
        <v>0.2904374997317401</v>
      </c>
    </row>
    <row r="101" spans="3:9" x14ac:dyDescent="0.2">
      <c r="E101" s="2" t="str">
        <f>'Billing Detail'!D248</f>
        <v>Demand Charge per kW</v>
      </c>
      <c r="F101" s="74">
        <f>'Billing Detail'!H248</f>
        <v>7.3</v>
      </c>
      <c r="G101" s="74">
        <f>'Billing Detail'!L248</f>
        <v>8.91</v>
      </c>
      <c r="H101" s="74">
        <f t="shared" si="4"/>
        <v>1.6100000000000003</v>
      </c>
      <c r="I101" s="4">
        <f t="shared" si="5"/>
        <v>0.22054794520547949</v>
      </c>
    </row>
    <row r="102" spans="3:9" x14ac:dyDescent="0.2">
      <c r="E102" s="2" t="str">
        <f>'Billing Detail'!D249</f>
        <v>Energy Charge per kWh</v>
      </c>
      <c r="F102" s="82">
        <f>'Billing Detail'!H249</f>
        <v>5.1630000000000002E-2</v>
      </c>
      <c r="G102" s="82">
        <f>'Billing Detail'!L249</f>
        <v>5.4644000000000005E-2</v>
      </c>
      <c r="H102" s="74">
        <f t="shared" si="4"/>
        <v>3.0140000000000028E-3</v>
      </c>
      <c r="I102" s="4">
        <f t="shared" si="5"/>
        <v>5.8376912647685505E-2</v>
      </c>
    </row>
    <row r="103" spans="3:9" x14ac:dyDescent="0.2">
      <c r="D103" s="99" t="str">
        <f>'Billing Detail'!B250</f>
        <v>Interruptible Service</v>
      </c>
      <c r="F103" s="82"/>
      <c r="G103" s="82"/>
      <c r="H103" s="74"/>
      <c r="I103" s="4"/>
    </row>
    <row r="104" spans="3:9" x14ac:dyDescent="0.2">
      <c r="E104" s="2" t="str">
        <f>'Billing Detail'!D251</f>
        <v>Demand Credit per kW - 200 Hrs</v>
      </c>
      <c r="F104" s="74">
        <f>'Billing Detail'!H251</f>
        <v>4.2</v>
      </c>
      <c r="G104" s="74">
        <f>'Billing Detail'!L251</f>
        <v>6.2</v>
      </c>
      <c r="H104" s="74">
        <f t="shared" ref="H104:H106" si="6">G104-F104</f>
        <v>2</v>
      </c>
      <c r="I104" s="4">
        <f t="shared" ref="I104:I106" si="7">H104/F104</f>
        <v>0.47619047619047616</v>
      </c>
    </row>
    <row r="105" spans="3:9" x14ac:dyDescent="0.2">
      <c r="E105" s="2" t="str">
        <f>'Billing Detail'!D252</f>
        <v>Demand Credit per kW - 300 Hrs</v>
      </c>
      <c r="F105" s="74">
        <f>'Billing Detail'!H252</f>
        <v>4.9000000000000004</v>
      </c>
      <c r="G105" s="74">
        <f>'Billing Detail'!L252</f>
        <v>6.9</v>
      </c>
      <c r="H105" s="74">
        <f t="shared" si="6"/>
        <v>2</v>
      </c>
      <c r="I105" s="4">
        <f t="shared" si="7"/>
        <v>0.4081632653061224</v>
      </c>
    </row>
    <row r="106" spans="3:9" x14ac:dyDescent="0.2">
      <c r="E106" s="2" t="str">
        <f>'Billing Detail'!D253</f>
        <v>Demand Credit per kW - 400 Hrs</v>
      </c>
      <c r="F106" s="74">
        <f>'Billing Detail'!H253</f>
        <v>5.6</v>
      </c>
      <c r="G106" s="74">
        <f>'Billing Detail'!L253</f>
        <v>7.6</v>
      </c>
      <c r="H106" s="74">
        <f t="shared" si="6"/>
        <v>2</v>
      </c>
      <c r="I106" s="4">
        <f t="shared" si="7"/>
        <v>0.35714285714285715</v>
      </c>
    </row>
    <row r="107" spans="3:9" x14ac:dyDescent="0.2">
      <c r="F107" s="74"/>
      <c r="G107" s="74"/>
    </row>
    <row r="108" spans="3:9" x14ac:dyDescent="0.2">
      <c r="F108" s="74"/>
      <c r="G108" s="74"/>
    </row>
    <row r="109" spans="3:9" ht="41.45" customHeight="1" x14ac:dyDescent="0.2">
      <c r="C109" s="163" t="s">
        <v>83</v>
      </c>
      <c r="D109" s="163"/>
      <c r="E109" s="163"/>
      <c r="F109" s="163"/>
      <c r="G109" s="163"/>
    </row>
    <row r="110" spans="3:9" x14ac:dyDescent="0.2">
      <c r="F110" s="164" t="s">
        <v>84</v>
      </c>
      <c r="G110" s="164"/>
    </row>
    <row r="111" spans="3:9" x14ac:dyDescent="0.2">
      <c r="C111" s="88" t="s">
        <v>85</v>
      </c>
      <c r="D111" s="100"/>
      <c r="E111" s="83"/>
      <c r="F111" s="84" t="s">
        <v>86</v>
      </c>
      <c r="G111" s="84" t="s">
        <v>87</v>
      </c>
    </row>
    <row r="112" spans="3:9" x14ac:dyDescent="0.2">
      <c r="C112" s="89">
        <f>Summary!C10</f>
        <v>1</v>
      </c>
      <c r="D112" s="3" t="str">
        <f>Summary!B10</f>
        <v xml:space="preserve">Residential </v>
      </c>
      <c r="F112" s="85">
        <f>Summary!L10</f>
        <v>1297830.1042800033</v>
      </c>
      <c r="G112" s="86">
        <f>Summary!N10</f>
        <v>3.1805271848702507E-2</v>
      </c>
    </row>
    <row r="113" spans="3:8" x14ac:dyDescent="0.2">
      <c r="C113" s="89">
        <f>Summary!C11</f>
        <v>3</v>
      </c>
      <c r="D113" s="3" t="str">
        <f>Summary!B11</f>
        <v>Residential TOD</v>
      </c>
      <c r="F113" s="85">
        <f>Summary!L11</f>
        <v>46.754107999999974</v>
      </c>
      <c r="G113" s="86">
        <f>Summary!N11</f>
        <v>3.1739646961483944E-2</v>
      </c>
      <c r="H113" s="1"/>
    </row>
    <row r="114" spans="3:8" x14ac:dyDescent="0.2">
      <c r="C114" s="89">
        <f>Summary!C12</f>
        <v>20</v>
      </c>
      <c r="D114" s="3" t="str">
        <f>Summary!B12</f>
        <v>Net Metering</v>
      </c>
      <c r="F114" s="85">
        <f>Summary!L12</f>
        <v>5481.7564050000037</v>
      </c>
      <c r="G114" s="86">
        <f>Summary!N12</f>
        <v>3.4907185129320728E-2</v>
      </c>
      <c r="H114" s="1"/>
    </row>
    <row r="115" spans="3:8" x14ac:dyDescent="0.2">
      <c r="C115" s="89">
        <f>Summary!C13</f>
        <v>7</v>
      </c>
      <c r="D115" s="3" t="str">
        <f>Summary!B13</f>
        <v>Residential Off-Peak Mktg ETS</v>
      </c>
      <c r="F115" s="85">
        <f>Summary!L13</f>
        <v>781.85680199999842</v>
      </c>
      <c r="G115" s="86">
        <f>Summary!N13</f>
        <v>3.1358486533619022E-2</v>
      </c>
      <c r="H115" s="1"/>
    </row>
    <row r="116" spans="3:8" x14ac:dyDescent="0.2">
      <c r="C116" s="89">
        <f>Summary!C14</f>
        <v>4</v>
      </c>
      <c r="D116" s="3" t="str">
        <f>Summary!B14</f>
        <v>Commercial &amp; Industrial &lt; 50 KW</v>
      </c>
      <c r="F116" s="85">
        <f>Summary!L14</f>
        <v>130512.71231999993</v>
      </c>
      <c r="G116" s="86">
        <f>Summary!N14</f>
        <v>3.1885761423627625E-2</v>
      </c>
      <c r="H116" s="1"/>
    </row>
    <row r="117" spans="3:8" x14ac:dyDescent="0.2">
      <c r="C117" s="89">
        <f>Summary!C15</f>
        <v>5</v>
      </c>
      <c r="D117" s="3" t="str">
        <f>Summary!B15</f>
        <v>Commercial &amp; Industrial &gt; 50 KW</v>
      </c>
      <c r="F117" s="85">
        <f>Summary!L15</f>
        <v>206236.87242415582</v>
      </c>
      <c r="G117" s="86">
        <f>Summary!N15</f>
        <v>3.189025747682963E-2</v>
      </c>
      <c r="H117" s="1"/>
    </row>
    <row r="118" spans="3:8" x14ac:dyDescent="0.2">
      <c r="C118" s="89">
        <f>Summary!C16</f>
        <v>9</v>
      </c>
      <c r="D118" s="3" t="str">
        <f>Summary!B16</f>
        <v>Large Commercial &amp; Industrial w/Pri Disc</v>
      </c>
      <c r="F118" s="85">
        <f>Summary!L16</f>
        <v>77043.977230379896</v>
      </c>
      <c r="G118" s="86">
        <f>Summary!N16</f>
        <v>3.1858939582623549E-2</v>
      </c>
      <c r="H118" s="1"/>
    </row>
    <row r="119" spans="3:8" x14ac:dyDescent="0.2">
      <c r="C119" s="89">
        <f>Summary!C25</f>
        <v>10</v>
      </c>
      <c r="D119" s="3" t="str">
        <f>Summary!B25</f>
        <v>Large Industrial</v>
      </c>
      <c r="F119" s="85">
        <f>Summary!L25</f>
        <v>244723.46880000041</v>
      </c>
      <c r="G119" s="86">
        <f>Summary!N25</f>
        <v>7.6017813112735602E-2</v>
      </c>
      <c r="H119" s="1"/>
    </row>
    <row r="120" spans="3:8" x14ac:dyDescent="0.2">
      <c r="C120" s="89">
        <f>Summary!C17</f>
        <v>14</v>
      </c>
      <c r="D120" s="3" t="str">
        <f>Summary!B17</f>
        <v>Large Power Schedule LPC2</v>
      </c>
      <c r="F120" s="85">
        <f>Summary!L17</f>
        <v>25224.973199999862</v>
      </c>
      <c r="G120" s="86">
        <f>Summary!N17</f>
        <v>3.1949139349952582E-2</v>
      </c>
      <c r="H120" s="1"/>
    </row>
    <row r="121" spans="3:8" x14ac:dyDescent="0.2">
      <c r="C121" s="89">
        <f>Summary!C18</f>
        <v>15</v>
      </c>
      <c r="D121" s="3" t="str">
        <f>Summary!B18</f>
        <v>Large Commercial Optional TOD</v>
      </c>
      <c r="F121" s="85">
        <f>Summary!L18</f>
        <v>3998.3648000000021</v>
      </c>
      <c r="G121" s="86">
        <f>Summary!N18</f>
        <v>3.1752719082396498E-2</v>
      </c>
      <c r="H121" s="1"/>
    </row>
    <row r="122" spans="3:8" x14ac:dyDescent="0.2">
      <c r="C122" s="89">
        <f>Summary!C19</f>
        <v>36</v>
      </c>
      <c r="D122" s="3" t="str">
        <f>Summary!B19</f>
        <v>Large Power Schedule LPE4</v>
      </c>
      <c r="F122" s="85">
        <f>Summary!L19</f>
        <v>62996.628204999914</v>
      </c>
      <c r="G122" s="86">
        <f>Summary!N19</f>
        <v>3.1972653690009747E-2</v>
      </c>
      <c r="H122" s="1"/>
    </row>
    <row r="123" spans="3:8" x14ac:dyDescent="0.2">
      <c r="C123" s="89">
        <f>Summary!C20</f>
        <v>50</v>
      </c>
      <c r="D123" s="3" t="str">
        <f>Summary!B20</f>
        <v>TOD Three Phase - Schedule C</v>
      </c>
      <c r="F123" s="85">
        <f>Summary!L20</f>
        <v>1229.8801539999986</v>
      </c>
      <c r="G123" s="86">
        <f>Summary!N20</f>
        <v>3.1576468769466071E-2</v>
      </c>
      <c r="H123" s="1"/>
    </row>
    <row r="124" spans="3:8" x14ac:dyDescent="0.2">
      <c r="C124" s="89">
        <f>Summary!C21</f>
        <v>6</v>
      </c>
      <c r="D124" s="3" t="str">
        <f>Summary!B21</f>
        <v>Street Lighting</v>
      </c>
      <c r="F124" s="85">
        <f>Summary!L21</f>
        <v>812.71663199999603</v>
      </c>
      <c r="G124" s="86">
        <f>Summary!N21</f>
        <v>2.408108447973744E-2</v>
      </c>
      <c r="H124" s="1"/>
    </row>
    <row r="125" spans="3:8" x14ac:dyDescent="0.2">
      <c r="C125" s="89">
        <f>Summary!C22</f>
        <v>6</v>
      </c>
      <c r="D125" s="3" t="str">
        <f>Summary!B22</f>
        <v>Lighting</v>
      </c>
      <c r="F125" s="85">
        <f>Summary!L22</f>
        <v>39205.500000000233</v>
      </c>
      <c r="G125" s="86">
        <f>Summary!N22</f>
        <v>3.5449000280867005E-2</v>
      </c>
      <c r="H125" s="1"/>
    </row>
    <row r="126" spans="3:8" x14ac:dyDescent="0.2">
      <c r="C126" s="89"/>
      <c r="D126" s="149" t="s">
        <v>130</v>
      </c>
      <c r="E126" s="52"/>
      <c r="F126" s="150">
        <f>Summary!L36</f>
        <v>2096125.5653605461</v>
      </c>
      <c r="G126" s="151">
        <f>Summary!M27</f>
        <v>3.5336009179865444E-2</v>
      </c>
    </row>
    <row r="128" spans="3:8" ht="40.15" customHeight="1" x14ac:dyDescent="0.2">
      <c r="C128" s="163" t="s">
        <v>88</v>
      </c>
      <c r="D128" s="163"/>
      <c r="E128" s="163"/>
      <c r="F128" s="163"/>
      <c r="G128" s="163"/>
      <c r="H128" s="163"/>
    </row>
    <row r="129" spans="3:7" x14ac:dyDescent="0.2">
      <c r="E129" s="87" t="s">
        <v>18</v>
      </c>
      <c r="F129" s="164" t="s">
        <v>84</v>
      </c>
      <c r="G129" s="164"/>
    </row>
    <row r="130" spans="3:7" x14ac:dyDescent="0.2">
      <c r="C130" s="88" t="s">
        <v>85</v>
      </c>
      <c r="D130" s="101"/>
      <c r="E130" s="88" t="s">
        <v>89</v>
      </c>
      <c r="F130" s="84" t="s">
        <v>86</v>
      </c>
      <c r="G130" s="84" t="s">
        <v>87</v>
      </c>
    </row>
    <row r="131" spans="3:7" x14ac:dyDescent="0.2">
      <c r="C131" s="20">
        <f>Summary!C10</f>
        <v>1</v>
      </c>
      <c r="D131" s="102" t="str">
        <f>Summary!B10</f>
        <v xml:space="preserve">Residential </v>
      </c>
      <c r="E131" s="90">
        <f>'Billing Detail'!E17</f>
        <v>994.511451164253</v>
      </c>
      <c r="F131" s="74">
        <f>'Billing Detail'!N17</f>
        <v>4.4349942394937329</v>
      </c>
      <c r="G131" s="4">
        <f>Summary!N10</f>
        <v>3.1805271848702507E-2</v>
      </c>
    </row>
    <row r="132" spans="3:7" x14ac:dyDescent="0.2">
      <c r="C132" s="20">
        <f>Summary!C11</f>
        <v>3</v>
      </c>
      <c r="D132" s="102" t="str">
        <f>Summary!B11</f>
        <v>Residential TOD</v>
      </c>
      <c r="E132" s="90">
        <f>'Billing Detail'!E30</f>
        <v>968.08333333333337</v>
      </c>
      <c r="F132" s="74">
        <f>'Billing Detail'!N30</f>
        <v>3.8961756666666503</v>
      </c>
      <c r="G132" s="4">
        <f>Summary!N11</f>
        <v>3.1739646961483944E-2</v>
      </c>
    </row>
    <row r="133" spans="3:7" x14ac:dyDescent="0.2">
      <c r="C133" s="20">
        <f>Summary!C12</f>
        <v>20</v>
      </c>
      <c r="D133" s="102" t="str">
        <f>Summary!B12</f>
        <v>Net Metering</v>
      </c>
      <c r="E133" s="90">
        <f>'Billing Detail'!E42</f>
        <v>1463.7769058295964</v>
      </c>
      <c r="F133" s="74">
        <f>'Billing Detail'!N42</f>
        <v>6.1454668217488688</v>
      </c>
      <c r="G133" s="4">
        <f>Summary!N12</f>
        <v>3.4907185129320728E-2</v>
      </c>
    </row>
    <row r="134" spans="3:7" x14ac:dyDescent="0.2">
      <c r="C134" s="20">
        <f>Summary!C13</f>
        <v>7</v>
      </c>
      <c r="D134" s="102" t="str">
        <f>Summary!B13</f>
        <v>Residential Off-Peak Mktg ETS</v>
      </c>
      <c r="E134" s="90">
        <f>'Billing Detail'!E54</f>
        <v>253.77957446808512</v>
      </c>
      <c r="F134" s="74">
        <f>'Billing Detail'!N54</f>
        <v>0.66541004425531725</v>
      </c>
      <c r="G134" s="4">
        <f>Summary!N13</f>
        <v>3.1358486533619022E-2</v>
      </c>
    </row>
    <row r="135" spans="3:7" x14ac:dyDescent="0.2">
      <c r="C135" s="20">
        <f>Summary!C14</f>
        <v>4</v>
      </c>
      <c r="D135" s="102" t="str">
        <f>Summary!B14</f>
        <v>Commercial &amp; Industrial &lt; 50 KW</v>
      </c>
      <c r="E135" s="90">
        <f>'Billing Detail'!E66</f>
        <v>1507.7839744828918</v>
      </c>
      <c r="F135" s="74">
        <f>'Billing Detail'!N66</f>
        <v>6.3073995901797559</v>
      </c>
      <c r="G135" s="4">
        <f>Summary!N14</f>
        <v>3.1885761423627625E-2</v>
      </c>
    </row>
    <row r="136" spans="3:7" x14ac:dyDescent="0.2">
      <c r="C136" s="20">
        <f>Summary!C15</f>
        <v>5</v>
      </c>
      <c r="D136" s="102" t="str">
        <f>Summary!B15</f>
        <v>Commercial &amp; Industrial &gt; 50 KW</v>
      </c>
      <c r="E136" s="90">
        <f>'Billing Detail'!E79</f>
        <v>43180.76858108108</v>
      </c>
      <c r="F136" s="74">
        <f>'Billing Detail'!N79</f>
        <v>174.18654765553674</v>
      </c>
      <c r="G136" s="4">
        <f>Summary!N15</f>
        <v>3.189025747682963E-2</v>
      </c>
    </row>
    <row r="137" spans="3:7" x14ac:dyDescent="0.2">
      <c r="C137" s="20">
        <f>Summary!C16</f>
        <v>9</v>
      </c>
      <c r="D137" s="102" t="str">
        <f>Summary!B16</f>
        <v>Large Commercial &amp; Industrial w/Pri Disc</v>
      </c>
      <c r="E137" s="90">
        <f>'Billing Detail'!E92</f>
        <v>500275</v>
      </c>
      <c r="F137" s="74">
        <f>'Billing Detail'!N92</f>
        <v>1605.0828589662488</v>
      </c>
      <c r="G137" s="4">
        <f>Summary!N16</f>
        <v>3.1858939582623549E-2</v>
      </c>
    </row>
    <row r="138" spans="3:7" x14ac:dyDescent="0.2">
      <c r="C138" s="20">
        <f>Summary!C25</f>
        <v>10</v>
      </c>
      <c r="D138" s="102" t="str">
        <f>Summary!B25</f>
        <v>Large Industrial</v>
      </c>
      <c r="E138" s="91">
        <f>'Billing Detail'!E105</f>
        <v>6306.6000000000013</v>
      </c>
      <c r="F138" s="74">
        <f>'Billing Detail'!N105</f>
        <v>20393.622399999993</v>
      </c>
      <c r="G138" s="4">
        <f>Summary!N25</f>
        <v>7.6017813112735602E-2</v>
      </c>
    </row>
    <row r="139" spans="3:7" x14ac:dyDescent="0.2">
      <c r="C139" s="20">
        <f>Summary!C17</f>
        <v>14</v>
      </c>
      <c r="D139" s="102" t="str">
        <f>Summary!B17</f>
        <v>Large Power Schedule LPC2</v>
      </c>
      <c r="E139" s="90">
        <f>'Billing Detail'!E118</f>
        <v>668050</v>
      </c>
      <c r="F139" s="74">
        <f>'Billing Detail'!N118</f>
        <v>2102.0810999999812</v>
      </c>
      <c r="G139" s="4">
        <f>Summary!N17</f>
        <v>3.1949139349952582E-2</v>
      </c>
    </row>
    <row r="140" spans="3:7" x14ac:dyDescent="0.2">
      <c r="C140" s="20">
        <f>Summary!C18</f>
        <v>15</v>
      </c>
      <c r="D140" s="102" t="str">
        <f>Summary!B18</f>
        <v>Large Commercial Optional TOD</v>
      </c>
      <c r="E140" s="90">
        <f>'Billing Detail'!E131</f>
        <v>16350</v>
      </c>
      <c r="F140" s="74">
        <f>'Billing Detail'!N131</f>
        <v>83.299266666666426</v>
      </c>
      <c r="G140" s="4">
        <f>Summary!N18</f>
        <v>3.1752719082396498E-2</v>
      </c>
    </row>
    <row r="141" spans="3:7" x14ac:dyDescent="0.2">
      <c r="C141" s="20">
        <f>Summary!C19</f>
        <v>36</v>
      </c>
      <c r="D141" s="102" t="str">
        <f>Summary!B19</f>
        <v>Large Power Schedule LPE4</v>
      </c>
      <c r="E141" s="90">
        <f>'Billing Detail'!E145</f>
        <v>1668829.3333333333</v>
      </c>
      <c r="F141" s="74">
        <f>'Billing Detail'!N145</f>
        <v>5249.7190170833201</v>
      </c>
      <c r="G141" s="4">
        <f>Summary!N19</f>
        <v>3.1972653690009747E-2</v>
      </c>
    </row>
    <row r="142" spans="3:7" x14ac:dyDescent="0.2">
      <c r="C142" s="20">
        <f>Summary!C20</f>
        <v>50</v>
      </c>
      <c r="D142" s="102" t="str">
        <f>Summary!B20</f>
        <v>TOD Three Phase - Schedule C</v>
      </c>
      <c r="E142" s="90">
        <f>'Billing Detail'!E159</f>
        <v>3755.3611111111113</v>
      </c>
      <c r="F142" s="74">
        <f>'Billing Detail'!N159</f>
        <v>17.081668805555523</v>
      </c>
      <c r="G142" s="4">
        <f>Summary!N20</f>
        <v>3.1576468769466071E-2</v>
      </c>
    </row>
    <row r="143" spans="3:7" x14ac:dyDescent="0.2">
      <c r="C143" s="20">
        <f>Summary!C21</f>
        <v>6</v>
      </c>
      <c r="D143" s="102" t="str">
        <f>Summary!B21</f>
        <v>Street Lighting</v>
      </c>
      <c r="E143" s="94">
        <f>'Billing Detail'!E171</f>
        <v>335556</v>
      </c>
      <c r="F143" s="93" t="s">
        <v>90</v>
      </c>
      <c r="G143" s="4">
        <f>Summary!N21</f>
        <v>2.408108447973744E-2</v>
      </c>
    </row>
    <row r="144" spans="3:7" x14ac:dyDescent="0.2">
      <c r="C144" s="20">
        <f>Summary!C22</f>
        <v>6</v>
      </c>
      <c r="D144" s="102" t="str">
        <f>Summary!B22</f>
        <v>Lighting</v>
      </c>
      <c r="E144" s="95" t="s">
        <v>90</v>
      </c>
      <c r="F144" s="93" t="s">
        <v>90</v>
      </c>
      <c r="G144" s="4">
        <f>Summary!N22</f>
        <v>3.5449000280867005E-2</v>
      </c>
    </row>
    <row r="145" spans="4:7" x14ac:dyDescent="0.2">
      <c r="D145" s="149" t="s">
        <v>130</v>
      </c>
      <c r="E145" s="52"/>
      <c r="F145" s="52"/>
      <c r="G145" s="152">
        <f>G126</f>
        <v>3.5336009179865444E-2</v>
      </c>
    </row>
  </sheetData>
  <mergeCells count="4">
    <mergeCell ref="C109:G109"/>
    <mergeCell ref="F110:G110"/>
    <mergeCell ref="C128:H128"/>
    <mergeCell ref="F129:G129"/>
  </mergeCells>
  <printOptions horizontalCentered="1"/>
  <pageMargins left="0.7" right="0.7" top="0.75" bottom="0.75" header="0.3" footer="0.3"/>
  <pageSetup paperSize="9" scale="66" fitToHeight="2" orientation="portrait" r:id="rId1"/>
  <headerFooter>
    <oddHeader>&amp;R&amp;"Arial,Bold"&amp;10Exhibit 3
Page &amp;P of &amp;N</oddHeader>
  </headerFooter>
  <rowBreaks count="1" manualBreakCount="1">
    <brk id="6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Summary</vt:lpstr>
      <vt:lpstr>Billing Detail</vt:lpstr>
      <vt:lpstr>Notice Table</vt:lpstr>
      <vt:lpstr>'Billing Detail'!Print_Area</vt:lpstr>
      <vt:lpstr>'Notice Table'!Print_Area</vt:lpstr>
      <vt:lpstr>Summary!Print_Area</vt:lpstr>
      <vt:lpstr>'Billing Detail'!Print_Titles</vt:lpstr>
      <vt:lpstr>'Notice 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2025-07-29T20:42:31Z</cp:lastPrinted>
  <dcterms:created xsi:type="dcterms:W3CDTF">2021-02-09T02:13:44Z</dcterms:created>
  <dcterms:modified xsi:type="dcterms:W3CDTF">2026-01-29T17:08:01Z</dcterms:modified>
</cp:coreProperties>
</file>