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Blue Grass/Analysis/"/>
    </mc:Choice>
  </mc:AlternateContent>
  <xr:revisionPtr revIDLastSave="0" documentId="8_{79C43D9A-B20B-447F-AC84-B602491D5F12}" xr6:coauthVersionLast="47" xr6:coauthVersionMax="47" xr10:uidLastSave="{00000000-0000-0000-0000-000000000000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Detail'!$A$1:$R$185</definedName>
    <definedName name="_xlnm.Print_Area" localSheetId="2">'Notice Table'!$A$1:$G$66</definedName>
    <definedName name="_xlnm.Print_Area" localSheetId="0">Summary!$A$1:$O$39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1" l="1"/>
  <c r="E114" i="1"/>
  <c r="E95" i="3" s="1"/>
  <c r="K122" i="1"/>
  <c r="K107" i="1"/>
  <c r="I22" i="2"/>
  <c r="I21" i="2"/>
  <c r="H22" i="2"/>
  <c r="H21" i="2"/>
  <c r="G22" i="2"/>
  <c r="G21" i="2"/>
  <c r="F23" i="2"/>
  <c r="F22" i="2"/>
  <c r="F21" i="2"/>
  <c r="D23" i="2"/>
  <c r="D27" i="2" s="1"/>
  <c r="E23" i="2"/>
  <c r="A18" i="2"/>
  <c r="A19" i="2" s="1"/>
  <c r="A20" i="2" s="1"/>
  <c r="A21" i="2" s="1"/>
  <c r="A22" i="2" s="1"/>
  <c r="A23" i="2" s="1"/>
  <c r="A24" i="2" s="1"/>
  <c r="Q6" i="2"/>
  <c r="L7" i="2"/>
  <c r="G23" i="2" l="1"/>
  <c r="L104" i="1"/>
  <c r="M104" i="1" s="1"/>
  <c r="J103" i="1"/>
  <c r="J104" i="1"/>
  <c r="J105" i="1"/>
  <c r="J106" i="1"/>
  <c r="J102" i="1"/>
  <c r="I108" i="1"/>
  <c r="G77" i="1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F50" i="3"/>
  <c r="E50" i="3"/>
  <c r="A144" i="1"/>
  <c r="E143" i="1"/>
  <c r="E142" i="1"/>
  <c r="E139" i="1"/>
  <c r="E134" i="1"/>
  <c r="E133" i="1"/>
  <c r="E132" i="1"/>
  <c r="N104" i="1" l="1"/>
  <c r="O104" i="1" s="1"/>
  <c r="E190" i="1" l="1"/>
  <c r="E191" i="1" s="1"/>
  <c r="E192" i="1" s="1"/>
  <c r="L156" i="1"/>
  <c r="I146" i="1"/>
  <c r="I145" i="1"/>
  <c r="T104" i="1" l="1"/>
  <c r="I104" i="1"/>
  <c r="G104" i="1"/>
  <c r="H13" i="1"/>
  <c r="I13" i="1" s="1"/>
  <c r="G13" i="1"/>
  <c r="I123" i="1" l="1"/>
  <c r="I93" i="1"/>
  <c r="I79" i="1"/>
  <c r="I64" i="1"/>
  <c r="I51" i="1"/>
  <c r="I38" i="1"/>
  <c r="I25" i="1"/>
  <c r="I11" i="1"/>
  <c r="M154" i="1"/>
  <c r="I154" i="1"/>
  <c r="E64" i="3"/>
  <c r="F64" i="3"/>
  <c r="G64" i="3"/>
  <c r="E65" i="3"/>
  <c r="F65" i="3"/>
  <c r="E66" i="3"/>
  <c r="F66" i="3"/>
  <c r="L155" i="1"/>
  <c r="G65" i="3" s="1"/>
  <c r="H65" i="3" l="1"/>
  <c r="I65" i="3" s="1"/>
  <c r="H64" i="3"/>
  <c r="I64" i="3" s="1"/>
  <c r="T155" i="1"/>
  <c r="M155" i="1"/>
  <c r="G155" i="1"/>
  <c r="I155" i="1"/>
  <c r="N155" i="1" l="1"/>
  <c r="O155" i="1"/>
  <c r="E31" i="3" l="1"/>
  <c r="F31" i="3"/>
  <c r="E32" i="3"/>
  <c r="F32" i="3"/>
  <c r="F30" i="3"/>
  <c r="E30" i="3"/>
  <c r="C29" i="3"/>
  <c r="D29" i="3"/>
  <c r="E164" i="1" l="1"/>
  <c r="E98" i="3" s="1"/>
  <c r="E85" i="1"/>
  <c r="E93" i="3" s="1"/>
  <c r="E70" i="1"/>
  <c r="E92" i="3" s="1"/>
  <c r="E57" i="1"/>
  <c r="E91" i="3" s="1"/>
  <c r="E44" i="1"/>
  <c r="E90" i="3" s="1"/>
  <c r="E31" i="1"/>
  <c r="E89" i="3" s="1"/>
  <c r="E17" i="1"/>
  <c r="E88" i="3" s="1"/>
  <c r="E129" i="1" l="1"/>
  <c r="E96" i="3" s="1"/>
  <c r="E99" i="1"/>
  <c r="E94" i="3" s="1"/>
  <c r="E46" i="3"/>
  <c r="F46" i="3"/>
  <c r="G63" i="3"/>
  <c r="F63" i="3"/>
  <c r="E63" i="3"/>
  <c r="C62" i="3"/>
  <c r="D62" i="3"/>
  <c r="C49" i="3"/>
  <c r="D49" i="3"/>
  <c r="E44" i="3"/>
  <c r="F44" i="3"/>
  <c r="E45" i="3"/>
  <c r="F45" i="3"/>
  <c r="E48" i="3"/>
  <c r="F48" i="3"/>
  <c r="G48" i="3"/>
  <c r="F43" i="3"/>
  <c r="E43" i="3"/>
  <c r="C42" i="3"/>
  <c r="D42" i="3"/>
  <c r="E39" i="3"/>
  <c r="F39" i="3"/>
  <c r="E40" i="3"/>
  <c r="F40" i="3"/>
  <c r="E41" i="3"/>
  <c r="F41" i="3"/>
  <c r="F38" i="3"/>
  <c r="E38" i="3"/>
  <c r="C37" i="3"/>
  <c r="D37" i="3"/>
  <c r="F36" i="3"/>
  <c r="E36" i="3"/>
  <c r="E35" i="3"/>
  <c r="F35" i="3"/>
  <c r="F34" i="3"/>
  <c r="E34" i="3"/>
  <c r="C33" i="3"/>
  <c r="D33" i="3"/>
  <c r="F28" i="3"/>
  <c r="E28" i="3"/>
  <c r="F27" i="3"/>
  <c r="E27" i="3"/>
  <c r="F26" i="3"/>
  <c r="E26" i="3"/>
  <c r="C25" i="3"/>
  <c r="D25" i="3"/>
  <c r="E23" i="3"/>
  <c r="F23" i="3"/>
  <c r="E24" i="3"/>
  <c r="F24" i="3"/>
  <c r="F22" i="3"/>
  <c r="E22" i="3"/>
  <c r="C21" i="3"/>
  <c r="D21" i="3"/>
  <c r="E19" i="3"/>
  <c r="F19" i="3"/>
  <c r="E20" i="3"/>
  <c r="F20" i="3"/>
  <c r="F18" i="3"/>
  <c r="E18" i="3"/>
  <c r="C17" i="3"/>
  <c r="D17" i="3"/>
  <c r="E15" i="3"/>
  <c r="F15" i="3"/>
  <c r="E16" i="3"/>
  <c r="F16" i="3"/>
  <c r="F14" i="3"/>
  <c r="E14" i="3"/>
  <c r="C13" i="3"/>
  <c r="D13" i="3"/>
  <c r="E10" i="3"/>
  <c r="F10" i="3"/>
  <c r="E11" i="3"/>
  <c r="F11" i="3"/>
  <c r="E12" i="3"/>
  <c r="F12" i="3"/>
  <c r="F9" i="3"/>
  <c r="E9" i="3"/>
  <c r="C8" i="3"/>
  <c r="D8" i="3"/>
  <c r="E7" i="3"/>
  <c r="F7" i="3"/>
  <c r="F6" i="3"/>
  <c r="E6" i="3"/>
  <c r="C5" i="3"/>
  <c r="D5" i="3"/>
  <c r="A1" i="3"/>
  <c r="H48" i="3" l="1"/>
  <c r="I48" i="3" s="1"/>
  <c r="H63" i="3"/>
  <c r="I63" i="3" s="1"/>
  <c r="N172" i="1" l="1"/>
  <c r="G172" i="1"/>
  <c r="G170" i="1"/>
  <c r="G169" i="1"/>
  <c r="L37" i="2"/>
  <c r="G25" i="2"/>
  <c r="I25" i="2" s="1"/>
  <c r="V157" i="1" s="1"/>
  <c r="C25" i="2"/>
  <c r="B25" i="2"/>
  <c r="G162" i="1"/>
  <c r="I161" i="1"/>
  <c r="M161" i="1" s="1"/>
  <c r="I160" i="1"/>
  <c r="M160" i="1" s="1"/>
  <c r="N160" i="1" s="1"/>
  <c r="I159" i="1"/>
  <c r="M159" i="1" s="1"/>
  <c r="N159" i="1" s="1"/>
  <c r="I156" i="1"/>
  <c r="I158" i="1" s="1"/>
  <c r="G156" i="1"/>
  <c r="G154" i="1"/>
  <c r="I153" i="1"/>
  <c r="G153" i="1"/>
  <c r="M158" i="1" l="1"/>
  <c r="N158" i="1" s="1"/>
  <c r="D98" i="3"/>
  <c r="D82" i="3"/>
  <c r="C98" i="3"/>
  <c r="C82" i="3"/>
  <c r="G157" i="1"/>
  <c r="I157" i="1"/>
  <c r="M162" i="1"/>
  <c r="I162" i="1"/>
  <c r="J155" i="1" l="1"/>
  <c r="W157" i="1"/>
  <c r="G163" i="1"/>
  <c r="G164" i="1" s="1"/>
  <c r="D25" i="2"/>
  <c r="K157" i="1"/>
  <c r="E25" i="2"/>
  <c r="J156" i="1"/>
  <c r="J154" i="1"/>
  <c r="J153" i="1"/>
  <c r="I163" i="1"/>
  <c r="I164" i="1" s="1"/>
  <c r="N162" i="1"/>
  <c r="O162" i="1" s="1"/>
  <c r="J157" i="1" l="1"/>
  <c r="T153" i="1" l="1"/>
  <c r="M153" i="1"/>
  <c r="N153" i="1" l="1"/>
  <c r="O153" i="1" s="1"/>
  <c r="G171" i="1" l="1"/>
  <c r="H77" i="1"/>
  <c r="F77" i="1"/>
  <c r="H90" i="1" l="1"/>
  <c r="C16" i="2"/>
  <c r="B16" i="2"/>
  <c r="C14" i="2"/>
  <c r="I77" i="1"/>
  <c r="H75" i="1"/>
  <c r="I120" i="1"/>
  <c r="G120" i="1"/>
  <c r="I118" i="1"/>
  <c r="G118" i="1"/>
  <c r="F90" i="1"/>
  <c r="I89" i="1"/>
  <c r="G89" i="1"/>
  <c r="I76" i="1"/>
  <c r="G76" i="1"/>
  <c r="F75" i="1"/>
  <c r="I74" i="1"/>
  <c r="G74" i="1"/>
  <c r="C91" i="3" l="1"/>
  <c r="C75" i="3"/>
  <c r="C93" i="3"/>
  <c r="C77" i="3"/>
  <c r="D77" i="3"/>
  <c r="D93" i="3"/>
  <c r="I61" i="1"/>
  <c r="G61" i="1"/>
  <c r="I21" i="1"/>
  <c r="G21" i="1"/>
  <c r="I22" i="1"/>
  <c r="G22" i="1"/>
  <c r="G83" i="1" l="1"/>
  <c r="I82" i="1"/>
  <c r="M82" i="1" s="1"/>
  <c r="I81" i="1"/>
  <c r="M81" i="1" s="1"/>
  <c r="N81" i="1" s="1"/>
  <c r="I80" i="1"/>
  <c r="M80" i="1" s="1"/>
  <c r="N80" i="1" s="1"/>
  <c r="M79" i="1"/>
  <c r="I75" i="1"/>
  <c r="G75" i="1"/>
  <c r="I73" i="1"/>
  <c r="G73" i="1"/>
  <c r="I119" i="1"/>
  <c r="G119" i="1"/>
  <c r="I48" i="1"/>
  <c r="G48" i="1"/>
  <c r="I35" i="1"/>
  <c r="G35" i="1"/>
  <c r="I78" i="1" l="1"/>
  <c r="G78" i="1"/>
  <c r="N79" i="1"/>
  <c r="M83" i="1"/>
  <c r="I83" i="1"/>
  <c r="G84" i="1" l="1"/>
  <c r="G85" i="1" s="1"/>
  <c r="D16" i="2"/>
  <c r="E16" i="2"/>
  <c r="J77" i="1"/>
  <c r="J74" i="1"/>
  <c r="J76" i="1"/>
  <c r="J75" i="1"/>
  <c r="I84" i="1"/>
  <c r="I85" i="1" s="1"/>
  <c r="J73" i="1"/>
  <c r="N83" i="1"/>
  <c r="O8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04" i="1"/>
  <c r="G16" i="2"/>
  <c r="J78" i="1"/>
  <c r="I67" i="1"/>
  <c r="M67" i="1" s="1"/>
  <c r="I66" i="1"/>
  <c r="M66" i="1" s="1"/>
  <c r="I65" i="1"/>
  <c r="M65" i="1" s="1"/>
  <c r="I126" i="1"/>
  <c r="M126" i="1" s="1"/>
  <c r="I124" i="1"/>
  <c r="M124" i="1" s="1"/>
  <c r="I111" i="1"/>
  <c r="M111" i="1" s="1"/>
  <c r="I110" i="1"/>
  <c r="I109" i="1"/>
  <c r="I96" i="1"/>
  <c r="M96" i="1" s="1"/>
  <c r="I95" i="1"/>
  <c r="I94" i="1"/>
  <c r="M94" i="1" s="1"/>
  <c r="I54" i="1"/>
  <c r="M54" i="1" s="1"/>
  <c r="I53" i="1"/>
  <c r="M53" i="1" s="1"/>
  <c r="I52" i="1"/>
  <c r="M52" i="1" s="1"/>
  <c r="I41" i="1"/>
  <c r="M41" i="1" s="1"/>
  <c r="I39" i="1"/>
  <c r="I28" i="1"/>
  <c r="M28" i="1" s="1"/>
  <c r="I27" i="1"/>
  <c r="M27" i="1" s="1"/>
  <c r="I26" i="1"/>
  <c r="M26" i="1" s="1"/>
  <c r="I14" i="1"/>
  <c r="I12" i="1"/>
  <c r="B33" i="2"/>
  <c r="A156" i="1" l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I170" i="1"/>
  <c r="I172" i="1"/>
  <c r="E33" i="2" s="1"/>
  <c r="M13" i="1"/>
  <c r="M12" i="1"/>
  <c r="M110" i="1"/>
  <c r="M14" i="1"/>
  <c r="M109" i="1"/>
  <c r="M95" i="1"/>
  <c r="I29" i="1"/>
  <c r="I55" i="1"/>
  <c r="M39" i="1"/>
  <c r="G42" i="1"/>
  <c r="G127" i="1"/>
  <c r="I40" i="1"/>
  <c r="M40" i="1" s="1"/>
  <c r="I125" i="1"/>
  <c r="G15" i="1"/>
  <c r="G68" i="1"/>
  <c r="D33" i="2"/>
  <c r="G112" i="1"/>
  <c r="G97" i="1"/>
  <c r="G55" i="1"/>
  <c r="G29" i="1"/>
  <c r="M172" i="1" l="1"/>
  <c r="J33" i="2" s="1"/>
  <c r="I169" i="1"/>
  <c r="I171" i="1"/>
  <c r="I112" i="1"/>
  <c r="I15" i="1"/>
  <c r="I68" i="1"/>
  <c r="I97" i="1"/>
  <c r="I127" i="1"/>
  <c r="M125" i="1"/>
  <c r="I42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73" i="1" l="1"/>
  <c r="E32" i="2"/>
  <c r="E31" i="2"/>
  <c r="D32" i="2"/>
  <c r="D31" i="2"/>
  <c r="C13" i="2"/>
  <c r="C17" i="2"/>
  <c r="C21" i="2"/>
  <c r="C22" i="2"/>
  <c r="C15" i="2"/>
  <c r="C18" i="2"/>
  <c r="B18" i="2"/>
  <c r="B15" i="2"/>
  <c r="B22" i="2"/>
  <c r="B21" i="2"/>
  <c r="B17" i="2"/>
  <c r="B14" i="2"/>
  <c r="B13" i="2"/>
  <c r="C12" i="2"/>
  <c r="C11" i="2"/>
  <c r="B12" i="2"/>
  <c r="B11" i="2"/>
  <c r="I105" i="1"/>
  <c r="G105" i="1"/>
  <c r="N95" i="1"/>
  <c r="N94" i="1"/>
  <c r="M93" i="1"/>
  <c r="I91" i="1"/>
  <c r="G91" i="1"/>
  <c r="I90" i="1"/>
  <c r="G90" i="1"/>
  <c r="I88" i="1"/>
  <c r="G88" i="1"/>
  <c r="N53" i="1"/>
  <c r="N52" i="1"/>
  <c r="M51" i="1"/>
  <c r="I49" i="1"/>
  <c r="G49" i="1"/>
  <c r="I47" i="1"/>
  <c r="G47" i="1"/>
  <c r="N27" i="1"/>
  <c r="N26" i="1"/>
  <c r="M25" i="1"/>
  <c r="I23" i="1"/>
  <c r="G23" i="1"/>
  <c r="I20" i="1"/>
  <c r="G20" i="1"/>
  <c r="N39" i="1"/>
  <c r="M38" i="1"/>
  <c r="I36" i="1"/>
  <c r="G36" i="1"/>
  <c r="I34" i="1"/>
  <c r="G34" i="1"/>
  <c r="N110" i="1"/>
  <c r="N109" i="1"/>
  <c r="M108" i="1"/>
  <c r="I106" i="1"/>
  <c r="G106" i="1"/>
  <c r="I103" i="1"/>
  <c r="G103" i="1"/>
  <c r="I102" i="1"/>
  <c r="G102" i="1"/>
  <c r="N125" i="1"/>
  <c r="N124" i="1"/>
  <c r="M123" i="1"/>
  <c r="I121" i="1"/>
  <c r="G121" i="1"/>
  <c r="I117" i="1"/>
  <c r="G117" i="1"/>
  <c r="N66" i="1"/>
  <c r="N65" i="1"/>
  <c r="M64" i="1"/>
  <c r="I62" i="1"/>
  <c r="G62" i="1"/>
  <c r="I60" i="1"/>
  <c r="G60" i="1"/>
  <c r="D95" i="3" l="1"/>
  <c r="D79" i="3"/>
  <c r="C78" i="3"/>
  <c r="C94" i="3"/>
  <c r="C95" i="3"/>
  <c r="C79" i="3"/>
  <c r="D92" i="3"/>
  <c r="D76" i="3"/>
  <c r="D72" i="3"/>
  <c r="D88" i="3"/>
  <c r="C72" i="3"/>
  <c r="C88" i="3"/>
  <c r="D81" i="3"/>
  <c r="D97" i="3"/>
  <c r="D96" i="3"/>
  <c r="D80" i="3"/>
  <c r="C89" i="3"/>
  <c r="C73" i="3"/>
  <c r="C97" i="3"/>
  <c r="C81" i="3"/>
  <c r="D78" i="3"/>
  <c r="D94" i="3"/>
  <c r="D89" i="3"/>
  <c r="D73" i="3"/>
  <c r="D74" i="3"/>
  <c r="D90" i="3"/>
  <c r="C92" i="3"/>
  <c r="C76" i="3"/>
  <c r="C74" i="3"/>
  <c r="C90" i="3"/>
  <c r="D91" i="3"/>
  <c r="D75" i="3"/>
  <c r="C96" i="3"/>
  <c r="C80" i="3"/>
  <c r="N25" i="1"/>
  <c r="M29" i="1"/>
  <c r="N64" i="1"/>
  <c r="M68" i="1"/>
  <c r="N123" i="1"/>
  <c r="M127" i="1"/>
  <c r="N108" i="1"/>
  <c r="M112" i="1"/>
  <c r="N93" i="1"/>
  <c r="M97" i="1"/>
  <c r="N51" i="1"/>
  <c r="M55" i="1"/>
  <c r="N38" i="1"/>
  <c r="M42" i="1"/>
  <c r="N42" i="1" s="1"/>
  <c r="O42" i="1" s="1"/>
  <c r="G173" i="1"/>
  <c r="E30" i="2"/>
  <c r="E34" i="2" s="1"/>
  <c r="G50" i="1"/>
  <c r="D14" i="2" s="1"/>
  <c r="D30" i="2"/>
  <c r="D34" i="2" s="1"/>
  <c r="G24" i="1"/>
  <c r="D12" i="2" s="1"/>
  <c r="G92" i="1"/>
  <c r="I92" i="1"/>
  <c r="I50" i="1"/>
  <c r="I24" i="1"/>
  <c r="G37" i="1"/>
  <c r="N40" i="1"/>
  <c r="I37" i="1"/>
  <c r="J36" i="1" s="1"/>
  <c r="G107" i="1"/>
  <c r="I63" i="1"/>
  <c r="G122" i="1"/>
  <c r="I107" i="1"/>
  <c r="I122" i="1"/>
  <c r="G63" i="1"/>
  <c r="G132" i="1"/>
  <c r="I132" i="1"/>
  <c r="G149" i="1"/>
  <c r="M147" i="1"/>
  <c r="M171" i="1" s="1"/>
  <c r="M146" i="1"/>
  <c r="M170" i="1" s="1"/>
  <c r="M145" i="1"/>
  <c r="B31" i="2"/>
  <c r="B32" i="2"/>
  <c r="B30" i="2"/>
  <c r="M11" i="1"/>
  <c r="M15" i="1" s="1"/>
  <c r="I9" i="1"/>
  <c r="I8" i="1"/>
  <c r="G9" i="1"/>
  <c r="G8" i="1"/>
  <c r="A2" i="1"/>
  <c r="A1" i="1"/>
  <c r="A11" i="2"/>
  <c r="A12" i="2" s="1"/>
  <c r="A13" i="2" s="1"/>
  <c r="A14" i="2" s="1"/>
  <c r="A15" i="2" s="1"/>
  <c r="A16" i="2" s="1"/>
  <c r="A17" i="2" s="1"/>
  <c r="N145" i="1" l="1"/>
  <c r="M169" i="1"/>
  <c r="J120" i="1"/>
  <c r="J118" i="1"/>
  <c r="J119" i="1"/>
  <c r="J21" i="1"/>
  <c r="J22" i="1"/>
  <c r="E14" i="2"/>
  <c r="J48" i="1"/>
  <c r="N146" i="1"/>
  <c r="J89" i="1"/>
  <c r="J121" i="1"/>
  <c r="J23" i="1"/>
  <c r="N147" i="1"/>
  <c r="J32" i="2"/>
  <c r="J49" i="1"/>
  <c r="J35" i="1"/>
  <c r="J90" i="1"/>
  <c r="J62" i="1"/>
  <c r="J61" i="1"/>
  <c r="J47" i="1"/>
  <c r="J117" i="1"/>
  <c r="J34" i="1"/>
  <c r="J60" i="1"/>
  <c r="J88" i="1"/>
  <c r="J91" i="1"/>
  <c r="J20" i="1"/>
  <c r="G56" i="1"/>
  <c r="G57" i="1" s="1"/>
  <c r="G30" i="1"/>
  <c r="G31" i="1" s="1"/>
  <c r="N12" i="1"/>
  <c r="J31" i="2"/>
  <c r="N13" i="1"/>
  <c r="G98" i="1"/>
  <c r="G99" i="1" s="1"/>
  <c r="D17" i="2"/>
  <c r="G43" i="1"/>
  <c r="G44" i="1" s="1"/>
  <c r="D13" i="2"/>
  <c r="I56" i="1"/>
  <c r="I57" i="1" s="1"/>
  <c r="G69" i="1"/>
  <c r="G70" i="1" s="1"/>
  <c r="D15" i="2"/>
  <c r="I69" i="1"/>
  <c r="I70" i="1" s="1"/>
  <c r="E15" i="2"/>
  <c r="I43" i="1"/>
  <c r="I44" i="1" s="1"/>
  <c r="E13" i="2"/>
  <c r="I113" i="1"/>
  <c r="E21" i="2"/>
  <c r="I128" i="1"/>
  <c r="I129" i="1" s="1"/>
  <c r="E22" i="2"/>
  <c r="G128" i="1"/>
  <c r="G129" i="1" s="1"/>
  <c r="D22" i="2"/>
  <c r="G113" i="1"/>
  <c r="D21" i="2"/>
  <c r="I30" i="1"/>
  <c r="I31" i="1" s="1"/>
  <c r="E12" i="2"/>
  <c r="I98" i="1"/>
  <c r="I99" i="1" s="1"/>
  <c r="E17" i="2"/>
  <c r="N55" i="1"/>
  <c r="O55" i="1" s="1"/>
  <c r="N97" i="1"/>
  <c r="O97" i="1" s="1"/>
  <c r="N29" i="1"/>
  <c r="O29" i="1" s="1"/>
  <c r="N112" i="1"/>
  <c r="O112" i="1" s="1"/>
  <c r="N127" i="1"/>
  <c r="O127" i="1" s="1"/>
  <c r="N68" i="1"/>
  <c r="O68" i="1" s="1"/>
  <c r="G10" i="1"/>
  <c r="I10" i="1"/>
  <c r="I149" i="1"/>
  <c r="I144" i="1"/>
  <c r="G144" i="1"/>
  <c r="D18" i="2" s="1"/>
  <c r="N11" i="1"/>
  <c r="I168" i="1" l="1"/>
  <c r="I174" i="1" s="1"/>
  <c r="G13" i="2"/>
  <c r="G17" i="2"/>
  <c r="G15" i="2"/>
  <c r="G12" i="2"/>
  <c r="G14" i="2"/>
  <c r="N170" i="1"/>
  <c r="N171" i="1"/>
  <c r="N169" i="1"/>
  <c r="G168" i="1"/>
  <c r="G174" i="1" s="1"/>
  <c r="J63" i="1"/>
  <c r="J122" i="1"/>
  <c r="M173" i="1"/>
  <c r="J50" i="1"/>
  <c r="J30" i="2"/>
  <c r="J34" i="2" s="1"/>
  <c r="J37" i="1"/>
  <c r="E18" i="2"/>
  <c r="J24" i="1"/>
  <c r="J107" i="1"/>
  <c r="J139" i="1"/>
  <c r="J143" i="1"/>
  <c r="J140" i="1"/>
  <c r="J137" i="1"/>
  <c r="J138" i="1"/>
  <c r="J141" i="1"/>
  <c r="J142" i="1"/>
  <c r="J136" i="1"/>
  <c r="J134" i="1"/>
  <c r="J135" i="1"/>
  <c r="J133" i="1"/>
  <c r="J9" i="1"/>
  <c r="J8" i="1"/>
  <c r="J92" i="1"/>
  <c r="G150" i="1"/>
  <c r="E11" i="2"/>
  <c r="G16" i="1"/>
  <c r="D11" i="2"/>
  <c r="D19" i="2" s="1"/>
  <c r="D36" i="2" s="1"/>
  <c r="D38" i="2" s="1"/>
  <c r="D39" i="2" s="1"/>
  <c r="J132" i="1"/>
  <c r="I150" i="1"/>
  <c r="M149" i="1"/>
  <c r="I16" i="1"/>
  <c r="I17" i="1" s="1"/>
  <c r="N15" i="1"/>
  <c r="A25" i="2" l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N173" i="1"/>
  <c r="G11" i="2"/>
  <c r="G18" i="2"/>
  <c r="E19" i="2"/>
  <c r="E27" i="2" s="1"/>
  <c r="G17" i="1"/>
  <c r="J144" i="1"/>
  <c r="N149" i="1"/>
  <c r="O149" i="1" s="1"/>
  <c r="J10" i="1"/>
  <c r="E36" i="2" l="1"/>
  <c r="G19" i="2"/>
  <c r="F16" i="2"/>
  <c r="F11" i="2"/>
  <c r="F14" i="2"/>
  <c r="F12" i="2"/>
  <c r="F18" i="2"/>
  <c r="F19" i="2"/>
  <c r="F13" i="2"/>
  <c r="F15" i="2"/>
  <c r="F17" i="2"/>
  <c r="G27" i="2" l="1"/>
  <c r="S123" i="1"/>
  <c r="S122" i="1" s="1"/>
  <c r="H17" i="2"/>
  <c r="I17" i="2" s="1"/>
  <c r="K92" i="1" s="1"/>
  <c r="S92" i="1" s="1"/>
  <c r="L89" i="1" s="1"/>
  <c r="L90" i="1" s="1"/>
  <c r="H14" i="2"/>
  <c r="I14" i="2" s="1"/>
  <c r="K50" i="1" s="1"/>
  <c r="S50" i="1" s="1"/>
  <c r="L49" i="1" s="1"/>
  <c r="G20" i="3" s="1"/>
  <c r="H20" i="3" s="1"/>
  <c r="I20" i="3" s="1"/>
  <c r="S107" i="1"/>
  <c r="H16" i="2"/>
  <c r="I16" i="2" s="1"/>
  <c r="K78" i="1" s="1"/>
  <c r="S78" i="1" s="1"/>
  <c r="H12" i="2"/>
  <c r="I12" i="2" s="1"/>
  <c r="K24" i="1" s="1"/>
  <c r="S24" i="1" s="1"/>
  <c r="H15" i="2"/>
  <c r="I15" i="2" s="1"/>
  <c r="H11" i="2"/>
  <c r="I11" i="2" s="1"/>
  <c r="K10" i="1" s="1"/>
  <c r="S10" i="1" s="1"/>
  <c r="H13" i="2"/>
  <c r="I13" i="2" s="1"/>
  <c r="K37" i="1" s="1"/>
  <c r="S37" i="1" s="1"/>
  <c r="H18" i="2"/>
  <c r="I18" i="2" s="1"/>
  <c r="K144" i="1" s="1"/>
  <c r="S144" i="1" s="1"/>
  <c r="L134" i="1" s="1"/>
  <c r="I23" i="2" l="1"/>
  <c r="K63" i="1"/>
  <c r="S63" i="1" s="1"/>
  <c r="L62" i="1" s="1"/>
  <c r="G24" i="3" s="1"/>
  <c r="H24" i="3" s="1"/>
  <c r="I24" i="3" s="1"/>
  <c r="L102" i="1"/>
  <c r="M102" i="1" s="1"/>
  <c r="L106" i="1"/>
  <c r="M106" i="1" s="1"/>
  <c r="L105" i="1"/>
  <c r="M105" i="1" s="1"/>
  <c r="L118" i="1"/>
  <c r="G44" i="3" s="1"/>
  <c r="H44" i="3" s="1"/>
  <c r="I44" i="3" s="1"/>
  <c r="L103" i="1"/>
  <c r="M103" i="1" s="1"/>
  <c r="M134" i="1"/>
  <c r="N134" i="1" s="1"/>
  <c r="O134" i="1" s="1"/>
  <c r="G52" i="3"/>
  <c r="L9" i="1"/>
  <c r="G7" i="3" s="1"/>
  <c r="H7" i="3" s="1"/>
  <c r="I7" i="3" s="1"/>
  <c r="L23" i="1"/>
  <c r="M23" i="1" s="1"/>
  <c r="L22" i="1"/>
  <c r="M22" i="1" s="1"/>
  <c r="L21" i="1"/>
  <c r="M21" i="1" s="1"/>
  <c r="S181" i="1"/>
  <c r="L181" i="1" s="1"/>
  <c r="L88" i="1"/>
  <c r="G34" i="3" s="1"/>
  <c r="H34" i="3" s="1"/>
  <c r="I34" i="3" s="1"/>
  <c r="G35" i="3"/>
  <c r="H35" i="3" s="1"/>
  <c r="I35" i="3" s="1"/>
  <c r="L91" i="1"/>
  <c r="G36" i="3" s="1"/>
  <c r="H36" i="3" s="1"/>
  <c r="I36" i="3" s="1"/>
  <c r="L47" i="1"/>
  <c r="M47" i="1" s="1"/>
  <c r="N47" i="1" s="1"/>
  <c r="O47" i="1" s="1"/>
  <c r="L48" i="1"/>
  <c r="G19" i="3" s="1"/>
  <c r="H19" i="3" s="1"/>
  <c r="I19" i="3" s="1"/>
  <c r="L73" i="1"/>
  <c r="G26" i="3" s="1"/>
  <c r="H26" i="3" s="1"/>
  <c r="I26" i="3" s="1"/>
  <c r="L74" i="1"/>
  <c r="L75" i="1" s="1"/>
  <c r="L76" i="1"/>
  <c r="G28" i="3" s="1"/>
  <c r="H28" i="3" s="1"/>
  <c r="I28" i="3" s="1"/>
  <c r="L117" i="1"/>
  <c r="G43" i="3" s="1"/>
  <c r="H43" i="3" s="1"/>
  <c r="I43" i="3" s="1"/>
  <c r="L132" i="1"/>
  <c r="T134" i="1"/>
  <c r="L8" i="1"/>
  <c r="G6" i="3" s="1"/>
  <c r="H6" i="3" s="1"/>
  <c r="I6" i="3" s="1"/>
  <c r="L119" i="1"/>
  <c r="G45" i="3" s="1"/>
  <c r="H45" i="3" s="1"/>
  <c r="I45" i="3" s="1"/>
  <c r="L60" i="1"/>
  <c r="G22" i="3" s="1"/>
  <c r="H22" i="3" s="1"/>
  <c r="I22" i="3" s="1"/>
  <c r="L121" i="1"/>
  <c r="G46" i="3" s="1"/>
  <c r="H46" i="3" s="1"/>
  <c r="I46" i="3" s="1"/>
  <c r="L34" i="1"/>
  <c r="G14" i="3" s="1"/>
  <c r="H14" i="3" s="1"/>
  <c r="I14" i="3" s="1"/>
  <c r="L36" i="1"/>
  <c r="G16" i="3" s="1"/>
  <c r="H16" i="3" s="1"/>
  <c r="I16" i="3" s="1"/>
  <c r="L35" i="1"/>
  <c r="G15" i="3" s="1"/>
  <c r="H15" i="3" s="1"/>
  <c r="I15" i="3" s="1"/>
  <c r="L141" i="1"/>
  <c r="L140" i="1"/>
  <c r="I19" i="2"/>
  <c r="L143" i="1"/>
  <c r="L137" i="1"/>
  <c r="L135" i="1"/>
  <c r="L138" i="1"/>
  <c r="L142" i="1"/>
  <c r="L133" i="1"/>
  <c r="L139" i="1"/>
  <c r="L136" i="1"/>
  <c r="G54" i="3" s="1"/>
  <c r="H54" i="3" s="1"/>
  <c r="I54" i="3" s="1"/>
  <c r="M120" i="1"/>
  <c r="T154" i="1"/>
  <c r="M89" i="1"/>
  <c r="T89" i="1"/>
  <c r="M49" i="1"/>
  <c r="T49" i="1"/>
  <c r="L61" i="1" l="1"/>
  <c r="G23" i="3" s="1"/>
  <c r="H23" i="3" s="1"/>
  <c r="I23" i="3" s="1"/>
  <c r="M118" i="1"/>
  <c r="I27" i="2"/>
  <c r="T118" i="1"/>
  <c r="N103" i="1"/>
  <c r="O103" i="1" s="1"/>
  <c r="M9" i="1"/>
  <c r="N9" i="1" s="1"/>
  <c r="O9" i="1" s="1"/>
  <c r="N105" i="1"/>
  <c r="O105" i="1" s="1"/>
  <c r="T9" i="1"/>
  <c r="N106" i="1"/>
  <c r="O106" i="1" s="1"/>
  <c r="N102" i="1"/>
  <c r="O102" i="1" s="1"/>
  <c r="G61" i="3"/>
  <c r="H61" i="3" s="1"/>
  <c r="I61" i="3" s="1"/>
  <c r="M132" i="1"/>
  <c r="N132" i="1" s="1"/>
  <c r="O132" i="1" s="1"/>
  <c r="G50" i="3"/>
  <c r="H50" i="3" s="1"/>
  <c r="I50" i="3" s="1"/>
  <c r="M138" i="1"/>
  <c r="N138" i="1" s="1"/>
  <c r="O138" i="1" s="1"/>
  <c r="G56" i="3"/>
  <c r="H56" i="3" s="1"/>
  <c r="I56" i="3" s="1"/>
  <c r="H52" i="3"/>
  <c r="I52" i="3" s="1"/>
  <c r="G59" i="3"/>
  <c r="H59" i="3" s="1"/>
  <c r="I59" i="3" s="1"/>
  <c r="G53" i="3"/>
  <c r="H53" i="3" s="1"/>
  <c r="I53" i="3" s="1"/>
  <c r="G55" i="3"/>
  <c r="H55" i="3" s="1"/>
  <c r="I55" i="3" s="1"/>
  <c r="T91" i="1"/>
  <c r="G51" i="3"/>
  <c r="H51" i="3" s="1"/>
  <c r="I51" i="3" s="1"/>
  <c r="G57" i="3"/>
  <c r="H57" i="3" s="1"/>
  <c r="I57" i="3" s="1"/>
  <c r="M142" i="1"/>
  <c r="N142" i="1" s="1"/>
  <c r="O142" i="1" s="1"/>
  <c r="G60" i="3"/>
  <c r="H60" i="3" s="1"/>
  <c r="I60" i="3" s="1"/>
  <c r="G58" i="3"/>
  <c r="H58" i="3" s="1"/>
  <c r="I58" i="3" s="1"/>
  <c r="M117" i="1"/>
  <c r="N117" i="1" s="1"/>
  <c r="O117" i="1" s="1"/>
  <c r="N21" i="1"/>
  <c r="O21" i="1" s="1"/>
  <c r="N22" i="1"/>
  <c r="O22" i="1" s="1"/>
  <c r="N23" i="1"/>
  <c r="O23" i="1" s="1"/>
  <c r="G30" i="3"/>
  <c r="H30" i="3" s="1"/>
  <c r="I30" i="3" s="1"/>
  <c r="T181" i="1"/>
  <c r="M91" i="1"/>
  <c r="N91" i="1" s="1"/>
  <c r="O91" i="1" s="1"/>
  <c r="S182" i="1"/>
  <c r="M88" i="1"/>
  <c r="N88" i="1" s="1"/>
  <c r="O88" i="1" s="1"/>
  <c r="T48" i="1"/>
  <c r="T88" i="1"/>
  <c r="M48" i="1"/>
  <c r="M50" i="1" s="1"/>
  <c r="J14" i="2" s="1"/>
  <c r="O14" i="2" s="1"/>
  <c r="T74" i="1"/>
  <c r="T73" i="1"/>
  <c r="M73" i="1"/>
  <c r="N73" i="1" s="1"/>
  <c r="O73" i="1" s="1"/>
  <c r="T76" i="1"/>
  <c r="M76" i="1"/>
  <c r="N76" i="1" s="1"/>
  <c r="O76" i="1" s="1"/>
  <c r="M8" i="1"/>
  <c r="N8" i="1" s="1"/>
  <c r="O8" i="1" s="1"/>
  <c r="G18" i="3"/>
  <c r="H18" i="3" s="1"/>
  <c r="I18" i="3" s="1"/>
  <c r="G27" i="3"/>
  <c r="H27" i="3" s="1"/>
  <c r="I27" i="3" s="1"/>
  <c r="M74" i="1"/>
  <c r="N74" i="1" s="1"/>
  <c r="T8" i="1"/>
  <c r="T117" i="1"/>
  <c r="L77" i="1"/>
  <c r="M77" i="1" s="1"/>
  <c r="M34" i="1"/>
  <c r="N34" i="1" s="1"/>
  <c r="O34" i="1" s="1"/>
  <c r="T132" i="1"/>
  <c r="M60" i="1"/>
  <c r="N60" i="1" s="1"/>
  <c r="O60" i="1" s="1"/>
  <c r="M137" i="1"/>
  <c r="N137" i="1" s="1"/>
  <c r="O137" i="1" s="1"/>
  <c r="M36" i="1"/>
  <c r="T60" i="1"/>
  <c r="M133" i="1"/>
  <c r="N133" i="1" s="1"/>
  <c r="O133" i="1" s="1"/>
  <c r="T142" i="1"/>
  <c r="M119" i="1"/>
  <c r="N119" i="1" s="1"/>
  <c r="O119" i="1" s="1"/>
  <c r="T119" i="1"/>
  <c r="T137" i="1"/>
  <c r="T62" i="1"/>
  <c r="T121" i="1"/>
  <c r="M139" i="1"/>
  <c r="N139" i="1" s="1"/>
  <c r="O139" i="1" s="1"/>
  <c r="M143" i="1"/>
  <c r="N143" i="1" s="1"/>
  <c r="O143" i="1" s="1"/>
  <c r="M62" i="1"/>
  <c r="T61" i="1"/>
  <c r="T34" i="1"/>
  <c r="M121" i="1"/>
  <c r="N121" i="1" s="1"/>
  <c r="T141" i="1"/>
  <c r="M141" i="1"/>
  <c r="N141" i="1" s="1"/>
  <c r="O141" i="1" s="1"/>
  <c r="T143" i="1"/>
  <c r="M61" i="1"/>
  <c r="N61" i="1" s="1"/>
  <c r="T140" i="1"/>
  <c r="T133" i="1"/>
  <c r="M140" i="1"/>
  <c r="N140" i="1" s="1"/>
  <c r="O140" i="1" s="1"/>
  <c r="T138" i="1"/>
  <c r="M135" i="1"/>
  <c r="N135" i="1" s="1"/>
  <c r="O135" i="1" s="1"/>
  <c r="T135" i="1"/>
  <c r="T139" i="1"/>
  <c r="T36" i="1"/>
  <c r="T35" i="1"/>
  <c r="T136" i="1"/>
  <c r="M35" i="1"/>
  <c r="N35" i="1" s="1"/>
  <c r="M136" i="1"/>
  <c r="N136" i="1" s="1"/>
  <c r="O136" i="1" s="1"/>
  <c r="T120" i="1"/>
  <c r="N154" i="1"/>
  <c r="N89" i="1"/>
  <c r="T90" i="1"/>
  <c r="M90" i="1"/>
  <c r="T75" i="1"/>
  <c r="M75" i="1"/>
  <c r="N118" i="1"/>
  <c r="O118" i="1" s="1"/>
  <c r="N49" i="1"/>
  <c r="O49" i="1" s="1"/>
  <c r="N120" i="1"/>
  <c r="O120" i="1" s="1"/>
  <c r="S183" i="1" l="1"/>
  <c r="L183" i="1" s="1"/>
  <c r="L182" i="1"/>
  <c r="M92" i="1"/>
  <c r="N48" i="1"/>
  <c r="N50" i="1" s="1"/>
  <c r="O50" i="1" s="1"/>
  <c r="T77" i="1"/>
  <c r="M37" i="1"/>
  <c r="P36" i="1" s="1"/>
  <c r="Q36" i="1" s="1"/>
  <c r="M10" i="1"/>
  <c r="P8" i="1" s="1"/>
  <c r="N36" i="1"/>
  <c r="O36" i="1" s="1"/>
  <c r="M122" i="1"/>
  <c r="M63" i="1"/>
  <c r="P60" i="1" s="1"/>
  <c r="Q60" i="1" s="1"/>
  <c r="N62" i="1"/>
  <c r="O62" i="1" s="1"/>
  <c r="N144" i="1"/>
  <c r="O144" i="1" s="1"/>
  <c r="O154" i="1"/>
  <c r="N10" i="1"/>
  <c r="T103" i="1"/>
  <c r="O74" i="1"/>
  <c r="O61" i="1"/>
  <c r="O121" i="1"/>
  <c r="N122" i="1"/>
  <c r="O89" i="1"/>
  <c r="O35" i="1"/>
  <c r="M144" i="1"/>
  <c r="P49" i="1"/>
  <c r="Q49" i="1" s="1"/>
  <c r="P48" i="1"/>
  <c r="Q48" i="1" s="1"/>
  <c r="R50" i="1"/>
  <c r="M56" i="1"/>
  <c r="M57" i="1" s="1"/>
  <c r="N57" i="1" s="1"/>
  <c r="P47" i="1"/>
  <c r="Q47" i="1" s="1"/>
  <c r="N77" i="1"/>
  <c r="O77" i="1" s="1"/>
  <c r="N90" i="1"/>
  <c r="O90" i="1" s="1"/>
  <c r="M78" i="1"/>
  <c r="N75" i="1"/>
  <c r="O75" i="1" s="1"/>
  <c r="J13" i="2" l="1"/>
  <c r="O13" i="2" s="1"/>
  <c r="P89" i="1"/>
  <c r="Q89" i="1" s="1"/>
  <c r="P21" i="1"/>
  <c r="Q21" i="1" s="1"/>
  <c r="P22" i="1"/>
  <c r="Q22" i="1" s="1"/>
  <c r="P23" i="1"/>
  <c r="Q23" i="1" s="1"/>
  <c r="O48" i="1"/>
  <c r="G31" i="3"/>
  <c r="H31" i="3" s="1"/>
  <c r="I31" i="3" s="1"/>
  <c r="T182" i="1"/>
  <c r="G32" i="3"/>
  <c r="H32" i="3" s="1"/>
  <c r="I32" i="3" s="1"/>
  <c r="T183" i="1"/>
  <c r="P9" i="1"/>
  <c r="Q9" i="1" s="1"/>
  <c r="J11" i="2"/>
  <c r="O11" i="2" s="1"/>
  <c r="R10" i="1"/>
  <c r="M16" i="1"/>
  <c r="N16" i="1" s="1"/>
  <c r="O16" i="1" s="1"/>
  <c r="N11" i="2" s="1"/>
  <c r="P88" i="1"/>
  <c r="Q88" i="1" s="1"/>
  <c r="P90" i="1"/>
  <c r="Q90" i="1" s="1"/>
  <c r="R92" i="1"/>
  <c r="P91" i="1"/>
  <c r="Q91" i="1" s="1"/>
  <c r="M98" i="1"/>
  <c r="N98" i="1" s="1"/>
  <c r="O98" i="1" s="1"/>
  <c r="N17" i="2" s="1"/>
  <c r="J17" i="2"/>
  <c r="O17" i="2" s="1"/>
  <c r="P35" i="1"/>
  <c r="Q35" i="1" s="1"/>
  <c r="P117" i="1"/>
  <c r="Q117" i="1" s="1"/>
  <c r="M43" i="1"/>
  <c r="N43" i="1" s="1"/>
  <c r="O43" i="1" s="1"/>
  <c r="N13" i="2" s="1"/>
  <c r="P34" i="1"/>
  <c r="R37" i="1"/>
  <c r="P62" i="1"/>
  <c r="Q62" i="1" s="1"/>
  <c r="P121" i="1"/>
  <c r="Q121" i="1" s="1"/>
  <c r="M128" i="1"/>
  <c r="M129" i="1" s="1"/>
  <c r="N129" i="1" s="1"/>
  <c r="R122" i="1"/>
  <c r="J22" i="2"/>
  <c r="P120" i="1"/>
  <c r="Q120" i="1" s="1"/>
  <c r="P61" i="1"/>
  <c r="Q61" i="1" s="1"/>
  <c r="P119" i="1"/>
  <c r="Q119" i="1" s="1"/>
  <c r="R63" i="1"/>
  <c r="N37" i="1"/>
  <c r="O37" i="1" s="1"/>
  <c r="P118" i="1"/>
  <c r="Q118" i="1" s="1"/>
  <c r="M69" i="1"/>
  <c r="N69" i="1" s="1"/>
  <c r="O69" i="1" s="1"/>
  <c r="N15" i="2" s="1"/>
  <c r="P135" i="1"/>
  <c r="Q135" i="1" s="1"/>
  <c r="J15" i="2"/>
  <c r="P139" i="1"/>
  <c r="Q139" i="1" s="1"/>
  <c r="N63" i="1"/>
  <c r="O63" i="1" s="1"/>
  <c r="P134" i="1"/>
  <c r="Q134" i="1" s="1"/>
  <c r="G39" i="3"/>
  <c r="H39" i="3" s="1"/>
  <c r="I39" i="3" s="1"/>
  <c r="J18" i="2"/>
  <c r="L18" i="2" s="1"/>
  <c r="P141" i="1"/>
  <c r="Q141" i="1" s="1"/>
  <c r="P140" i="1"/>
  <c r="Q140" i="1" s="1"/>
  <c r="R144" i="1"/>
  <c r="M150" i="1"/>
  <c r="N150" i="1" s="1"/>
  <c r="O150" i="1" s="1"/>
  <c r="N18" i="2" s="1"/>
  <c r="G81" i="3" s="1"/>
  <c r="P142" i="1"/>
  <c r="Q142" i="1" s="1"/>
  <c r="P143" i="1"/>
  <c r="Q143" i="1" s="1"/>
  <c r="N78" i="1"/>
  <c r="N92" i="1"/>
  <c r="L17" i="2" s="1"/>
  <c r="P136" i="1"/>
  <c r="Q136" i="1" s="1"/>
  <c r="P138" i="1"/>
  <c r="Q138" i="1" s="1"/>
  <c r="P137" i="1"/>
  <c r="Q137" i="1" s="1"/>
  <c r="P133" i="1"/>
  <c r="Q133" i="1" s="1"/>
  <c r="P132" i="1"/>
  <c r="Q132" i="1" s="1"/>
  <c r="O57" i="1"/>
  <c r="F91" i="3"/>
  <c r="P50" i="1"/>
  <c r="Q50" i="1" s="1"/>
  <c r="N56" i="1"/>
  <c r="O56" i="1" s="1"/>
  <c r="N14" i="2" s="1"/>
  <c r="L14" i="2"/>
  <c r="J16" i="2"/>
  <c r="O16" i="2" s="1"/>
  <c r="M84" i="1"/>
  <c r="R78" i="1"/>
  <c r="P73" i="1"/>
  <c r="P76" i="1"/>
  <c r="Q76" i="1" s="1"/>
  <c r="P74" i="1"/>
  <c r="Q74" i="1" s="1"/>
  <c r="O122" i="1"/>
  <c r="L22" i="2"/>
  <c r="M22" i="2" s="1"/>
  <c r="Q8" i="1"/>
  <c r="P77" i="1"/>
  <c r="Q77" i="1" s="1"/>
  <c r="O10" i="1"/>
  <c r="L11" i="2"/>
  <c r="P75" i="1"/>
  <c r="Q75" i="1" s="1"/>
  <c r="O22" i="2" l="1"/>
  <c r="O15" i="2"/>
  <c r="M17" i="1"/>
  <c r="N17" i="1" s="1"/>
  <c r="F88" i="3" s="1"/>
  <c r="P10" i="1"/>
  <c r="Q10" i="1" s="1"/>
  <c r="M44" i="1"/>
  <c r="N44" i="1" s="1"/>
  <c r="F90" i="3" s="1"/>
  <c r="M99" i="1"/>
  <c r="N99" i="1" s="1"/>
  <c r="O99" i="1" s="1"/>
  <c r="P92" i="1"/>
  <c r="Q92" i="1" s="1"/>
  <c r="L13" i="2"/>
  <c r="M13" i="2" s="1"/>
  <c r="P37" i="1"/>
  <c r="Q37" i="1" s="1"/>
  <c r="Q34" i="1"/>
  <c r="N128" i="1"/>
  <c r="O128" i="1" s="1"/>
  <c r="N22" i="2" s="1"/>
  <c r="G96" i="3" s="1"/>
  <c r="P63" i="1"/>
  <c r="Q63" i="1" s="1"/>
  <c r="P122" i="1"/>
  <c r="Q122" i="1" s="1"/>
  <c r="L15" i="2"/>
  <c r="F76" i="3" s="1"/>
  <c r="G97" i="3"/>
  <c r="M70" i="1"/>
  <c r="N70" i="1" s="1"/>
  <c r="O70" i="1" s="1"/>
  <c r="O18" i="2"/>
  <c r="O92" i="1"/>
  <c r="G41" i="3"/>
  <c r="H41" i="3" s="1"/>
  <c r="I41" i="3" s="1"/>
  <c r="T106" i="1"/>
  <c r="G40" i="3"/>
  <c r="H40" i="3" s="1"/>
  <c r="I40" i="3" s="1"/>
  <c r="T105" i="1"/>
  <c r="P144" i="1"/>
  <c r="Q144" i="1" s="1"/>
  <c r="M17" i="2"/>
  <c r="F78" i="3"/>
  <c r="M18" i="2"/>
  <c r="F81" i="3"/>
  <c r="M11" i="2"/>
  <c r="F72" i="3"/>
  <c r="G78" i="3"/>
  <c r="G94" i="3"/>
  <c r="G74" i="3"/>
  <c r="G90" i="3"/>
  <c r="O129" i="1"/>
  <c r="F96" i="3"/>
  <c r="G88" i="3"/>
  <c r="G72" i="3"/>
  <c r="G91" i="3"/>
  <c r="G75" i="3"/>
  <c r="F80" i="3"/>
  <c r="G92" i="3"/>
  <c r="G76" i="3"/>
  <c r="M14" i="2"/>
  <c r="F75" i="3"/>
  <c r="P78" i="1"/>
  <c r="Q78" i="1" s="1"/>
  <c r="Q73" i="1"/>
  <c r="O78" i="1"/>
  <c r="L16" i="2"/>
  <c r="M85" i="1"/>
  <c r="N85" i="1" s="1"/>
  <c r="N84" i="1"/>
  <c r="O84" i="1" s="1"/>
  <c r="N16" i="2" s="1"/>
  <c r="O17" i="1" l="1"/>
  <c r="O44" i="1"/>
  <c r="F94" i="3"/>
  <c r="F74" i="3"/>
  <c r="G80" i="3"/>
  <c r="M15" i="2"/>
  <c r="F92" i="3"/>
  <c r="G93" i="3"/>
  <c r="G77" i="3"/>
  <c r="O85" i="1"/>
  <c r="F93" i="3"/>
  <c r="M16" i="2"/>
  <c r="F77" i="3"/>
  <c r="L20" i="1" l="1"/>
  <c r="M20" i="1" s="1"/>
  <c r="G11" i="3"/>
  <c r="H11" i="3" s="1"/>
  <c r="I11" i="3" s="1"/>
  <c r="N20" i="1" l="1"/>
  <c r="P20" i="1"/>
  <c r="M24" i="1"/>
  <c r="G10" i="3"/>
  <c r="H10" i="3" s="1"/>
  <c r="I10" i="3" s="1"/>
  <c r="G9" i="3"/>
  <c r="H9" i="3" s="1"/>
  <c r="I9" i="3" s="1"/>
  <c r="T22" i="1"/>
  <c r="T21" i="1"/>
  <c r="T23" i="1"/>
  <c r="G12" i="3"/>
  <c r="H12" i="3" s="1"/>
  <c r="I12" i="3" s="1"/>
  <c r="N24" i="1" l="1"/>
  <c r="O24" i="1" s="1"/>
  <c r="O20" i="1"/>
  <c r="Q20" i="1"/>
  <c r="P24" i="1"/>
  <c r="Q24" i="1" s="1"/>
  <c r="R24" i="1"/>
  <c r="M30" i="1"/>
  <c r="J12" i="2"/>
  <c r="M31" i="1" l="1"/>
  <c r="N31" i="1" s="1"/>
  <c r="N30" i="1"/>
  <c r="O30" i="1" s="1"/>
  <c r="N12" i="2" s="1"/>
  <c r="O12" i="2"/>
  <c r="L12" i="2"/>
  <c r="O31" i="1" l="1"/>
  <c r="F89" i="3"/>
  <c r="M12" i="2"/>
  <c r="F73" i="3"/>
  <c r="G73" i="3"/>
  <c r="G89" i="3"/>
  <c r="G38" i="3"/>
  <c r="H38" i="3" s="1"/>
  <c r="I38" i="3" s="1"/>
  <c r="N107" i="1"/>
  <c r="O107" i="1" s="1"/>
  <c r="T102" i="1"/>
  <c r="M107" i="1" l="1"/>
  <c r="L21" i="2"/>
  <c r="L23" i="2" l="1"/>
  <c r="M21" i="2"/>
  <c r="P104" i="1"/>
  <c r="Q104" i="1" s="1"/>
  <c r="P103" i="1"/>
  <c r="Q103" i="1" s="1"/>
  <c r="P102" i="1"/>
  <c r="Q102" i="1" s="1"/>
  <c r="P105" i="1"/>
  <c r="Q105" i="1" s="1"/>
  <c r="P106" i="1"/>
  <c r="Q106" i="1" s="1"/>
  <c r="F79" i="3"/>
  <c r="R107" i="1"/>
  <c r="J21" i="2"/>
  <c r="M113" i="1"/>
  <c r="N113" i="1" l="1"/>
  <c r="O113" i="1" s="1"/>
  <c r="N21" i="2" s="1"/>
  <c r="G79" i="3" s="1"/>
  <c r="M114" i="1"/>
  <c r="N114" i="1" s="1"/>
  <c r="F95" i="3" s="1"/>
  <c r="O21" i="2"/>
  <c r="J19" i="2"/>
  <c r="K18" i="2" s="1"/>
  <c r="J23" i="2"/>
  <c r="G95" i="3"/>
  <c r="P107" i="1"/>
  <c r="Q107" i="1" s="1"/>
  <c r="K23" i="2" l="1"/>
  <c r="K22" i="2"/>
  <c r="K21" i="2"/>
  <c r="L19" i="2"/>
  <c r="O19" i="2"/>
  <c r="K16" i="2"/>
  <c r="K13" i="2"/>
  <c r="K12" i="2"/>
  <c r="K17" i="2"/>
  <c r="K14" i="2"/>
  <c r="K11" i="2"/>
  <c r="K15" i="2"/>
  <c r="K19" i="2"/>
  <c r="J27" i="2"/>
  <c r="M19" i="2"/>
  <c r="M23" i="2" l="1"/>
  <c r="L27" i="2"/>
  <c r="M156" i="1"/>
  <c r="G66" i="3"/>
  <c r="H66" i="3" s="1"/>
  <c r="I66" i="3" s="1"/>
  <c r="T156" i="1"/>
  <c r="M157" i="1" l="1"/>
  <c r="P155" i="1" s="1"/>
  <c r="Q155" i="1" s="1"/>
  <c r="N156" i="1"/>
  <c r="R157" i="1" l="1"/>
  <c r="J25" i="2"/>
  <c r="M168" i="1"/>
  <c r="M174" i="1" s="1"/>
  <c r="P154" i="1"/>
  <c r="Q154" i="1" s="1"/>
  <c r="P153" i="1"/>
  <c r="M163" i="1"/>
  <c r="N163" i="1" s="1"/>
  <c r="P156" i="1"/>
  <c r="Q156" i="1" s="1"/>
  <c r="M164" i="1"/>
  <c r="N157" i="1"/>
  <c r="O156" i="1"/>
  <c r="Q153" i="1" l="1"/>
  <c r="P157" i="1"/>
  <c r="Q157" i="1" s="1"/>
  <c r="O25" i="2"/>
  <c r="K25" i="2"/>
  <c r="O163" i="1"/>
  <c r="N164" i="1"/>
  <c r="F98" i="3" s="1"/>
  <c r="O157" i="1"/>
  <c r="N168" i="1"/>
  <c r="L25" i="2"/>
  <c r="O23" i="2" l="1"/>
  <c r="J36" i="2"/>
  <c r="L36" i="2" s="1"/>
  <c r="O27" i="2"/>
  <c r="F82" i="3"/>
  <c r="M25" i="2"/>
  <c r="O168" i="1"/>
  <c r="N174" i="1"/>
  <c r="O164" i="1"/>
  <c r="N25" i="2"/>
  <c r="M27" i="2" l="1"/>
  <c r="L38" i="2"/>
  <c r="L39" i="2" s="1"/>
  <c r="F83" i="3"/>
  <c r="N36" i="2"/>
  <c r="G83" i="3" s="1"/>
  <c r="O174" i="1"/>
  <c r="N176" i="1"/>
  <c r="G82" i="3"/>
  <c r="G98" i="3"/>
</calcChain>
</file>

<file path=xl/sharedStrings.xml><?xml version="1.0" encoding="utf-8"?>
<sst xmlns="http://schemas.openxmlformats.org/spreadsheetml/2006/main" count="254" uniqueCount="128">
  <si>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</si>
  <si>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</si>
  <si>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</si>
  <si>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</si>
  <si>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</si>
  <si>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</si>
  <si>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</si>
  <si>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</si>
  <si>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</si>
  <si>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</si>
  <si>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</si>
  <si>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</si>
  <si>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</si>
  <si>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</si>
  <si>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</si>
  <si>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</si>
  <si>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</si>
  <si>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</si>
  <si>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</si>
  <si>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</si>
  <si>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</si>
  <si>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</si>
  <si>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</si>
  <si>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</si>
  <si>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</si>
  <si>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</si>
  <si>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</si>
  <si>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</si>
  <si>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L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</si>
  <si>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</si>
  <si>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</si>
  <si>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</si>
  <si>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</si>
  <si>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</si>
  <si>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</si>
  <si>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</si>
  <si>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</si>
  <si>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</si>
  <si>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</si>
  <si>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</si>
  <si>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>BLUE GRASS ENERGY</t>
  </si>
  <si>
    <t>GS-1</t>
  </si>
  <si>
    <t>GS-2</t>
  </si>
  <si>
    <t>Residential , Farm &amp; Non-Farm</t>
  </si>
  <si>
    <t>Residential Time of Day</t>
  </si>
  <si>
    <t>GS-3</t>
  </si>
  <si>
    <t>Small Commercial (0-100 kW)</t>
  </si>
  <si>
    <t>SC-1</t>
  </si>
  <si>
    <t>Large Power (101 - 500 kW)</t>
  </si>
  <si>
    <t>LP-1</t>
  </si>
  <si>
    <t>LP-2</t>
  </si>
  <si>
    <t>B-2</t>
  </si>
  <si>
    <t>B-1</t>
  </si>
  <si>
    <t>Large Industrial (over 4,000 kW)</t>
  </si>
  <si>
    <t>Open Bottom Light- 6000-9500 Lumens</t>
  </si>
  <si>
    <t>Open Bottom Light- 25,000 Lumens</t>
  </si>
  <si>
    <t>Ornamental Light 6000-9500 Lumens</t>
  </si>
  <si>
    <t>Ornamental light- approx 25000 Lumens</t>
  </si>
  <si>
    <t>Cobra Head- 25000 Lumens</t>
  </si>
  <si>
    <t>Colonial Fixture- 15ft Mounting height</t>
  </si>
  <si>
    <t>Directional Flood Light</t>
  </si>
  <si>
    <t>Shoebox Fixture</t>
  </si>
  <si>
    <t>Acorn Fixture</t>
  </si>
  <si>
    <t>Colonial Fixture</t>
  </si>
  <si>
    <t>Cobra Head- 50,000 Lumens</t>
  </si>
  <si>
    <t xml:space="preserve">    Other</t>
  </si>
  <si>
    <t>SC-2</t>
  </si>
  <si>
    <t>General Service 0-100 KW Time of Day Rate</t>
  </si>
  <si>
    <t>Energy Charge w/Pri Discount</t>
  </si>
  <si>
    <t>Demand Charge Minimums</t>
  </si>
  <si>
    <t>Large Power (over 500 kW)</t>
  </si>
  <si>
    <t>Special</t>
  </si>
  <si>
    <t>TOTAL Base Rates</t>
  </si>
  <si>
    <t xml:space="preserve">Total Rate G Revenue Increase Allocated by East Kentucky Power Cooperative:   </t>
  </si>
  <si>
    <t xml:space="preserve">Remaining Revenue Increase Allocated by East Kentucky Power Cooperative:   </t>
  </si>
  <si>
    <t>Large Industrial (1,000 - 3,999 kW)</t>
  </si>
  <si>
    <t>Base %</t>
  </si>
  <si>
    <t>Total %</t>
  </si>
  <si>
    <t>Base Rate Increase</t>
  </si>
  <si>
    <t xml:space="preserve">Rate </t>
  </si>
  <si>
    <t>Present</t>
  </si>
  <si>
    <t>Proposed</t>
  </si>
  <si>
    <t>Energy Charge per kWh</t>
  </si>
  <si>
    <t>Energy Charge - First 200 per kWh</t>
  </si>
  <si>
    <t>Energy Charge - Next 300 per kWh</t>
  </si>
  <si>
    <t>Energy Charge - Over 500 per kWh</t>
  </si>
  <si>
    <t>Energy Charge - On Peak per kWh</t>
  </si>
  <si>
    <t>Energy Charge - Off Peak per kWh</t>
  </si>
  <si>
    <t>Demand Charge over 10 KW per kW</t>
  </si>
  <si>
    <t>Demand Charge per kW</t>
  </si>
  <si>
    <t>Demand Charge Contract per kW</t>
  </si>
  <si>
    <t>Demand Charge Excess per kW</t>
  </si>
  <si>
    <t>Interruptible Credit per kW</t>
  </si>
  <si>
    <t>The amount of the change requested in both dollar amounts and percentage change for each customer classification to which the proposed rates will apply is set forth below:</t>
  </si>
  <si>
    <t>Increase</t>
  </si>
  <si>
    <t>Rate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</si>
  <si>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</si>
  <si>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</si>
  <si>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</si>
  <si>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</si>
  <si>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</si>
  <si>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</si>
  <si>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Target Share</t>
  </si>
  <si>
    <t>Interruptible Service Rider</t>
  </si>
  <si>
    <t>RATES WITH NO CURRENT MEMBERS</t>
  </si>
  <si>
    <t>Large Power (101 - 500 kW) (Time of Day)</t>
  </si>
  <si>
    <t>Same as LP1</t>
  </si>
  <si>
    <t xml:space="preserve"> </t>
  </si>
  <si>
    <t>Present &amp; Proposed Rates</t>
  </si>
  <si>
    <t>Incr</t>
  </si>
  <si>
    <t>2023 Rate</t>
  </si>
  <si>
    <t xml:space="preserve">          2023 Revenue</t>
  </si>
  <si>
    <t>FAC Roll-In &gt;</t>
  </si>
  <si>
    <t xml:space="preserve">    Minimum Adj</t>
  </si>
  <si>
    <t xml:space="preserve">    Prepay</t>
  </si>
  <si>
    <t xml:space="preserve">    Min Adj</t>
  </si>
  <si>
    <t>Residential and Farm Inclining Block</t>
  </si>
  <si>
    <t>2023 Revenue</t>
  </si>
  <si>
    <t>Special - EKPC Rate G</t>
  </si>
  <si>
    <t>Cobra Head- 6000-9500 Lumens</t>
  </si>
  <si>
    <t>B</t>
  </si>
  <si>
    <t>G</t>
  </si>
  <si>
    <t>E</t>
  </si>
  <si>
    <t>Tot</t>
  </si>
  <si>
    <t xml:space="preserve">Total Rate B Revenue Increase Allocated by East Kentucky Power Cooperative:   </t>
  </si>
  <si>
    <t>SubTotal Base Rates E</t>
  </si>
  <si>
    <t>SubTotal Base Rates B</t>
  </si>
  <si>
    <t>FAC Roll-In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</si>
</sst>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0"/>
    <numFmt numFmtId="168" formatCode="_(* #,##0.00000_);_(* \(#,##0.00000\);_(* &quot;-&quot;??_);_(@_)"/>
    <numFmt numFmtId="169" formatCode="_(* #,##0.000000_);_(* \(#,##0.000000\);_(* &quot;-&quot;??_);_(@_)"/>
    <numFmt numFmtId="170" formatCode="0.00000%"/>
    <numFmt numFmtId="171" formatCode="_(* #,##0.0000_);_(* \(#,##0.0000\);_(* &quot;-&quot;??_);_(@_)"/>
    <numFmt numFmtId="172" formatCode="_(&quot;$&quot;* #,##0.00000_);_(&quot;$&quot;* \(#,##0.00000\);_(&quot;$&quot;* &quot;-&quot;??_);_(@_)"/>
    <numFmt numFmtId="173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165" fontId="7" fillId="0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0" fontId="3" fillId="0" borderId="5" xfId="3" applyNumberFormat="1" applyFont="1" applyBorder="1" applyAlignment="1"/>
    <xf numFmtId="165" fontId="3" fillId="0" borderId="5" xfId="0" applyNumberFormat="1" applyFont="1" applyBorder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2" fontId="3" fillId="0" borderId="0" xfId="2" applyNumberFormat="1" applyFont="1"/>
    <xf numFmtId="0" fontId="2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3" fillId="0" borderId="0" xfId="2" applyNumberFormat="1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5" fontId="3" fillId="0" borderId="2" xfId="2" applyNumberFormat="1" applyFont="1" applyBorder="1"/>
    <xf numFmtId="10" fontId="3" fillId="0" borderId="2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43" fontId="7" fillId="0" borderId="0" xfId="1" applyFont="1" applyAlignment="1">
      <alignment horizontal="center"/>
    </xf>
    <xf numFmtId="173" fontId="3" fillId="0" borderId="0" xfId="0" applyNumberFormat="1" applyFont="1"/>
    <xf numFmtId="0" fontId="7" fillId="0" borderId="0" xfId="0" applyFont="1"/>
    <xf numFmtId="173" fontId="3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right"/>
    </xf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Alignment="1"/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7" fillId="0" borderId="6" xfId="0" applyFont="1" applyBorder="1"/>
    <xf numFmtId="43" fontId="7" fillId="0" borderId="0" xfId="1" applyFont="1" applyFill="1"/>
    <xf numFmtId="10" fontId="7" fillId="0" borderId="0" xfId="3" applyNumberFormat="1" applyFont="1" applyFill="1"/>
    <xf numFmtId="168" fontId="7" fillId="0" borderId="0" xfId="1" applyNumberFormat="1" applyFont="1" applyFill="1"/>
    <xf numFmtId="165" fontId="7" fillId="0" borderId="5" xfId="3" applyNumberFormat="1" applyFont="1" applyFill="1" applyBorder="1" applyAlignment="1">
      <alignment vertical="center"/>
    </xf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Fill="1"/>
    <xf numFmtId="165" fontId="7" fillId="0" borderId="0" xfId="2" applyNumberFormat="1" applyFont="1" applyFill="1"/>
    <xf numFmtId="165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169" fontId="7" fillId="0" borderId="0" xfId="1" applyNumberFormat="1" applyFont="1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10" fontId="7" fillId="0" borderId="0" xfId="0" applyNumberFormat="1" applyFont="1"/>
    <xf numFmtId="10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Fill="1" applyBorder="1" applyAlignment="1">
      <alignment vertical="center"/>
    </xf>
    <xf numFmtId="170" fontId="7" fillId="0" borderId="0" xfId="3" applyNumberFormat="1" applyFont="1" applyFill="1"/>
    <xf numFmtId="43" fontId="7" fillId="0" borderId="0" xfId="0" applyNumberFormat="1" applyFont="1"/>
    <xf numFmtId="165" fontId="7" fillId="0" borderId="5" xfId="2" applyNumberFormat="1" applyFont="1" applyFill="1" applyBorder="1"/>
    <xf numFmtId="43" fontId="7" fillId="0" borderId="5" xfId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Fill="1" applyBorder="1" applyAlignment="1">
      <alignment vertical="center"/>
    </xf>
    <xf numFmtId="44" fontId="7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165" fontId="7" fillId="0" borderId="0" xfId="0" applyNumberFormat="1" applyFont="1" applyAlignment="1">
      <alignment horizontal="right"/>
    </xf>
    <xf numFmtId="164" fontId="7" fillId="0" borderId="0" xfId="0" applyNumberFormat="1" applyFont="1"/>
    <xf numFmtId="44" fontId="7" fillId="0" borderId="0" xfId="2" applyFont="1" applyFill="1"/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0" fontId="9" fillId="0" borderId="0" xfId="0" applyFont="1"/>
    <xf numFmtId="171" fontId="7" fillId="0" borderId="0" xfId="1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171" fontId="7" fillId="0" borderId="0" xfId="1" applyNumberFormat="1" applyFont="1"/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0" fontId="3" fillId="0" borderId="0" xfId="3" applyNumberFormat="1" applyFont="1" applyAlignment="1">
      <alignment horizontal="right"/>
    </xf>
    <xf numFmtId="164" fontId="3" fillId="0" borderId="0" xfId="1" applyNumberFormat="1" applyFont="1"/>
    <xf numFmtId="10" fontId="7" fillId="0" borderId="0" xfId="3" applyNumberFormat="1" applyFont="1" applyAlignment="1"/>
    <xf numFmtId="10" fontId="7" fillId="0" borderId="2" xfId="3" applyNumberFormat="1" applyFont="1" applyBorder="1" applyAlignment="1"/>
    <xf numFmtId="6" fontId="7" fillId="0" borderId="1" xfId="0" applyNumberFormat="1" applyFont="1" applyBorder="1"/>
    <xf numFmtId="43" fontId="7" fillId="0" borderId="0" xfId="0" applyNumberFormat="1" applyFont="1" applyAlignment="1">
      <alignment horizontal="center"/>
    </xf>
    <xf numFmtId="167" fontId="7" fillId="0" borderId="0" xfId="0" applyNumberFormat="1" applyFont="1"/>
    <xf numFmtId="166" fontId="7" fillId="0" borderId="0" xfId="0" applyNumberFormat="1" applyFont="1"/>
    <xf numFmtId="2" fontId="7" fillId="0" borderId="0" xfId="0" applyNumberFormat="1" applyFont="1"/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41"/>
  <sheetViews>
    <sheetView view="pageBreakPreview" topLeftCell="A20" zoomScaleNormal="75" zoomScaleSheetLayoutView="100" workbookViewId="0">
      <selection activeCell="I146" sqref="I146"/>
    </sheetView>
  </sheetViews>
  <sheetFormatPr defaultColWidth="8.85546875" defaultRowHeight="12.75" x14ac:dyDescent="0.2"/>
  <cols>
    <col min="1" max="1" width="9" style="2" bestFit="1" customWidth="1"/>
    <col min="2" max="2" width="37.7109375" style="2" customWidth="1"/>
    <col min="3" max="3" width="12.7109375" style="2" customWidth="1"/>
    <col min="4" max="4" width="13.5703125" style="2" hidden="1" customWidth="1"/>
    <col min="5" max="5" width="13.42578125" style="2" bestFit="1" customWidth="1"/>
    <col min="6" max="6" width="10.28515625" style="2" customWidth="1"/>
    <col min="7" max="7" width="14.28515625" style="2" bestFit="1" customWidth="1"/>
    <col min="8" max="8" width="10.7109375" style="2" bestFit="1" customWidth="1"/>
    <col min="9" max="9" width="12.28515625" style="2" bestFit="1" customWidth="1"/>
    <col min="10" max="10" width="13.7109375" style="2" bestFit="1" customWidth="1"/>
    <col min="11" max="11" width="10.7109375" style="2" customWidth="1"/>
    <col min="12" max="12" width="12.28515625" style="2" bestFit="1" customWidth="1"/>
    <col min="13" max="13" width="7.28515625" style="2" bestFit="1" customWidth="1"/>
    <col min="14" max="14" width="7" style="2" customWidth="1"/>
    <col min="15" max="15" width="12.85546875" style="2" bestFit="1" customWidth="1"/>
    <col min="16" max="16" width="28.42578125" style="2" customWidth="1"/>
    <col min="17" max="17" width="11.42578125" style="2" customWidth="1"/>
    <col min="18" max="18" width="17.85546875" style="2" bestFit="1" customWidth="1"/>
    <col min="19" max="19" width="7.5703125" style="2" bestFit="1" customWidth="1"/>
    <col min="20" max="20" width="13.85546875" style="2" bestFit="1" customWidth="1"/>
    <col min="21" max="21" width="7.5703125" style="2" bestFit="1" customWidth="1"/>
    <col min="22" max="22" width="7.140625" style="2" bestFit="1" customWidth="1"/>
    <col min="23" max="16384" width="8.85546875" style="2"/>
  </cols>
  <sheetData>
    <row r="1" spans="1:22" x14ac:dyDescent="0.2">
      <c r="A1" s="1" t="s">
        <v>40</v>
      </c>
    </row>
    <row r="2" spans="1:22" x14ac:dyDescent="0.2">
      <c r="A2" s="1" t="s">
        <v>0</v>
      </c>
    </row>
    <row r="3" spans="1:22" x14ac:dyDescent="0.2">
      <c r="A3" s="1"/>
      <c r="P3" s="123" t="s">
        <v>120</v>
      </c>
      <c r="Q3" s="125">
        <v>1127685.0844620019</v>
      </c>
    </row>
    <row r="4" spans="1:22" x14ac:dyDescent="0.2">
      <c r="A4" s="1"/>
      <c r="K4" s="12" t="s">
        <v>37</v>
      </c>
      <c r="L4" s="128">
        <v>8200415.1486710608</v>
      </c>
      <c r="P4" s="123" t="s">
        <v>121</v>
      </c>
      <c r="Q4" s="125">
        <v>640575.06073800102</v>
      </c>
    </row>
    <row r="5" spans="1:22" x14ac:dyDescent="0.2">
      <c r="K5" s="12" t="s">
        <v>124</v>
      </c>
      <c r="L5" s="128">
        <v>1127685.0844620019</v>
      </c>
      <c r="M5" s="5"/>
      <c r="P5" s="124" t="s">
        <v>122</v>
      </c>
      <c r="Q5" s="125">
        <v>6432155.0034710616</v>
      </c>
    </row>
    <row r="6" spans="1:22" x14ac:dyDescent="0.2">
      <c r="K6" s="12" t="s">
        <v>73</v>
      </c>
      <c r="L6" s="128">
        <v>640575.06073800102</v>
      </c>
      <c r="M6" s="5"/>
      <c r="P6" s="124" t="s">
        <v>123</v>
      </c>
      <c r="Q6" s="125">
        <f>SUM(Q3:Q5)</f>
        <v>8200415.1486710645</v>
      </c>
    </row>
    <row r="7" spans="1:22" x14ac:dyDescent="0.2">
      <c r="B7" s="3"/>
      <c r="C7" s="3"/>
      <c r="K7" s="12" t="s">
        <v>74</v>
      </c>
      <c r="L7" s="128">
        <f>L4-L6-L5</f>
        <v>6432155.0034710579</v>
      </c>
      <c r="M7" s="5"/>
      <c r="O7" s="125"/>
    </row>
    <row r="8" spans="1:22" x14ac:dyDescent="0.2">
      <c r="M8" s="5"/>
      <c r="N8" s="124"/>
    </row>
    <row r="9" spans="1:22" s="8" customFormat="1" ht="31.9" customHeight="1" x14ac:dyDescent="0.2">
      <c r="A9" s="6" t="s">
        <v>1</v>
      </c>
      <c r="B9" s="6" t="s">
        <v>2</v>
      </c>
      <c r="C9" s="7" t="s">
        <v>11</v>
      </c>
      <c r="D9" s="9" t="s">
        <v>117</v>
      </c>
      <c r="E9" s="9" t="s">
        <v>3</v>
      </c>
      <c r="F9" s="9" t="s">
        <v>20</v>
      </c>
      <c r="G9" s="9" t="s">
        <v>32</v>
      </c>
      <c r="H9" s="9" t="s">
        <v>33</v>
      </c>
      <c r="I9" s="9" t="s">
        <v>34</v>
      </c>
      <c r="J9" s="9" t="s">
        <v>4</v>
      </c>
      <c r="K9" s="9" t="s">
        <v>22</v>
      </c>
      <c r="L9" s="9" t="s">
        <v>78</v>
      </c>
      <c r="M9" s="7" t="s">
        <v>76</v>
      </c>
      <c r="N9" s="7" t="s">
        <v>77</v>
      </c>
      <c r="O9" s="9" t="s">
        <v>36</v>
      </c>
      <c r="Q9" s="2"/>
      <c r="R9" s="2"/>
      <c r="S9" s="2"/>
      <c r="T9" s="2"/>
      <c r="U9" s="2"/>
      <c r="V9" s="2"/>
    </row>
    <row r="10" spans="1:22" x14ac:dyDescent="0.2">
      <c r="A10" s="4">
        <v>1</v>
      </c>
      <c r="B10" s="13" t="s">
        <v>5</v>
      </c>
      <c r="C10" s="13"/>
      <c r="D10" s="13"/>
      <c r="E10" s="14"/>
      <c r="F10" s="15"/>
      <c r="G10" s="15"/>
      <c r="H10" s="8"/>
      <c r="I10" s="8"/>
      <c r="J10" s="14"/>
      <c r="K10" s="15"/>
      <c r="L10" s="14"/>
      <c r="M10" s="16"/>
      <c r="N10" s="16"/>
    </row>
    <row r="11" spans="1:22" x14ac:dyDescent="0.2">
      <c r="A11" s="4">
        <f>A10+1</f>
        <v>2</v>
      </c>
      <c r="B11" s="2" t="str">
        <f>'Billing Detail'!B7</f>
        <v>Residential , Farm &amp; Non-Farm</v>
      </c>
      <c r="C11" s="10" t="str">
        <f>'Billing Detail'!C7</f>
        <v>GS-1</v>
      </c>
      <c r="D11" s="17">
        <f>'Billing Detail'!G10</f>
        <v>79157213.29998</v>
      </c>
      <c r="E11" s="17">
        <f>'Billing Detail'!I10</f>
        <v>91443707.671855569</v>
      </c>
      <c r="F11" s="16">
        <f t="shared" ref="F11:F19" si="0">E11/E$19</f>
        <v>0.78379587812610363</v>
      </c>
      <c r="G11" s="68">
        <f>E11</f>
        <v>91443707.671855569</v>
      </c>
      <c r="H11" s="69">
        <f t="shared" ref="H11:H18" si="1">G11/G$19</f>
        <v>0.78379587812610363</v>
      </c>
      <c r="I11" s="70">
        <f>ROUND(L$7*H11,2)</f>
        <v>5041496.58</v>
      </c>
      <c r="J11" s="17">
        <f>'Billing Detail'!M10</f>
        <v>96485659.873018622</v>
      </c>
      <c r="K11" s="16">
        <f t="shared" ref="K11:K19" si="2">J11/J$19</f>
        <v>0.78379005105934718</v>
      </c>
      <c r="L11" s="17">
        <f>'Billing Detail'!N10</f>
        <v>5041952.2011630479</v>
      </c>
      <c r="M11" s="16">
        <f>IF(E11=0,0,L11/E11)</f>
        <v>5.5137224086057632E-2</v>
      </c>
      <c r="N11" s="16">
        <f>'Billing Detail'!O16</f>
        <v>4.8888421359324592E-2</v>
      </c>
      <c r="O11" s="19">
        <f>J11-I11-E11</f>
        <v>455.62116305530071</v>
      </c>
    </row>
    <row r="12" spans="1:22" x14ac:dyDescent="0.2">
      <c r="A12" s="4">
        <f t="shared" ref="A12:A24" si="3">A11+1</f>
        <v>3</v>
      </c>
      <c r="B12" s="2" t="str">
        <f>'Billing Detail'!B19</f>
        <v>Residential and Farm Inclining Block</v>
      </c>
      <c r="C12" s="10" t="str">
        <f>'Billing Detail'!C19</f>
        <v>GS-2</v>
      </c>
      <c r="D12" s="17">
        <f>'Billing Detail'!G24</f>
        <v>32262.436989999998</v>
      </c>
      <c r="E12" s="17">
        <f>'Billing Detail'!I24</f>
        <v>40131.158450000003</v>
      </c>
      <c r="F12" s="16">
        <f t="shared" si="0"/>
        <v>3.4397814107024256E-4</v>
      </c>
      <c r="G12" s="68">
        <f t="shared" ref="G12:G18" si="4">E12</f>
        <v>40131.158450000003</v>
      </c>
      <c r="H12" s="69">
        <f t="shared" si="1"/>
        <v>3.4397814107024256E-4</v>
      </c>
      <c r="I12" s="70">
        <f t="shared" ref="I12:I18" si="5">ROUND(L$7*H12,2)</f>
        <v>2212.52</v>
      </c>
      <c r="J12" s="17">
        <f>'Billing Detail'!M24</f>
        <v>42346.557830000005</v>
      </c>
      <c r="K12" s="16">
        <f t="shared" si="2"/>
        <v>3.4399734393115577E-4</v>
      </c>
      <c r="L12" s="17">
        <f>'Billing Detail'!N24</f>
        <v>2215.3993800000012</v>
      </c>
      <c r="M12" s="16">
        <f t="shared" ref="M12:M18" si="6">IF(E12=0,0,L12/E12)</f>
        <v>5.5203972812302431E-2</v>
      </c>
      <c r="N12" s="16">
        <f>'Billing Detail'!O30</f>
        <v>4.9858778369084339E-2</v>
      </c>
      <c r="O12" s="19">
        <f t="shared" ref="O12:O19" si="7">J12-I12-E12</f>
        <v>2.8793800000057672</v>
      </c>
    </row>
    <row r="13" spans="1:22" x14ac:dyDescent="0.2">
      <c r="A13" s="4">
        <f t="shared" si="3"/>
        <v>4</v>
      </c>
      <c r="B13" s="2" t="str">
        <f>'Billing Detail'!B33</f>
        <v>Residential Time of Day</v>
      </c>
      <c r="C13" s="10" t="str">
        <f>'Billing Detail'!C33</f>
        <v>GS-3</v>
      </c>
      <c r="D13" s="17">
        <f>'Billing Detail'!G37</f>
        <v>20317.591460000003</v>
      </c>
      <c r="E13" s="17">
        <f>'Billing Detail'!I37</f>
        <v>25769.923880000002</v>
      </c>
      <c r="F13" s="16">
        <f t="shared" si="0"/>
        <v>2.2088299600940255E-4</v>
      </c>
      <c r="G13" s="68">
        <f t="shared" si="4"/>
        <v>25769.923880000002</v>
      </c>
      <c r="H13" s="69">
        <f t="shared" si="1"/>
        <v>2.2088299600940255E-4</v>
      </c>
      <c r="I13" s="70">
        <f t="shared" si="5"/>
        <v>1420.75</v>
      </c>
      <c r="J13" s="17">
        <f>'Billing Detail'!M37</f>
        <v>27191.316440000002</v>
      </c>
      <c r="K13" s="16">
        <f t="shared" si="2"/>
        <v>2.2088550079801304E-4</v>
      </c>
      <c r="L13" s="17">
        <f>'Billing Detail'!N37</f>
        <v>1421.3925599999984</v>
      </c>
      <c r="M13" s="16">
        <f t="shared" si="6"/>
        <v>5.5157033704051374E-2</v>
      </c>
      <c r="N13" s="16">
        <f>'Billing Detail'!O43</f>
        <v>4.9381371337198478E-2</v>
      </c>
      <c r="O13" s="19">
        <f t="shared" si="7"/>
        <v>0.6425600000002305</v>
      </c>
    </row>
    <row r="14" spans="1:22" x14ac:dyDescent="0.2">
      <c r="A14" s="4">
        <f t="shared" si="3"/>
        <v>5</v>
      </c>
      <c r="B14" s="2" t="str">
        <f>'Billing Detail'!B46</f>
        <v>Small Commercial (0-100 kW)</v>
      </c>
      <c r="C14" s="10" t="str">
        <f>'Billing Detail'!C46</f>
        <v>SC-1</v>
      </c>
      <c r="D14" s="17">
        <f>'Billing Detail'!G50</f>
        <v>9134657.68059</v>
      </c>
      <c r="E14" s="17">
        <f>'Billing Detail'!I50</f>
        <v>10055552.74072</v>
      </c>
      <c r="F14" s="16">
        <f t="shared" si="0"/>
        <v>8.6189645970378106E-2</v>
      </c>
      <c r="G14" s="68">
        <f t="shared" si="4"/>
        <v>10055552.74072</v>
      </c>
      <c r="H14" s="69">
        <f t="shared" si="1"/>
        <v>8.6189645970378106E-2</v>
      </c>
      <c r="I14" s="70">
        <f t="shared" si="5"/>
        <v>554385.16</v>
      </c>
      <c r="J14" s="17">
        <f>'Billing Detail'!M50</f>
        <v>10610268.644579699</v>
      </c>
      <c r="K14" s="16">
        <f t="shared" si="2"/>
        <v>8.6191284939473922E-2</v>
      </c>
      <c r="L14" s="17">
        <f>'Billing Detail'!N50</f>
        <v>554715.90385969984</v>
      </c>
      <c r="M14" s="16">
        <f t="shared" si="6"/>
        <v>5.5165132953196659E-2</v>
      </c>
      <c r="N14" s="16">
        <f>'Billing Detail'!O56</f>
        <v>4.9106424002813592E-2</v>
      </c>
      <c r="O14" s="19">
        <f t="shared" si="7"/>
        <v>330.74385969899595</v>
      </c>
    </row>
    <row r="15" spans="1:22" x14ac:dyDescent="0.2">
      <c r="A15" s="4">
        <f t="shared" si="3"/>
        <v>6</v>
      </c>
      <c r="B15" s="2" t="str">
        <f>'Billing Detail'!B59</f>
        <v>General Service 0-100 KW Time of Day Rate</v>
      </c>
      <c r="C15" s="10" t="str">
        <f>'Billing Detail'!C59</f>
        <v>SC-2</v>
      </c>
      <c r="D15" s="17">
        <f>'Billing Detail'!G63</f>
        <v>154759.70647999999</v>
      </c>
      <c r="E15" s="17">
        <f>'Billing Detail'!I63</f>
        <v>170106.04563999997</v>
      </c>
      <c r="F15" s="16">
        <f t="shared" si="0"/>
        <v>1.4580381833970461E-3</v>
      </c>
      <c r="G15" s="68">
        <f t="shared" si="4"/>
        <v>170106.04563999997</v>
      </c>
      <c r="H15" s="69">
        <f t="shared" si="1"/>
        <v>1.4580381833970461E-3</v>
      </c>
      <c r="I15" s="70">
        <f>ROUND(L$7*H15,2)</f>
        <v>9378.33</v>
      </c>
      <c r="J15" s="17">
        <f>'Billing Detail'!M63</f>
        <v>179488.53816</v>
      </c>
      <c r="K15" s="16">
        <f t="shared" si="2"/>
        <v>1.4580542919449349E-3</v>
      </c>
      <c r="L15" s="17">
        <f>'Billing Detail'!N63</f>
        <v>9382.4925200000107</v>
      </c>
      <c r="M15" s="16">
        <f>IF(E15=0,0,L15/E15)</f>
        <v>5.5156725821823134E-2</v>
      </c>
      <c r="N15" s="16">
        <f>'Billing Detail'!O69</f>
        <v>4.8750068022051778E-2</v>
      </c>
      <c r="O15" s="19">
        <f>J15-I15-E15</f>
        <v>4.1625200000416953</v>
      </c>
    </row>
    <row r="16" spans="1:22" x14ac:dyDescent="0.2">
      <c r="A16" s="4">
        <f t="shared" si="3"/>
        <v>7</v>
      </c>
      <c r="B16" s="2" t="str">
        <f>'Billing Detail'!B72</f>
        <v>Large Power (101 - 500 kW)</v>
      </c>
      <c r="C16" s="10" t="str">
        <f>'Billing Detail'!C72</f>
        <v>LP-1</v>
      </c>
      <c r="D16" s="17">
        <f>'Billing Detail'!G78</f>
        <v>2985287.29764</v>
      </c>
      <c r="E16" s="17">
        <f>'Billing Detail'!I78</f>
        <v>3414482.5738700004</v>
      </c>
      <c r="F16" s="16">
        <f t="shared" si="0"/>
        <v>2.9266719771866932E-2</v>
      </c>
      <c r="G16" s="68">
        <f t="shared" si="4"/>
        <v>3414482.5738700004</v>
      </c>
      <c r="H16" s="69">
        <f t="shared" si="1"/>
        <v>2.9266719771866932E-2</v>
      </c>
      <c r="I16" s="70">
        <f t="shared" ref="I16" si="8">ROUND(L$7*H16,2)</f>
        <v>188248.08</v>
      </c>
      <c r="J16" s="17">
        <f>'Billing Detail'!M78</f>
        <v>3603062.8008399997</v>
      </c>
      <c r="K16" s="16">
        <f t="shared" si="2"/>
        <v>2.926906216278195E-2</v>
      </c>
      <c r="L16" s="17">
        <f>'Billing Detail'!N78</f>
        <v>188580.22696999979</v>
      </c>
      <c r="M16" s="16">
        <f t="shared" ref="M16" si="9">IF(E16=0,0,L16/E16)</f>
        <v>5.5229518057332339E-2</v>
      </c>
      <c r="N16" s="16">
        <f>'Billing Detail'!O84</f>
        <v>4.890850157210911E-2</v>
      </c>
      <c r="O16" s="19">
        <f t="shared" ref="O16" si="10">J16-I16-E16</f>
        <v>332.14696999918669</v>
      </c>
    </row>
    <row r="17" spans="1:19" x14ac:dyDescent="0.2">
      <c r="A17" s="4">
        <f t="shared" si="3"/>
        <v>8</v>
      </c>
      <c r="B17" s="2" t="str">
        <f>'Billing Detail'!B87</f>
        <v>Large Power (over 500 kW)</v>
      </c>
      <c r="C17" s="10" t="str">
        <f>'Billing Detail'!C87</f>
        <v>LP-2</v>
      </c>
      <c r="D17" s="17">
        <f>'Billing Detail'!G92</f>
        <v>7541313.6356244991</v>
      </c>
      <c r="E17" s="17">
        <f>'Billing Detail'!I92</f>
        <v>8803257.013034001</v>
      </c>
      <c r="F17" s="16">
        <f t="shared" si="0"/>
        <v>7.5455782979198083E-2</v>
      </c>
      <c r="G17" s="68">
        <f t="shared" si="4"/>
        <v>8803257.013034001</v>
      </c>
      <c r="H17" s="69">
        <f t="shared" si="1"/>
        <v>7.5455782979198083E-2</v>
      </c>
      <c r="I17" s="70">
        <f t="shared" si="5"/>
        <v>485343.29</v>
      </c>
      <c r="J17" s="17">
        <f>'Billing Detail'!M92</f>
        <v>9289534.9593000002</v>
      </c>
      <c r="K17" s="16">
        <f t="shared" si="2"/>
        <v>7.5462458251823794E-2</v>
      </c>
      <c r="L17" s="17">
        <f>'Billing Detail'!N92</f>
        <v>486277.94626600022</v>
      </c>
      <c r="M17" s="16">
        <f t="shared" si="6"/>
        <v>5.5238412958524635E-2</v>
      </c>
      <c r="N17" s="16">
        <f>'Billing Detail'!O98</f>
        <v>4.8684864258820681E-2</v>
      </c>
      <c r="O17" s="19">
        <f t="shared" si="7"/>
        <v>934.65626600012183</v>
      </c>
    </row>
    <row r="18" spans="1:19" x14ac:dyDescent="0.2">
      <c r="A18" s="4">
        <f t="shared" si="3"/>
        <v>9</v>
      </c>
      <c r="B18" s="2" t="str">
        <f>'Billing Detail'!B131</f>
        <v>Lighting</v>
      </c>
      <c r="C18" s="10" t="str">
        <f>'Billing Detail'!C131</f>
        <v>L</v>
      </c>
      <c r="D18" s="17">
        <f>'Billing Detail'!G144</f>
        <v>2398880.9400000004</v>
      </c>
      <c r="E18" s="17">
        <f>'Billing Detail'!I144</f>
        <v>2714750.6700000009</v>
      </c>
      <c r="F18" s="16">
        <f t="shared" si="0"/>
        <v>2.3269073831976451E-2</v>
      </c>
      <c r="G18" s="68">
        <f t="shared" si="4"/>
        <v>2714750.6700000009</v>
      </c>
      <c r="H18" s="69">
        <f t="shared" si="1"/>
        <v>2.3269073831976451E-2</v>
      </c>
      <c r="I18" s="70">
        <f t="shared" si="5"/>
        <v>149670.29</v>
      </c>
      <c r="J18" s="17">
        <f>'Billing Detail'!M144</f>
        <v>2863856.6</v>
      </c>
      <c r="K18" s="16">
        <f t="shared" si="2"/>
        <v>2.3264206449899079E-2</v>
      </c>
      <c r="L18" s="17">
        <f t="shared" ref="L18:L19" si="11">J18-E18</f>
        <v>149105.92999999924</v>
      </c>
      <c r="M18" s="16">
        <f t="shared" si="6"/>
        <v>5.492435517107698E-2</v>
      </c>
      <c r="N18" s="16">
        <f>'Billing Detail'!O150</f>
        <v>5.3384749216012654E-2</v>
      </c>
      <c r="O18" s="19">
        <f t="shared" si="7"/>
        <v>-564.36000000080094</v>
      </c>
    </row>
    <row r="19" spans="1:19" ht="16.149999999999999" customHeight="1" x14ac:dyDescent="0.2">
      <c r="A19" s="4">
        <f t="shared" si="3"/>
        <v>10</v>
      </c>
      <c r="B19" s="20" t="s">
        <v>125</v>
      </c>
      <c r="C19" s="20"/>
      <c r="D19" s="21">
        <f>SUM(D11:D18)</f>
        <v>101424692.58876449</v>
      </c>
      <c r="E19" s="21">
        <f>SUM(E11:E18)</f>
        <v>116667757.79744959</v>
      </c>
      <c r="F19" s="22">
        <f t="shared" si="0"/>
        <v>1</v>
      </c>
      <c r="G19" s="21">
        <f>SUM(G11:G18)</f>
        <v>116667757.79744959</v>
      </c>
      <c r="H19" s="22">
        <v>1</v>
      </c>
      <c r="I19" s="21">
        <f>SUM(I11:I18)</f>
        <v>6432155</v>
      </c>
      <c r="J19" s="21">
        <f>SUM(J11:J18)</f>
        <v>123101409.29016832</v>
      </c>
      <c r="K19" s="22">
        <f t="shared" si="2"/>
        <v>1</v>
      </c>
      <c r="L19" s="21">
        <f t="shared" si="11"/>
        <v>6433651.4927187264</v>
      </c>
      <c r="M19" s="22">
        <f t="shared" ref="M19" si="12">L19/E19</f>
        <v>5.5145068476317019E-2</v>
      </c>
      <c r="N19" s="22"/>
      <c r="O19" s="23">
        <f t="shared" si="7"/>
        <v>1496.4927187263966</v>
      </c>
    </row>
    <row r="20" spans="1:19" ht="16.149999999999999" customHeight="1" x14ac:dyDescent="0.2">
      <c r="A20" s="4">
        <f t="shared" si="3"/>
        <v>11</v>
      </c>
      <c r="D20" s="24"/>
      <c r="E20" s="24"/>
      <c r="F20" s="25"/>
      <c r="G20" s="24"/>
      <c r="H20" s="25"/>
      <c r="I20" s="24"/>
      <c r="J20" s="24"/>
      <c r="K20" s="25"/>
      <c r="L20" s="24"/>
      <c r="M20" s="25"/>
      <c r="N20" s="25"/>
      <c r="O20" s="19"/>
    </row>
    <row r="21" spans="1:19" ht="16.149999999999999" customHeight="1" x14ac:dyDescent="0.2">
      <c r="A21" s="4">
        <f t="shared" si="3"/>
        <v>12</v>
      </c>
      <c r="B21" s="2" t="str">
        <f>'Billing Detail'!B101</f>
        <v>Large Industrial (1,000 - 3,999 kW)</v>
      </c>
      <c r="C21" s="10" t="str">
        <f>'Billing Detail'!C101</f>
        <v>B-1</v>
      </c>
      <c r="D21" s="17">
        <f>'Billing Detail'!G107</f>
        <v>3119625.7936000004</v>
      </c>
      <c r="E21" s="17">
        <f>'Billing Detail'!I107</f>
        <v>3808881.78676</v>
      </c>
      <c r="F21" s="126">
        <f>E21/E23</f>
        <v>0.2883397170349864</v>
      </c>
      <c r="G21" s="68">
        <f>E21</f>
        <v>3808881.78676</v>
      </c>
      <c r="H21" s="69">
        <f>G21/G$23</f>
        <v>0.2883397170349864</v>
      </c>
      <c r="I21" s="70">
        <f>ROUND(L$5*H21,2)</f>
        <v>325156.40000000002</v>
      </c>
      <c r="J21" s="17">
        <f>'Billing Detail'!M107</f>
        <v>4143773.4555200003</v>
      </c>
      <c r="K21" s="126">
        <f>J21/J23</f>
        <v>0.28883717367004585</v>
      </c>
      <c r="L21" s="17">
        <f>'Billing Detail'!N107</f>
        <v>334891.6687600002</v>
      </c>
      <c r="M21" s="126">
        <f t="shared" ref="M21:M23" si="13">L21/E21</f>
        <v>8.7923880946925784E-2</v>
      </c>
      <c r="N21" s="41">
        <f>'Billing Detail'!O113</f>
        <v>7.8270255749274376E-2</v>
      </c>
      <c r="O21" s="19">
        <f>J21-I21-E21</f>
        <v>9735.2687600003555</v>
      </c>
    </row>
    <row r="22" spans="1:19" ht="16.149999999999999" customHeight="1" x14ac:dyDescent="0.2">
      <c r="A22" s="4">
        <f t="shared" si="3"/>
        <v>13</v>
      </c>
      <c r="B22" s="2" t="str">
        <f>'Billing Detail'!B116</f>
        <v>Large Industrial (over 4,000 kW)</v>
      </c>
      <c r="C22" s="10" t="str">
        <f>'Billing Detail'!C116</f>
        <v>B-2</v>
      </c>
      <c r="D22" s="17">
        <f>'Billing Detail'!G122</f>
        <v>7804075.0705100009</v>
      </c>
      <c r="E22" s="17">
        <f>'Billing Detail'!I122</f>
        <v>9400820.3865200002</v>
      </c>
      <c r="F22" s="126">
        <f>E22/E23</f>
        <v>0.7116602829650136</v>
      </c>
      <c r="G22" s="68">
        <f>E22</f>
        <v>9400820.3865200002</v>
      </c>
      <c r="H22" s="69">
        <f>G22/G$23</f>
        <v>0.7116602829650136</v>
      </c>
      <c r="I22" s="70">
        <f>ROUND(L$5*H22,2)</f>
        <v>802528.69</v>
      </c>
      <c r="J22" s="17">
        <f>'Billing Detail'!M122</f>
        <v>10202625.946150001</v>
      </c>
      <c r="K22" s="126">
        <f>J22/J23</f>
        <v>0.71116282632995409</v>
      </c>
      <c r="L22" s="17">
        <f>'Billing Detail'!N122</f>
        <v>801805.55963000015</v>
      </c>
      <c r="M22" s="126">
        <f t="shared" si="13"/>
        <v>8.5291020002863052E-2</v>
      </c>
      <c r="N22" s="16">
        <f>'Billing Detail'!O128</f>
        <v>7.6181051950604942E-2</v>
      </c>
      <c r="O22" s="19">
        <f>J22-I22-E22</f>
        <v>-723.13036999851465</v>
      </c>
    </row>
    <row r="23" spans="1:19" ht="16.149999999999999" customHeight="1" x14ac:dyDescent="0.2">
      <c r="A23" s="4">
        <f t="shared" si="3"/>
        <v>14</v>
      </c>
      <c r="B23" s="20" t="s">
        <v>126</v>
      </c>
      <c r="C23" s="20"/>
      <c r="D23" s="21">
        <f>SUM(D21:D22)</f>
        <v>10923700.86411</v>
      </c>
      <c r="E23" s="21">
        <f>SUM(E21:E22)</f>
        <v>13209702.173280001</v>
      </c>
      <c r="F23" s="127">
        <f>E23/E23</f>
        <v>1</v>
      </c>
      <c r="G23" s="21">
        <f>SUM(G21:G22)</f>
        <v>13209702.173280001</v>
      </c>
      <c r="H23" s="22">
        <v>1</v>
      </c>
      <c r="I23" s="21">
        <f>SUM(I21:I22)</f>
        <v>1127685.0899999999</v>
      </c>
      <c r="J23" s="21">
        <f>SUM(J21:J22)</f>
        <v>14346399.401670001</v>
      </c>
      <c r="K23" s="127">
        <f>J23/J23</f>
        <v>1</v>
      </c>
      <c r="L23" s="21">
        <f>SUM(L21:L22)</f>
        <v>1136697.2283900003</v>
      </c>
      <c r="M23" s="22">
        <f t="shared" si="13"/>
        <v>8.6050178382466563E-2</v>
      </c>
      <c r="N23" s="22"/>
      <c r="O23" s="21">
        <f>SUM(O21:O22)</f>
        <v>9012.1383900018409</v>
      </c>
    </row>
    <row r="24" spans="1:19" ht="16.149999999999999" customHeight="1" x14ac:dyDescent="0.2">
      <c r="A24" s="4">
        <f t="shared" si="3"/>
        <v>15</v>
      </c>
      <c r="D24" s="24"/>
      <c r="E24" s="24"/>
      <c r="F24" s="25"/>
      <c r="G24" s="71"/>
      <c r="H24" s="25"/>
      <c r="I24" s="24"/>
      <c r="J24" s="24"/>
      <c r="K24" s="25"/>
      <c r="L24" s="24"/>
      <c r="M24" s="16"/>
      <c r="N24" s="16"/>
      <c r="O24" s="19"/>
    </row>
    <row r="25" spans="1:19" ht="16.149999999999999" customHeight="1" x14ac:dyDescent="0.2">
      <c r="A25" s="4">
        <f>A20+1</f>
        <v>12</v>
      </c>
      <c r="B25" s="2" t="str">
        <f>'Billing Detail'!B152</f>
        <v>Special - EKPC Rate G</v>
      </c>
      <c r="C25" s="2" t="str">
        <f>'Billing Detail'!C152</f>
        <v>Special</v>
      </c>
      <c r="D25" s="24">
        <f>'Billing Detail'!G157</f>
        <v>4401246.7608800009</v>
      </c>
      <c r="E25" s="24">
        <f>'Billing Detail'!I157</f>
        <v>5382866.9508800004</v>
      </c>
      <c r="F25" s="25">
        <v>1</v>
      </c>
      <c r="G25" s="71">
        <f>L6</f>
        <v>640575.06073800102</v>
      </c>
      <c r="H25" s="25">
        <v>1</v>
      </c>
      <c r="I25" s="24">
        <f>H25*G25</f>
        <v>640575.06073800102</v>
      </c>
      <c r="J25" s="24">
        <f>'Billing Detail'!M157</f>
        <v>6023442.0116180088</v>
      </c>
      <c r="K25" s="25">
        <f>J25/J25</f>
        <v>1</v>
      </c>
      <c r="L25" s="24">
        <f>'Billing Detail'!N157</f>
        <v>640575.06073800777</v>
      </c>
      <c r="M25" s="16">
        <f t="shared" ref="M25:M27" si="14">IF(E25=0,0,L25/E25)</f>
        <v>0.11900258107499488</v>
      </c>
      <c r="N25" s="16">
        <f>'Billing Detail'!O163</f>
        <v>0.10402199077476888</v>
      </c>
      <c r="O25" s="19">
        <f>J25-I25-E25</f>
        <v>7.4505805969238281E-9</v>
      </c>
    </row>
    <row r="26" spans="1:19" ht="16.149999999999999" customHeight="1" x14ac:dyDescent="0.2">
      <c r="A26" s="4">
        <f t="shared" ref="A26:A39" si="15">A25+1</f>
        <v>13</v>
      </c>
      <c r="D26" s="24"/>
      <c r="E26" s="24"/>
      <c r="F26" s="25"/>
      <c r="G26" s="18"/>
      <c r="H26" s="25"/>
      <c r="I26" s="24"/>
      <c r="J26" s="24"/>
      <c r="K26" s="25"/>
      <c r="L26" s="24"/>
      <c r="M26" s="16"/>
      <c r="N26" s="16"/>
      <c r="O26" s="19"/>
    </row>
    <row r="27" spans="1:19" ht="16.149999999999999" customHeight="1" x14ac:dyDescent="0.2">
      <c r="A27" s="4">
        <f t="shared" si="15"/>
        <v>14</v>
      </c>
      <c r="B27" s="26" t="s">
        <v>72</v>
      </c>
      <c r="C27" s="26"/>
      <c r="D27" s="27">
        <f>D25+D19+D23</f>
        <v>116749640.21375448</v>
      </c>
      <c r="E27" s="27">
        <f>E25+E19+E23</f>
        <v>135260326.92160958</v>
      </c>
      <c r="F27" s="27"/>
      <c r="G27" s="27">
        <f>G25+G19+G23</f>
        <v>130518035.03146759</v>
      </c>
      <c r="H27" s="27"/>
      <c r="I27" s="27">
        <f>I25+I19+I23</f>
        <v>8200415.1507380009</v>
      </c>
      <c r="J27" s="27">
        <f>J25+J19+J23</f>
        <v>143471250.70345631</v>
      </c>
      <c r="K27" s="27"/>
      <c r="L27" s="27">
        <f>L25+L19+L23</f>
        <v>8210923.7818467338</v>
      </c>
      <c r="M27" s="28">
        <f t="shared" si="14"/>
        <v>6.0704598079268229E-2</v>
      </c>
      <c r="N27" s="28"/>
      <c r="O27" s="29">
        <f t="shared" ref="O27" si="16">J27-I27-E27</f>
        <v>10508.631108731031</v>
      </c>
    </row>
    <row r="28" spans="1:19" ht="12.6" customHeight="1" x14ac:dyDescent="0.2">
      <c r="A28" s="4">
        <f t="shared" si="15"/>
        <v>15</v>
      </c>
      <c r="S28" s="17"/>
    </row>
    <row r="29" spans="1:19" x14ac:dyDescent="0.2">
      <c r="A29" s="4">
        <f t="shared" si="15"/>
        <v>16</v>
      </c>
      <c r="B29" s="13" t="s">
        <v>7</v>
      </c>
      <c r="C29" s="13"/>
      <c r="D29" s="13"/>
    </row>
    <row r="30" spans="1:19" x14ac:dyDescent="0.2">
      <c r="A30" s="4">
        <f t="shared" si="15"/>
        <v>17</v>
      </c>
      <c r="B30" s="2" t="str">
        <f>'Billing Detail'!D11</f>
        <v xml:space="preserve">    FAC</v>
      </c>
      <c r="D30" s="17">
        <f>'Billing Detail'!G169</f>
        <v>15754779.779999999</v>
      </c>
      <c r="E30" s="17">
        <f>'Billing Detail'!I169</f>
        <v>517861.60281642259</v>
      </c>
      <c r="F30" s="30"/>
      <c r="G30" s="31"/>
      <c r="H30" s="31"/>
      <c r="I30" s="31"/>
      <c r="J30" s="17">
        <f>'Billing Detail'!M169</f>
        <v>517861.60281642259</v>
      </c>
      <c r="K30" s="32"/>
      <c r="L30" s="32"/>
      <c r="M30" s="31"/>
      <c r="N30" s="31"/>
    </row>
    <row r="31" spans="1:19" x14ac:dyDescent="0.2">
      <c r="A31" s="4">
        <f t="shared" si="15"/>
        <v>18</v>
      </c>
      <c r="B31" s="2" t="str">
        <f>'Billing Detail'!D12</f>
        <v xml:space="preserve">    ES</v>
      </c>
      <c r="D31" s="17">
        <f>'Billing Detail'!G170</f>
        <v>15939221.369999999</v>
      </c>
      <c r="E31" s="17">
        <f>'Billing Detail'!I170</f>
        <v>15939221.369999999</v>
      </c>
      <c r="F31" s="31"/>
      <c r="G31" s="31"/>
      <c r="H31" s="31"/>
      <c r="I31" s="31"/>
      <c r="J31" s="17">
        <f>'Billing Detail'!M170</f>
        <v>15939221.369999999</v>
      </c>
      <c r="K31" s="32"/>
      <c r="L31" s="32"/>
      <c r="M31" s="31"/>
      <c r="N31" s="31"/>
    </row>
    <row r="32" spans="1:19" x14ac:dyDescent="0.2">
      <c r="A32" s="4">
        <f t="shared" si="15"/>
        <v>19</v>
      </c>
      <c r="B32" s="2" t="str">
        <f>'Billing Detail'!D13</f>
        <v xml:space="preserve">    Prepay</v>
      </c>
      <c r="D32" s="17">
        <f>'Billing Detail'!G171</f>
        <v>575122.52185268805</v>
      </c>
      <c r="E32" s="17">
        <f>'Billing Detail'!I171</f>
        <v>575122.52185268805</v>
      </c>
      <c r="F32" s="31"/>
      <c r="G32" s="31"/>
      <c r="H32" s="31"/>
      <c r="I32" s="31"/>
      <c r="J32" s="17">
        <f>'Billing Detail'!M171</f>
        <v>575122.52185268805</v>
      </c>
      <c r="K32" s="32"/>
      <c r="L32" s="32"/>
      <c r="M32" s="31"/>
      <c r="N32" s="31"/>
    </row>
    <row r="33" spans="1:14" x14ac:dyDescent="0.2">
      <c r="A33" s="4">
        <f t="shared" si="15"/>
        <v>20</v>
      </c>
      <c r="B33" s="2" t="str">
        <f>'Billing Detail'!D14</f>
        <v xml:space="preserve">    Other</v>
      </c>
      <c r="D33" s="17">
        <f>'Billing Detail'!G172</f>
        <v>0</v>
      </c>
      <c r="E33" s="17">
        <f>'Billing Detail'!I172</f>
        <v>0</v>
      </c>
      <c r="F33" s="31"/>
      <c r="G33" s="31"/>
      <c r="H33" s="31"/>
      <c r="I33" s="31"/>
      <c r="J33" s="17">
        <f>'Billing Detail'!M172</f>
        <v>0</v>
      </c>
      <c r="K33" s="32"/>
      <c r="L33" s="32"/>
      <c r="M33" s="31"/>
      <c r="N33" s="40"/>
    </row>
    <row r="34" spans="1:14" x14ac:dyDescent="0.2">
      <c r="A34" s="4">
        <f t="shared" si="15"/>
        <v>21</v>
      </c>
      <c r="B34" s="20" t="s">
        <v>8</v>
      </c>
      <c r="C34" s="20"/>
      <c r="D34" s="21">
        <f>SUM(D30:D33)</f>
        <v>32269123.671852686</v>
      </c>
      <c r="E34" s="21">
        <f>SUM(E30:E33)</f>
        <v>17032205.49466911</v>
      </c>
      <c r="F34" s="33"/>
      <c r="G34" s="33"/>
      <c r="H34" s="33"/>
      <c r="I34" s="33"/>
      <c r="J34" s="21">
        <f>SUM(J30:J33)</f>
        <v>17032205.49466911</v>
      </c>
      <c r="K34" s="34"/>
      <c r="L34" s="34"/>
      <c r="M34" s="33"/>
      <c r="N34" s="31"/>
    </row>
    <row r="35" spans="1:14" x14ac:dyDescent="0.2">
      <c r="A35" s="4">
        <f t="shared" si="15"/>
        <v>22</v>
      </c>
    </row>
    <row r="36" spans="1:14" ht="18" customHeight="1" thickBot="1" x14ac:dyDescent="0.25">
      <c r="A36" s="4">
        <f t="shared" si="15"/>
        <v>23</v>
      </c>
      <c r="B36" s="35" t="s">
        <v>9</v>
      </c>
      <c r="C36" s="35"/>
      <c r="D36" s="36">
        <f>D27+D34</f>
        <v>149018763.88560715</v>
      </c>
      <c r="E36" s="36">
        <f>E27+E34</f>
        <v>152292532.41627869</v>
      </c>
      <c r="F36" s="37"/>
      <c r="G36" s="37"/>
      <c r="H36" s="37"/>
      <c r="I36" s="37"/>
      <c r="J36" s="36">
        <f>J27+J34</f>
        <v>160503456.19812542</v>
      </c>
      <c r="K36" s="38"/>
      <c r="L36" s="37">
        <f t="shared" ref="L36" si="17">J36-E36</f>
        <v>8210923.7818467319</v>
      </c>
      <c r="M36" s="35"/>
      <c r="N36" s="39">
        <f>L36/E36</f>
        <v>5.3915472095525142E-2</v>
      </c>
    </row>
    <row r="37" spans="1:14" ht="18" customHeight="1" thickTop="1" x14ac:dyDescent="0.2">
      <c r="A37" s="4">
        <f t="shared" si="15"/>
        <v>24</v>
      </c>
      <c r="B37" s="2" t="s">
        <v>10</v>
      </c>
      <c r="D37" s="24">
        <v>145698623</v>
      </c>
      <c r="L37" s="24">
        <f>L4</f>
        <v>8200415.1486710608</v>
      </c>
    </row>
    <row r="38" spans="1:14" ht="15" customHeight="1" x14ac:dyDescent="0.2">
      <c r="A38" s="4">
        <f t="shared" si="15"/>
        <v>25</v>
      </c>
      <c r="B38" s="20" t="s">
        <v>38</v>
      </c>
      <c r="C38" s="20"/>
      <c r="D38" s="21">
        <f>D36-D37</f>
        <v>3320140.8856071532</v>
      </c>
      <c r="E38" s="20"/>
      <c r="F38" s="20"/>
      <c r="G38" s="20"/>
      <c r="H38" s="20"/>
      <c r="I38" s="20"/>
      <c r="J38" s="20"/>
      <c r="K38" s="20"/>
      <c r="L38" s="21">
        <f>L36-L37</f>
        <v>10508.633175671101</v>
      </c>
    </row>
    <row r="39" spans="1:14" ht="15" customHeight="1" x14ac:dyDescent="0.2">
      <c r="A39" s="4">
        <f t="shared" si="15"/>
        <v>26</v>
      </c>
      <c r="B39" s="2" t="s">
        <v>38</v>
      </c>
      <c r="D39" s="16">
        <f>D38/D37</f>
        <v>2.2787730022727486E-2</v>
      </c>
      <c r="L39" s="16">
        <f>L38/L37</f>
        <v>1.2814757527701635E-3</v>
      </c>
    </row>
    <row r="40" spans="1:14" x14ac:dyDescent="0.2">
      <c r="A40" s="4"/>
    </row>
    <row r="41" spans="1:14" x14ac:dyDescent="0.2">
      <c r="A41" s="4"/>
    </row>
  </sheetData>
  <pageMargins left="0.7" right="0.7" top="0.75" bottom="0.75" header="0.3" footer="0.3"/>
  <pageSetup scale="66" orientation="landscape" r:id="rId1"/>
  <headerFooter>
    <oddHeader>&amp;R&amp;"Arial,Bold"&amp;12Exhibit 4
Page &amp;P of &amp;N</oddHeader>
  </headerFooter>
  <ignoredErrors>
    <ignoredError sqref="J19 F19 J17 J11:J14 G11:G17 G18 K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AB192"/>
  <sheetViews>
    <sheetView tabSelected="1" view="pageBreakPreview" zoomScale="75" zoomScaleNormal="75" zoomScaleSheetLayoutView="75" workbookViewId="0">
      <pane xSplit="4" ySplit="5" topLeftCell="E132" activePane="bottomRight" state="frozen"/>
      <selection activeCell="C9" sqref="C9"/>
      <selection pane="topRight" activeCell="C9" sqref="C9"/>
      <selection pane="bottomLeft" activeCell="C9" sqref="C9"/>
      <selection pane="bottomRight" activeCell="L156" sqref="L156"/>
    </sheetView>
  </sheetViews>
  <sheetFormatPr defaultColWidth="8.85546875" defaultRowHeight="12.75" x14ac:dyDescent="0.2"/>
  <cols>
    <col min="1" max="1" width="5.28515625" style="90" customWidth="1"/>
    <col min="2" max="2" width="41.85546875" style="62" bestFit="1" customWidth="1"/>
    <col min="3" max="3" width="9" style="81" customWidth="1"/>
    <col min="4" max="4" width="30.42578125" style="62" customWidth="1"/>
    <col min="5" max="5" width="18.28515625" style="62" bestFit="1" customWidth="1"/>
    <col min="6" max="6" width="10" style="62" customWidth="1"/>
    <col min="7" max="7" width="13.85546875" style="62" customWidth="1"/>
    <col min="8" max="8" width="16.7109375" style="62" bestFit="1" customWidth="1"/>
    <col min="9" max="9" width="15.28515625" style="62" bestFit="1" customWidth="1"/>
    <col min="10" max="10" width="8.5703125" style="62" bestFit="1" customWidth="1"/>
    <col min="11" max="11" width="14.42578125" style="62" customWidth="1"/>
    <col min="12" max="12" width="12" style="62" customWidth="1"/>
    <col min="13" max="13" width="14.5703125" style="62" bestFit="1" customWidth="1"/>
    <col min="14" max="14" width="13.28515625" style="62" customWidth="1"/>
    <col min="15" max="15" width="13.42578125" style="62" customWidth="1"/>
    <col min="16" max="16" width="12" style="62" customWidth="1"/>
    <col min="17" max="17" width="10.5703125" style="62" customWidth="1"/>
    <col min="18" max="18" width="15.42578125" style="62" bestFit="1" customWidth="1"/>
    <col min="19" max="19" width="8.85546875" style="62"/>
    <col min="20" max="20" width="14.140625" style="62" customWidth="1"/>
    <col min="21" max="21" width="8.85546875" style="62"/>
    <col min="22" max="22" width="9.28515625" style="62" bestFit="1" customWidth="1"/>
    <col min="23" max="23" width="15.28515625" style="62" customWidth="1"/>
    <col min="24" max="24" width="11.7109375" style="62" customWidth="1"/>
    <col min="25" max="16384" width="8.85546875" style="62"/>
  </cols>
  <sheetData>
    <row r="1" spans="1:20" x14ac:dyDescent="0.2">
      <c r="A1" s="87" t="str">
        <f>Summary!A1</f>
        <v>BLUE GRASS ENERGY</v>
      </c>
      <c r="F1" s="75"/>
    </row>
    <row r="2" spans="1:20" ht="14.45" customHeight="1" x14ac:dyDescent="0.2">
      <c r="A2" s="87" t="str">
        <f>Summary!A2</f>
        <v>Billing Analysis for Pass-Through Rate Increase</v>
      </c>
      <c r="F2" s="88"/>
      <c r="G2" s="88"/>
      <c r="H2" s="81"/>
      <c r="P2" s="89"/>
    </row>
    <row r="5" spans="1:20" ht="38.450000000000003" customHeight="1" x14ac:dyDescent="0.2">
      <c r="A5" s="91" t="s">
        <v>1</v>
      </c>
      <c r="B5" s="91" t="s">
        <v>12</v>
      </c>
      <c r="C5" s="92" t="s">
        <v>11</v>
      </c>
      <c r="D5" s="91" t="s">
        <v>13</v>
      </c>
      <c r="E5" s="72" t="s">
        <v>14</v>
      </c>
      <c r="F5" s="72" t="s">
        <v>110</v>
      </c>
      <c r="G5" s="72" t="s">
        <v>111</v>
      </c>
      <c r="H5" s="72" t="s">
        <v>23</v>
      </c>
      <c r="I5" s="72" t="s">
        <v>24</v>
      </c>
      <c r="J5" s="72" t="s">
        <v>102</v>
      </c>
      <c r="K5" s="72" t="s">
        <v>10</v>
      </c>
      <c r="L5" s="72" t="s">
        <v>21</v>
      </c>
      <c r="M5" s="72" t="s">
        <v>4</v>
      </c>
      <c r="N5" s="72" t="s">
        <v>15</v>
      </c>
      <c r="O5" s="92" t="s">
        <v>16</v>
      </c>
      <c r="P5" s="72" t="s">
        <v>22</v>
      </c>
      <c r="Q5" s="72" t="s">
        <v>25</v>
      </c>
      <c r="R5" s="72" t="s">
        <v>39</v>
      </c>
      <c r="T5" s="72" t="s">
        <v>35</v>
      </c>
    </row>
    <row r="6" spans="1:20" ht="30.6" customHeight="1" thickBot="1" x14ac:dyDescent="0.25">
      <c r="A6" s="93"/>
      <c r="B6" s="94"/>
      <c r="C6" s="95"/>
      <c r="D6" s="94"/>
      <c r="E6" s="73"/>
      <c r="F6" s="73"/>
      <c r="G6" s="73"/>
      <c r="H6" s="73"/>
      <c r="I6" s="73"/>
      <c r="J6" s="73"/>
      <c r="K6" s="73"/>
      <c r="L6" s="73"/>
      <c r="M6" s="73"/>
      <c r="N6" s="73"/>
      <c r="O6" s="95"/>
      <c r="P6" s="73"/>
      <c r="Q6" s="73"/>
      <c r="R6" s="73"/>
    </row>
    <row r="7" spans="1:20" x14ac:dyDescent="0.2">
      <c r="A7" s="96">
        <v>1</v>
      </c>
      <c r="B7" s="74" t="s">
        <v>43</v>
      </c>
      <c r="C7" s="97" t="s">
        <v>41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20" x14ac:dyDescent="0.2">
      <c r="A8" s="96">
        <f>A7+1</f>
        <v>2</v>
      </c>
      <c r="C8" s="62"/>
      <c r="D8" s="62" t="s">
        <v>17</v>
      </c>
      <c r="E8" s="82">
        <v>711980</v>
      </c>
      <c r="F8" s="75">
        <v>17.100000000000001</v>
      </c>
      <c r="G8" s="83">
        <f>F8*E8</f>
        <v>12174858.000000002</v>
      </c>
      <c r="H8" s="75">
        <v>21.38</v>
      </c>
      <c r="I8" s="83">
        <f>H8*E8</f>
        <v>15222132.399999999</v>
      </c>
      <c r="J8" s="76">
        <f>I8/I10</f>
        <v>0.16646451448167873</v>
      </c>
      <c r="K8" s="76"/>
      <c r="L8" s="75">
        <f>ROUND(H8*S10,2)</f>
        <v>22.56</v>
      </c>
      <c r="M8" s="83">
        <f>L8*E8</f>
        <v>16062268.799999999</v>
      </c>
      <c r="N8" s="83">
        <f t="shared" ref="N8:N13" si="0">M8-I8</f>
        <v>840136.40000000037</v>
      </c>
      <c r="O8" s="76">
        <f>IF(I8=0,0,N8/I8)</f>
        <v>5.5191768007483662E-2</v>
      </c>
      <c r="P8" s="76">
        <f>M8/M10</f>
        <v>0.16647311964429726</v>
      </c>
      <c r="Q8" s="98">
        <f>P8-J8</f>
        <v>8.6051626185246199E-6</v>
      </c>
      <c r="R8" s="98"/>
      <c r="T8" s="76">
        <f>L8/H8-1</f>
        <v>5.5191768007483599E-2</v>
      </c>
    </row>
    <row r="9" spans="1:20" x14ac:dyDescent="0.2">
      <c r="A9" s="96">
        <f t="shared" ref="A9:A72" si="1">A8+1</f>
        <v>3</v>
      </c>
      <c r="B9" s="75"/>
      <c r="D9" s="62" t="s">
        <v>82</v>
      </c>
      <c r="E9" s="82">
        <v>795798447.18997264</v>
      </c>
      <c r="F9" s="77">
        <v>8.4169999999999995E-2</v>
      </c>
      <c r="G9" s="83">
        <f t="shared" ref="G9" si="2">F9*E9</f>
        <v>66982355.299979992</v>
      </c>
      <c r="H9" s="130">
        <v>9.5780000000000004E-2</v>
      </c>
      <c r="I9" s="83">
        <f t="shared" ref="I9" si="3">H9*E9</f>
        <v>76221575.271855578</v>
      </c>
      <c r="J9" s="76">
        <f>I9/I10</f>
        <v>0.83353548551832135</v>
      </c>
      <c r="K9" s="76"/>
      <c r="L9" s="130">
        <f>ROUND(H9*S10,5)</f>
        <v>0.10106</v>
      </c>
      <c r="M9" s="83">
        <f t="shared" ref="M9" si="4">L9*E9</f>
        <v>80423391.073018625</v>
      </c>
      <c r="N9" s="83">
        <f t="shared" si="0"/>
        <v>4201815.8011630476</v>
      </c>
      <c r="O9" s="76">
        <f t="shared" ref="O9" si="5">IF(I9=0,0,N9/I9)</f>
        <v>5.5126331175610672E-2</v>
      </c>
      <c r="P9" s="76">
        <f>M9/M10</f>
        <v>0.83352688035570277</v>
      </c>
      <c r="Q9" s="98">
        <f t="shared" ref="Q9:Q10" si="6">P9-J9</f>
        <v>-8.6051626185801311E-6</v>
      </c>
      <c r="R9" s="98"/>
      <c r="T9" s="76">
        <f>L9/H9-1</f>
        <v>5.5126331175610721E-2</v>
      </c>
    </row>
    <row r="10" spans="1:20" s="90" customFormat="1" ht="20.45" customHeight="1" x14ac:dyDescent="0.25">
      <c r="A10" s="96">
        <f t="shared" si="1"/>
        <v>4</v>
      </c>
      <c r="C10" s="85"/>
      <c r="D10" s="86" t="s">
        <v>6</v>
      </c>
      <c r="E10" s="86"/>
      <c r="F10" s="86"/>
      <c r="G10" s="11">
        <f>SUM(G8:G9)</f>
        <v>79157213.29998</v>
      </c>
      <c r="H10" s="86"/>
      <c r="I10" s="11">
        <f>SUM(I8:I9)</f>
        <v>91443707.671855569</v>
      </c>
      <c r="J10" s="99">
        <f>SUM(J8:J9)</f>
        <v>1</v>
      </c>
      <c r="K10" s="78">
        <f>I10+Summary!I11</f>
        <v>96485204.251855567</v>
      </c>
      <c r="L10" s="86"/>
      <c r="M10" s="11">
        <f>SUM(M8:M9)</f>
        <v>96485659.873018622</v>
      </c>
      <c r="N10" s="11">
        <f>SUM(N8:N9)</f>
        <v>5041952.2011630479</v>
      </c>
      <c r="O10" s="99">
        <f t="shared" ref="O10" si="7">N10/I10</f>
        <v>5.5137224086057632E-2</v>
      </c>
      <c r="P10" s="99">
        <f>SUM(P8:P9)</f>
        <v>1</v>
      </c>
      <c r="Q10" s="100">
        <f t="shared" si="6"/>
        <v>0</v>
      </c>
      <c r="R10" s="101">
        <f>M10-K10</f>
        <v>455.62116305530071</v>
      </c>
      <c r="S10" s="90">
        <f>K10/I10</f>
        <v>1.0551322415544582</v>
      </c>
    </row>
    <row r="11" spans="1:20" x14ac:dyDescent="0.2">
      <c r="A11" s="96">
        <f t="shared" si="1"/>
        <v>5</v>
      </c>
      <c r="D11" s="62" t="s">
        <v>26</v>
      </c>
      <c r="G11" s="83">
        <v>9876421.459999999</v>
      </c>
      <c r="I11" s="84">
        <f>G11-($H$185*E9)</f>
        <v>478041.79868642241</v>
      </c>
      <c r="M11" s="83">
        <f>I11</f>
        <v>478041.79868642241</v>
      </c>
      <c r="N11" s="83">
        <f t="shared" si="0"/>
        <v>0</v>
      </c>
      <c r="O11" s="75">
        <v>0</v>
      </c>
      <c r="R11" s="102"/>
    </row>
    <row r="12" spans="1:20" x14ac:dyDescent="0.2">
      <c r="A12" s="96">
        <f t="shared" si="1"/>
        <v>6</v>
      </c>
      <c r="D12" s="62" t="s">
        <v>27</v>
      </c>
      <c r="G12" s="83">
        <v>10892564.07</v>
      </c>
      <c r="I12" s="84">
        <f>G12</f>
        <v>10892564.07</v>
      </c>
      <c r="M12" s="83">
        <f t="shared" ref="M12:M14" si="8">I12</f>
        <v>10892564.07</v>
      </c>
      <c r="N12" s="83">
        <f t="shared" si="0"/>
        <v>0</v>
      </c>
      <c r="O12" s="75">
        <v>0</v>
      </c>
    </row>
    <row r="13" spans="1:20" x14ac:dyDescent="0.2">
      <c r="A13" s="96">
        <f t="shared" si="1"/>
        <v>7</v>
      </c>
      <c r="B13" s="103"/>
      <c r="D13" s="62" t="s">
        <v>114</v>
      </c>
      <c r="E13" s="82">
        <v>36287.222657450067</v>
      </c>
      <c r="F13" s="62">
        <v>8.75</v>
      </c>
      <c r="G13" s="83">
        <f>E13*F13</f>
        <v>317513.1982526881</v>
      </c>
      <c r="H13" s="62">
        <f>F13</f>
        <v>8.75</v>
      </c>
      <c r="I13" s="84">
        <f>H13*E13</f>
        <v>317513.1982526881</v>
      </c>
      <c r="M13" s="83">
        <f t="shared" si="8"/>
        <v>317513.1982526881</v>
      </c>
      <c r="N13" s="83">
        <f t="shared" si="0"/>
        <v>0</v>
      </c>
      <c r="O13" s="75">
        <v>0</v>
      </c>
    </row>
    <row r="14" spans="1:20" x14ac:dyDescent="0.2">
      <c r="A14" s="96">
        <f t="shared" si="1"/>
        <v>8</v>
      </c>
      <c r="D14" s="62" t="s">
        <v>65</v>
      </c>
      <c r="G14" s="83">
        <v>0</v>
      </c>
      <c r="I14" s="84">
        <f>G14</f>
        <v>0</v>
      </c>
      <c r="M14" s="83">
        <f t="shared" si="8"/>
        <v>0</v>
      </c>
      <c r="N14" s="83"/>
      <c r="O14" s="75">
        <v>0</v>
      </c>
    </row>
    <row r="15" spans="1:20" x14ac:dyDescent="0.2">
      <c r="A15" s="96">
        <f t="shared" si="1"/>
        <v>9</v>
      </c>
      <c r="D15" s="79" t="s">
        <v>8</v>
      </c>
      <c r="E15" s="79"/>
      <c r="F15" s="79"/>
      <c r="G15" s="104">
        <f>SUM(G11:G14)</f>
        <v>21086498.72825269</v>
      </c>
      <c r="H15" s="79"/>
      <c r="I15" s="104">
        <f>SUM(I11:I14)</f>
        <v>11688119.06693911</v>
      </c>
      <c r="J15" s="79"/>
      <c r="K15" s="79"/>
      <c r="L15" s="79"/>
      <c r="M15" s="104">
        <f>SUM(M11:M14)</f>
        <v>11688119.06693911</v>
      </c>
      <c r="N15" s="104">
        <f>M15-I15</f>
        <v>0</v>
      </c>
      <c r="O15" s="105">
        <v>0</v>
      </c>
    </row>
    <row r="16" spans="1:20" s="90" customFormat="1" ht="26.45" customHeight="1" thickBot="1" x14ac:dyDescent="0.25">
      <c r="A16" s="96">
        <f t="shared" si="1"/>
        <v>10</v>
      </c>
      <c r="C16" s="85"/>
      <c r="D16" s="80" t="s">
        <v>19</v>
      </c>
      <c r="E16" s="80"/>
      <c r="F16" s="80"/>
      <c r="G16" s="106">
        <f>G10+G15</f>
        <v>100243712.02823269</v>
      </c>
      <c r="H16" s="80"/>
      <c r="I16" s="107">
        <f>I15+I10</f>
        <v>103131826.73879468</v>
      </c>
      <c r="J16" s="80"/>
      <c r="K16" s="80"/>
      <c r="L16" s="80"/>
      <c r="M16" s="106">
        <f>M15+M10</f>
        <v>108173778.93995774</v>
      </c>
      <c r="N16" s="106">
        <f>M16-I16</f>
        <v>5041952.2011630535</v>
      </c>
      <c r="O16" s="108">
        <f>N16/I16</f>
        <v>4.8888421359324592E-2</v>
      </c>
      <c r="P16" s="62"/>
      <c r="Q16" s="62"/>
      <c r="R16" s="62"/>
    </row>
    <row r="17" spans="1:20" ht="13.5" thickTop="1" x14ac:dyDescent="0.2">
      <c r="A17" s="96">
        <f t="shared" si="1"/>
        <v>11</v>
      </c>
      <c r="D17" s="62" t="s">
        <v>18</v>
      </c>
      <c r="E17" s="75">
        <f>E9/E8</f>
        <v>1117.7258450939248</v>
      </c>
      <c r="G17" s="109">
        <f>G16/E8</f>
        <v>140.79568531171196</v>
      </c>
      <c r="I17" s="109">
        <f>I16/E8</f>
        <v>144.85214014269317</v>
      </c>
      <c r="M17" s="109">
        <f>M16/E8</f>
        <v>151.9337326047891</v>
      </c>
      <c r="N17" s="109">
        <f>M17-I17</f>
        <v>7.0815924620959265</v>
      </c>
      <c r="O17" s="76">
        <f>N17/I17</f>
        <v>4.8888421359324634E-2</v>
      </c>
    </row>
    <row r="18" spans="1:20" ht="13.5" thickBot="1" x14ac:dyDescent="0.25">
      <c r="A18" s="96">
        <f t="shared" si="1"/>
        <v>12</v>
      </c>
    </row>
    <row r="19" spans="1:20" x14ac:dyDescent="0.2">
      <c r="A19" s="96">
        <f t="shared" si="1"/>
        <v>13</v>
      </c>
      <c r="B19" s="133" t="s">
        <v>116</v>
      </c>
      <c r="C19" s="97" t="s">
        <v>42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20" x14ac:dyDescent="0.2">
      <c r="A20" s="96">
        <f t="shared" si="1"/>
        <v>14</v>
      </c>
      <c r="B20" s="134"/>
      <c r="C20" s="62"/>
      <c r="D20" s="62" t="s">
        <v>17</v>
      </c>
      <c r="E20" s="82">
        <v>1468</v>
      </c>
      <c r="F20" s="75">
        <v>14.36</v>
      </c>
      <c r="G20" s="83">
        <f>F20*E20</f>
        <v>21080.48</v>
      </c>
      <c r="H20" s="75">
        <v>18.64</v>
      </c>
      <c r="I20" s="83">
        <f>H20*E20</f>
        <v>27363.52</v>
      </c>
      <c r="J20" s="76">
        <f>I20/I24</f>
        <v>0.68185223294993114</v>
      </c>
      <c r="K20" s="76"/>
      <c r="L20" s="75">
        <f>ROUND(H20*S24,2)</f>
        <v>19.670000000000002</v>
      </c>
      <c r="M20" s="83">
        <f>L20*E20</f>
        <v>28875.56</v>
      </c>
      <c r="N20" s="83">
        <f>M20-I20</f>
        <v>1512.0400000000009</v>
      </c>
      <c r="O20" s="76">
        <f>IF(I20=0,0,N20/I20)</f>
        <v>5.5257510729613768E-2</v>
      </c>
      <c r="P20" s="76">
        <f>M20/M$92</f>
        <v>3.1083967202353777E-3</v>
      </c>
      <c r="Q20" s="98">
        <f>P20-J20</f>
        <v>-0.67874383622969581</v>
      </c>
      <c r="R20" s="98"/>
    </row>
    <row r="21" spans="1:20" x14ac:dyDescent="0.2">
      <c r="A21" s="96">
        <f t="shared" si="1"/>
        <v>15</v>
      </c>
      <c r="D21" s="62" t="s">
        <v>83</v>
      </c>
      <c r="E21" s="82">
        <v>87411</v>
      </c>
      <c r="F21" s="130">
        <v>7.6429999999999998E-2</v>
      </c>
      <c r="G21" s="83">
        <f t="shared" ref="G21" si="9">F21*E21</f>
        <v>6680.8227299999999</v>
      </c>
      <c r="H21" s="130">
        <v>8.8239999999999999E-2</v>
      </c>
      <c r="I21" s="83">
        <f t="shared" ref="I21" si="10">H21*E21</f>
        <v>7713.1466399999999</v>
      </c>
      <c r="J21" s="76">
        <f>I21/I24</f>
        <v>0.19219845471468067</v>
      </c>
      <c r="K21" s="76"/>
      <c r="L21" s="130">
        <f>ROUND(H21*S24,5)</f>
        <v>9.3100000000000002E-2</v>
      </c>
      <c r="M21" s="83">
        <f t="shared" ref="M21:M23" si="11">L21*E21</f>
        <v>8137.9641000000001</v>
      </c>
      <c r="N21" s="83">
        <f t="shared" ref="N21:N23" si="12">M21-I21</f>
        <v>424.81746000000021</v>
      </c>
      <c r="O21" s="76">
        <f t="shared" ref="O21:O23" si="13">IF(I21=0,0,N21/I21)</f>
        <v>5.507706255666367E-2</v>
      </c>
      <c r="P21" s="76">
        <f>M21/M$92</f>
        <v>8.7603568269613622E-4</v>
      </c>
      <c r="Q21" s="98">
        <f t="shared" ref="Q21:Q24" si="14">P21-J21</f>
        <v>-0.19132241903198452</v>
      </c>
      <c r="R21" s="98"/>
      <c r="T21" s="76">
        <f>L21/H21-1</f>
        <v>5.507706255666367E-2</v>
      </c>
    </row>
    <row r="22" spans="1:20" x14ac:dyDescent="0.2">
      <c r="A22" s="96">
        <f t="shared" si="1"/>
        <v>16</v>
      </c>
      <c r="D22" s="62" t="s">
        <v>84</v>
      </c>
      <c r="E22" s="82">
        <v>28379</v>
      </c>
      <c r="F22" s="130">
        <v>9.1980000000000006E-2</v>
      </c>
      <c r="G22" s="83">
        <f t="shared" ref="G22" si="15">F22*E22</f>
        <v>2610.30042</v>
      </c>
      <c r="H22" s="130">
        <v>0.10378999999999999</v>
      </c>
      <c r="I22" s="83">
        <f t="shared" ref="I22" si="16">H22*E22</f>
        <v>2945.4564099999998</v>
      </c>
      <c r="J22" s="76">
        <f>I22/I24</f>
        <v>7.339574843496699E-2</v>
      </c>
      <c r="K22" s="76"/>
      <c r="L22" s="130">
        <f>ROUND(H22*S24,5)</f>
        <v>0.10951</v>
      </c>
      <c r="M22" s="83">
        <f t="shared" si="11"/>
        <v>3107.7842900000001</v>
      </c>
      <c r="N22" s="83">
        <f t="shared" si="12"/>
        <v>162.32788000000028</v>
      </c>
      <c r="O22" s="76">
        <f t="shared" si="13"/>
        <v>5.5111282397148187E-2</v>
      </c>
      <c r="P22" s="76">
        <f>M22/M$92</f>
        <v>3.3454681032108228E-4</v>
      </c>
      <c r="Q22" s="98">
        <f t="shared" si="14"/>
        <v>-7.3061201624645911E-2</v>
      </c>
      <c r="R22" s="98"/>
      <c r="T22" s="76">
        <f>L22/H22-1</f>
        <v>5.511128239714802E-2</v>
      </c>
    </row>
    <row r="23" spans="1:20" x14ac:dyDescent="0.2">
      <c r="A23" s="96">
        <f t="shared" si="1"/>
        <v>17</v>
      </c>
      <c r="D23" s="62" t="s">
        <v>85</v>
      </c>
      <c r="E23" s="82">
        <v>18476</v>
      </c>
      <c r="F23" s="130">
        <v>0.10234</v>
      </c>
      <c r="G23" s="83">
        <f t="shared" ref="G23" si="17">F23*E23</f>
        <v>1890.83384</v>
      </c>
      <c r="H23" s="130">
        <v>0.11415</v>
      </c>
      <c r="I23" s="83">
        <f t="shared" ref="I23" si="18">H23*E23</f>
        <v>2109.0354000000002</v>
      </c>
      <c r="J23" s="76">
        <f>I23/I24</f>
        <v>5.2553563900421124E-2</v>
      </c>
      <c r="K23" s="76"/>
      <c r="L23" s="130">
        <f>ROUND(H23*S24,5)</f>
        <v>0.12044000000000001</v>
      </c>
      <c r="M23" s="83">
        <f t="shared" si="11"/>
        <v>2225.24944</v>
      </c>
      <c r="N23" s="83">
        <f t="shared" si="12"/>
        <v>116.21403999999984</v>
      </c>
      <c r="O23" s="76">
        <f t="shared" si="13"/>
        <v>5.5102934734997729E-2</v>
      </c>
      <c r="P23" s="76">
        <f>M23/M$92</f>
        <v>2.3954368542122162E-4</v>
      </c>
      <c r="Q23" s="98">
        <f t="shared" si="14"/>
        <v>-5.2314020214999903E-2</v>
      </c>
      <c r="R23" s="98"/>
      <c r="T23" s="76">
        <f>L23/H23-1</f>
        <v>5.5102934734997833E-2</v>
      </c>
    </row>
    <row r="24" spans="1:20" s="90" customFormat="1" ht="20.45" customHeight="1" x14ac:dyDescent="0.25">
      <c r="A24" s="96">
        <f t="shared" si="1"/>
        <v>18</v>
      </c>
      <c r="C24" s="85"/>
      <c r="D24" s="86" t="s">
        <v>6</v>
      </c>
      <c r="E24" s="86"/>
      <c r="F24" s="86"/>
      <c r="G24" s="11">
        <f>SUM(G20:G23)</f>
        <v>32262.436989999998</v>
      </c>
      <c r="H24" s="86"/>
      <c r="I24" s="11">
        <f>SUM(I20:I23)</f>
        <v>40131.158450000003</v>
      </c>
      <c r="J24" s="99">
        <f>SUM(J20:J23)</f>
        <v>0.99999999999999989</v>
      </c>
      <c r="K24" s="78">
        <f>I24+Summary!I12</f>
        <v>42343.678449999999</v>
      </c>
      <c r="L24" s="86"/>
      <c r="M24" s="11">
        <f>SUM(M20:M23)</f>
        <v>42346.557830000005</v>
      </c>
      <c r="N24" s="11">
        <f>SUM(N20:N23)</f>
        <v>2215.3993800000012</v>
      </c>
      <c r="O24" s="99">
        <f t="shared" ref="O24" si="19">N24/I24</f>
        <v>5.5203972812302431E-2</v>
      </c>
      <c r="P24" s="99">
        <f>SUM(P20:P23)</f>
        <v>4.5585228986738183E-3</v>
      </c>
      <c r="Q24" s="100">
        <f t="shared" si="14"/>
        <v>-0.99544147710132602</v>
      </c>
      <c r="R24" s="101">
        <f>M24-K24</f>
        <v>2.8793800000057672</v>
      </c>
      <c r="S24" s="90">
        <f>K24/I24</f>
        <v>1.0551322235752703</v>
      </c>
    </row>
    <row r="25" spans="1:20" x14ac:dyDescent="0.2">
      <c r="A25" s="96">
        <f t="shared" si="1"/>
        <v>19</v>
      </c>
      <c r="D25" s="62" t="s">
        <v>26</v>
      </c>
      <c r="G25" s="83">
        <v>1601.98</v>
      </c>
      <c r="I25" s="84">
        <f>G25-($H$185*(E21+E22+E23))</f>
        <v>16.298540000000003</v>
      </c>
      <c r="M25" s="83">
        <f>I25</f>
        <v>16.298540000000003</v>
      </c>
      <c r="N25" s="83">
        <f t="shared" ref="N25:N31" si="20">M25-I25</f>
        <v>0</v>
      </c>
      <c r="O25" s="75">
        <v>0</v>
      </c>
    </row>
    <row r="26" spans="1:20" x14ac:dyDescent="0.2">
      <c r="A26" s="96">
        <f t="shared" si="1"/>
        <v>20</v>
      </c>
      <c r="D26" s="62" t="s">
        <v>27</v>
      </c>
      <c r="G26" s="83">
        <v>4286.0300000000007</v>
      </c>
      <c r="I26" s="84">
        <f t="shared" ref="I26:I28" si="21">G26</f>
        <v>4286.0300000000007</v>
      </c>
      <c r="M26" s="83">
        <f t="shared" ref="M26:M28" si="22">I26</f>
        <v>4286.0300000000007</v>
      </c>
      <c r="N26" s="83">
        <f t="shared" si="20"/>
        <v>0</v>
      </c>
      <c r="O26" s="75">
        <v>0</v>
      </c>
    </row>
    <row r="27" spans="1:20" x14ac:dyDescent="0.2">
      <c r="A27" s="96">
        <f t="shared" si="1"/>
        <v>21</v>
      </c>
      <c r="D27" s="62" t="s">
        <v>30</v>
      </c>
      <c r="G27" s="83">
        <v>0</v>
      </c>
      <c r="I27" s="84">
        <f t="shared" si="21"/>
        <v>0</v>
      </c>
      <c r="M27" s="83">
        <f t="shared" si="22"/>
        <v>0</v>
      </c>
      <c r="N27" s="83">
        <f t="shared" si="20"/>
        <v>0</v>
      </c>
      <c r="O27" s="75">
        <v>0</v>
      </c>
    </row>
    <row r="28" spans="1:20" x14ac:dyDescent="0.2">
      <c r="A28" s="96">
        <f t="shared" si="1"/>
        <v>22</v>
      </c>
      <c r="D28" s="62" t="s">
        <v>65</v>
      </c>
      <c r="G28" s="83">
        <v>0</v>
      </c>
      <c r="I28" s="84">
        <f t="shared" si="21"/>
        <v>0</v>
      </c>
      <c r="M28" s="83">
        <f t="shared" si="22"/>
        <v>0</v>
      </c>
      <c r="N28" s="83"/>
      <c r="O28" s="75"/>
    </row>
    <row r="29" spans="1:20" x14ac:dyDescent="0.2">
      <c r="A29" s="96">
        <f t="shared" si="1"/>
        <v>23</v>
      </c>
      <c r="D29" s="79" t="s">
        <v>8</v>
      </c>
      <c r="E29" s="79"/>
      <c r="F29" s="79"/>
      <c r="G29" s="104">
        <f>SUM(G25:G28)</f>
        <v>5888.01</v>
      </c>
      <c r="H29" s="79"/>
      <c r="I29" s="104">
        <f>SUM(I25:I28)</f>
        <v>4302.3285400000004</v>
      </c>
      <c r="J29" s="79"/>
      <c r="K29" s="79"/>
      <c r="L29" s="79"/>
      <c r="M29" s="104">
        <f>SUM(M25:M28)</f>
        <v>4302.3285400000004</v>
      </c>
      <c r="N29" s="104">
        <f t="shared" si="20"/>
        <v>0</v>
      </c>
      <c r="O29" s="105">
        <f t="shared" ref="O29" si="23">N29-J29</f>
        <v>0</v>
      </c>
    </row>
    <row r="30" spans="1:20" s="90" customFormat="1" ht="26.45" customHeight="1" thickBot="1" x14ac:dyDescent="0.25">
      <c r="A30" s="96">
        <f t="shared" si="1"/>
        <v>24</v>
      </c>
      <c r="C30" s="85"/>
      <c r="D30" s="80" t="s">
        <v>19</v>
      </c>
      <c r="E30" s="80"/>
      <c r="F30" s="80"/>
      <c r="G30" s="106">
        <f>G24+G29</f>
        <v>38150.446989999997</v>
      </c>
      <c r="H30" s="80"/>
      <c r="I30" s="107">
        <f>I29+I24</f>
        <v>44433.486990000005</v>
      </c>
      <c r="J30" s="80"/>
      <c r="K30" s="80"/>
      <c r="L30" s="80"/>
      <c r="M30" s="106">
        <f>M29+M24</f>
        <v>46648.886370000007</v>
      </c>
      <c r="N30" s="106">
        <f t="shared" si="20"/>
        <v>2215.3993800000026</v>
      </c>
      <c r="O30" s="108">
        <f>N30/I30</f>
        <v>4.9858778369084339E-2</v>
      </c>
      <c r="P30" s="62"/>
      <c r="Q30" s="62"/>
      <c r="R30" s="62"/>
    </row>
    <row r="31" spans="1:20" ht="13.5" thickTop="1" x14ac:dyDescent="0.2">
      <c r="A31" s="96">
        <f t="shared" si="1"/>
        <v>25</v>
      </c>
      <c r="D31" s="62" t="s">
        <v>18</v>
      </c>
      <c r="E31" s="75">
        <f>(E21+E22+E23)/E20</f>
        <v>91.461852861035425</v>
      </c>
      <c r="G31" s="109">
        <f>G30/E20</f>
        <v>25.988042908719343</v>
      </c>
      <c r="I31" s="109">
        <f>I30/E20</f>
        <v>30.268042908719348</v>
      </c>
      <c r="M31" s="109">
        <f>M30/E20</f>
        <v>31.777170551771121</v>
      </c>
      <c r="N31" s="109">
        <f t="shared" si="20"/>
        <v>1.509127643051773</v>
      </c>
      <c r="O31" s="76">
        <f>N31/I31</f>
        <v>4.9858778369084346E-2</v>
      </c>
    </row>
    <row r="32" spans="1:20" ht="13.5" thickBot="1" x14ac:dyDescent="0.25">
      <c r="A32" s="96">
        <f t="shared" si="1"/>
        <v>26</v>
      </c>
    </row>
    <row r="33" spans="1:20" x14ac:dyDescent="0.2">
      <c r="A33" s="96">
        <f t="shared" si="1"/>
        <v>27</v>
      </c>
      <c r="B33" s="74" t="s">
        <v>44</v>
      </c>
      <c r="C33" s="97" t="s">
        <v>45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20" x14ac:dyDescent="0.2">
      <c r="A34" s="96">
        <f t="shared" si="1"/>
        <v>28</v>
      </c>
      <c r="C34" s="62"/>
      <c r="D34" s="62" t="s">
        <v>17</v>
      </c>
      <c r="E34" s="82">
        <v>233</v>
      </c>
      <c r="F34" s="75">
        <v>25.91</v>
      </c>
      <c r="G34" s="83">
        <f>F34*E34</f>
        <v>6037.03</v>
      </c>
      <c r="H34" s="75">
        <v>25.91</v>
      </c>
      <c r="I34" s="83">
        <f>H34*E34</f>
        <v>6037.03</v>
      </c>
      <c r="J34" s="76">
        <f>I34/I37</f>
        <v>0.23426650494242746</v>
      </c>
      <c r="K34" s="76"/>
      <c r="L34" s="75">
        <f>ROUND(H34*S37,2)</f>
        <v>27.34</v>
      </c>
      <c r="M34" s="83">
        <f>L34*E34</f>
        <v>6370.22</v>
      </c>
      <c r="N34" s="83">
        <f>M34-I34</f>
        <v>333.19000000000051</v>
      </c>
      <c r="O34" s="76">
        <f>IF(I34=0,0,N34/I34)</f>
        <v>5.5191045928213132E-2</v>
      </c>
      <c r="P34" s="76">
        <f>M34/M$37</f>
        <v>0.23427405635385265</v>
      </c>
      <c r="Q34" s="98">
        <f>P34-J34</f>
        <v>7.551411425193999E-6</v>
      </c>
      <c r="R34" s="98"/>
      <c r="T34" s="76">
        <f>L34/H34-1</f>
        <v>5.5191045928213001E-2</v>
      </c>
    </row>
    <row r="35" spans="1:20" x14ac:dyDescent="0.2">
      <c r="A35" s="96">
        <f t="shared" si="1"/>
        <v>29</v>
      </c>
      <c r="D35" s="62" t="s">
        <v>86</v>
      </c>
      <c r="E35" s="82">
        <v>50392</v>
      </c>
      <c r="F35" s="130">
        <v>0.10176</v>
      </c>
      <c r="G35" s="83">
        <f t="shared" ref="G35" si="24">F35*E35</f>
        <v>5127.8899200000005</v>
      </c>
      <c r="H35" s="130">
        <v>0.17036000000000001</v>
      </c>
      <c r="I35" s="83">
        <f t="shared" ref="I35" si="25">H35*E35</f>
        <v>8584.7811200000015</v>
      </c>
      <c r="J35" s="76">
        <f>I35/I37</f>
        <v>0.33313179968927409</v>
      </c>
      <c r="K35" s="76"/>
      <c r="L35" s="130">
        <f>ROUND(H35*S37,5)</f>
        <v>0.17974999999999999</v>
      </c>
      <c r="M35" s="83">
        <f t="shared" ref="M35" si="26">L35*E35</f>
        <v>9057.9619999999995</v>
      </c>
      <c r="N35" s="83">
        <f t="shared" ref="N35" si="27">M35-I35</f>
        <v>473.18087999999807</v>
      </c>
      <c r="O35" s="76">
        <f t="shared" ref="O35" si="28">IF(I35=0,0,N35/I35)</f>
        <v>5.5118572434843624E-2</v>
      </c>
      <c r="P35" s="76">
        <f t="shared" ref="P35:P36" si="29">M35/M$37</f>
        <v>0.33311965678407585</v>
      </c>
      <c r="Q35" s="98">
        <f t="shared" ref="Q35" si="30">P35-J35</f>
        <v>-1.214290519824246E-5</v>
      </c>
      <c r="R35" s="98"/>
      <c r="T35" s="76">
        <f>L35/H35-1</f>
        <v>5.5118572434843749E-2</v>
      </c>
    </row>
    <row r="36" spans="1:20" x14ac:dyDescent="0.2">
      <c r="A36" s="96">
        <f t="shared" si="1"/>
        <v>30</v>
      </c>
      <c r="D36" s="62" t="s">
        <v>87</v>
      </c>
      <c r="E36" s="82">
        <v>168962</v>
      </c>
      <c r="F36" s="130">
        <v>5.4170000000000003E-2</v>
      </c>
      <c r="G36" s="83">
        <f t="shared" ref="G36" si="31">F36*E36</f>
        <v>9152.6715400000012</v>
      </c>
      <c r="H36" s="130">
        <v>6.5979999999999997E-2</v>
      </c>
      <c r="I36" s="83">
        <f t="shared" ref="I36" si="32">H36*E36</f>
        <v>11148.11276</v>
      </c>
      <c r="J36" s="76">
        <f>I36/I37</f>
        <v>0.43260169536829846</v>
      </c>
      <c r="K36" s="76"/>
      <c r="L36" s="130">
        <f>ROUND(H36*S37,5)</f>
        <v>6.9620000000000001E-2</v>
      </c>
      <c r="M36" s="83">
        <f t="shared" ref="M36" si="33">L36*E36</f>
        <v>11763.13444</v>
      </c>
      <c r="N36" s="83">
        <f t="shared" ref="N36:N44" si="34">M36-I36</f>
        <v>615.02167999999983</v>
      </c>
      <c r="O36" s="76">
        <f t="shared" ref="O36" si="35">IF(I36=0,0,N36/I36)</f>
        <v>5.5168232797817504E-2</v>
      </c>
      <c r="P36" s="76">
        <f t="shared" si="29"/>
        <v>0.43260628686207142</v>
      </c>
      <c r="Q36" s="98">
        <f t="shared" ref="Q36:Q37" si="36">P36-J36</f>
        <v>4.5914937729651939E-6</v>
      </c>
      <c r="R36" s="98"/>
      <c r="T36" s="76">
        <f>L36/H36-1</f>
        <v>5.5168232797817573E-2</v>
      </c>
    </row>
    <row r="37" spans="1:20" s="90" customFormat="1" ht="20.45" customHeight="1" x14ac:dyDescent="0.25">
      <c r="A37" s="96">
        <f t="shared" si="1"/>
        <v>31</v>
      </c>
      <c r="C37" s="85"/>
      <c r="D37" s="86" t="s">
        <v>6</v>
      </c>
      <c r="E37" s="86"/>
      <c r="F37" s="86"/>
      <c r="G37" s="11">
        <f>SUM(G34:G36)</f>
        <v>20317.591460000003</v>
      </c>
      <c r="H37" s="86"/>
      <c r="I37" s="11">
        <f>SUM(I34:I36)</f>
        <v>25769.923880000002</v>
      </c>
      <c r="J37" s="99">
        <f>SUM(J34:J36)</f>
        <v>1</v>
      </c>
      <c r="K37" s="78">
        <f>I37+Summary!I13</f>
        <v>27190.673880000002</v>
      </c>
      <c r="L37" s="86"/>
      <c r="M37" s="11">
        <f>SUM(M34:M36)</f>
        <v>27191.316440000002</v>
      </c>
      <c r="N37" s="11">
        <f>SUM(N34:N36)</f>
        <v>1421.3925599999984</v>
      </c>
      <c r="O37" s="99">
        <f t="shared" ref="O37" si="37">N37/I37</f>
        <v>5.5157033704051374E-2</v>
      </c>
      <c r="P37" s="99">
        <f>SUM(P34:P36)</f>
        <v>1</v>
      </c>
      <c r="Q37" s="100">
        <f t="shared" si="36"/>
        <v>0</v>
      </c>
      <c r="R37" s="101">
        <f>M37-K37</f>
        <v>0.6425600000002305</v>
      </c>
      <c r="S37" s="90">
        <f>K37/I37</f>
        <v>1.0551320992105313</v>
      </c>
    </row>
    <row r="38" spans="1:20" x14ac:dyDescent="0.2">
      <c r="A38" s="96">
        <f t="shared" si="1"/>
        <v>32</v>
      </c>
      <c r="D38" s="62" t="s">
        <v>26</v>
      </c>
      <c r="G38" s="83">
        <v>2829.8099999999995</v>
      </c>
      <c r="I38" s="84">
        <f>G38-($H$185*(E35+E36))</f>
        <v>239.23925999999983</v>
      </c>
      <c r="M38" s="83">
        <f>I38</f>
        <v>239.23925999999983</v>
      </c>
      <c r="N38" s="83">
        <f t="shared" si="34"/>
        <v>0</v>
      </c>
      <c r="O38" s="75">
        <v>0</v>
      </c>
    </row>
    <row r="39" spans="1:20" x14ac:dyDescent="0.2">
      <c r="A39" s="96">
        <f t="shared" si="1"/>
        <v>33</v>
      </c>
      <c r="D39" s="62" t="s">
        <v>27</v>
      </c>
      <c r="G39" s="83">
        <v>2774.8199999999997</v>
      </c>
      <c r="I39" s="84">
        <f t="shared" ref="I39:I41" si="38">G39</f>
        <v>2774.8199999999997</v>
      </c>
      <c r="M39" s="83">
        <f t="shared" ref="M39:M41" si="39">I39</f>
        <v>2774.8199999999997</v>
      </c>
      <c r="N39" s="83">
        <f t="shared" si="34"/>
        <v>0</v>
      </c>
      <c r="O39" s="75">
        <v>0</v>
      </c>
    </row>
    <row r="40" spans="1:20" x14ac:dyDescent="0.2">
      <c r="A40" s="96">
        <f t="shared" si="1"/>
        <v>34</v>
      </c>
      <c r="D40" s="62" t="s">
        <v>30</v>
      </c>
      <c r="G40" s="83">
        <v>0</v>
      </c>
      <c r="I40" s="84">
        <f t="shared" si="38"/>
        <v>0</v>
      </c>
      <c r="M40" s="83">
        <f t="shared" si="39"/>
        <v>0</v>
      </c>
      <c r="N40" s="83">
        <f t="shared" si="34"/>
        <v>0</v>
      </c>
      <c r="O40" s="75">
        <v>0</v>
      </c>
    </row>
    <row r="41" spans="1:20" x14ac:dyDescent="0.2">
      <c r="A41" s="96">
        <f t="shared" si="1"/>
        <v>35</v>
      </c>
      <c r="D41" s="62" t="s">
        <v>65</v>
      </c>
      <c r="G41" s="83">
        <v>0</v>
      </c>
      <c r="I41" s="84">
        <f t="shared" si="38"/>
        <v>0</v>
      </c>
      <c r="M41" s="83">
        <f t="shared" si="39"/>
        <v>0</v>
      </c>
      <c r="N41" s="83"/>
      <c r="O41" s="75"/>
    </row>
    <row r="42" spans="1:20" x14ac:dyDescent="0.2">
      <c r="A42" s="96">
        <f t="shared" si="1"/>
        <v>36</v>
      </c>
      <c r="D42" s="79" t="s">
        <v>8</v>
      </c>
      <c r="E42" s="79"/>
      <c r="F42" s="79"/>
      <c r="G42" s="104">
        <f>SUM(G38:G41)</f>
        <v>5604.6299999999992</v>
      </c>
      <c r="H42" s="79"/>
      <c r="I42" s="104">
        <f>SUM(I38:I41)</f>
        <v>3014.0592599999995</v>
      </c>
      <c r="J42" s="79"/>
      <c r="K42" s="79"/>
      <c r="L42" s="79"/>
      <c r="M42" s="104">
        <f>SUM(M38:M41)</f>
        <v>3014.0592599999995</v>
      </c>
      <c r="N42" s="104">
        <f t="shared" si="34"/>
        <v>0</v>
      </c>
      <c r="O42" s="105">
        <f t="shared" ref="O42" si="40">N42-J42</f>
        <v>0</v>
      </c>
    </row>
    <row r="43" spans="1:20" s="90" customFormat="1" ht="26.45" customHeight="1" thickBot="1" x14ac:dyDescent="0.25">
      <c r="A43" s="96">
        <f t="shared" si="1"/>
        <v>37</v>
      </c>
      <c r="C43" s="85"/>
      <c r="D43" s="80" t="s">
        <v>19</v>
      </c>
      <c r="E43" s="80"/>
      <c r="F43" s="80"/>
      <c r="G43" s="106">
        <f>G37+G42</f>
        <v>25922.221460000001</v>
      </c>
      <c r="H43" s="80"/>
      <c r="I43" s="107">
        <f>I42+I37</f>
        <v>28783.98314</v>
      </c>
      <c r="J43" s="80"/>
      <c r="K43" s="80"/>
      <c r="L43" s="80"/>
      <c r="M43" s="106">
        <f>M42+M37</f>
        <v>30205.375700000001</v>
      </c>
      <c r="N43" s="106">
        <f t="shared" si="34"/>
        <v>1421.3925600000002</v>
      </c>
      <c r="O43" s="108">
        <f>N43/I43</f>
        <v>4.9381371337198478E-2</v>
      </c>
      <c r="P43" s="62"/>
      <c r="Q43" s="62"/>
      <c r="R43" s="62"/>
    </row>
    <row r="44" spans="1:20" ht="13.5" thickTop="1" x14ac:dyDescent="0.2">
      <c r="A44" s="96">
        <f t="shared" si="1"/>
        <v>38</v>
      </c>
      <c r="D44" s="62" t="s">
        <v>18</v>
      </c>
      <c r="E44" s="103">
        <f>(E36+E35)/E34</f>
        <v>941.43347639484978</v>
      </c>
      <c r="G44" s="109">
        <f>G43/E34</f>
        <v>111.25416935622317</v>
      </c>
      <c r="I44" s="109">
        <f>I43/E34</f>
        <v>123.53640832618026</v>
      </c>
      <c r="M44" s="109">
        <f>M43/E34</f>
        <v>129.63680557939915</v>
      </c>
      <c r="N44" s="109">
        <f t="shared" si="34"/>
        <v>6.1003972532188868</v>
      </c>
      <c r="O44" s="76">
        <f>N44/I44</f>
        <v>4.9381371337198492E-2</v>
      </c>
    </row>
    <row r="45" spans="1:20" ht="13.5" thickBot="1" x14ac:dyDescent="0.25">
      <c r="A45" s="96">
        <f t="shared" si="1"/>
        <v>39</v>
      </c>
    </row>
    <row r="46" spans="1:20" x14ac:dyDescent="0.2">
      <c r="A46" s="96">
        <f t="shared" si="1"/>
        <v>40</v>
      </c>
      <c r="B46" s="74" t="s">
        <v>46</v>
      </c>
      <c r="C46" s="97" t="s">
        <v>47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20" x14ac:dyDescent="0.2">
      <c r="A47" s="96">
        <f t="shared" si="1"/>
        <v>41</v>
      </c>
      <c r="C47" s="62"/>
      <c r="D47" s="62" t="s">
        <v>17</v>
      </c>
      <c r="E47" s="82">
        <v>35646</v>
      </c>
      <c r="F47" s="75">
        <v>33.69</v>
      </c>
      <c r="G47" s="83">
        <f>F47*E47</f>
        <v>1200913.74</v>
      </c>
      <c r="H47" s="75">
        <v>33.69</v>
      </c>
      <c r="I47" s="83">
        <f>H47*E47</f>
        <v>1200913.74</v>
      </c>
      <c r="J47" s="76">
        <f>I47/I50</f>
        <v>0.11942791917712242</v>
      </c>
      <c r="K47" s="76"/>
      <c r="L47" s="75">
        <f>ROUND(H47*S50,2)</f>
        <v>35.549999999999997</v>
      </c>
      <c r="M47" s="83">
        <f>L47*E47</f>
        <v>1267215.2999999998</v>
      </c>
      <c r="N47" s="83">
        <f>M47-I47</f>
        <v>66301.559999999823</v>
      </c>
      <c r="O47" s="76">
        <f>IF(I47=0,0,N47/I47)</f>
        <v>5.5209260908281245E-2</v>
      </c>
      <c r="P47" s="76">
        <f>M47/M$50</f>
        <v>0.11943291376013954</v>
      </c>
      <c r="Q47" s="98">
        <f>P47-J47</f>
        <v>4.994583017114973E-6</v>
      </c>
      <c r="R47" s="98"/>
    </row>
    <row r="48" spans="1:20" x14ac:dyDescent="0.2">
      <c r="A48" s="96">
        <f t="shared" si="1"/>
        <v>42</v>
      </c>
      <c r="D48" s="62" t="s">
        <v>82</v>
      </c>
      <c r="E48" s="82">
        <v>77975873</v>
      </c>
      <c r="F48" s="130">
        <v>8.4629999999999997E-2</v>
      </c>
      <c r="G48" s="83">
        <f t="shared" ref="G48" si="41">F48*E48</f>
        <v>6599098.1319899997</v>
      </c>
      <c r="H48" s="130">
        <v>9.6439999999999998E-2</v>
      </c>
      <c r="I48" s="83">
        <f t="shared" ref="I48" si="42">H48*E48</f>
        <v>7519993.1921199998</v>
      </c>
      <c r="J48" s="76">
        <f>I48/I50</f>
        <v>0.7478448361836697</v>
      </c>
      <c r="K48" s="76"/>
      <c r="L48" s="131">
        <f>ROUND(H48*S50,5)</f>
        <v>0.10176</v>
      </c>
      <c r="M48" s="83">
        <f t="shared" ref="M48" si="43">L48*E48</f>
        <v>7934824.8364800001</v>
      </c>
      <c r="N48" s="83">
        <f t="shared" ref="N48" si="44">M48-I48</f>
        <v>414831.64436000027</v>
      </c>
      <c r="O48" s="76">
        <f t="shared" ref="O48" si="45">IF(I48=0,0,N48/I48)</f>
        <v>5.5163832434674445E-2</v>
      </c>
      <c r="P48" s="76">
        <f t="shared" ref="P48:P49" si="46">M48/M$50</f>
        <v>0.74784391444542164</v>
      </c>
      <c r="Q48" s="98">
        <f t="shared" ref="Q48" si="47">P48-J48</f>
        <v>-9.2173824806085491E-7</v>
      </c>
      <c r="R48" s="98"/>
      <c r="T48" s="76">
        <f>L48/H48-1</f>
        <v>5.5163832434674376E-2</v>
      </c>
    </row>
    <row r="49" spans="1:20" x14ac:dyDescent="0.2">
      <c r="A49" s="96">
        <f t="shared" si="1"/>
        <v>43</v>
      </c>
      <c r="D49" s="62" t="s">
        <v>88</v>
      </c>
      <c r="E49" s="82">
        <v>165588.81000000003</v>
      </c>
      <c r="F49" s="75">
        <v>8.06</v>
      </c>
      <c r="G49" s="83">
        <f t="shared" ref="G49" si="48">F49*E49</f>
        <v>1334645.8086000003</v>
      </c>
      <c r="H49" s="75">
        <v>8.06</v>
      </c>
      <c r="I49" s="83">
        <f t="shared" ref="I49" si="49">H49*E49</f>
        <v>1334645.8086000003</v>
      </c>
      <c r="J49" s="76">
        <f>I49/I50</f>
        <v>0.13272724463920785</v>
      </c>
      <c r="K49" s="76"/>
      <c r="L49" s="75">
        <f>ROUND(H49*S50,5)</f>
        <v>8.5043699999999998</v>
      </c>
      <c r="M49" s="83">
        <f t="shared" ref="M49" si="50">L49*E49</f>
        <v>1408228.5080997001</v>
      </c>
      <c r="N49" s="83">
        <f t="shared" ref="N49:N57" si="51">M49-I49</f>
        <v>73582.699499699753</v>
      </c>
      <c r="O49" s="76">
        <f t="shared" ref="O49" si="52">IF(I49=0,0,N49/I49)</f>
        <v>5.5132754342431561E-2</v>
      </c>
      <c r="P49" s="76">
        <f t="shared" si="46"/>
        <v>0.13272317179443893</v>
      </c>
      <c r="Q49" s="98">
        <f t="shared" ref="Q49:Q50" si="53">P49-J49</f>
        <v>-4.0728447689153402E-6</v>
      </c>
      <c r="R49" s="98"/>
      <c r="T49" s="76">
        <f>L49/H49-1</f>
        <v>5.5132754342431589E-2</v>
      </c>
    </row>
    <row r="50" spans="1:20" s="90" customFormat="1" ht="20.45" customHeight="1" x14ac:dyDescent="0.25">
      <c r="A50" s="96">
        <f t="shared" si="1"/>
        <v>44</v>
      </c>
      <c r="C50" s="85"/>
      <c r="D50" s="86" t="s">
        <v>6</v>
      </c>
      <c r="E50" s="86"/>
      <c r="F50" s="86"/>
      <c r="G50" s="11">
        <f>SUM(G47:G49)</f>
        <v>9134657.68059</v>
      </c>
      <c r="H50" s="86"/>
      <c r="I50" s="11">
        <f>SUM(I47:I49)</f>
        <v>10055552.74072</v>
      </c>
      <c r="J50" s="99">
        <f>SUM(J47:J49)</f>
        <v>1</v>
      </c>
      <c r="K50" s="78">
        <f>I50+Summary!I14</f>
        <v>10609937.90072</v>
      </c>
      <c r="L50" s="86"/>
      <c r="M50" s="11">
        <f>SUM(M47:M49)</f>
        <v>10610268.644579699</v>
      </c>
      <c r="N50" s="11">
        <f>SUM(N47:N49)</f>
        <v>554715.90385969984</v>
      </c>
      <c r="O50" s="99">
        <f t="shared" ref="O50" si="54">N50/I50</f>
        <v>5.5165132953196659E-2</v>
      </c>
      <c r="P50" s="99">
        <f>SUM(P47:P49)</f>
        <v>1</v>
      </c>
      <c r="Q50" s="100">
        <f t="shared" si="53"/>
        <v>0</v>
      </c>
      <c r="R50" s="101">
        <f>M50-K50</f>
        <v>330.74385969899595</v>
      </c>
      <c r="S50" s="90">
        <f>K50/I50</f>
        <v>1.0551322412894335</v>
      </c>
    </row>
    <row r="51" spans="1:20" x14ac:dyDescent="0.2">
      <c r="A51" s="96">
        <f t="shared" si="1"/>
        <v>45</v>
      </c>
      <c r="D51" s="62" t="s">
        <v>26</v>
      </c>
      <c r="G51" s="83">
        <v>932309.5</v>
      </c>
      <c r="I51" s="84">
        <f>G51-($H$185*E48)</f>
        <v>11414.439870000002</v>
      </c>
      <c r="M51" s="83">
        <f>I51</f>
        <v>11414.439870000002</v>
      </c>
      <c r="N51" s="83">
        <f t="shared" si="51"/>
        <v>0</v>
      </c>
      <c r="O51" s="75">
        <v>0</v>
      </c>
    </row>
    <row r="52" spans="1:20" x14ac:dyDescent="0.2">
      <c r="A52" s="96">
        <f t="shared" si="1"/>
        <v>46</v>
      </c>
      <c r="D52" s="62" t="s">
        <v>27</v>
      </c>
      <c r="G52" s="83">
        <v>1229231.1300000001</v>
      </c>
      <c r="I52" s="84">
        <f t="shared" ref="I52:I54" si="55">G52</f>
        <v>1229231.1300000001</v>
      </c>
      <c r="M52" s="83">
        <f t="shared" ref="M52:M54" si="56">I52</f>
        <v>1229231.1300000001</v>
      </c>
      <c r="N52" s="83">
        <f t="shared" si="51"/>
        <v>0</v>
      </c>
      <c r="O52" s="75">
        <v>0</v>
      </c>
    </row>
    <row r="53" spans="1:20" x14ac:dyDescent="0.2">
      <c r="A53" s="96">
        <f t="shared" si="1"/>
        <v>47</v>
      </c>
      <c r="D53" s="62" t="s">
        <v>30</v>
      </c>
      <c r="G53" s="83">
        <v>0</v>
      </c>
      <c r="I53" s="84">
        <f t="shared" si="55"/>
        <v>0</v>
      </c>
      <c r="M53" s="83">
        <f t="shared" si="56"/>
        <v>0</v>
      </c>
      <c r="N53" s="83">
        <f t="shared" si="51"/>
        <v>0</v>
      </c>
      <c r="O53" s="75">
        <v>0</v>
      </c>
    </row>
    <row r="54" spans="1:20" x14ac:dyDescent="0.2">
      <c r="A54" s="96">
        <f t="shared" si="1"/>
        <v>48</v>
      </c>
      <c r="D54" s="62" t="s">
        <v>65</v>
      </c>
      <c r="G54" s="83">
        <v>0</v>
      </c>
      <c r="I54" s="84">
        <f t="shared" si="55"/>
        <v>0</v>
      </c>
      <c r="M54" s="83">
        <f t="shared" si="56"/>
        <v>0</v>
      </c>
      <c r="N54" s="83"/>
      <c r="O54" s="75"/>
    </row>
    <row r="55" spans="1:20" x14ac:dyDescent="0.2">
      <c r="A55" s="96">
        <f t="shared" si="1"/>
        <v>49</v>
      </c>
      <c r="D55" s="79" t="s">
        <v>8</v>
      </c>
      <c r="E55" s="79"/>
      <c r="F55" s="79"/>
      <c r="G55" s="104">
        <f>SUM(G51:G54)</f>
        <v>2161540.63</v>
      </c>
      <c r="H55" s="79"/>
      <c r="I55" s="104">
        <f>SUM(I51:I54)</f>
        <v>1240645.5698700002</v>
      </c>
      <c r="J55" s="79"/>
      <c r="K55" s="79"/>
      <c r="L55" s="79"/>
      <c r="M55" s="104">
        <f>SUM(M51:M54)</f>
        <v>1240645.5698700002</v>
      </c>
      <c r="N55" s="104">
        <f t="shared" si="51"/>
        <v>0</v>
      </c>
      <c r="O55" s="105">
        <f t="shared" ref="O55" si="57">N55-J55</f>
        <v>0</v>
      </c>
    </row>
    <row r="56" spans="1:20" s="90" customFormat="1" ht="26.45" customHeight="1" thickBot="1" x14ac:dyDescent="0.25">
      <c r="A56" s="96">
        <f t="shared" si="1"/>
        <v>50</v>
      </c>
      <c r="C56" s="85"/>
      <c r="D56" s="80" t="s">
        <v>19</v>
      </c>
      <c r="E56" s="80"/>
      <c r="F56" s="80"/>
      <c r="G56" s="106">
        <f>G50+G55</f>
        <v>11296198.310589999</v>
      </c>
      <c r="H56" s="80"/>
      <c r="I56" s="107">
        <f>I55+I50</f>
        <v>11296198.310590001</v>
      </c>
      <c r="J56" s="80"/>
      <c r="K56" s="80"/>
      <c r="L56" s="80"/>
      <c r="M56" s="106">
        <f>M55+M50</f>
        <v>11850914.2144497</v>
      </c>
      <c r="N56" s="106">
        <f t="shared" si="51"/>
        <v>554715.90385969914</v>
      </c>
      <c r="O56" s="108">
        <f>N56/I56</f>
        <v>4.9106424002813592E-2</v>
      </c>
      <c r="P56" s="62"/>
      <c r="Q56" s="62"/>
      <c r="R56" s="62"/>
    </row>
    <row r="57" spans="1:20" ht="13.5" thickTop="1" x14ac:dyDescent="0.2">
      <c r="A57" s="96">
        <f t="shared" si="1"/>
        <v>51</v>
      </c>
      <c r="D57" s="62" t="s">
        <v>18</v>
      </c>
      <c r="E57" s="75">
        <f>E48/E47</f>
        <v>2187.506957302362</v>
      </c>
      <c r="G57" s="109">
        <f>G56/E47</f>
        <v>316.89946447259155</v>
      </c>
      <c r="I57" s="109">
        <f>I56/E47</f>
        <v>316.8994644725916</v>
      </c>
      <c r="M57" s="109">
        <f>M56/E47</f>
        <v>332.46126394124724</v>
      </c>
      <c r="N57" s="109">
        <f t="shared" si="51"/>
        <v>15.561799468655636</v>
      </c>
      <c r="O57" s="76">
        <f>N57/I57</f>
        <v>4.9106424002813565E-2</v>
      </c>
    </row>
    <row r="58" spans="1:20" ht="13.5" thickBot="1" x14ac:dyDescent="0.25">
      <c r="A58" s="96">
        <f t="shared" si="1"/>
        <v>52</v>
      </c>
    </row>
    <row r="59" spans="1:20" x14ac:dyDescent="0.2">
      <c r="A59" s="96">
        <f t="shared" si="1"/>
        <v>53</v>
      </c>
      <c r="B59" s="74" t="s">
        <v>67</v>
      </c>
      <c r="C59" s="97" t="s">
        <v>66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1:20" x14ac:dyDescent="0.2">
      <c r="A60" s="96">
        <f t="shared" si="1"/>
        <v>54</v>
      </c>
      <c r="C60" s="62"/>
      <c r="D60" s="62" t="s">
        <v>17</v>
      </c>
      <c r="E60" s="82">
        <v>572</v>
      </c>
      <c r="F60" s="75">
        <v>41.46</v>
      </c>
      <c r="G60" s="83">
        <f>F60*E60</f>
        <v>23715.119999999999</v>
      </c>
      <c r="H60" s="75">
        <v>41.46</v>
      </c>
      <c r="I60" s="83">
        <f>H60*E60</f>
        <v>23715.119999999999</v>
      </c>
      <c r="J60" s="76">
        <f>I60/I63</f>
        <v>0.13941373988664077</v>
      </c>
      <c r="K60" s="76"/>
      <c r="L60" s="75">
        <f>ROUND(H60*S63,2)</f>
        <v>43.75</v>
      </c>
      <c r="M60" s="83">
        <f>L60*E60</f>
        <v>25025</v>
      </c>
      <c r="N60" s="83">
        <f>M60-I60</f>
        <v>1309.880000000001</v>
      </c>
      <c r="O60" s="76">
        <f>IF(I60=0,0,N60/I60)</f>
        <v>5.52339604438013E-2</v>
      </c>
      <c r="P60" s="76">
        <f>M60/M$63</f>
        <v>0.13942394459579457</v>
      </c>
      <c r="Q60" s="98">
        <f>P60-J60</f>
        <v>1.0204709153804892E-5</v>
      </c>
      <c r="R60" s="98"/>
      <c r="T60" s="76">
        <f>L60/H60-1</f>
        <v>5.5233960443801244E-2</v>
      </c>
    </row>
    <row r="61" spans="1:20" x14ac:dyDescent="0.2">
      <c r="A61" s="96">
        <f t="shared" si="1"/>
        <v>55</v>
      </c>
      <c r="D61" s="62" t="s">
        <v>86</v>
      </c>
      <c r="E61" s="82">
        <v>685031</v>
      </c>
      <c r="F61" s="130">
        <v>0.13003000000000001</v>
      </c>
      <c r="G61" s="83">
        <f t="shared" ref="G61" si="58">F61*E61</f>
        <v>89074.580930000011</v>
      </c>
      <c r="H61" s="130">
        <v>0.14183999999999999</v>
      </c>
      <c r="I61" s="83">
        <f t="shared" ref="I61" si="59">H61*E61</f>
        <v>97164.79703999999</v>
      </c>
      <c r="J61" s="76">
        <f>I61/I63</f>
        <v>0.57120131547606767</v>
      </c>
      <c r="K61" s="76"/>
      <c r="L61" s="130">
        <f>ROUND(H61*S63,5)</f>
        <v>0.14965999999999999</v>
      </c>
      <c r="M61" s="83">
        <f t="shared" ref="M61" si="60">L61*E61</f>
        <v>102521.73946</v>
      </c>
      <c r="N61" s="83">
        <f t="shared" ref="N61" si="61">M61-I61</f>
        <v>5356.9424200000067</v>
      </c>
      <c r="O61" s="76">
        <f t="shared" ref="O61" si="62">IF(I61=0,0,N61/I61)</f>
        <v>5.5132543711223989E-2</v>
      </c>
      <c r="P61" s="76">
        <f t="shared" ref="P61:P62" si="63">M61/M$63</f>
        <v>0.5711882246687523</v>
      </c>
      <c r="Q61" s="98">
        <f t="shared" ref="Q61" si="64">P61-J61</f>
        <v>-1.3090807315374597E-5</v>
      </c>
      <c r="R61" s="98"/>
      <c r="T61" s="76">
        <f>L61/H61-1</f>
        <v>5.513254371122378E-2</v>
      </c>
    </row>
    <row r="62" spans="1:20" x14ac:dyDescent="0.2">
      <c r="A62" s="96">
        <f t="shared" si="1"/>
        <v>56</v>
      </c>
      <c r="D62" s="62" t="s">
        <v>87</v>
      </c>
      <c r="E62" s="82">
        <v>614405</v>
      </c>
      <c r="F62" s="130">
        <v>6.8309999999999996E-2</v>
      </c>
      <c r="G62" s="83">
        <f t="shared" ref="G62" si="65">F62*E62</f>
        <v>41970.005549999994</v>
      </c>
      <c r="H62" s="130">
        <v>8.0119999999999997E-2</v>
      </c>
      <c r="I62" s="83">
        <f t="shared" ref="I62" si="66">H62*E62</f>
        <v>49226.128599999996</v>
      </c>
      <c r="J62" s="76">
        <f>I62/I63</f>
        <v>0.28938494463729164</v>
      </c>
      <c r="K62" s="76"/>
      <c r="L62" s="130">
        <f>ROUND(H62*S63,5)</f>
        <v>8.4540000000000004E-2</v>
      </c>
      <c r="M62" s="83">
        <f t="shared" ref="M62" si="67">L62*E62</f>
        <v>51941.798699999999</v>
      </c>
      <c r="N62" s="83">
        <f t="shared" ref="N62:N70" si="68">M62-I62</f>
        <v>2715.670100000003</v>
      </c>
      <c r="O62" s="76">
        <f t="shared" ref="O62" si="69">IF(I62=0,0,N62/I62)</f>
        <v>5.5167249126310602E-2</v>
      </c>
      <c r="P62" s="76">
        <f t="shared" si="63"/>
        <v>0.28938783073545316</v>
      </c>
      <c r="Q62" s="98">
        <f t="shared" ref="Q62:Q63" si="70">P62-J62</f>
        <v>2.8860981615141945E-6</v>
      </c>
      <c r="R62" s="98"/>
      <c r="T62" s="76">
        <f>L62/H62-1</f>
        <v>5.5167249126310658E-2</v>
      </c>
    </row>
    <row r="63" spans="1:20" s="90" customFormat="1" ht="20.45" customHeight="1" x14ac:dyDescent="0.25">
      <c r="A63" s="96">
        <f t="shared" si="1"/>
        <v>57</v>
      </c>
      <c r="C63" s="85"/>
      <c r="D63" s="86" t="s">
        <v>6</v>
      </c>
      <c r="E63" s="86"/>
      <c r="F63" s="86"/>
      <c r="G63" s="11">
        <f>SUM(G60:G62)</f>
        <v>154759.70647999999</v>
      </c>
      <c r="H63" s="86"/>
      <c r="I63" s="11">
        <f>SUM(I60:I62)</f>
        <v>170106.04563999997</v>
      </c>
      <c r="J63" s="99">
        <f>SUM(J60:J62)</f>
        <v>1</v>
      </c>
      <c r="K63" s="78">
        <f>I63+Summary!I15</f>
        <v>179484.37563999995</v>
      </c>
      <c r="L63" s="86"/>
      <c r="M63" s="11">
        <f>SUM(M60:M62)</f>
        <v>179488.53816</v>
      </c>
      <c r="N63" s="11">
        <f>SUM(N60:N62)</f>
        <v>9382.4925200000107</v>
      </c>
      <c r="O63" s="99">
        <f t="shared" ref="O63" si="71">N63/I63</f>
        <v>5.5156725821823134E-2</v>
      </c>
      <c r="P63" s="99">
        <f>SUM(P60:P62)</f>
        <v>1</v>
      </c>
      <c r="Q63" s="100">
        <f t="shared" si="70"/>
        <v>0</v>
      </c>
      <c r="R63" s="101">
        <f>M63-K63</f>
        <v>4.1625200000416953</v>
      </c>
      <c r="S63" s="90">
        <f>K63/I63</f>
        <v>1.0551322556744844</v>
      </c>
    </row>
    <row r="64" spans="1:20" x14ac:dyDescent="0.2">
      <c r="A64" s="96">
        <f t="shared" si="1"/>
        <v>58</v>
      </c>
      <c r="D64" s="62" t="s">
        <v>26</v>
      </c>
      <c r="G64" s="83">
        <v>16192.320000000002</v>
      </c>
      <c r="I64" s="84">
        <f>G64-($H$185*(E61+E62))</f>
        <v>845.98084000000199</v>
      </c>
      <c r="M64" s="83">
        <f>I64</f>
        <v>845.98084000000199</v>
      </c>
      <c r="N64" s="83">
        <f t="shared" si="68"/>
        <v>0</v>
      </c>
      <c r="O64" s="75">
        <v>0</v>
      </c>
    </row>
    <row r="65" spans="1:20" x14ac:dyDescent="0.2">
      <c r="A65" s="96">
        <f t="shared" si="1"/>
        <v>59</v>
      </c>
      <c r="D65" s="62" t="s">
        <v>27</v>
      </c>
      <c r="G65" s="83">
        <v>21509.089999999997</v>
      </c>
      <c r="I65" s="84">
        <f t="shared" ref="I65:I67" si="72">G65</f>
        <v>21509.089999999997</v>
      </c>
      <c r="M65" s="83">
        <f t="shared" ref="M65:M67" si="73">I65</f>
        <v>21509.089999999997</v>
      </c>
      <c r="N65" s="83">
        <f t="shared" si="68"/>
        <v>0</v>
      </c>
      <c r="O65" s="75">
        <v>0</v>
      </c>
    </row>
    <row r="66" spans="1:20" x14ac:dyDescent="0.2">
      <c r="A66" s="96">
        <f t="shared" si="1"/>
        <v>60</v>
      </c>
      <c r="D66" s="62" t="s">
        <v>30</v>
      </c>
      <c r="G66" s="83">
        <v>0</v>
      </c>
      <c r="I66" s="84">
        <f t="shared" si="72"/>
        <v>0</v>
      </c>
      <c r="M66" s="83">
        <f t="shared" si="73"/>
        <v>0</v>
      </c>
      <c r="N66" s="83">
        <f t="shared" si="68"/>
        <v>0</v>
      </c>
      <c r="O66" s="75">
        <v>0</v>
      </c>
    </row>
    <row r="67" spans="1:20" x14ac:dyDescent="0.2">
      <c r="A67" s="96">
        <f t="shared" si="1"/>
        <v>61</v>
      </c>
      <c r="D67" s="62" t="s">
        <v>65</v>
      </c>
      <c r="G67" s="83">
        <v>0</v>
      </c>
      <c r="I67" s="84">
        <f t="shared" si="72"/>
        <v>0</v>
      </c>
      <c r="M67" s="83">
        <f t="shared" si="73"/>
        <v>0</v>
      </c>
      <c r="N67" s="83"/>
      <c r="O67" s="75"/>
    </row>
    <row r="68" spans="1:20" x14ac:dyDescent="0.2">
      <c r="A68" s="96">
        <f t="shared" si="1"/>
        <v>62</v>
      </c>
      <c r="D68" s="79" t="s">
        <v>8</v>
      </c>
      <c r="E68" s="79"/>
      <c r="F68" s="79"/>
      <c r="G68" s="104">
        <f>SUM(G64:G67)</f>
        <v>37701.409999999996</v>
      </c>
      <c r="H68" s="79"/>
      <c r="I68" s="104">
        <f>SUM(I64:I67)</f>
        <v>22355.07084</v>
      </c>
      <c r="J68" s="79"/>
      <c r="K68" s="79"/>
      <c r="L68" s="79"/>
      <c r="M68" s="104">
        <f>SUM(M64:M67)</f>
        <v>22355.07084</v>
      </c>
      <c r="N68" s="104">
        <f t="shared" si="68"/>
        <v>0</v>
      </c>
      <c r="O68" s="105">
        <f t="shared" ref="O68" si="74">N68-J68</f>
        <v>0</v>
      </c>
    </row>
    <row r="69" spans="1:20" s="90" customFormat="1" ht="26.45" customHeight="1" thickBot="1" x14ac:dyDescent="0.25">
      <c r="A69" s="96">
        <f t="shared" si="1"/>
        <v>63</v>
      </c>
      <c r="C69" s="85"/>
      <c r="D69" s="80" t="s">
        <v>19</v>
      </c>
      <c r="E69" s="80"/>
      <c r="F69" s="80"/>
      <c r="G69" s="106">
        <f>G63+G68</f>
        <v>192461.11648</v>
      </c>
      <c r="H69" s="80"/>
      <c r="I69" s="107">
        <f>I68+I63</f>
        <v>192461.11647999997</v>
      </c>
      <c r="J69" s="80"/>
      <c r="K69" s="80"/>
      <c r="L69" s="80"/>
      <c r="M69" s="106">
        <f>M68+M63</f>
        <v>201843.609</v>
      </c>
      <c r="N69" s="106">
        <f t="shared" si="68"/>
        <v>9382.4925200000289</v>
      </c>
      <c r="O69" s="108">
        <f>N69/I69</f>
        <v>4.8750068022051778E-2</v>
      </c>
      <c r="P69" s="62"/>
      <c r="Q69" s="62"/>
      <c r="R69" s="62"/>
    </row>
    <row r="70" spans="1:20" ht="13.5" thickTop="1" x14ac:dyDescent="0.2">
      <c r="A70" s="96">
        <f t="shared" si="1"/>
        <v>64</v>
      </c>
      <c r="D70" s="62" t="s">
        <v>18</v>
      </c>
      <c r="E70" s="75">
        <f>(E61+E62)/E60</f>
        <v>2271.7412587412587</v>
      </c>
      <c r="G70" s="109">
        <f>G69/E60</f>
        <v>336.47048335664334</v>
      </c>
      <c r="I70" s="109">
        <f>I69/E60</f>
        <v>336.47048335664329</v>
      </c>
      <c r="M70" s="109">
        <f>M69/E60</f>
        <v>352.8734423076923</v>
      </c>
      <c r="N70" s="109">
        <f t="shared" si="68"/>
        <v>16.402958951049015</v>
      </c>
      <c r="O70" s="76">
        <f>N70/I70</f>
        <v>4.8750068022051819E-2</v>
      </c>
    </row>
    <row r="71" spans="1:20" ht="13.5" thickBot="1" x14ac:dyDescent="0.25">
      <c r="A71" s="96">
        <f t="shared" si="1"/>
        <v>65</v>
      </c>
    </row>
    <row r="72" spans="1:20" x14ac:dyDescent="0.2">
      <c r="A72" s="96">
        <f t="shared" si="1"/>
        <v>66</v>
      </c>
      <c r="B72" s="74" t="s">
        <v>48</v>
      </c>
      <c r="C72" s="97" t="s">
        <v>49</v>
      </c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</row>
    <row r="73" spans="1:20" x14ac:dyDescent="0.2">
      <c r="A73" s="96">
        <f t="shared" ref="A73:A137" si="75">A72+1</f>
        <v>67</v>
      </c>
      <c r="C73" s="62"/>
      <c r="D73" s="62" t="s">
        <v>17</v>
      </c>
      <c r="E73" s="82">
        <v>744</v>
      </c>
      <c r="F73" s="132">
        <v>57.6</v>
      </c>
      <c r="G73" s="83">
        <f>F73*E73</f>
        <v>42854.400000000001</v>
      </c>
      <c r="H73" s="75">
        <v>57.6</v>
      </c>
      <c r="I73" s="83">
        <f>H73*E73</f>
        <v>42854.400000000001</v>
      </c>
      <c r="J73" s="76">
        <f>I73/I78</f>
        <v>1.2550774260191494E-2</v>
      </c>
      <c r="K73" s="76"/>
      <c r="L73" s="75">
        <f>ROUND(H73*S78,2)</f>
        <v>60.78</v>
      </c>
      <c r="M73" s="83">
        <f>L73*E73</f>
        <v>45220.32</v>
      </c>
      <c r="N73" s="83">
        <f>M73-I73</f>
        <v>2365.9199999999983</v>
      </c>
      <c r="O73" s="76">
        <f>IF(I73=0,0,N73/I73)</f>
        <v>5.520833333333329E-2</v>
      </c>
      <c r="P73" s="76">
        <f>M73/M$78</f>
        <v>1.2550522291606343E-2</v>
      </c>
      <c r="Q73" s="98">
        <f>P73-J73</f>
        <v>-2.5196858515104392E-7</v>
      </c>
      <c r="R73" s="98"/>
      <c r="T73" s="76">
        <f>L73/H73-1</f>
        <v>5.5208333333333304E-2</v>
      </c>
    </row>
    <row r="74" spans="1:20" x14ac:dyDescent="0.2">
      <c r="A74" s="96">
        <f t="shared" si="75"/>
        <v>68</v>
      </c>
      <c r="D74" s="62" t="s">
        <v>82</v>
      </c>
      <c r="E74" s="82">
        <v>30365404</v>
      </c>
      <c r="F74" s="130">
        <v>5.3879999999999997E-2</v>
      </c>
      <c r="G74" s="83">
        <f t="shared" ref="G74" si="76">F74*E74</f>
        <v>1636087.9675199999</v>
      </c>
      <c r="H74" s="130">
        <v>6.5689999999999998E-2</v>
      </c>
      <c r="I74" s="83">
        <f t="shared" ref="I74" si="77">H74*E74</f>
        <v>1994703.38876</v>
      </c>
      <c r="J74" s="76">
        <f>I74/I78</f>
        <v>0.58418906689548222</v>
      </c>
      <c r="K74" s="76"/>
      <c r="L74" s="130">
        <f>ROUND(H74*S78,5)</f>
        <v>6.9309999999999997E-2</v>
      </c>
      <c r="M74" s="83">
        <f t="shared" ref="M74" si="78">L74*E74</f>
        <v>2104626.15124</v>
      </c>
      <c r="N74" s="83">
        <f t="shared" ref="N74" si="79">M74-I74</f>
        <v>109922.76248000003</v>
      </c>
      <c r="O74" s="76">
        <f t="shared" ref="O74" si="80">IF(I74=0,0,N74/I74)</f>
        <v>5.5107322271274184E-2</v>
      </c>
      <c r="P74" s="76">
        <f t="shared" ref="P74:P77" si="81">M74/M$78</f>
        <v>0.58412141768645787</v>
      </c>
      <c r="Q74" s="98">
        <f t="shared" ref="Q74" si="82">P74-J74</f>
        <v>-6.7649209024356338E-5</v>
      </c>
      <c r="R74" s="98"/>
      <c r="T74" s="76">
        <f>L74/H74-1</f>
        <v>5.5107322271274128E-2</v>
      </c>
    </row>
    <row r="75" spans="1:20" x14ac:dyDescent="0.2">
      <c r="A75" s="96">
        <f t="shared" si="75"/>
        <v>69</v>
      </c>
      <c r="D75" s="62" t="s">
        <v>68</v>
      </c>
      <c r="E75" s="82">
        <v>6290820</v>
      </c>
      <c r="F75" s="131">
        <f>F74*0.95</f>
        <v>5.1185999999999995E-2</v>
      </c>
      <c r="G75" s="83">
        <f t="shared" ref="G75" si="83">F75*E75</f>
        <v>322001.91251999995</v>
      </c>
      <c r="H75" s="130">
        <f>H74*0.95</f>
        <v>6.2405499999999996E-2</v>
      </c>
      <c r="I75" s="83">
        <f t="shared" ref="I75" si="84">H75*E75</f>
        <v>392581.76750999998</v>
      </c>
      <c r="J75" s="76">
        <f>I75/I78</f>
        <v>0.11497547842660237</v>
      </c>
      <c r="K75" s="76"/>
      <c r="L75" s="130">
        <f>ROUND(L74*0.95,5)</f>
        <v>6.5839999999999996E-2</v>
      </c>
      <c r="M75" s="83">
        <f t="shared" ref="M75" si="85">L75*E75</f>
        <v>414187.58879999997</v>
      </c>
      <c r="N75" s="83">
        <f t="shared" ref="N75:N81" si="86">M75-I75</f>
        <v>21605.821289999993</v>
      </c>
      <c r="O75" s="76">
        <f t="shared" ref="O75:O77" si="87">IF(I75=0,0,N75/I75)</f>
        <v>5.5035213242422526E-2</v>
      </c>
      <c r="P75" s="76">
        <f t="shared" si="81"/>
        <v>0.11495430740297904</v>
      </c>
      <c r="Q75" s="98">
        <f t="shared" ref="Q75:Q78" si="88">P75-J75</f>
        <v>-2.1171023623325902E-5</v>
      </c>
      <c r="R75" s="98"/>
      <c r="T75" s="76">
        <f>L75/H75-1</f>
        <v>5.5035213242422554E-2</v>
      </c>
    </row>
    <row r="76" spans="1:20" x14ac:dyDescent="0.2">
      <c r="A76" s="96">
        <f t="shared" si="75"/>
        <v>70</v>
      </c>
      <c r="D76" s="62" t="s">
        <v>89</v>
      </c>
      <c r="E76" s="82">
        <v>112119.67999999999</v>
      </c>
      <c r="F76" s="75">
        <v>8.64</v>
      </c>
      <c r="G76" s="83">
        <f t="shared" ref="G76:G77" si="89">F76*E76</f>
        <v>968714.03520000004</v>
      </c>
      <c r="H76" s="75">
        <v>8.64</v>
      </c>
      <c r="I76" s="83">
        <f t="shared" ref="I76" si="90">H76*E76</f>
        <v>968714.03520000004</v>
      </c>
      <c r="J76" s="76">
        <f>I76/I78</f>
        <v>0.283707418105828</v>
      </c>
      <c r="K76" s="76"/>
      <c r="L76" s="75">
        <f>ROUND(H76*S78,2)</f>
        <v>9.1199999999999992</v>
      </c>
      <c r="M76" s="83">
        <f t="shared" ref="M76" si="91">L76*E76</f>
        <v>1022531.4815999998</v>
      </c>
      <c r="N76" s="83">
        <f t="shared" ref="N76" si="92">M76-I76</f>
        <v>53817.446399999782</v>
      </c>
      <c r="O76" s="76">
        <f t="shared" ref="O76" si="93">IF(I76=0,0,N76/I76)</f>
        <v>5.555555555555533E-2</v>
      </c>
      <c r="P76" s="76">
        <f t="shared" si="81"/>
        <v>0.28379507605629634</v>
      </c>
      <c r="Q76" s="98">
        <f t="shared" ref="Q76" si="94">P76-J76</f>
        <v>8.7657950468333912E-5</v>
      </c>
      <c r="R76" s="98"/>
      <c r="T76" s="76">
        <f>L76/H76-1</f>
        <v>5.5555555555555358E-2</v>
      </c>
    </row>
    <row r="77" spans="1:20" x14ac:dyDescent="0.2">
      <c r="A77" s="96">
        <f t="shared" si="75"/>
        <v>71</v>
      </c>
      <c r="D77" s="62" t="s">
        <v>69</v>
      </c>
      <c r="E77" s="82">
        <v>1808.91</v>
      </c>
      <c r="F77" s="75">
        <f>F76</f>
        <v>8.64</v>
      </c>
      <c r="G77" s="83">
        <f t="shared" si="89"/>
        <v>15628.982400000003</v>
      </c>
      <c r="H77" s="75">
        <f>H76</f>
        <v>8.64</v>
      </c>
      <c r="I77" s="83">
        <f>G77</f>
        <v>15628.982400000003</v>
      </c>
      <c r="J77" s="76">
        <f>I77/I78</f>
        <v>4.5772623118957656E-3</v>
      </c>
      <c r="K77" s="76"/>
      <c r="L77" s="75">
        <f>L76</f>
        <v>9.1199999999999992</v>
      </c>
      <c r="M77" s="83">
        <f>L77*E77</f>
        <v>16497.2592</v>
      </c>
      <c r="N77" s="83">
        <f t="shared" si="86"/>
        <v>868.27679999999782</v>
      </c>
      <c r="O77" s="76">
        <f t="shared" si="87"/>
        <v>5.5555555555555407E-2</v>
      </c>
      <c r="P77" s="76">
        <f t="shared" si="81"/>
        <v>4.5786765626604992E-3</v>
      </c>
      <c r="Q77" s="98">
        <f t="shared" si="88"/>
        <v>1.41425076473356E-6</v>
      </c>
      <c r="R77" s="98"/>
      <c r="T77" s="76">
        <f>L77/H77-1</f>
        <v>5.5555555555555358E-2</v>
      </c>
    </row>
    <row r="78" spans="1:20" s="90" customFormat="1" ht="20.45" customHeight="1" x14ac:dyDescent="0.25">
      <c r="A78" s="96">
        <f t="shared" si="75"/>
        <v>72</v>
      </c>
      <c r="C78" s="85"/>
      <c r="D78" s="86" t="s">
        <v>6</v>
      </c>
      <c r="E78" s="86"/>
      <c r="F78" s="86"/>
      <c r="G78" s="11">
        <f>SUM(G73:G77)</f>
        <v>2985287.29764</v>
      </c>
      <c r="H78" s="86"/>
      <c r="I78" s="11">
        <f>SUM(I73:I77)</f>
        <v>3414482.5738700004</v>
      </c>
      <c r="J78" s="99">
        <f>SUM(J73:J77)</f>
        <v>0.99999999999999989</v>
      </c>
      <c r="K78" s="78">
        <f>I78+Summary!I16</f>
        <v>3602730.6538700005</v>
      </c>
      <c r="L78" s="86"/>
      <c r="M78" s="11">
        <f>SUM(M73:M77)</f>
        <v>3603062.8008399997</v>
      </c>
      <c r="N78" s="11">
        <f>SUM(N73:N77)</f>
        <v>188580.22696999979</v>
      </c>
      <c r="O78" s="99">
        <f t="shared" ref="O78" si="95">N78/I78</f>
        <v>5.5229518057332339E-2</v>
      </c>
      <c r="P78" s="99">
        <f>SUM(P73:P77)</f>
        <v>1.0000000000000002</v>
      </c>
      <c r="Q78" s="100">
        <f t="shared" si="88"/>
        <v>0</v>
      </c>
      <c r="R78" s="101">
        <f>M78-K78</f>
        <v>332.14696999918669</v>
      </c>
      <c r="S78" s="90">
        <f>K78/I78</f>
        <v>1.0551322421267004</v>
      </c>
    </row>
    <row r="79" spans="1:20" x14ac:dyDescent="0.2">
      <c r="A79" s="96">
        <f t="shared" si="75"/>
        <v>73</v>
      </c>
      <c r="D79" s="62" t="s">
        <v>26</v>
      </c>
      <c r="G79" s="83">
        <v>448147.21</v>
      </c>
      <c r="I79" s="84">
        <f>G79-($H$185*(E74+E75))</f>
        <v>15237.204560000042</v>
      </c>
      <c r="M79" s="83">
        <f>I79</f>
        <v>15237.204560000042</v>
      </c>
      <c r="N79" s="83">
        <f t="shared" si="86"/>
        <v>0</v>
      </c>
      <c r="O79" s="75">
        <v>0</v>
      </c>
    </row>
    <row r="80" spans="1:20" x14ac:dyDescent="0.2">
      <c r="A80" s="96">
        <f t="shared" si="75"/>
        <v>74</v>
      </c>
      <c r="D80" s="62" t="s">
        <v>27</v>
      </c>
      <c r="G80" s="83">
        <v>426056.23000000004</v>
      </c>
      <c r="I80" s="84">
        <f t="shared" ref="I80:I82" si="96">G80</f>
        <v>426056.23000000004</v>
      </c>
      <c r="M80" s="83">
        <f t="shared" ref="M80:M82" si="97">I80</f>
        <v>426056.23000000004</v>
      </c>
      <c r="N80" s="83">
        <f t="shared" si="86"/>
        <v>0</v>
      </c>
      <c r="O80" s="75">
        <v>0</v>
      </c>
    </row>
    <row r="81" spans="1:20" x14ac:dyDescent="0.2">
      <c r="A81" s="96">
        <f t="shared" si="75"/>
        <v>75</v>
      </c>
      <c r="D81" s="62" t="s">
        <v>30</v>
      </c>
      <c r="G81" s="83">
        <v>0</v>
      </c>
      <c r="I81" s="84">
        <f t="shared" si="96"/>
        <v>0</v>
      </c>
      <c r="M81" s="83">
        <f t="shared" si="97"/>
        <v>0</v>
      </c>
      <c r="N81" s="83">
        <f t="shared" si="86"/>
        <v>0</v>
      </c>
      <c r="O81" s="75">
        <v>0</v>
      </c>
    </row>
    <row r="82" spans="1:20" x14ac:dyDescent="0.2">
      <c r="A82" s="96">
        <f t="shared" si="75"/>
        <v>76</v>
      </c>
      <c r="D82" s="62" t="s">
        <v>65</v>
      </c>
      <c r="G82" s="83">
        <v>0</v>
      </c>
      <c r="I82" s="84">
        <f t="shared" si="96"/>
        <v>0</v>
      </c>
      <c r="M82" s="83">
        <f t="shared" si="97"/>
        <v>0</v>
      </c>
      <c r="N82" s="83"/>
      <c r="O82" s="75"/>
    </row>
    <row r="83" spans="1:20" x14ac:dyDescent="0.2">
      <c r="A83" s="96">
        <f t="shared" si="75"/>
        <v>77</v>
      </c>
      <c r="D83" s="79" t="s">
        <v>8</v>
      </c>
      <c r="E83" s="79"/>
      <c r="F83" s="79"/>
      <c r="G83" s="104">
        <f>SUM(G79:G82)</f>
        <v>874203.44000000006</v>
      </c>
      <c r="H83" s="79"/>
      <c r="I83" s="104">
        <f>SUM(I79:I82)</f>
        <v>441293.43456000008</v>
      </c>
      <c r="J83" s="79"/>
      <c r="K83" s="79"/>
      <c r="L83" s="79"/>
      <c r="M83" s="104">
        <f>SUM(M79:M82)</f>
        <v>441293.43456000008</v>
      </c>
      <c r="N83" s="104">
        <f t="shared" ref="N83:N85" si="98">M83-I83</f>
        <v>0</v>
      </c>
      <c r="O83" s="105">
        <f t="shared" ref="O83" si="99">N83-J83</f>
        <v>0</v>
      </c>
    </row>
    <row r="84" spans="1:20" s="90" customFormat="1" ht="26.45" customHeight="1" thickBot="1" x14ac:dyDescent="0.25">
      <c r="A84" s="96">
        <f t="shared" si="75"/>
        <v>78</v>
      </c>
      <c r="C84" s="85"/>
      <c r="D84" s="80" t="s">
        <v>19</v>
      </c>
      <c r="E84" s="80"/>
      <c r="F84" s="80"/>
      <c r="G84" s="106">
        <f>G78+G83</f>
        <v>3859490.7376399999</v>
      </c>
      <c r="H84" s="80"/>
      <c r="I84" s="107">
        <f>I83+I78</f>
        <v>3855776.0084300004</v>
      </c>
      <c r="J84" s="80"/>
      <c r="K84" s="80"/>
      <c r="L84" s="80"/>
      <c r="M84" s="106">
        <f>M83+M78</f>
        <v>4044356.2353999997</v>
      </c>
      <c r="N84" s="106">
        <f t="shared" si="98"/>
        <v>188580.22696999926</v>
      </c>
      <c r="O84" s="108">
        <f>N84/I84</f>
        <v>4.890850157210911E-2</v>
      </c>
      <c r="P84" s="62"/>
      <c r="Q84" s="62"/>
      <c r="R84" s="62"/>
    </row>
    <row r="85" spans="1:20" ht="13.5" thickTop="1" x14ac:dyDescent="0.2">
      <c r="A85" s="96">
        <f t="shared" si="75"/>
        <v>79</v>
      </c>
      <c r="D85" s="62" t="s">
        <v>18</v>
      </c>
      <c r="E85" s="75">
        <f>(E74+E75)/E73</f>
        <v>49269.118279569891</v>
      </c>
      <c r="G85" s="109">
        <f>G84/E73</f>
        <v>5187.4875505913978</v>
      </c>
      <c r="I85" s="109">
        <f>I84/E73</f>
        <v>5182.4946349865595</v>
      </c>
      <c r="M85" s="109">
        <f>M84/E73</f>
        <v>5435.9626819892464</v>
      </c>
      <c r="N85" s="109">
        <f t="shared" si="98"/>
        <v>253.46804700268694</v>
      </c>
      <c r="O85" s="76">
        <f>N85/I85</f>
        <v>4.8908501572109069E-2</v>
      </c>
    </row>
    <row r="86" spans="1:20" ht="13.5" thickBot="1" x14ac:dyDescent="0.25">
      <c r="A86" s="96">
        <f t="shared" si="75"/>
        <v>80</v>
      </c>
    </row>
    <row r="87" spans="1:20" x14ac:dyDescent="0.2">
      <c r="A87" s="96">
        <f t="shared" si="75"/>
        <v>81</v>
      </c>
      <c r="B87" s="74" t="s">
        <v>70</v>
      </c>
      <c r="C87" s="97" t="s">
        <v>50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</row>
    <row r="88" spans="1:20" x14ac:dyDescent="0.2">
      <c r="A88" s="96">
        <f t="shared" si="75"/>
        <v>82</v>
      </c>
      <c r="C88" s="62"/>
      <c r="D88" s="62" t="s">
        <v>17</v>
      </c>
      <c r="E88" s="82">
        <v>342</v>
      </c>
      <c r="F88" s="132">
        <v>115.2</v>
      </c>
      <c r="G88" s="83">
        <f>F88*E88</f>
        <v>39398.400000000001</v>
      </c>
      <c r="H88" s="75">
        <v>115.2</v>
      </c>
      <c r="I88" s="83">
        <f>H88*E88</f>
        <v>39398.400000000001</v>
      </c>
      <c r="J88" s="76">
        <f>I88/I92</f>
        <v>4.4754344831313209E-3</v>
      </c>
      <c r="K88" s="76"/>
      <c r="L88" s="75">
        <f>ROUND(H88*S92,2)</f>
        <v>121.55</v>
      </c>
      <c r="M88" s="83">
        <f>L88*E88</f>
        <v>41570.1</v>
      </c>
      <c r="N88" s="83">
        <f>M88-I88</f>
        <v>2171.6999999999971</v>
      </c>
      <c r="O88" s="76">
        <f>IF(I88=0,0,N88/I88)</f>
        <v>5.51215277777777E-2</v>
      </c>
      <c r="P88" s="76">
        <f>M88/M$92</f>
        <v>4.4749387544295817E-3</v>
      </c>
      <c r="Q88" s="98">
        <f>P88-J88</f>
        <v>-4.95728701739237E-7</v>
      </c>
      <c r="R88" s="98"/>
      <c r="T88" s="76">
        <f>L88/H88-1</f>
        <v>5.5121527777777679E-2</v>
      </c>
    </row>
    <row r="89" spans="1:20" x14ac:dyDescent="0.2">
      <c r="A89" s="96">
        <f t="shared" si="75"/>
        <v>83</v>
      </c>
      <c r="D89" s="62" t="s">
        <v>82</v>
      </c>
      <c r="E89" s="82">
        <v>23102616</v>
      </c>
      <c r="F89" s="130">
        <v>4.7509999999999997E-2</v>
      </c>
      <c r="G89" s="83">
        <f t="shared" ref="G89" si="100">F89*E89</f>
        <v>1097605.2861599999</v>
      </c>
      <c r="H89" s="130">
        <v>5.9319999999999998E-2</v>
      </c>
      <c r="I89" s="83">
        <f t="shared" ref="I89" si="101">H89*E89</f>
        <v>1370447.1811199998</v>
      </c>
      <c r="J89" s="76">
        <f>I89/I92</f>
        <v>0.15567501654114285</v>
      </c>
      <c r="K89" s="76"/>
      <c r="L89" s="130">
        <f>ROUND(H89*S92,5)</f>
        <v>6.2590000000000007E-2</v>
      </c>
      <c r="M89" s="83">
        <f t="shared" ref="M89" si="102">L89*E89</f>
        <v>1445992.7354400002</v>
      </c>
      <c r="N89" s="83">
        <f t="shared" ref="N89" si="103">M89-I89</f>
        <v>75545.554320000345</v>
      </c>
      <c r="O89" s="76">
        <f t="shared" ref="O89" si="104">IF(I89=0,0,N89/I89)</f>
        <v>5.5124747134187718E-2</v>
      </c>
      <c r="P89" s="76">
        <f>M89/M$92</f>
        <v>0.15565824788595886</v>
      </c>
      <c r="Q89" s="98">
        <f t="shared" ref="Q89" si="105">P89-J89</f>
        <v>-1.6768655183990733E-5</v>
      </c>
      <c r="R89" s="98"/>
      <c r="T89" s="76">
        <f>L89/H89-1</f>
        <v>5.5124747134187579E-2</v>
      </c>
    </row>
    <row r="90" spans="1:20" x14ac:dyDescent="0.2">
      <c r="A90" s="96">
        <f t="shared" si="75"/>
        <v>84</v>
      </c>
      <c r="D90" s="62" t="s">
        <v>68</v>
      </c>
      <c r="E90" s="82">
        <v>88159141</v>
      </c>
      <c r="F90" s="130">
        <f>F89*0.95</f>
        <v>4.5134499999999994E-2</v>
      </c>
      <c r="G90" s="83">
        <f t="shared" ref="G90:G91" si="106">F90*E90</f>
        <v>3979018.7494644993</v>
      </c>
      <c r="H90" s="130">
        <f>ROUND(H89*0.95,6)</f>
        <v>5.6354000000000001E-2</v>
      </c>
      <c r="I90" s="83">
        <f t="shared" ref="I90:I91" si="107">H90*E90</f>
        <v>4968120.2319139997</v>
      </c>
      <c r="J90" s="76">
        <f>I90/I92</f>
        <v>0.56435024270656398</v>
      </c>
      <c r="K90" s="76"/>
      <c r="L90" s="130">
        <f>ROUND(L89*0.95,5)</f>
        <v>5.9459999999999999E-2</v>
      </c>
      <c r="M90" s="83">
        <f t="shared" ref="M90:M91" si="108">L90*E90</f>
        <v>5241942.5238600001</v>
      </c>
      <c r="N90" s="83">
        <f t="shared" ref="N90:N99" si="109">M90-I90</f>
        <v>273822.29194600042</v>
      </c>
      <c r="O90" s="76">
        <f t="shared" ref="O90:O91" si="110">IF(I90=0,0,N90/I90)</f>
        <v>5.5115874649536947E-2</v>
      </c>
      <c r="P90" s="76">
        <f>M90/M$92</f>
        <v>0.56428470820405841</v>
      </c>
      <c r="Q90" s="98">
        <f t="shared" ref="Q90:Q92" si="111">P90-J90</f>
        <v>-6.5534502505570913E-5</v>
      </c>
      <c r="R90" s="98"/>
      <c r="T90" s="76">
        <f>L90/H90-1</f>
        <v>5.5115874649536822E-2</v>
      </c>
    </row>
    <row r="91" spans="1:20" x14ac:dyDescent="0.2">
      <c r="A91" s="96">
        <f t="shared" si="75"/>
        <v>85</v>
      </c>
      <c r="D91" s="62" t="s">
        <v>89</v>
      </c>
      <c r="E91" s="82">
        <v>280705</v>
      </c>
      <c r="F91" s="75">
        <v>8.64</v>
      </c>
      <c r="G91" s="83">
        <f t="shared" si="106"/>
        <v>2425291.2000000002</v>
      </c>
      <c r="H91" s="75">
        <v>8.64</v>
      </c>
      <c r="I91" s="83">
        <f t="shared" si="107"/>
        <v>2425291.2000000002</v>
      </c>
      <c r="J91" s="76">
        <f>I91/I92</f>
        <v>0.27549930626916175</v>
      </c>
      <c r="K91" s="76"/>
      <c r="L91" s="75">
        <f>ROUND(H91*S92,2)</f>
        <v>9.1199999999999992</v>
      </c>
      <c r="M91" s="83">
        <f t="shared" si="108"/>
        <v>2560029.5999999996</v>
      </c>
      <c r="N91" s="83">
        <f t="shared" si="109"/>
        <v>134738.39999999944</v>
      </c>
      <c r="O91" s="76">
        <f t="shared" si="110"/>
        <v>5.5555555555555323E-2</v>
      </c>
      <c r="P91" s="76">
        <f>M91/M$92</f>
        <v>0.27558210515555315</v>
      </c>
      <c r="Q91" s="98">
        <f t="shared" si="111"/>
        <v>8.2798886391399762E-5</v>
      </c>
      <c r="R91" s="98"/>
      <c r="T91" s="76">
        <f>L91/H91-1</f>
        <v>5.5555555555555358E-2</v>
      </c>
    </row>
    <row r="92" spans="1:20" s="90" customFormat="1" ht="20.45" customHeight="1" x14ac:dyDescent="0.25">
      <c r="A92" s="96">
        <f t="shared" si="75"/>
        <v>86</v>
      </c>
      <c r="C92" s="85"/>
      <c r="D92" s="86" t="s">
        <v>6</v>
      </c>
      <c r="E92" s="86"/>
      <c r="F92" s="86"/>
      <c r="G92" s="11">
        <f>SUM(G88:G91)</f>
        <v>7541313.6356244991</v>
      </c>
      <c r="H92" s="86"/>
      <c r="I92" s="11">
        <f>SUM(I88:I91)</f>
        <v>8803257.013034001</v>
      </c>
      <c r="J92" s="99">
        <f>SUM(J88:J91)</f>
        <v>0.99999999999999989</v>
      </c>
      <c r="K92" s="78">
        <f>I92+Summary!I17</f>
        <v>9288600.3030340001</v>
      </c>
      <c r="L92" s="86"/>
      <c r="M92" s="11">
        <f>SUM(M88:M91)</f>
        <v>9289534.9593000002</v>
      </c>
      <c r="N92" s="11">
        <f>SUM(N88:N91)</f>
        <v>486277.94626600022</v>
      </c>
      <c r="O92" s="99">
        <f t="shared" ref="O92" si="112">N92/I92</f>
        <v>5.5238412958524635E-2</v>
      </c>
      <c r="P92" s="99">
        <f>SUM(P88:P91)</f>
        <v>1</v>
      </c>
      <c r="Q92" s="100">
        <f t="shared" si="111"/>
        <v>0</v>
      </c>
      <c r="R92" s="101">
        <f>M92-K92</f>
        <v>934.65626600012183</v>
      </c>
      <c r="S92" s="90">
        <f>K92/I92</f>
        <v>1.0551322413149367</v>
      </c>
    </row>
    <row r="93" spans="1:20" x14ac:dyDescent="0.2">
      <c r="A93" s="96">
        <f t="shared" si="75"/>
        <v>87</v>
      </c>
      <c r="D93" s="62" t="s">
        <v>26</v>
      </c>
      <c r="G93" s="83">
        <v>1296574.68</v>
      </c>
      <c r="I93" s="84">
        <f>G93-($H$185*(E90+E89))</f>
        <v>-17426.670170000056</v>
      </c>
      <c r="M93" s="83">
        <f>I93</f>
        <v>-17426.670170000056</v>
      </c>
      <c r="N93" s="83">
        <f t="shared" si="109"/>
        <v>0</v>
      </c>
      <c r="O93" s="75">
        <v>0</v>
      </c>
    </row>
    <row r="94" spans="1:20" x14ac:dyDescent="0.2">
      <c r="A94" s="96">
        <f t="shared" si="75"/>
        <v>88</v>
      </c>
      <c r="D94" s="62" t="s">
        <v>27</v>
      </c>
      <c r="G94" s="83">
        <v>1068543.3500000001</v>
      </c>
      <c r="I94" s="84">
        <f t="shared" ref="I94:I96" si="113">G94</f>
        <v>1068543.3500000001</v>
      </c>
      <c r="M94" s="83">
        <f t="shared" ref="M94:M96" si="114">I94</f>
        <v>1068543.3500000001</v>
      </c>
      <c r="N94" s="83">
        <f t="shared" si="109"/>
        <v>0</v>
      </c>
      <c r="O94" s="75">
        <v>0</v>
      </c>
    </row>
    <row r="95" spans="1:20" x14ac:dyDescent="0.2">
      <c r="A95" s="96">
        <f t="shared" si="75"/>
        <v>89</v>
      </c>
      <c r="D95" s="62" t="s">
        <v>115</v>
      </c>
      <c r="F95" s="75"/>
      <c r="G95" s="83">
        <v>133904.05359999998</v>
      </c>
      <c r="I95" s="84">
        <f t="shared" si="113"/>
        <v>133904.05359999998</v>
      </c>
      <c r="M95" s="83">
        <f t="shared" si="114"/>
        <v>133904.05359999998</v>
      </c>
      <c r="N95" s="83">
        <f t="shared" si="109"/>
        <v>0</v>
      </c>
      <c r="O95" s="75">
        <v>0</v>
      </c>
    </row>
    <row r="96" spans="1:20" x14ac:dyDescent="0.2">
      <c r="A96" s="96">
        <f t="shared" si="75"/>
        <v>90</v>
      </c>
      <c r="D96" s="62" t="s">
        <v>65</v>
      </c>
      <c r="G96" s="83">
        <v>0</v>
      </c>
      <c r="I96" s="84">
        <f t="shared" si="113"/>
        <v>0</v>
      </c>
      <c r="M96" s="83">
        <f t="shared" si="114"/>
        <v>0</v>
      </c>
      <c r="N96" s="83"/>
      <c r="O96" s="75"/>
    </row>
    <row r="97" spans="1:24" x14ac:dyDescent="0.2">
      <c r="A97" s="96">
        <f t="shared" si="75"/>
        <v>91</v>
      </c>
      <c r="D97" s="79" t="s">
        <v>8</v>
      </c>
      <c r="E97" s="79"/>
      <c r="F97" s="79"/>
      <c r="G97" s="104">
        <f>SUM(G93:G96)</f>
        <v>2499022.0836000005</v>
      </c>
      <c r="H97" s="79"/>
      <c r="I97" s="104">
        <f>SUM(I93:I96)</f>
        <v>1185020.73343</v>
      </c>
      <c r="J97" s="79"/>
      <c r="K97" s="79"/>
      <c r="L97" s="79"/>
      <c r="M97" s="104">
        <f>SUM(M93:M96)</f>
        <v>1185020.73343</v>
      </c>
      <c r="N97" s="104">
        <f t="shared" si="109"/>
        <v>0</v>
      </c>
      <c r="O97" s="105">
        <f t="shared" ref="O97" si="115">N97-J97</f>
        <v>0</v>
      </c>
      <c r="U97" s="90"/>
    </row>
    <row r="98" spans="1:24" s="90" customFormat="1" ht="26.45" customHeight="1" thickBot="1" x14ac:dyDescent="0.25">
      <c r="A98" s="96">
        <f t="shared" si="75"/>
        <v>92</v>
      </c>
      <c r="C98" s="85"/>
      <c r="D98" s="80" t="s">
        <v>19</v>
      </c>
      <c r="E98" s="80"/>
      <c r="F98" s="80"/>
      <c r="G98" s="106">
        <f>G92+G97</f>
        <v>10040335.7192245</v>
      </c>
      <c r="H98" s="80"/>
      <c r="I98" s="107">
        <f>I97+I92</f>
        <v>9988277.746464001</v>
      </c>
      <c r="J98" s="80"/>
      <c r="K98" s="80"/>
      <c r="L98" s="80"/>
      <c r="M98" s="106">
        <f>M97+M92</f>
        <v>10474555.69273</v>
      </c>
      <c r="N98" s="106">
        <f t="shared" si="109"/>
        <v>486277.94626599923</v>
      </c>
      <c r="O98" s="108">
        <f>N98/I98</f>
        <v>4.8684864258820681E-2</v>
      </c>
      <c r="P98" s="62"/>
      <c r="Q98" s="62"/>
      <c r="R98" s="62"/>
    </row>
    <row r="99" spans="1:24" ht="13.5" thickTop="1" x14ac:dyDescent="0.2">
      <c r="A99" s="96">
        <f t="shared" si="75"/>
        <v>93</v>
      </c>
      <c r="D99" s="62" t="s">
        <v>18</v>
      </c>
      <c r="E99" s="75">
        <f>(E89+E90)/E88</f>
        <v>325326.77485380118</v>
      </c>
      <c r="G99" s="109">
        <f>G98/E88</f>
        <v>29357.706781358185</v>
      </c>
      <c r="I99" s="109">
        <f>I98/E88</f>
        <v>29205.490486736846</v>
      </c>
      <c r="M99" s="109">
        <f>M98/E88</f>
        <v>30627.355826695908</v>
      </c>
      <c r="N99" s="109">
        <f t="shared" si="109"/>
        <v>1421.8653399590621</v>
      </c>
      <c r="O99" s="76">
        <f>N99/I99</f>
        <v>4.8684864258820681E-2</v>
      </c>
    </row>
    <row r="100" spans="1:24" ht="13.5" thickBot="1" x14ac:dyDescent="0.25">
      <c r="A100" s="96">
        <f t="shared" si="75"/>
        <v>94</v>
      </c>
    </row>
    <row r="101" spans="1:24" x14ac:dyDescent="0.2">
      <c r="A101" s="96">
        <f t="shared" si="75"/>
        <v>95</v>
      </c>
      <c r="B101" s="74" t="s">
        <v>75</v>
      </c>
      <c r="C101" s="97" t="s">
        <v>52</v>
      </c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</row>
    <row r="102" spans="1:24" x14ac:dyDescent="0.2">
      <c r="A102" s="96">
        <f t="shared" si="75"/>
        <v>96</v>
      </c>
      <c r="C102" s="62"/>
      <c r="D102" s="62" t="s">
        <v>17</v>
      </c>
      <c r="E102" s="82">
        <v>28</v>
      </c>
      <c r="F102" s="62">
        <v>1150.8599999999999</v>
      </c>
      <c r="G102" s="83">
        <f>F102*E102</f>
        <v>32224.079999999998</v>
      </c>
      <c r="H102" s="75">
        <v>1150.8599999999999</v>
      </c>
      <c r="I102" s="83">
        <f>H102*E102</f>
        <v>32224.079999999998</v>
      </c>
      <c r="J102" s="76">
        <f>IF(I$107=0,0,I102/I$107)</f>
        <v>8.4602468136484744E-3</v>
      </c>
      <c r="K102" s="76"/>
      <c r="L102" s="75">
        <f>ROUND(H102*S107,2)</f>
        <v>1249.1099999999999</v>
      </c>
      <c r="M102" s="83">
        <f>L102*E102</f>
        <v>34975.079999999994</v>
      </c>
      <c r="N102" s="83">
        <f>M102-I102</f>
        <v>2750.9999999999964</v>
      </c>
      <c r="O102" s="76">
        <f>IF(I102=0,0,N102/I102)</f>
        <v>8.5370939992700998E-2</v>
      </c>
      <c r="P102" s="76">
        <f>M102/M$107</f>
        <v>8.4403938524701492E-3</v>
      </c>
      <c r="Q102" s="98">
        <f>P102-J102</f>
        <v>-1.985296117832519E-5</v>
      </c>
      <c r="R102" s="98"/>
      <c r="S102" s="110"/>
      <c r="T102" s="76">
        <f t="shared" ref="T102:T106" si="116">L102/H102-1</f>
        <v>8.5370939992701178E-2</v>
      </c>
    </row>
    <row r="103" spans="1:24" x14ac:dyDescent="0.2">
      <c r="A103" s="96">
        <f t="shared" si="75"/>
        <v>97</v>
      </c>
      <c r="D103" s="62" t="s">
        <v>82</v>
      </c>
      <c r="E103" s="82">
        <v>48504996</v>
      </c>
      <c r="F103" s="130">
        <v>4.5650000000000003E-2</v>
      </c>
      <c r="G103" s="83">
        <f t="shared" ref="G103:G106" si="117">F103*E103</f>
        <v>2214253.0674000001</v>
      </c>
      <c r="H103" s="130">
        <v>5.9859999999999997E-2</v>
      </c>
      <c r="I103" s="83">
        <f t="shared" ref="I103:I106" si="118">H103*E103</f>
        <v>2903509.0605599997</v>
      </c>
      <c r="J103" s="76">
        <f t="shared" ref="J103:J106" si="119">IF(I$107=0,0,I103/I$107)</f>
        <v>0.76229959949212556</v>
      </c>
      <c r="K103" s="76"/>
      <c r="L103" s="77">
        <f>ROUND(H103*S$122,5)</f>
        <v>6.497E-2</v>
      </c>
      <c r="M103" s="83">
        <f t="shared" ref="M103:M106" si="120">L103*E103</f>
        <v>3151369.5901199998</v>
      </c>
      <c r="N103" s="83">
        <f t="shared" ref="N103:N106" si="121">M103-I103</f>
        <v>247860.52956000017</v>
      </c>
      <c r="O103" s="76">
        <f t="shared" ref="O103:O106" si="122">IF(I103=0,0,N103/I103)</f>
        <v>8.5365853658536647E-2</v>
      </c>
      <c r="P103" s="76">
        <f t="shared" ref="P103:P106" si="123">M103/M$107</f>
        <v>0.7605072101424849</v>
      </c>
      <c r="Q103" s="98">
        <f t="shared" ref="Q103:Q106" si="124">P103-J103</f>
        <v>-1.7923893496406551E-3</v>
      </c>
      <c r="R103" s="98"/>
      <c r="S103" s="110"/>
      <c r="T103" s="76">
        <f t="shared" si="116"/>
        <v>8.5365853658536661E-2</v>
      </c>
    </row>
    <row r="104" spans="1:24" x14ac:dyDescent="0.2">
      <c r="A104" s="96">
        <f t="shared" si="75"/>
        <v>98</v>
      </c>
      <c r="B104" s="75"/>
      <c r="D104" s="62" t="s">
        <v>92</v>
      </c>
      <c r="E104" s="82">
        <v>20982.51</v>
      </c>
      <c r="F104" s="75">
        <v>-5.6</v>
      </c>
      <c r="G104" s="83">
        <f t="shared" si="117"/>
        <v>-117502.05599999998</v>
      </c>
      <c r="H104" s="75">
        <v>-5.6</v>
      </c>
      <c r="I104" s="83">
        <f t="shared" si="118"/>
        <v>-117502.05599999998</v>
      </c>
      <c r="J104" s="76">
        <f t="shared" si="119"/>
        <v>-3.0849488794440199E-2</v>
      </c>
      <c r="K104" s="76"/>
      <c r="L104" s="75">
        <f>H104</f>
        <v>-5.6</v>
      </c>
      <c r="M104" s="83">
        <f t="shared" si="120"/>
        <v>-117502.05599999998</v>
      </c>
      <c r="N104" s="83">
        <f t="shared" si="121"/>
        <v>0</v>
      </c>
      <c r="O104" s="76">
        <f t="shared" si="122"/>
        <v>0</v>
      </c>
      <c r="P104" s="76">
        <f t="shared" si="123"/>
        <v>-2.8356293427063015E-2</v>
      </c>
      <c r="Q104" s="98">
        <f t="shared" si="124"/>
        <v>2.4931953673771844E-3</v>
      </c>
      <c r="R104" s="98"/>
      <c r="T104" s="76">
        <f t="shared" si="116"/>
        <v>0</v>
      </c>
    </row>
    <row r="105" spans="1:24" x14ac:dyDescent="0.2">
      <c r="A105" s="96">
        <f>A103+1</f>
        <v>98</v>
      </c>
      <c r="D105" s="62" t="s">
        <v>90</v>
      </c>
      <c r="E105" s="82">
        <v>53400</v>
      </c>
      <c r="F105" s="75">
        <v>7.42</v>
      </c>
      <c r="G105" s="83">
        <f t="shared" ref="G105" si="125">F105*E105</f>
        <v>396228</v>
      </c>
      <c r="H105" s="75">
        <v>7.42</v>
      </c>
      <c r="I105" s="83">
        <f t="shared" ref="I105" si="126">H105*E105</f>
        <v>396228</v>
      </c>
      <c r="J105" s="76">
        <f t="shared" si="119"/>
        <v>0.10402738183613955</v>
      </c>
      <c r="K105" s="76"/>
      <c r="L105" s="75">
        <f>ROUND(H105*S$107,2)</f>
        <v>8.0500000000000007</v>
      </c>
      <c r="M105" s="83">
        <f t="shared" si="120"/>
        <v>429870.00000000006</v>
      </c>
      <c r="N105" s="83">
        <f t="shared" si="121"/>
        <v>33642.000000000058</v>
      </c>
      <c r="O105" s="76">
        <f t="shared" si="122"/>
        <v>8.4905660377358638E-2</v>
      </c>
      <c r="P105" s="76">
        <f t="shared" si="123"/>
        <v>0.10373877930690491</v>
      </c>
      <c r="Q105" s="98">
        <f t="shared" si="124"/>
        <v>-2.8860252923464114E-4</v>
      </c>
      <c r="R105" s="98"/>
      <c r="S105" s="111"/>
      <c r="T105" s="76">
        <f t="shared" si="116"/>
        <v>8.4905660377358583E-2</v>
      </c>
    </row>
    <row r="106" spans="1:24" x14ac:dyDescent="0.2">
      <c r="A106" s="96">
        <f t="shared" si="75"/>
        <v>99</v>
      </c>
      <c r="D106" s="62" t="s">
        <v>91</v>
      </c>
      <c r="E106" s="82">
        <v>57543.340000000011</v>
      </c>
      <c r="F106" s="75">
        <v>10.33</v>
      </c>
      <c r="G106" s="83">
        <f t="shared" si="117"/>
        <v>594422.70220000017</v>
      </c>
      <c r="H106" s="75">
        <v>10.33</v>
      </c>
      <c r="I106" s="83">
        <f t="shared" si="118"/>
        <v>594422.70220000017</v>
      </c>
      <c r="J106" s="76">
        <f t="shared" si="119"/>
        <v>0.15606226065252654</v>
      </c>
      <c r="K106" s="76"/>
      <c r="L106" s="75">
        <f>ROUND(H106*S107,2)</f>
        <v>11.21</v>
      </c>
      <c r="M106" s="83">
        <f t="shared" si="120"/>
        <v>645060.84140000015</v>
      </c>
      <c r="N106" s="83">
        <f t="shared" si="121"/>
        <v>50638.139199999976</v>
      </c>
      <c r="O106" s="76">
        <f t="shared" si="122"/>
        <v>8.5188770571151914E-2</v>
      </c>
      <c r="P106" s="76">
        <f t="shared" si="123"/>
        <v>0.15566991012520295</v>
      </c>
      <c r="Q106" s="98">
        <f t="shared" si="124"/>
        <v>-3.9235052732358722E-4</v>
      </c>
      <c r="R106" s="98"/>
      <c r="S106" s="111"/>
      <c r="T106" s="76">
        <f t="shared" si="116"/>
        <v>8.5188770571152039E-2</v>
      </c>
    </row>
    <row r="107" spans="1:24" s="90" customFormat="1" ht="20.45" customHeight="1" x14ac:dyDescent="0.2">
      <c r="A107" s="96">
        <f t="shared" si="75"/>
        <v>100</v>
      </c>
      <c r="C107" s="85"/>
      <c r="D107" s="86" t="s">
        <v>6</v>
      </c>
      <c r="E107" s="86"/>
      <c r="F107" s="86"/>
      <c r="G107" s="11">
        <f>SUM(G102:G106)</f>
        <v>3119625.7936000004</v>
      </c>
      <c r="H107" s="86"/>
      <c r="I107" s="11">
        <f>SUM(I102:I106)</f>
        <v>3808881.78676</v>
      </c>
      <c r="J107" s="99">
        <f>SUM(J102:J106)</f>
        <v>1</v>
      </c>
      <c r="K107" s="78">
        <f>I107+Summary!I21</f>
        <v>4134038.18676</v>
      </c>
      <c r="L107" s="86"/>
      <c r="M107" s="11">
        <f>SUM(M102:M106)</f>
        <v>4143773.4555200003</v>
      </c>
      <c r="N107" s="11">
        <f>SUM(N102:N106)</f>
        <v>334891.6687600002</v>
      </c>
      <c r="O107" s="99">
        <f t="shared" ref="O107" si="127">N107/I107</f>
        <v>8.7923880946925784E-2</v>
      </c>
      <c r="P107" s="99">
        <f>SUM(P102:P106)</f>
        <v>0.99999999999999989</v>
      </c>
      <c r="Q107" s="100">
        <f t="shared" ref="Q107" si="128">P107-J107</f>
        <v>0</v>
      </c>
      <c r="R107" s="101">
        <f>M107-K107</f>
        <v>9735.2687600003555</v>
      </c>
      <c r="S107" s="90">
        <f>K107/I107</f>
        <v>1.0853679421425657</v>
      </c>
      <c r="W107" s="62"/>
      <c r="X107" s="62"/>
    </row>
    <row r="108" spans="1:24" x14ac:dyDescent="0.2">
      <c r="A108" s="96">
        <f t="shared" si="75"/>
        <v>101</v>
      </c>
      <c r="D108" s="62" t="s">
        <v>26</v>
      </c>
      <c r="G108" s="83">
        <v>595642.61</v>
      </c>
      <c r="I108" s="84">
        <f>G108-($H$185*(E103))</f>
        <v>22798.607240000041</v>
      </c>
      <c r="M108" s="83">
        <f>I108</f>
        <v>22798.607240000041</v>
      </c>
      <c r="N108" s="83">
        <f t="shared" ref="N108:N114" si="129">M108-I108</f>
        <v>0</v>
      </c>
      <c r="O108" s="75">
        <v>0</v>
      </c>
    </row>
    <row r="109" spans="1:24" x14ac:dyDescent="0.2">
      <c r="A109" s="96">
        <f t="shared" si="75"/>
        <v>102</v>
      </c>
      <c r="D109" s="62" t="s">
        <v>27</v>
      </c>
      <c r="G109" s="83">
        <v>446977.77</v>
      </c>
      <c r="I109" s="84">
        <f t="shared" ref="I109:I111" si="130">G109</f>
        <v>446977.77</v>
      </c>
      <c r="K109" s="84"/>
      <c r="M109" s="83">
        <f t="shared" ref="M109:M111" si="131">I109</f>
        <v>446977.77</v>
      </c>
      <c r="N109" s="83">
        <f t="shared" si="129"/>
        <v>0</v>
      </c>
      <c r="O109" s="75">
        <v>0</v>
      </c>
    </row>
    <row r="110" spans="1:24" x14ac:dyDescent="0.2">
      <c r="A110" s="96">
        <f t="shared" si="75"/>
        <v>103</v>
      </c>
      <c r="D110" s="62" t="s">
        <v>30</v>
      </c>
      <c r="G110" s="83">
        <v>0</v>
      </c>
      <c r="I110" s="84">
        <f t="shared" si="130"/>
        <v>0</v>
      </c>
      <c r="M110" s="83">
        <f t="shared" si="131"/>
        <v>0</v>
      </c>
      <c r="N110" s="83">
        <f t="shared" si="129"/>
        <v>0</v>
      </c>
      <c r="O110" s="75">
        <v>0</v>
      </c>
    </row>
    <row r="111" spans="1:24" x14ac:dyDescent="0.2">
      <c r="A111" s="96">
        <f t="shared" si="75"/>
        <v>104</v>
      </c>
      <c r="D111" s="62" t="s">
        <v>65</v>
      </c>
      <c r="G111" s="83">
        <v>0</v>
      </c>
      <c r="I111" s="84">
        <f t="shared" si="130"/>
        <v>0</v>
      </c>
      <c r="M111" s="83">
        <f t="shared" si="131"/>
        <v>0</v>
      </c>
      <c r="N111" s="83"/>
      <c r="O111" s="75"/>
    </row>
    <row r="112" spans="1:24" x14ac:dyDescent="0.2">
      <c r="A112" s="96">
        <f t="shared" si="75"/>
        <v>105</v>
      </c>
      <c r="D112" s="79" t="s">
        <v>8</v>
      </c>
      <c r="E112" s="79"/>
      <c r="F112" s="79"/>
      <c r="G112" s="104">
        <f>SUM(G108:G111)</f>
        <v>1042620.38</v>
      </c>
      <c r="H112" s="79"/>
      <c r="I112" s="104">
        <f>SUM(I108:I111)</f>
        <v>469776.37724000006</v>
      </c>
      <c r="J112" s="79"/>
      <c r="K112" s="79"/>
      <c r="L112" s="79"/>
      <c r="M112" s="104">
        <f>SUM(M108:M111)</f>
        <v>469776.37724000006</v>
      </c>
      <c r="N112" s="104">
        <f t="shared" si="129"/>
        <v>0</v>
      </c>
      <c r="O112" s="105">
        <f t="shared" ref="O112" si="132">N112-J112</f>
        <v>0</v>
      </c>
    </row>
    <row r="113" spans="1:20" s="90" customFormat="1" ht="26.45" customHeight="1" thickBot="1" x14ac:dyDescent="0.25">
      <c r="A113" s="96">
        <f t="shared" si="75"/>
        <v>106</v>
      </c>
      <c r="C113" s="85"/>
      <c r="D113" s="80" t="s">
        <v>19</v>
      </c>
      <c r="E113" s="80"/>
      <c r="F113" s="80"/>
      <c r="G113" s="106">
        <f>G107+G112</f>
        <v>4162246.1736000003</v>
      </c>
      <c r="H113" s="80"/>
      <c r="I113" s="107">
        <f>I112+I107</f>
        <v>4278658.1639999999</v>
      </c>
      <c r="J113" s="80"/>
      <c r="K113" s="80"/>
      <c r="L113" s="80"/>
      <c r="M113" s="106">
        <f>M112+M107</f>
        <v>4613549.8327600006</v>
      </c>
      <c r="N113" s="106">
        <f t="shared" si="129"/>
        <v>334891.66876000073</v>
      </c>
      <c r="O113" s="108">
        <f>IF(I113=0,0,N113/I113)</f>
        <v>7.8270255749274376E-2</v>
      </c>
      <c r="P113" s="62"/>
      <c r="Q113" s="62"/>
      <c r="R113" s="62"/>
    </row>
    <row r="114" spans="1:20" ht="13.5" thickTop="1" x14ac:dyDescent="0.2">
      <c r="A114" s="96">
        <f t="shared" si="75"/>
        <v>107</v>
      </c>
      <c r="D114" s="81"/>
      <c r="E114" s="75">
        <f>E103/E102</f>
        <v>1732321.2857142857</v>
      </c>
      <c r="F114" s="81"/>
      <c r="G114" s="81"/>
      <c r="H114" s="129"/>
      <c r="I114" s="109">
        <f>I113/E102</f>
        <v>152809.22014285714</v>
      </c>
      <c r="M114" s="109">
        <f>M113/E102</f>
        <v>164769.63688428575</v>
      </c>
      <c r="N114" s="109">
        <f t="shared" si="129"/>
        <v>11960.416741428606</v>
      </c>
      <c r="O114" s="81"/>
      <c r="P114" s="81"/>
      <c r="Q114" s="81"/>
    </row>
    <row r="115" spans="1:20" ht="13.5" thickBot="1" x14ac:dyDescent="0.25">
      <c r="A115" s="96">
        <f t="shared" si="75"/>
        <v>108</v>
      </c>
    </row>
    <row r="116" spans="1:20" x14ac:dyDescent="0.2">
      <c r="A116" s="96">
        <f t="shared" si="75"/>
        <v>109</v>
      </c>
      <c r="B116" s="74" t="s">
        <v>53</v>
      </c>
      <c r="C116" s="97" t="s">
        <v>51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</row>
    <row r="117" spans="1:20" x14ac:dyDescent="0.2">
      <c r="A117" s="96">
        <f t="shared" si="75"/>
        <v>110</v>
      </c>
      <c r="C117" s="62"/>
      <c r="D117" s="62" t="s">
        <v>17</v>
      </c>
      <c r="E117" s="82">
        <v>36</v>
      </c>
      <c r="F117" s="62">
        <v>2301.71</v>
      </c>
      <c r="G117" s="83">
        <f>F117*E117</f>
        <v>82861.56</v>
      </c>
      <c r="H117" s="75">
        <v>2301.71</v>
      </c>
      <c r="I117" s="83">
        <f>H117*E117</f>
        <v>82861.56</v>
      </c>
      <c r="J117" s="76">
        <f>I117/I122</f>
        <v>8.8142903058563513E-3</v>
      </c>
      <c r="K117" s="76"/>
      <c r="L117" s="75">
        <f>ROUND(H117*S122,2)</f>
        <v>2498.1999999999998</v>
      </c>
      <c r="M117" s="83">
        <f>L117*E117</f>
        <v>89935.2</v>
      </c>
      <c r="N117" s="83">
        <f>M117-I117</f>
        <v>7073.6399999999994</v>
      </c>
      <c r="O117" s="76">
        <f>IF(I117=0,0,N117/I117)</f>
        <v>8.5366966298969019E-2</v>
      </c>
      <c r="P117" s="76">
        <f>M117/M$122</f>
        <v>8.814907110648057E-3</v>
      </c>
      <c r="Q117" s="98">
        <f>P117-J117</f>
        <v>6.1680479170565794E-7</v>
      </c>
      <c r="R117" s="98"/>
      <c r="T117" s="76">
        <f t="shared" ref="T117:T121" si="133">L117/H117-1</f>
        <v>8.5366966298968894E-2</v>
      </c>
    </row>
    <row r="118" spans="1:20" x14ac:dyDescent="0.2">
      <c r="A118" s="96">
        <f t="shared" si="75"/>
        <v>111</v>
      </c>
      <c r="D118" s="62" t="s">
        <v>90</v>
      </c>
      <c r="E118" s="82">
        <v>261600</v>
      </c>
      <c r="F118" s="75">
        <v>7.42</v>
      </c>
      <c r="G118" s="83">
        <f t="shared" ref="G118" si="134">F118*E118</f>
        <v>1941072</v>
      </c>
      <c r="H118" s="75">
        <v>7.42</v>
      </c>
      <c r="I118" s="83">
        <f t="shared" ref="I118" si="135">H118*E118</f>
        <v>1941072</v>
      </c>
      <c r="J118" s="76">
        <f>I118/I122</f>
        <v>0.20647900078841383</v>
      </c>
      <c r="K118" s="76"/>
      <c r="L118" s="75">
        <f>ROUND(H118*S$122,2)</f>
        <v>8.0500000000000007</v>
      </c>
      <c r="M118" s="83">
        <f t="shared" ref="M118" si="136">L118*E118</f>
        <v>2105880</v>
      </c>
      <c r="N118" s="83">
        <f t="shared" ref="N118" si="137">M118-I118</f>
        <v>164808</v>
      </c>
      <c r="O118" s="76">
        <f t="shared" ref="O118" si="138">IF(I118=0,0,N118/I118)</f>
        <v>8.4905660377358486E-2</v>
      </c>
      <c r="P118" s="76">
        <f>M118/M$122</f>
        <v>0.20640568527308029</v>
      </c>
      <c r="Q118" s="98">
        <f t="shared" ref="Q118" si="139">P118-J118</f>
        <v>-7.3315515333544079E-5</v>
      </c>
      <c r="R118" s="98"/>
      <c r="T118" s="76">
        <f t="shared" ref="T118" si="140">L118/H118-1</f>
        <v>8.4905660377358583E-2</v>
      </c>
    </row>
    <row r="119" spans="1:20" x14ac:dyDescent="0.2">
      <c r="A119" s="96">
        <f t="shared" si="75"/>
        <v>112</v>
      </c>
      <c r="B119" s="75"/>
      <c r="D119" s="62" t="s">
        <v>91</v>
      </c>
      <c r="E119" s="82">
        <v>4471.4300000000012</v>
      </c>
      <c r="F119" s="75">
        <v>10.33</v>
      </c>
      <c r="G119" s="83">
        <f t="shared" ref="G119" si="141">F119*E119</f>
        <v>46189.871900000013</v>
      </c>
      <c r="H119" s="75">
        <v>10.33</v>
      </c>
      <c r="I119" s="83">
        <f t="shared" ref="I119" si="142">H119*E119</f>
        <v>46189.871900000013</v>
      </c>
      <c r="J119" s="76">
        <f>I119/I122</f>
        <v>4.9133873428996123E-3</v>
      </c>
      <c r="K119" s="76"/>
      <c r="L119" s="75">
        <f>ROUND(H119*S$122,2)</f>
        <v>11.21</v>
      </c>
      <c r="M119" s="83">
        <f t="shared" ref="M119" si="143">L119*E119</f>
        <v>50124.730300000017</v>
      </c>
      <c r="N119" s="83">
        <f t="shared" ref="N119" si="144">M119-I119</f>
        <v>3934.8584000000046</v>
      </c>
      <c r="O119" s="76">
        <f t="shared" ref="O119" si="145">IF(I119=0,0,N119/I119)</f>
        <v>8.5188770571152067E-2</v>
      </c>
      <c r="P119" s="76">
        <f>M119/M$122</f>
        <v>4.9129244338233114E-3</v>
      </c>
      <c r="Q119" s="98">
        <f t="shared" ref="Q119" si="146">P119-J119</f>
        <v>-4.6290907630090056E-7</v>
      </c>
      <c r="R119" s="98"/>
      <c r="T119" s="76">
        <f t="shared" si="133"/>
        <v>8.5188770571152039E-2</v>
      </c>
    </row>
    <row r="120" spans="1:20" x14ac:dyDescent="0.2">
      <c r="A120" s="96">
        <f t="shared" si="75"/>
        <v>113</v>
      </c>
      <c r="B120" s="75"/>
      <c r="D120" s="62" t="s">
        <v>92</v>
      </c>
      <c r="E120" s="82">
        <v>0</v>
      </c>
      <c r="F120" s="75">
        <v>-5.6</v>
      </c>
      <c r="G120" s="83">
        <f t="shared" ref="G120" si="147">F120*E120</f>
        <v>0</v>
      </c>
      <c r="H120" s="75">
        <v>-5.6</v>
      </c>
      <c r="I120" s="83">
        <f t="shared" ref="I120" si="148">H120*E120</f>
        <v>0</v>
      </c>
      <c r="J120" s="76">
        <f>I120/I122</f>
        <v>0</v>
      </c>
      <c r="K120" s="76"/>
      <c r="L120" s="75">
        <v>-5.6</v>
      </c>
      <c r="M120" s="83">
        <f t="shared" ref="M120" si="149">L120*E120</f>
        <v>0</v>
      </c>
      <c r="N120" s="83">
        <f t="shared" ref="N120" si="150">M120-I120</f>
        <v>0</v>
      </c>
      <c r="O120" s="76">
        <f t="shared" ref="O120" si="151">IF(I120=0,0,N120/I120)</f>
        <v>0</v>
      </c>
      <c r="P120" s="76">
        <f>M120/M$122</f>
        <v>0</v>
      </c>
      <c r="Q120" s="98">
        <f t="shared" ref="Q120" si="152">P120-J120</f>
        <v>0</v>
      </c>
      <c r="R120" s="98"/>
      <c r="T120" s="76">
        <f t="shared" ref="T120" si="153">L120/H120-1</f>
        <v>0</v>
      </c>
    </row>
    <row r="121" spans="1:20" x14ac:dyDescent="0.2">
      <c r="A121" s="96">
        <f t="shared" si="75"/>
        <v>114</v>
      </c>
      <c r="B121" s="103"/>
      <c r="D121" s="62" t="s">
        <v>82</v>
      </c>
      <c r="E121" s="82">
        <v>135202821</v>
      </c>
      <c r="F121" s="130">
        <v>4.2410000000000003E-2</v>
      </c>
      <c r="G121" s="83">
        <f t="shared" ref="G121" si="154">F121*E121</f>
        <v>5733951.6386100007</v>
      </c>
      <c r="H121" s="130">
        <v>5.4219999999999997E-2</v>
      </c>
      <c r="I121" s="83">
        <f t="shared" ref="I121" si="155">H121*E121</f>
        <v>7330696.95462</v>
      </c>
      <c r="J121" s="76">
        <f>I121/I122</f>
        <v>0.77979332156283021</v>
      </c>
      <c r="K121" s="76"/>
      <c r="L121" s="130">
        <f>ROUND(H121*S122,5)</f>
        <v>5.885E-2</v>
      </c>
      <c r="M121" s="83">
        <f t="shared" ref="M121" si="156">L121*E121</f>
        <v>7956686.0158500001</v>
      </c>
      <c r="N121" s="83">
        <f t="shared" ref="N121:N129" si="157">M121-I121</f>
        <v>625989.06123000011</v>
      </c>
      <c r="O121" s="76">
        <f t="shared" ref="O121" si="158">IF(I121=0,0,N121/I121)</f>
        <v>8.5392843969015142E-2</v>
      </c>
      <c r="P121" s="76">
        <f>M121/M$122</f>
        <v>0.77986648318244822</v>
      </c>
      <c r="Q121" s="98">
        <f t="shared" ref="Q121:Q122" si="159">P121-J121</f>
        <v>7.3161619618011819E-5</v>
      </c>
      <c r="R121" s="98"/>
      <c r="T121" s="76">
        <f t="shared" si="133"/>
        <v>8.5392843969015253E-2</v>
      </c>
    </row>
    <row r="122" spans="1:20" s="90" customFormat="1" ht="20.45" customHeight="1" x14ac:dyDescent="0.25">
      <c r="A122" s="96">
        <f t="shared" si="75"/>
        <v>115</v>
      </c>
      <c r="C122" s="85"/>
      <c r="D122" s="86" t="s">
        <v>6</v>
      </c>
      <c r="E122" s="86"/>
      <c r="F122" s="86"/>
      <c r="G122" s="11">
        <f>SUM(G117:G121)</f>
        <v>7804075.0705100009</v>
      </c>
      <c r="H122" s="86"/>
      <c r="I122" s="11">
        <f>SUM(I117:I121)</f>
        <v>9400820.3865200002</v>
      </c>
      <c r="J122" s="99">
        <f>SUM(J117:J121)</f>
        <v>1</v>
      </c>
      <c r="K122" s="78">
        <f>I122+Summary!I22</f>
        <v>10203349.07652</v>
      </c>
      <c r="L122" s="86"/>
      <c r="M122" s="11">
        <f>SUM(M117:M121)</f>
        <v>10202625.946150001</v>
      </c>
      <c r="N122" s="11">
        <f>SUM(N117:N121)</f>
        <v>801805.55963000015</v>
      </c>
      <c r="O122" s="99">
        <f t="shared" ref="O122" si="160">N122/I122</f>
        <v>8.5291020002863052E-2</v>
      </c>
      <c r="P122" s="99">
        <f>SUM(P117:P121)</f>
        <v>0.99999999999999989</v>
      </c>
      <c r="Q122" s="100">
        <f t="shared" si="159"/>
        <v>0</v>
      </c>
      <c r="R122" s="101">
        <f>M122-K122</f>
        <v>-723.13036999851465</v>
      </c>
      <c r="S122" s="90">
        <f>S123</f>
        <v>1.0853679420522446</v>
      </c>
    </row>
    <row r="123" spans="1:20" x14ac:dyDescent="0.2">
      <c r="A123" s="96">
        <f t="shared" si="75"/>
        <v>116</v>
      </c>
      <c r="D123" s="62" t="s">
        <v>26</v>
      </c>
      <c r="G123" s="83">
        <v>1595671.76</v>
      </c>
      <c r="I123" s="84">
        <f>G123-($H$185*E121)</f>
        <v>-1073.556009999942</v>
      </c>
      <c r="K123" s="84"/>
      <c r="M123" s="83">
        <f>I123</f>
        <v>-1073.556009999942</v>
      </c>
      <c r="N123" s="83">
        <f t="shared" si="157"/>
        <v>0</v>
      </c>
      <c r="O123" s="75">
        <v>0</v>
      </c>
      <c r="S123" s="62">
        <f>(K122-I120)/(I122-I120)</f>
        <v>1.0853679420522446</v>
      </c>
    </row>
    <row r="124" spans="1:20" x14ac:dyDescent="0.2">
      <c r="A124" s="96">
        <f t="shared" si="75"/>
        <v>117</v>
      </c>
      <c r="D124" s="62" t="s">
        <v>27</v>
      </c>
      <c r="G124" s="83">
        <v>1125253.01</v>
      </c>
      <c r="I124" s="84">
        <f t="shared" ref="I124:I126" si="161">G124</f>
        <v>1125253.01</v>
      </c>
      <c r="M124" s="83">
        <f t="shared" ref="M124:M126" si="162">I124</f>
        <v>1125253.01</v>
      </c>
      <c r="N124" s="83">
        <f t="shared" si="157"/>
        <v>0</v>
      </c>
      <c r="O124" s="75">
        <v>0</v>
      </c>
    </row>
    <row r="125" spans="1:20" x14ac:dyDescent="0.2">
      <c r="A125" s="96">
        <f t="shared" si="75"/>
        <v>118</v>
      </c>
      <c r="D125" s="62" t="s">
        <v>30</v>
      </c>
      <c r="G125" s="83">
        <v>0</v>
      </c>
      <c r="I125" s="84">
        <f t="shared" si="161"/>
        <v>0</v>
      </c>
      <c r="M125" s="83">
        <f t="shared" si="162"/>
        <v>0</v>
      </c>
      <c r="N125" s="83">
        <f t="shared" si="157"/>
        <v>0</v>
      </c>
      <c r="O125" s="75">
        <v>0</v>
      </c>
    </row>
    <row r="126" spans="1:20" x14ac:dyDescent="0.2">
      <c r="A126" s="96">
        <f t="shared" si="75"/>
        <v>119</v>
      </c>
      <c r="D126" s="62" t="s">
        <v>65</v>
      </c>
      <c r="G126" s="83">
        <v>0</v>
      </c>
      <c r="I126" s="84">
        <f t="shared" si="161"/>
        <v>0</v>
      </c>
      <c r="M126" s="83">
        <f t="shared" si="162"/>
        <v>0</v>
      </c>
      <c r="N126" s="83"/>
      <c r="O126" s="75"/>
    </row>
    <row r="127" spans="1:20" x14ac:dyDescent="0.2">
      <c r="A127" s="96">
        <f t="shared" si="75"/>
        <v>120</v>
      </c>
      <c r="D127" s="79" t="s">
        <v>8</v>
      </c>
      <c r="E127" s="79"/>
      <c r="F127" s="79"/>
      <c r="G127" s="104">
        <f>SUM(G123:G126)</f>
        <v>2720924.77</v>
      </c>
      <c r="H127" s="79"/>
      <c r="I127" s="104">
        <f>SUM(I123:I126)</f>
        <v>1124179.4539900001</v>
      </c>
      <c r="J127" s="79"/>
      <c r="K127" s="79"/>
      <c r="L127" s="79"/>
      <c r="M127" s="104">
        <f>SUM(M123:M126)</f>
        <v>1124179.4539900001</v>
      </c>
      <c r="N127" s="104">
        <f t="shared" si="157"/>
        <v>0</v>
      </c>
      <c r="O127" s="105">
        <f t="shared" ref="O127" si="163">N127-J127</f>
        <v>0</v>
      </c>
    </row>
    <row r="128" spans="1:20" s="90" customFormat="1" ht="26.45" customHeight="1" thickBot="1" x14ac:dyDescent="0.25">
      <c r="A128" s="96">
        <f t="shared" si="75"/>
        <v>121</v>
      </c>
      <c r="C128" s="85"/>
      <c r="D128" s="80" t="s">
        <v>19</v>
      </c>
      <c r="E128" s="80"/>
      <c r="F128" s="80"/>
      <c r="G128" s="106">
        <f>G122+G127</f>
        <v>10524999.840510001</v>
      </c>
      <c r="H128" s="80"/>
      <c r="I128" s="107">
        <f>I127+I122</f>
        <v>10524999.84051</v>
      </c>
      <c r="J128" s="80"/>
      <c r="K128" s="80"/>
      <c r="L128" s="80"/>
      <c r="M128" s="106">
        <f>M127+M122</f>
        <v>11326805.400140001</v>
      </c>
      <c r="N128" s="106">
        <f t="shared" si="157"/>
        <v>801805.55963000096</v>
      </c>
      <c r="O128" s="108">
        <f>N128/I128</f>
        <v>7.6181051950604942E-2</v>
      </c>
      <c r="P128" s="62"/>
      <c r="Q128" s="62"/>
      <c r="R128" s="62"/>
    </row>
    <row r="129" spans="1:23" ht="13.5" thickTop="1" x14ac:dyDescent="0.2">
      <c r="A129" s="96">
        <f t="shared" si="75"/>
        <v>122</v>
      </c>
      <c r="D129" s="62" t="s">
        <v>18</v>
      </c>
      <c r="E129" s="75">
        <f>E121/E117</f>
        <v>3755633.9166666665</v>
      </c>
      <c r="G129" s="109">
        <f>G128/E117</f>
        <v>292361.10668083339</v>
      </c>
      <c r="I129" s="109">
        <f>I128/E117</f>
        <v>292361.10668083333</v>
      </c>
      <c r="M129" s="109">
        <f>M128/E117</f>
        <v>314633.48333722225</v>
      </c>
      <c r="N129" s="109">
        <f t="shared" si="157"/>
        <v>22272.376656388922</v>
      </c>
      <c r="O129" s="76">
        <f>N129/I129</f>
        <v>7.6181051950604955E-2</v>
      </c>
    </row>
    <row r="130" spans="1:23" ht="13.5" thickBot="1" x14ac:dyDescent="0.25">
      <c r="A130" s="96">
        <f t="shared" si="75"/>
        <v>123</v>
      </c>
    </row>
    <row r="131" spans="1:23" x14ac:dyDescent="0.2">
      <c r="A131" s="96">
        <f t="shared" si="75"/>
        <v>124</v>
      </c>
      <c r="B131" s="74" t="s">
        <v>31</v>
      </c>
      <c r="C131" s="97" t="s">
        <v>28</v>
      </c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</row>
    <row r="132" spans="1:23" x14ac:dyDescent="0.2">
      <c r="A132" s="96">
        <f t="shared" si="75"/>
        <v>125</v>
      </c>
      <c r="B132" s="112"/>
      <c r="C132" s="84" t="s">
        <v>54</v>
      </c>
      <c r="E132" s="82">
        <f>8596+16331+112711</f>
        <v>137638</v>
      </c>
      <c r="F132" s="75">
        <v>11.91</v>
      </c>
      <c r="G132" s="83">
        <f t="shared" ref="G132" si="164">F132*E132</f>
        <v>1639268.58</v>
      </c>
      <c r="H132" s="75">
        <v>13.48</v>
      </c>
      <c r="I132" s="83">
        <f t="shared" ref="I132" si="165">H132*E132</f>
        <v>1855360.24</v>
      </c>
      <c r="J132" s="76">
        <f t="shared" ref="J132:J143" si="166">I132/I$144</f>
        <v>0.68343670028452352</v>
      </c>
      <c r="K132" s="76"/>
      <c r="L132" s="75">
        <f t="shared" ref="L132:L143" si="167">ROUND(H132*S$144,2)</f>
        <v>14.22</v>
      </c>
      <c r="M132" s="83">
        <f t="shared" ref="M132" si="168">L132*E132</f>
        <v>1957212.36</v>
      </c>
      <c r="N132" s="83">
        <f t="shared" ref="N132" si="169">M132-I132</f>
        <v>101852.12000000011</v>
      </c>
      <c r="O132" s="76">
        <f t="shared" ref="O132" si="170">IF(I132=0,0,N132/I132)</f>
        <v>5.4896142433234485E-2</v>
      </c>
      <c r="P132" s="76">
        <f t="shared" ref="P132:P143" si="171">M132/M$144</f>
        <v>0.68341842255649254</v>
      </c>
      <c r="Q132" s="98">
        <f t="shared" ref="Q132" si="172">P132-J132</f>
        <v>-1.8277728030979823E-5</v>
      </c>
      <c r="R132" s="98"/>
      <c r="T132" s="76">
        <f>L132/H132-1</f>
        <v>5.4896142433234374E-2</v>
      </c>
      <c r="W132" s="62">
        <v>12.23</v>
      </c>
    </row>
    <row r="133" spans="1:23" x14ac:dyDescent="0.2">
      <c r="A133" s="96">
        <f t="shared" si="75"/>
        <v>126</v>
      </c>
      <c r="B133" s="112"/>
      <c r="C133" s="84" t="s">
        <v>55</v>
      </c>
      <c r="E133" s="82">
        <f>328+896</f>
        <v>1224</v>
      </c>
      <c r="F133" s="75">
        <v>18.55</v>
      </c>
      <c r="G133" s="83">
        <f t="shared" ref="G133:G136" si="173">F133*E133</f>
        <v>22705.200000000001</v>
      </c>
      <c r="H133" s="75">
        <v>20.97</v>
      </c>
      <c r="I133" s="83">
        <f t="shared" ref="I133:I136" si="174">H133*E133</f>
        <v>25667.279999999999</v>
      </c>
      <c r="J133" s="76">
        <f t="shared" si="166"/>
        <v>9.4547467226520632E-3</v>
      </c>
      <c r="K133" s="76"/>
      <c r="L133" s="75">
        <f t="shared" si="167"/>
        <v>22.13</v>
      </c>
      <c r="M133" s="83">
        <f t="shared" ref="M133:M136" si="175">L133*E133</f>
        <v>27087.119999999999</v>
      </c>
      <c r="N133" s="83">
        <f t="shared" ref="N133:N136" si="176">M133-I133</f>
        <v>1419.8400000000001</v>
      </c>
      <c r="O133" s="76">
        <f t="shared" ref="O133:O136" si="177">IF(I133=0,0,N133/I133)</f>
        <v>5.531711969480211E-2</v>
      </c>
      <c r="P133" s="76">
        <f t="shared" si="171"/>
        <v>9.4582668699263774E-3</v>
      </c>
      <c r="Q133" s="98">
        <f t="shared" ref="Q133:Q136" si="178">P133-J133</f>
        <v>3.5201472743141837E-6</v>
      </c>
      <c r="R133" s="98"/>
      <c r="T133" s="76">
        <f t="shared" ref="T133:T143" si="179">L133/H133-1</f>
        <v>5.531711969480213E-2</v>
      </c>
      <c r="W133" s="62">
        <v>19.02</v>
      </c>
    </row>
    <row r="134" spans="1:23" x14ac:dyDescent="0.2">
      <c r="A134" s="96">
        <f t="shared" si="75"/>
        <v>127</v>
      </c>
      <c r="B134" s="112"/>
      <c r="C134" s="84" t="s">
        <v>60</v>
      </c>
      <c r="E134" s="82">
        <f>8186+462</f>
        <v>8648</v>
      </c>
      <c r="F134" s="75">
        <v>18.55</v>
      </c>
      <c r="G134" s="83">
        <f t="shared" si="173"/>
        <v>160420.4</v>
      </c>
      <c r="H134" s="75">
        <v>21.45</v>
      </c>
      <c r="I134" s="83">
        <f t="shared" si="174"/>
        <v>185499.6</v>
      </c>
      <c r="J134" s="76">
        <f t="shared" si="166"/>
        <v>6.8330252958368351E-2</v>
      </c>
      <c r="K134" s="76"/>
      <c r="L134" s="75">
        <f t="shared" si="167"/>
        <v>22.63</v>
      </c>
      <c r="M134" s="83">
        <f t="shared" si="175"/>
        <v>195704.24</v>
      </c>
      <c r="N134" s="83">
        <f t="shared" si="176"/>
        <v>10204.639999999985</v>
      </c>
      <c r="O134" s="76">
        <f t="shared" si="177"/>
        <v>5.5011655011654927E-2</v>
      </c>
      <c r="P134" s="76">
        <f t="shared" si="171"/>
        <v>6.8335907600960186E-2</v>
      </c>
      <c r="Q134" s="98">
        <f t="shared" si="178"/>
        <v>5.6546425918346799E-6</v>
      </c>
      <c r="R134" s="98"/>
      <c r="T134" s="76">
        <f t="shared" si="179"/>
        <v>5.5011655011655058E-2</v>
      </c>
      <c r="W134" s="62">
        <v>19.45</v>
      </c>
    </row>
    <row r="135" spans="1:23" x14ac:dyDescent="0.2">
      <c r="A135" s="96">
        <f t="shared" si="75"/>
        <v>128</v>
      </c>
      <c r="B135" s="112"/>
      <c r="C135" s="84" t="s">
        <v>61</v>
      </c>
      <c r="E135" s="82">
        <v>832</v>
      </c>
      <c r="F135" s="75">
        <v>20.9</v>
      </c>
      <c r="G135" s="83">
        <f t="shared" si="173"/>
        <v>17388.8</v>
      </c>
      <c r="H135" s="75">
        <v>23.54</v>
      </c>
      <c r="I135" s="83">
        <f t="shared" si="174"/>
        <v>19585.28</v>
      </c>
      <c r="J135" s="76">
        <f t="shared" si="166"/>
        <v>7.2143936518486952E-3</v>
      </c>
      <c r="K135" s="76"/>
      <c r="L135" s="75">
        <f t="shared" si="167"/>
        <v>24.84</v>
      </c>
      <c r="M135" s="83">
        <f t="shared" si="175"/>
        <v>20666.88</v>
      </c>
      <c r="N135" s="83">
        <f t="shared" si="176"/>
        <v>1081.6000000000022</v>
      </c>
      <c r="O135" s="76">
        <f t="shared" si="177"/>
        <v>5.5225148683092723E-2</v>
      </c>
      <c r="P135" s="76">
        <f t="shared" si="171"/>
        <v>7.2164507119525465E-3</v>
      </c>
      <c r="Q135" s="98">
        <f t="shared" si="178"/>
        <v>2.0570601038513367E-6</v>
      </c>
      <c r="R135" s="98"/>
      <c r="T135" s="76">
        <f t="shared" si="179"/>
        <v>5.5225148683092584E-2</v>
      </c>
      <c r="W135" s="62">
        <v>21.35</v>
      </c>
    </row>
    <row r="136" spans="1:23" x14ac:dyDescent="0.2">
      <c r="A136" s="96">
        <f t="shared" si="75"/>
        <v>129</v>
      </c>
      <c r="B136" s="112"/>
      <c r="C136" s="84" t="s">
        <v>62</v>
      </c>
      <c r="E136" s="82">
        <v>600</v>
      </c>
      <c r="F136" s="75">
        <v>20.28</v>
      </c>
      <c r="G136" s="83">
        <f t="shared" si="173"/>
        <v>12168</v>
      </c>
      <c r="H136" s="75">
        <v>22.71</v>
      </c>
      <c r="I136" s="83">
        <f t="shared" si="174"/>
        <v>13626</v>
      </c>
      <c r="J136" s="76">
        <f t="shared" si="166"/>
        <v>5.0192454690507525E-3</v>
      </c>
      <c r="K136" s="76"/>
      <c r="L136" s="75">
        <f t="shared" si="167"/>
        <v>23.96</v>
      </c>
      <c r="M136" s="83">
        <f t="shared" si="175"/>
        <v>14376</v>
      </c>
      <c r="N136" s="83">
        <f t="shared" si="176"/>
        <v>750</v>
      </c>
      <c r="O136" s="76">
        <f t="shared" si="177"/>
        <v>5.5041831792162044E-2</v>
      </c>
      <c r="P136" s="76">
        <f t="shared" si="171"/>
        <v>5.019804413391369E-3</v>
      </c>
      <c r="Q136" s="98">
        <f t="shared" si="178"/>
        <v>5.5894434061645043E-7</v>
      </c>
      <c r="R136" s="98"/>
      <c r="T136" s="76">
        <f t="shared" si="179"/>
        <v>5.5041831792161933E-2</v>
      </c>
      <c r="W136" s="62">
        <v>20.6</v>
      </c>
    </row>
    <row r="137" spans="1:23" x14ac:dyDescent="0.2">
      <c r="A137" s="96">
        <f t="shared" si="75"/>
        <v>130</v>
      </c>
      <c r="B137" s="112"/>
      <c r="C137" s="84" t="s">
        <v>63</v>
      </c>
      <c r="E137" s="82">
        <v>5712</v>
      </c>
      <c r="F137" s="75">
        <v>17.13</v>
      </c>
      <c r="G137" s="83">
        <f t="shared" ref="G137:G143" si="180">F137*E137</f>
        <v>97846.56</v>
      </c>
      <c r="H137" s="75">
        <v>19.239999999999998</v>
      </c>
      <c r="I137" s="83">
        <f t="shared" ref="I137:I143" si="181">H137*E137</f>
        <v>109898.87999999999</v>
      </c>
      <c r="J137" s="76">
        <f t="shared" si="166"/>
        <v>4.0482126485670948E-2</v>
      </c>
      <c r="K137" s="76"/>
      <c r="L137" s="75">
        <f t="shared" si="167"/>
        <v>20.3</v>
      </c>
      <c r="M137" s="83">
        <f t="shared" ref="M137:M143" si="182">L137*E137</f>
        <v>115953.60000000001</v>
      </c>
      <c r="N137" s="83">
        <f t="shared" ref="N137:N143" si="183">M137-I137</f>
        <v>6054.7200000000157</v>
      </c>
      <c r="O137" s="76">
        <f t="shared" ref="O137:O143" si="184">IF(I137=0,0,N137/I137)</f>
        <v>5.5093555093555242E-2</v>
      </c>
      <c r="P137" s="76">
        <f t="shared" si="171"/>
        <v>4.0488619437160367E-2</v>
      </c>
      <c r="Q137" s="98">
        <f t="shared" ref="Q137:Q143" si="185">P137-J137</f>
        <v>6.4929514894188078E-6</v>
      </c>
      <c r="R137" s="98"/>
      <c r="T137" s="76">
        <f t="shared" si="179"/>
        <v>5.509355509355518E-2</v>
      </c>
      <c r="W137" s="62">
        <v>17.45</v>
      </c>
    </row>
    <row r="138" spans="1:23" x14ac:dyDescent="0.2">
      <c r="A138" s="96">
        <f t="shared" ref="A138:A183" si="186">A137+1</f>
        <v>131</v>
      </c>
      <c r="B138" s="112"/>
      <c r="C138" s="84" t="s">
        <v>64</v>
      </c>
      <c r="E138" s="82">
        <v>156</v>
      </c>
      <c r="F138" s="75">
        <v>25.89</v>
      </c>
      <c r="G138" s="83">
        <f t="shared" si="180"/>
        <v>4038.84</v>
      </c>
      <c r="H138" s="75">
        <v>29.27</v>
      </c>
      <c r="I138" s="83">
        <f t="shared" si="181"/>
        <v>4566.12</v>
      </c>
      <c r="J138" s="76">
        <f t="shared" si="166"/>
        <v>1.6819666168458845E-3</v>
      </c>
      <c r="K138" s="76"/>
      <c r="L138" s="75">
        <f t="shared" si="167"/>
        <v>30.88</v>
      </c>
      <c r="M138" s="83">
        <f t="shared" si="182"/>
        <v>4817.28</v>
      </c>
      <c r="N138" s="83">
        <f t="shared" si="183"/>
        <v>251.15999999999985</v>
      </c>
      <c r="O138" s="76">
        <f t="shared" si="184"/>
        <v>5.5005124701059074E-2</v>
      </c>
      <c r="P138" s="76">
        <f t="shared" si="171"/>
        <v>1.6820953954188905E-3</v>
      </c>
      <c r="Q138" s="98">
        <f t="shared" si="185"/>
        <v>1.2877857300604319E-7</v>
      </c>
      <c r="R138" s="98"/>
      <c r="T138" s="76">
        <f t="shared" si="179"/>
        <v>5.5005124701059005E-2</v>
      </c>
      <c r="W138" s="62">
        <v>26.55</v>
      </c>
    </row>
    <row r="139" spans="1:23" x14ac:dyDescent="0.2">
      <c r="A139" s="96">
        <f t="shared" si="186"/>
        <v>132</v>
      </c>
      <c r="B139" s="112"/>
      <c r="C139" s="84" t="s">
        <v>56</v>
      </c>
      <c r="E139" s="82">
        <f>3175+1787</f>
        <v>4962</v>
      </c>
      <c r="F139" s="75">
        <v>11.75</v>
      </c>
      <c r="G139" s="83">
        <f t="shared" si="180"/>
        <v>58303.5</v>
      </c>
      <c r="H139" s="75">
        <v>13.31</v>
      </c>
      <c r="I139" s="83">
        <f t="shared" si="181"/>
        <v>66044.22</v>
      </c>
      <c r="J139" s="76">
        <f t="shared" si="166"/>
        <v>2.4327913693819984E-2</v>
      </c>
      <c r="K139" s="76"/>
      <c r="L139" s="75">
        <f t="shared" si="167"/>
        <v>14.04</v>
      </c>
      <c r="M139" s="83">
        <f t="shared" si="182"/>
        <v>69666.48</v>
      </c>
      <c r="N139" s="83">
        <f t="shared" si="183"/>
        <v>3622.2599999999948</v>
      </c>
      <c r="O139" s="76">
        <f t="shared" si="184"/>
        <v>5.4845980465815097E-2</v>
      </c>
      <c r="P139" s="76">
        <f t="shared" si="171"/>
        <v>2.4326106272220472E-2</v>
      </c>
      <c r="Q139" s="98">
        <f t="shared" si="185"/>
        <v>-1.8074215995117493E-6</v>
      </c>
      <c r="R139" s="98"/>
      <c r="T139" s="76">
        <f t="shared" si="179"/>
        <v>5.4845980465815014E-2</v>
      </c>
      <c r="W139" s="62">
        <v>12.07</v>
      </c>
    </row>
    <row r="140" spans="1:23" x14ac:dyDescent="0.2">
      <c r="A140" s="96">
        <f t="shared" si="186"/>
        <v>133</v>
      </c>
      <c r="B140" s="112"/>
      <c r="C140" s="84" t="s">
        <v>57</v>
      </c>
      <c r="E140" s="82">
        <v>811</v>
      </c>
      <c r="F140" s="75">
        <v>16.8</v>
      </c>
      <c r="G140" s="83">
        <f t="shared" si="180"/>
        <v>13624.800000000001</v>
      </c>
      <c r="H140" s="75">
        <v>19.04</v>
      </c>
      <c r="I140" s="83">
        <f t="shared" si="181"/>
        <v>15441.439999999999</v>
      </c>
      <c r="J140" s="76">
        <f t="shared" si="166"/>
        <v>5.6879772314412927E-3</v>
      </c>
      <c r="K140" s="76"/>
      <c r="L140" s="75">
        <f t="shared" si="167"/>
        <v>20.09</v>
      </c>
      <c r="M140" s="83">
        <f t="shared" si="182"/>
        <v>16292.99</v>
      </c>
      <c r="N140" s="83">
        <f t="shared" si="183"/>
        <v>851.55000000000109</v>
      </c>
      <c r="O140" s="76">
        <f t="shared" si="184"/>
        <v>5.5147058823529486E-2</v>
      </c>
      <c r="P140" s="76">
        <f t="shared" si="171"/>
        <v>5.6891780126141784E-3</v>
      </c>
      <c r="Q140" s="98">
        <f t="shared" si="185"/>
        <v>1.2007811728857384E-6</v>
      </c>
      <c r="R140" s="98"/>
      <c r="T140" s="76">
        <f t="shared" si="179"/>
        <v>5.5147058823529438E-2</v>
      </c>
      <c r="W140" s="62">
        <v>17.27</v>
      </c>
    </row>
    <row r="141" spans="1:23" x14ac:dyDescent="0.2">
      <c r="A141" s="96">
        <f t="shared" si="186"/>
        <v>134</v>
      </c>
      <c r="B141" s="112"/>
      <c r="C141" s="84" t="s">
        <v>59</v>
      </c>
      <c r="E141" s="82">
        <v>2113</v>
      </c>
      <c r="F141" s="75">
        <v>10.43</v>
      </c>
      <c r="G141" s="83">
        <f t="shared" si="180"/>
        <v>22038.59</v>
      </c>
      <c r="H141" s="75">
        <v>11.7</v>
      </c>
      <c r="I141" s="83">
        <f t="shared" si="181"/>
        <v>24722.1</v>
      </c>
      <c r="J141" s="76">
        <f t="shared" si="166"/>
        <v>9.1065821525333629E-3</v>
      </c>
      <c r="K141" s="76"/>
      <c r="L141" s="75">
        <f t="shared" si="167"/>
        <v>12.35</v>
      </c>
      <c r="M141" s="83">
        <f t="shared" si="182"/>
        <v>26095.55</v>
      </c>
      <c r="N141" s="83">
        <f t="shared" si="183"/>
        <v>1373.4500000000007</v>
      </c>
      <c r="O141" s="76">
        <f t="shared" si="184"/>
        <v>5.5555555555555587E-2</v>
      </c>
      <c r="P141" s="76">
        <f t="shared" si="171"/>
        <v>9.1120309585333275E-3</v>
      </c>
      <c r="Q141" s="98">
        <f t="shared" si="185"/>
        <v>5.4488059999645982E-6</v>
      </c>
      <c r="R141" s="98"/>
      <c r="T141" s="76">
        <f t="shared" si="179"/>
        <v>5.555555555555558E-2</v>
      </c>
      <c r="W141" s="62">
        <v>10.61</v>
      </c>
    </row>
    <row r="142" spans="1:23" x14ac:dyDescent="0.2">
      <c r="A142" s="96">
        <f t="shared" si="186"/>
        <v>135</v>
      </c>
      <c r="B142" s="112"/>
      <c r="C142" s="84" t="s">
        <v>58</v>
      </c>
      <c r="E142" s="82">
        <f>1778+1797</f>
        <v>3575</v>
      </c>
      <c r="F142" s="75">
        <v>18.36</v>
      </c>
      <c r="G142" s="83">
        <f t="shared" si="180"/>
        <v>65637</v>
      </c>
      <c r="H142" s="75">
        <v>20.76</v>
      </c>
      <c r="I142" s="83">
        <f t="shared" si="181"/>
        <v>74217</v>
      </c>
      <c r="J142" s="76">
        <f t="shared" si="166"/>
        <v>2.7338422205822673E-2</v>
      </c>
      <c r="K142" s="76"/>
      <c r="L142" s="75">
        <f t="shared" si="167"/>
        <v>21.9</v>
      </c>
      <c r="M142" s="83">
        <f t="shared" si="182"/>
        <v>78292.5</v>
      </c>
      <c r="N142" s="83">
        <f t="shared" si="183"/>
        <v>4075.5</v>
      </c>
      <c r="O142" s="76">
        <f t="shared" si="184"/>
        <v>5.4913294797687862E-2</v>
      </c>
      <c r="P142" s="76">
        <f t="shared" si="171"/>
        <v>2.7338135575642998E-2</v>
      </c>
      <c r="Q142" s="98">
        <f t="shared" si="185"/>
        <v>-2.8663017967445192E-7</v>
      </c>
      <c r="R142" s="98"/>
      <c r="T142" s="76">
        <f t="shared" si="179"/>
        <v>5.4913294797687806E-2</v>
      </c>
      <c r="W142" s="62">
        <v>18.829999999999998</v>
      </c>
    </row>
    <row r="143" spans="1:23" x14ac:dyDescent="0.2">
      <c r="A143" s="96">
        <f t="shared" si="186"/>
        <v>136</v>
      </c>
      <c r="B143" s="112"/>
      <c r="C143" s="84" t="s">
        <v>119</v>
      </c>
      <c r="E143" s="82">
        <f>1672+21145</f>
        <v>22817</v>
      </c>
      <c r="F143" s="75">
        <v>12.51</v>
      </c>
      <c r="G143" s="83">
        <f t="shared" si="180"/>
        <v>285440.67</v>
      </c>
      <c r="H143" s="75">
        <v>14.03</v>
      </c>
      <c r="I143" s="83">
        <f t="shared" si="181"/>
        <v>320122.51</v>
      </c>
      <c r="J143" s="76">
        <f t="shared" si="166"/>
        <v>0.11791967252742216</v>
      </c>
      <c r="K143" s="76"/>
      <c r="L143" s="75">
        <f t="shared" si="167"/>
        <v>14.8</v>
      </c>
      <c r="M143" s="83">
        <f t="shared" si="182"/>
        <v>337691.60000000003</v>
      </c>
      <c r="N143" s="83">
        <f t="shared" si="183"/>
        <v>17569.090000000026</v>
      </c>
      <c r="O143" s="76">
        <f t="shared" si="184"/>
        <v>5.4882394868139776E-2</v>
      </c>
      <c r="P143" s="76">
        <f t="shared" si="171"/>
        <v>0.11791498219568676</v>
      </c>
      <c r="Q143" s="98">
        <f t="shared" si="185"/>
        <v>-4.6903317354046736E-6</v>
      </c>
      <c r="R143" s="98"/>
      <c r="T143" s="76">
        <f t="shared" si="179"/>
        <v>5.4882394868139839E-2</v>
      </c>
      <c r="W143" s="62">
        <v>12.72</v>
      </c>
    </row>
    <row r="144" spans="1:23" s="90" customFormat="1" ht="24.6" customHeight="1" x14ac:dyDescent="0.25">
      <c r="A144" s="96">
        <f t="shared" si="186"/>
        <v>137</v>
      </c>
      <c r="C144" s="85"/>
      <c r="D144" s="86" t="s">
        <v>6</v>
      </c>
      <c r="E144" s="86"/>
      <c r="F144" s="86"/>
      <c r="G144" s="11">
        <f>SUM(G132:G143)</f>
        <v>2398880.9400000004</v>
      </c>
      <c r="H144" s="86"/>
      <c r="I144" s="11">
        <f>SUM(I132:I143)</f>
        <v>2714750.6700000009</v>
      </c>
      <c r="J144" s="99">
        <f>SUM(J132:J143)</f>
        <v>0.99999999999999989</v>
      </c>
      <c r="K144" s="78">
        <f>I144+Summary!I18</f>
        <v>2864420.9600000009</v>
      </c>
      <c r="L144" s="86"/>
      <c r="M144" s="11">
        <f>SUM(M132:M143)</f>
        <v>2863856.6</v>
      </c>
      <c r="N144" s="11">
        <f>SUM(N132:N143)</f>
        <v>149105.93000000014</v>
      </c>
      <c r="O144" s="99">
        <f t="shared" ref="O144" si="187">N144/I144</f>
        <v>5.4924355171077313E-2</v>
      </c>
      <c r="P144" s="99">
        <f>SUM(P132:P143)</f>
        <v>0.99999999999999978</v>
      </c>
      <c r="Q144" s="100">
        <f t="shared" ref="Q144" si="188">P144-J144</f>
        <v>0</v>
      </c>
      <c r="R144" s="101">
        <f>M144-K144</f>
        <v>-564.36000000080094</v>
      </c>
      <c r="S144" s="90">
        <f>K144/I144</f>
        <v>1.0551322416654934</v>
      </c>
    </row>
    <row r="145" spans="1:25" x14ac:dyDescent="0.2">
      <c r="A145" s="96">
        <f t="shared" si="186"/>
        <v>138</v>
      </c>
      <c r="D145" s="62" t="s">
        <v>26</v>
      </c>
      <c r="G145" s="83">
        <v>11363.859999999999</v>
      </c>
      <c r="I145" s="84">
        <f>G145</f>
        <v>11363.859999999999</v>
      </c>
      <c r="M145" s="83">
        <f>I145</f>
        <v>11363.859999999999</v>
      </c>
      <c r="N145" s="83">
        <f>M145-I145</f>
        <v>0</v>
      </c>
      <c r="O145" s="75">
        <v>0</v>
      </c>
    </row>
    <row r="146" spans="1:25" x14ac:dyDescent="0.2">
      <c r="A146" s="96">
        <f t="shared" si="186"/>
        <v>139</v>
      </c>
      <c r="D146" s="62" t="s">
        <v>27</v>
      </c>
      <c r="G146" s="83">
        <v>66929.03</v>
      </c>
      <c r="I146" s="84">
        <f>G146</f>
        <v>66929.03</v>
      </c>
      <c r="M146" s="83">
        <f t="shared" ref="M146:M147" si="189">I146</f>
        <v>66929.03</v>
      </c>
      <c r="N146" s="83">
        <f>M146-I146</f>
        <v>0</v>
      </c>
      <c r="O146" s="75">
        <v>0</v>
      </c>
    </row>
    <row r="147" spans="1:25" x14ac:dyDescent="0.2">
      <c r="A147" s="96">
        <f t="shared" si="186"/>
        <v>140</v>
      </c>
      <c r="D147" s="62" t="s">
        <v>30</v>
      </c>
      <c r="G147" s="83">
        <v>0</v>
      </c>
      <c r="I147" s="84">
        <v>0</v>
      </c>
      <c r="M147" s="83">
        <f t="shared" si="189"/>
        <v>0</v>
      </c>
      <c r="N147" s="83">
        <f>M147-I147</f>
        <v>0</v>
      </c>
      <c r="O147" s="75">
        <v>0</v>
      </c>
    </row>
    <row r="148" spans="1:25" x14ac:dyDescent="0.2">
      <c r="A148" s="96">
        <f t="shared" si="186"/>
        <v>141</v>
      </c>
      <c r="D148" s="62" t="s">
        <v>65</v>
      </c>
      <c r="G148" s="83"/>
      <c r="I148" s="84"/>
      <c r="M148" s="83"/>
      <c r="N148" s="83"/>
      <c r="O148" s="75"/>
    </row>
    <row r="149" spans="1:25" x14ac:dyDescent="0.2">
      <c r="A149" s="96">
        <f t="shared" si="186"/>
        <v>142</v>
      </c>
      <c r="D149" s="79" t="s">
        <v>8</v>
      </c>
      <c r="E149" s="79"/>
      <c r="F149" s="79"/>
      <c r="G149" s="104">
        <f>SUM(G145:G147)</f>
        <v>78292.89</v>
      </c>
      <c r="H149" s="79"/>
      <c r="I149" s="104">
        <f>SUM(I145:I147)</f>
        <v>78292.89</v>
      </c>
      <c r="J149" s="79"/>
      <c r="K149" s="79"/>
      <c r="L149" s="79"/>
      <c r="M149" s="104">
        <f>SUM(M145:M147)</f>
        <v>78292.89</v>
      </c>
      <c r="N149" s="104">
        <f>M149-I149</f>
        <v>0</v>
      </c>
      <c r="O149" s="105">
        <f>N149-J149</f>
        <v>0</v>
      </c>
    </row>
    <row r="150" spans="1:25" s="90" customFormat="1" ht="26.45" customHeight="1" thickBot="1" x14ac:dyDescent="0.25">
      <c r="A150" s="96">
        <f t="shared" si="186"/>
        <v>143</v>
      </c>
      <c r="C150" s="85"/>
      <c r="D150" s="80" t="s">
        <v>19</v>
      </c>
      <c r="E150" s="80"/>
      <c r="F150" s="80"/>
      <c r="G150" s="106">
        <f>G144+G149</f>
        <v>2477173.8300000005</v>
      </c>
      <c r="H150" s="80"/>
      <c r="I150" s="107">
        <f>I149+I144</f>
        <v>2793043.560000001</v>
      </c>
      <c r="J150" s="80"/>
      <c r="K150" s="80"/>
      <c r="L150" s="80"/>
      <c r="M150" s="106">
        <f>M149+M144</f>
        <v>2942149.49</v>
      </c>
      <c r="N150" s="106">
        <f>M150-I150</f>
        <v>149105.92999999924</v>
      </c>
      <c r="O150" s="108">
        <f>N150/I150</f>
        <v>5.3384749216012654E-2</v>
      </c>
      <c r="P150" s="62"/>
      <c r="Q150" s="62"/>
      <c r="R150" s="62"/>
    </row>
    <row r="151" spans="1:25" ht="14.25" thickTop="1" thickBot="1" x14ac:dyDescent="0.25">
      <c r="A151" s="96">
        <f t="shared" si="186"/>
        <v>144</v>
      </c>
      <c r="G151" s="109"/>
      <c r="I151" s="109"/>
      <c r="M151" s="109"/>
      <c r="N151" s="109"/>
      <c r="O151" s="76"/>
      <c r="X151" s="90"/>
      <c r="Y151" s="90"/>
    </row>
    <row r="152" spans="1:25" x14ac:dyDescent="0.2">
      <c r="A152" s="96">
        <f t="shared" si="186"/>
        <v>145</v>
      </c>
      <c r="B152" s="74" t="s">
        <v>118</v>
      </c>
      <c r="C152" s="74" t="s">
        <v>71</v>
      </c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X152" s="90"/>
      <c r="Y152" s="90"/>
    </row>
    <row r="153" spans="1:25" x14ac:dyDescent="0.2">
      <c r="A153" s="96">
        <f t="shared" si="186"/>
        <v>146</v>
      </c>
      <c r="C153" s="62"/>
      <c r="D153" s="62" t="s">
        <v>17</v>
      </c>
      <c r="E153" s="82">
        <v>12</v>
      </c>
      <c r="F153" s="75">
        <v>5726.7</v>
      </c>
      <c r="G153" s="83">
        <f>F153*E153</f>
        <v>68720.399999999994</v>
      </c>
      <c r="H153" s="75">
        <v>5726.7</v>
      </c>
      <c r="I153" s="83">
        <f>H153*E153</f>
        <v>68720.399999999994</v>
      </c>
      <c r="J153" s="76">
        <f>I153/I157</f>
        <v>1.2766505400763335E-2</v>
      </c>
      <c r="K153" s="76"/>
      <c r="L153" s="75">
        <v>6127.6</v>
      </c>
      <c r="M153" s="83">
        <f>L153*E153</f>
        <v>73531.200000000012</v>
      </c>
      <c r="N153" s="83">
        <f>M153-I153</f>
        <v>4810.8000000000175</v>
      </c>
      <c r="O153" s="76">
        <f>IF(I153=0,0,N153/I153)</f>
        <v>7.0005413239736927E-2</v>
      </c>
      <c r="P153" s="76">
        <f>M153/M$157</f>
        <v>1.2207505253337395E-2</v>
      </c>
      <c r="Q153" s="98">
        <f>P153-J153</f>
        <v>-5.5900014742593998E-4</v>
      </c>
      <c r="R153" s="98"/>
      <c r="T153" s="76">
        <f t="shared" ref="T153:T156" si="190">L153/H153-1</f>
        <v>7.0005413239736747E-2</v>
      </c>
      <c r="V153" s="77"/>
      <c r="X153" s="90"/>
      <c r="Y153" s="90"/>
    </row>
    <row r="154" spans="1:25" x14ac:dyDescent="0.2">
      <c r="A154" s="96">
        <f t="shared" si="186"/>
        <v>147</v>
      </c>
      <c r="D154" s="62" t="s">
        <v>89</v>
      </c>
      <c r="E154" s="82">
        <v>188233.92000000004</v>
      </c>
      <c r="F154" s="75">
        <v>7.3</v>
      </c>
      <c r="G154" s="83">
        <f t="shared" ref="G154:G156" si="191">F154*E154</f>
        <v>1374107.6160000004</v>
      </c>
      <c r="H154" s="75">
        <v>7.3</v>
      </c>
      <c r="I154" s="83">
        <f>H154*E154</f>
        <v>1374107.6160000004</v>
      </c>
      <c r="J154" s="76">
        <f>I154/I157</f>
        <v>0.25527430429528986</v>
      </c>
      <c r="K154" s="76"/>
      <c r="L154" s="75">
        <v>9.14</v>
      </c>
      <c r="M154" s="83">
        <f>L154*E154</f>
        <v>1720458.0288000004</v>
      </c>
      <c r="N154" s="83">
        <f t="shared" ref="N154:N160" si="192">M154-I154</f>
        <v>346350.41280000005</v>
      </c>
      <c r="O154" s="76">
        <f t="shared" ref="O154:O156" si="193">IF(I154=0,0,N154/I154)</f>
        <v>0.25205479452054791</v>
      </c>
      <c r="P154" s="76">
        <f>M154/M$157</f>
        <v>0.28562705932614324</v>
      </c>
      <c r="Q154" s="98">
        <f t="shared" ref="Q154:Q157" si="194">P154-J154</f>
        <v>3.0352755030853384E-2</v>
      </c>
      <c r="R154" s="98"/>
      <c r="T154" s="76">
        <f t="shared" si="190"/>
        <v>0.25205479452054802</v>
      </c>
      <c r="X154" s="90"/>
      <c r="Y154" s="90"/>
    </row>
    <row r="155" spans="1:25" x14ac:dyDescent="0.2">
      <c r="A155" s="96">
        <f t="shared" si="186"/>
        <v>148</v>
      </c>
      <c r="B155" s="113"/>
      <c r="D155" s="62" t="s">
        <v>92</v>
      </c>
      <c r="E155" s="82">
        <v>98233.919999999998</v>
      </c>
      <c r="F155" s="75">
        <v>-5.6</v>
      </c>
      <c r="G155" s="83">
        <f t="shared" si="191"/>
        <v>-550109.95199999993</v>
      </c>
      <c r="H155" s="75">
        <v>-5.6</v>
      </c>
      <c r="I155" s="83">
        <f>H155*E155</f>
        <v>-550109.95199999993</v>
      </c>
      <c r="J155" s="76">
        <f>I155/I157</f>
        <v>-0.10219646092312704</v>
      </c>
      <c r="K155" s="76"/>
      <c r="L155" s="75">
        <f>H155</f>
        <v>-5.6</v>
      </c>
      <c r="M155" s="83">
        <f>L155*E155</f>
        <v>-550109.95199999993</v>
      </c>
      <c r="N155" s="83">
        <f t="shared" si="192"/>
        <v>0</v>
      </c>
      <c r="O155" s="76">
        <f t="shared" si="193"/>
        <v>0</v>
      </c>
      <c r="P155" s="76">
        <f>M155/M$157</f>
        <v>-9.1328172652604345E-2</v>
      </c>
      <c r="Q155" s="98">
        <f t="shared" si="194"/>
        <v>1.0868288270522691E-2</v>
      </c>
      <c r="R155" s="98"/>
      <c r="T155" s="76">
        <f t="shared" si="190"/>
        <v>0</v>
      </c>
      <c r="X155" s="90"/>
      <c r="Y155" s="90"/>
    </row>
    <row r="156" spans="1:25" x14ac:dyDescent="0.2">
      <c r="A156" s="96">
        <f>A154+1</f>
        <v>148</v>
      </c>
      <c r="D156" s="62" t="s">
        <v>82</v>
      </c>
      <c r="E156" s="82">
        <v>87255128</v>
      </c>
      <c r="F156" s="131">
        <v>4.0210000000000003E-2</v>
      </c>
      <c r="G156" s="83">
        <f t="shared" si="191"/>
        <v>3508528.6968800002</v>
      </c>
      <c r="H156" s="130">
        <v>5.1459999999999999E-2</v>
      </c>
      <c r="I156" s="83">
        <f t="shared" ref="I156" si="195">H156*E156</f>
        <v>4490148.8868800001</v>
      </c>
      <c r="J156" s="76">
        <f>I156/I157</f>
        <v>0.83415565122707391</v>
      </c>
      <c r="K156" s="76"/>
      <c r="L156" s="130">
        <f>H156*S156</f>
        <v>5.4776869215274172E-2</v>
      </c>
      <c r="M156" s="83">
        <f t="shared" ref="M156" si="196">L156*E156</f>
        <v>4779562.7348180078</v>
      </c>
      <c r="N156" s="83">
        <f t="shared" si="192"/>
        <v>289413.84793800768</v>
      </c>
      <c r="O156" s="76">
        <f t="shared" si="193"/>
        <v>6.4455289842094338E-2</v>
      </c>
      <c r="P156" s="76">
        <f>M156/M$157</f>
        <v>0.79349360807312364</v>
      </c>
      <c r="Q156" s="98">
        <f t="shared" si="194"/>
        <v>-4.0662043153950278E-2</v>
      </c>
      <c r="R156" s="98"/>
      <c r="S156" s="121">
        <v>1.0644552898420943</v>
      </c>
      <c r="T156" s="76">
        <f t="shared" si="190"/>
        <v>6.4455289842094254E-2</v>
      </c>
      <c r="X156" s="90"/>
      <c r="Y156" s="90"/>
    </row>
    <row r="157" spans="1:25" s="90" customFormat="1" ht="20.45" customHeight="1" x14ac:dyDescent="0.25">
      <c r="A157" s="96">
        <f t="shared" si="186"/>
        <v>149</v>
      </c>
      <c r="C157" s="85"/>
      <c r="D157" s="86" t="s">
        <v>6</v>
      </c>
      <c r="E157" s="86"/>
      <c r="F157" s="86"/>
      <c r="G157" s="11">
        <f>SUM(G153:G156)</f>
        <v>4401246.7608800009</v>
      </c>
      <c r="H157" s="86"/>
      <c r="I157" s="11">
        <f>SUM(I153:I156)</f>
        <v>5382866.9508800004</v>
      </c>
      <c r="J157" s="99">
        <f>SUM(J153:J156)</f>
        <v>1</v>
      </c>
      <c r="K157" s="78">
        <f>I157+Summary!I25</f>
        <v>6023442.0116180014</v>
      </c>
      <c r="L157" s="86"/>
      <c r="M157" s="11">
        <f>SUM(M153:M156)</f>
        <v>6023442.0116180088</v>
      </c>
      <c r="N157" s="11">
        <f>SUM(N153:N156)</f>
        <v>640575.06073800777</v>
      </c>
      <c r="O157" s="99">
        <f t="shared" ref="O157" si="197">N157/I157</f>
        <v>0.11900258107499488</v>
      </c>
      <c r="P157" s="99">
        <f>SUM(P153:P156)</f>
        <v>1</v>
      </c>
      <c r="Q157" s="100">
        <f t="shared" si="194"/>
        <v>0</v>
      </c>
      <c r="R157" s="101">
        <f>M157-K157</f>
        <v>7.4505805969238281E-9</v>
      </c>
      <c r="S157" s="90">
        <v>1.1079000000000001</v>
      </c>
      <c r="V157" s="90">
        <f>Summary!I25</f>
        <v>640575.06073800102</v>
      </c>
      <c r="W157" s="119">
        <f>I157</f>
        <v>5382866.9508800004</v>
      </c>
      <c r="X157" s="120"/>
    </row>
    <row r="158" spans="1:25" x14ac:dyDescent="0.2">
      <c r="A158" s="96">
        <f t="shared" si="186"/>
        <v>150</v>
      </c>
      <c r="D158" s="62" t="s">
        <v>26</v>
      </c>
      <c r="G158" s="83">
        <v>978024.59000000008</v>
      </c>
      <c r="I158" s="84">
        <f>G158-(I156-G156)</f>
        <v>-3595.5999999998603</v>
      </c>
      <c r="K158" s="84"/>
      <c r="M158" s="83">
        <f>I158</f>
        <v>-3595.5999999998603</v>
      </c>
      <c r="N158" s="83">
        <f t="shared" si="192"/>
        <v>0</v>
      </c>
      <c r="O158" s="75">
        <v>0</v>
      </c>
      <c r="X158" s="90"/>
      <c r="Y158" s="90"/>
    </row>
    <row r="159" spans="1:25" x14ac:dyDescent="0.2">
      <c r="A159" s="96">
        <f t="shared" si="186"/>
        <v>151</v>
      </c>
      <c r="D159" s="62" t="s">
        <v>27</v>
      </c>
      <c r="G159" s="83">
        <v>655096.84</v>
      </c>
      <c r="I159" s="84">
        <f t="shared" ref="I159:I161" si="198">G159</f>
        <v>655096.84</v>
      </c>
      <c r="M159" s="83">
        <f t="shared" ref="M159:M161" si="199">I159</f>
        <v>655096.84</v>
      </c>
      <c r="N159" s="83">
        <f t="shared" si="192"/>
        <v>0</v>
      </c>
      <c r="O159" s="75">
        <v>0</v>
      </c>
      <c r="X159" s="90"/>
      <c r="Y159" s="90"/>
    </row>
    <row r="160" spans="1:25" x14ac:dyDescent="0.2">
      <c r="A160" s="96">
        <f t="shared" si="186"/>
        <v>152</v>
      </c>
      <c r="D160" s="62" t="s">
        <v>113</v>
      </c>
      <c r="G160" s="83">
        <v>123705.26999999999</v>
      </c>
      <c r="I160" s="84">
        <f t="shared" si="198"/>
        <v>123705.26999999999</v>
      </c>
      <c r="M160" s="83">
        <f t="shared" si="199"/>
        <v>123705.26999999999</v>
      </c>
      <c r="N160" s="83">
        <f t="shared" si="192"/>
        <v>0</v>
      </c>
      <c r="O160" s="75">
        <v>0</v>
      </c>
    </row>
    <row r="161" spans="1:18" x14ac:dyDescent="0.2">
      <c r="A161" s="96">
        <f t="shared" si="186"/>
        <v>153</v>
      </c>
      <c r="D161" s="62" t="s">
        <v>65</v>
      </c>
      <c r="G161" s="83">
        <v>0</v>
      </c>
      <c r="I161" s="84">
        <f t="shared" si="198"/>
        <v>0</v>
      </c>
      <c r="M161" s="83">
        <f t="shared" si="199"/>
        <v>0</v>
      </c>
      <c r="N161" s="83"/>
      <c r="O161" s="75"/>
    </row>
    <row r="162" spans="1:18" x14ac:dyDescent="0.2">
      <c r="A162" s="96">
        <f t="shared" si="186"/>
        <v>154</v>
      </c>
      <c r="D162" s="79" t="s">
        <v>8</v>
      </c>
      <c r="E162" s="79"/>
      <c r="F162" s="79"/>
      <c r="G162" s="104">
        <f>SUM(G158:G161)</f>
        <v>1756826.7000000002</v>
      </c>
      <c r="H162" s="79"/>
      <c r="I162" s="104">
        <f>SUM(I158:I161)</f>
        <v>775206.51000000013</v>
      </c>
      <c r="J162" s="79"/>
      <c r="K162" s="79"/>
      <c r="L162" s="79"/>
      <c r="M162" s="104">
        <f>SUM(M158:M161)</f>
        <v>775206.51000000013</v>
      </c>
      <c r="N162" s="104">
        <f t="shared" ref="N162:N163" si="200">M162-I162</f>
        <v>0</v>
      </c>
      <c r="O162" s="105">
        <f t="shared" ref="O162" si="201">N162-J162</f>
        <v>0</v>
      </c>
    </row>
    <row r="163" spans="1:18" s="90" customFormat="1" ht="26.45" customHeight="1" thickBot="1" x14ac:dyDescent="0.25">
      <c r="A163" s="96">
        <f t="shared" si="186"/>
        <v>155</v>
      </c>
      <c r="C163" s="85"/>
      <c r="D163" s="80" t="s">
        <v>19</v>
      </c>
      <c r="E163" s="80"/>
      <c r="F163" s="80"/>
      <c r="G163" s="106">
        <f>G157+G162</f>
        <v>6158073.4608800011</v>
      </c>
      <c r="H163" s="80"/>
      <c r="I163" s="107">
        <f>I162+I157</f>
        <v>6158073.4608800001</v>
      </c>
      <c r="J163" s="80"/>
      <c r="K163" s="80"/>
      <c r="L163" s="80"/>
      <c r="M163" s="106">
        <f>M162+M157</f>
        <v>6798648.5216180086</v>
      </c>
      <c r="N163" s="106">
        <f t="shared" si="200"/>
        <v>640575.06073800847</v>
      </c>
      <c r="O163" s="108">
        <f>N163/I163</f>
        <v>0.10402199077476888</v>
      </c>
      <c r="P163" s="62"/>
      <c r="Q163" s="62"/>
      <c r="R163" s="62"/>
    </row>
    <row r="164" spans="1:18" ht="13.5" thickTop="1" x14ac:dyDescent="0.2">
      <c r="A164" s="96">
        <f t="shared" si="186"/>
        <v>156</v>
      </c>
      <c r="D164" s="62" t="s">
        <v>18</v>
      </c>
      <c r="E164" s="75">
        <f>E156/E153</f>
        <v>7271260.666666667</v>
      </c>
      <c r="G164" s="109">
        <f>G163/E153</f>
        <v>513172.78840666678</v>
      </c>
      <c r="I164" s="109">
        <f>I163/E153</f>
        <v>513172.78840666666</v>
      </c>
      <c r="M164" s="109">
        <f>M163/E153</f>
        <v>566554.04346816742</v>
      </c>
      <c r="N164" s="114">
        <f>N163/E153</f>
        <v>53381.255061500706</v>
      </c>
      <c r="O164" s="76">
        <f>O163</f>
        <v>0.10402199077476888</v>
      </c>
    </row>
    <row r="165" spans="1:18" x14ac:dyDescent="0.2">
      <c r="A165" s="96">
        <f t="shared" si="186"/>
        <v>157</v>
      </c>
    </row>
    <row r="166" spans="1:18" x14ac:dyDescent="0.2">
      <c r="A166" s="96">
        <f t="shared" si="186"/>
        <v>158</v>
      </c>
    </row>
    <row r="167" spans="1:18" x14ac:dyDescent="0.2">
      <c r="A167" s="96">
        <f t="shared" si="186"/>
        <v>159</v>
      </c>
    </row>
    <row r="168" spans="1:18" s="90" customFormat="1" ht="19.899999999999999" customHeight="1" x14ac:dyDescent="0.25">
      <c r="A168" s="96">
        <f t="shared" si="186"/>
        <v>160</v>
      </c>
      <c r="B168" s="90" t="s">
        <v>29</v>
      </c>
      <c r="C168" s="85"/>
      <c r="D168" s="86" t="s">
        <v>6</v>
      </c>
      <c r="E168" s="86"/>
      <c r="F168" s="86"/>
      <c r="G168" s="115">
        <f>G10+G24+G37+G50+G92+G107+G122+G63+G144+G78+G157</f>
        <v>116749640.21375448</v>
      </c>
      <c r="H168" s="115"/>
      <c r="I168" s="115">
        <f>I10+I24+I37+I50+I92+I107+I122+I63+I144+I78+I157</f>
        <v>135260326.92160958</v>
      </c>
      <c r="J168" s="86"/>
      <c r="K168" s="86"/>
      <c r="L168" s="86"/>
      <c r="M168" s="115">
        <f t="shared" ref="M168:N172" si="202">M10+M24+M37+M50+M92+M107+M122+M63+M144+M78+M157</f>
        <v>143471250.70345634</v>
      </c>
      <c r="N168" s="115">
        <f t="shared" si="202"/>
        <v>8210923.7818467552</v>
      </c>
      <c r="O168" s="99">
        <f>N168/I168</f>
        <v>6.0704598079268389E-2</v>
      </c>
    </row>
    <row r="169" spans="1:18" x14ac:dyDescent="0.2">
      <c r="A169" s="96">
        <f t="shared" si="186"/>
        <v>161</v>
      </c>
      <c r="D169" s="62" t="s">
        <v>26</v>
      </c>
      <c r="G169" s="84">
        <f>G11+G25+G38+G51+G93+G108+G123+G64+G145+G79+G158</f>
        <v>15754779.779999999</v>
      </c>
      <c r="H169" s="84"/>
      <c r="I169" s="84">
        <f>I11+I25+I38+I51+I93+I108+I123+I64+I145+I79+I158</f>
        <v>517861.60281642259</v>
      </c>
      <c r="M169" s="84">
        <f t="shared" si="202"/>
        <v>517861.60281642259</v>
      </c>
      <c r="N169" s="84">
        <f t="shared" si="202"/>
        <v>0</v>
      </c>
    </row>
    <row r="170" spans="1:18" x14ac:dyDescent="0.2">
      <c r="A170" s="96">
        <f t="shared" si="186"/>
        <v>162</v>
      </c>
      <c r="D170" s="62" t="s">
        <v>27</v>
      </c>
      <c r="G170" s="84">
        <f>G12+G26+G39+G52+G94+G109+G124+G65+G146+G80+G159</f>
        <v>15939221.369999999</v>
      </c>
      <c r="H170" s="84"/>
      <c r="I170" s="84">
        <f>I12+I26+I39+I52+I94+I109+I124+I65+I146+I80+I159</f>
        <v>15939221.369999999</v>
      </c>
      <c r="M170" s="84">
        <f t="shared" si="202"/>
        <v>15939221.369999999</v>
      </c>
      <c r="N170" s="84">
        <f t="shared" si="202"/>
        <v>0</v>
      </c>
    </row>
    <row r="171" spans="1:18" x14ac:dyDescent="0.2">
      <c r="A171" s="96">
        <f t="shared" si="186"/>
        <v>163</v>
      </c>
      <c r="D171" s="62" t="s">
        <v>30</v>
      </c>
      <c r="G171" s="84">
        <f>G13+G27+G40+G53+G95+G110+G125+G66+G147+G81+G160</f>
        <v>575122.52185268805</v>
      </c>
      <c r="H171" s="84"/>
      <c r="I171" s="84">
        <f>I13+I27+I40+I53+I95+I110+I125+I66+I147+I81+I160</f>
        <v>575122.52185268805</v>
      </c>
      <c r="M171" s="84">
        <f t="shared" si="202"/>
        <v>575122.52185268805</v>
      </c>
      <c r="N171" s="84">
        <f t="shared" si="202"/>
        <v>0</v>
      </c>
    </row>
    <row r="172" spans="1:18" x14ac:dyDescent="0.2">
      <c r="A172" s="96">
        <f t="shared" si="186"/>
        <v>164</v>
      </c>
      <c r="D172" s="62" t="s">
        <v>65</v>
      </c>
      <c r="G172" s="84">
        <f>G14+G28+G41+G54+G96+G111+G126+G67+G148+G82+G161</f>
        <v>0</v>
      </c>
      <c r="I172" s="84">
        <f>I14+I28+I41+I54+I96+I111+I126+I67+I148+I82+I161</f>
        <v>0</v>
      </c>
      <c r="M172" s="84">
        <f t="shared" si="202"/>
        <v>0</v>
      </c>
      <c r="N172" s="84">
        <f t="shared" si="202"/>
        <v>0</v>
      </c>
      <c r="O172" s="75"/>
    </row>
    <row r="173" spans="1:18" x14ac:dyDescent="0.2">
      <c r="A173" s="96">
        <f t="shared" si="186"/>
        <v>165</v>
      </c>
      <c r="D173" s="79" t="s">
        <v>8</v>
      </c>
      <c r="E173" s="79"/>
      <c r="F173" s="79"/>
      <c r="G173" s="116">
        <f>SUM(G169:G172)</f>
        <v>32269123.671852686</v>
      </c>
      <c r="H173" s="116"/>
      <c r="I173" s="116">
        <f>SUM(I169:I172)</f>
        <v>17032205.49466911</v>
      </c>
      <c r="J173" s="79"/>
      <c r="K173" s="79"/>
      <c r="L173" s="79"/>
      <c r="M173" s="116">
        <f>SUM(M169:M172)</f>
        <v>17032205.49466911</v>
      </c>
      <c r="N173" s="116">
        <f>SUM(N169:N172)</f>
        <v>0</v>
      </c>
      <c r="O173" s="79"/>
    </row>
    <row r="174" spans="1:18" s="90" customFormat="1" ht="21" customHeight="1" thickBot="1" x14ac:dyDescent="0.3">
      <c r="A174" s="96">
        <f t="shared" si="186"/>
        <v>166</v>
      </c>
      <c r="C174" s="85"/>
      <c r="D174" s="80" t="s">
        <v>19</v>
      </c>
      <c r="E174" s="80"/>
      <c r="F174" s="80"/>
      <c r="G174" s="107">
        <f>G173+G168</f>
        <v>149018763.88560715</v>
      </c>
      <c r="H174" s="107"/>
      <c r="I174" s="107">
        <f>I173+I168</f>
        <v>152292532.41627869</v>
      </c>
      <c r="J174" s="80"/>
      <c r="K174" s="80"/>
      <c r="L174" s="80"/>
      <c r="M174" s="107">
        <f>M173+M168</f>
        <v>160503456.19812545</v>
      </c>
      <c r="N174" s="107">
        <f>N173+N168</f>
        <v>8210923.7818467552</v>
      </c>
      <c r="O174" s="108">
        <f>N174/I174</f>
        <v>5.3915472095525295E-2</v>
      </c>
    </row>
    <row r="175" spans="1:18" ht="13.5" thickTop="1" x14ac:dyDescent="0.2">
      <c r="A175" s="96">
        <f t="shared" si="186"/>
        <v>167</v>
      </c>
    </row>
    <row r="176" spans="1:18" x14ac:dyDescent="0.2">
      <c r="A176" s="96">
        <f t="shared" si="186"/>
        <v>168</v>
      </c>
      <c r="D176" s="62" t="s">
        <v>38</v>
      </c>
      <c r="N176" s="84">
        <f>N174-Summary!L4</f>
        <v>10508.633175694384</v>
      </c>
    </row>
    <row r="177" spans="1:28" x14ac:dyDescent="0.2">
      <c r="A177" s="96">
        <f t="shared" si="186"/>
        <v>169</v>
      </c>
      <c r="N177" s="84"/>
    </row>
    <row r="178" spans="1:28" x14ac:dyDescent="0.2">
      <c r="A178" s="96">
        <f t="shared" si="186"/>
        <v>170</v>
      </c>
      <c r="B178" s="117" t="s">
        <v>104</v>
      </c>
      <c r="N178" s="84"/>
    </row>
    <row r="179" spans="1:28" ht="13.5" thickBot="1" x14ac:dyDescent="0.25">
      <c r="A179" s="96">
        <f t="shared" si="186"/>
        <v>171</v>
      </c>
      <c r="D179" s="81"/>
      <c r="E179" s="81"/>
      <c r="F179" s="81"/>
      <c r="G179" s="81"/>
    </row>
    <row r="180" spans="1:28" x14ac:dyDescent="0.2">
      <c r="A180" s="96">
        <f t="shared" si="186"/>
        <v>172</v>
      </c>
      <c r="B180" s="74" t="s">
        <v>105</v>
      </c>
      <c r="C180" s="97" t="s">
        <v>49</v>
      </c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AB180" s="62" t="s">
        <v>107</v>
      </c>
    </row>
    <row r="181" spans="1:28" ht="12.6" customHeight="1" x14ac:dyDescent="0.2">
      <c r="A181" s="96">
        <f t="shared" si="186"/>
        <v>173</v>
      </c>
      <c r="D181" s="62" t="s">
        <v>17</v>
      </c>
      <c r="E181" s="82"/>
      <c r="F181" s="75"/>
      <c r="G181" s="83"/>
      <c r="H181" s="75">
        <v>57.82</v>
      </c>
      <c r="I181" s="83"/>
      <c r="J181" s="76"/>
      <c r="K181" s="76"/>
      <c r="L181" s="75">
        <f>H181*S181</f>
        <v>61.007746239765822</v>
      </c>
      <c r="M181" s="83"/>
      <c r="N181" s="83"/>
      <c r="O181" s="76"/>
      <c r="P181" s="76"/>
      <c r="Q181" s="98"/>
      <c r="R181" s="98"/>
      <c r="S181" s="118">
        <f>S78</f>
        <v>1.0551322421267004</v>
      </c>
      <c r="T181" s="76">
        <f t="shared" ref="T181:T183" si="203">L181/H181-1</f>
        <v>5.5132242126700426E-2</v>
      </c>
      <c r="V181" s="62" t="s">
        <v>106</v>
      </c>
    </row>
    <row r="182" spans="1:28" x14ac:dyDescent="0.2">
      <c r="A182" s="96">
        <f t="shared" si="186"/>
        <v>174</v>
      </c>
      <c r="D182" s="62" t="s">
        <v>86</v>
      </c>
      <c r="E182" s="82"/>
      <c r="F182" s="130"/>
      <c r="G182" s="83"/>
      <c r="H182" s="77">
        <v>0.10703</v>
      </c>
      <c r="I182" s="83"/>
      <c r="J182" s="76"/>
      <c r="K182" s="76"/>
      <c r="L182" s="77">
        <f>H182*S182</f>
        <v>0.11293080387482074</v>
      </c>
      <c r="M182" s="83"/>
      <c r="N182" s="83"/>
      <c r="O182" s="76"/>
      <c r="P182" s="76"/>
      <c r="Q182" s="98"/>
      <c r="R182" s="98"/>
      <c r="S182" s="118">
        <f>S181</f>
        <v>1.0551322421267004</v>
      </c>
      <c r="T182" s="76">
        <f t="shared" si="203"/>
        <v>5.5132242126700426E-2</v>
      </c>
    </row>
    <row r="183" spans="1:28" x14ac:dyDescent="0.2">
      <c r="A183" s="96">
        <f t="shared" si="186"/>
        <v>175</v>
      </c>
      <c r="D183" s="62" t="s">
        <v>87</v>
      </c>
      <c r="E183" s="82"/>
      <c r="F183" s="130"/>
      <c r="G183" s="83"/>
      <c r="H183" s="130">
        <v>7.5190000000000007E-2</v>
      </c>
      <c r="I183" s="83"/>
      <c r="J183" s="76"/>
      <c r="K183" s="76"/>
      <c r="L183" s="77">
        <f>H183*S183</f>
        <v>7.9335393285506609E-2</v>
      </c>
      <c r="M183" s="83"/>
      <c r="N183" s="83"/>
      <c r="O183" s="76"/>
      <c r="P183" s="76"/>
      <c r="Q183" s="98"/>
      <c r="R183" s="98"/>
      <c r="S183" s="118">
        <f>S182</f>
        <v>1.0551322421267004</v>
      </c>
      <c r="T183" s="76">
        <f t="shared" si="203"/>
        <v>5.5132242126700426E-2</v>
      </c>
    </row>
    <row r="184" spans="1:28" x14ac:dyDescent="0.2">
      <c r="A184" s="96"/>
      <c r="E184" s="82"/>
      <c r="F184" s="130"/>
      <c r="G184" s="83"/>
      <c r="H184" s="131"/>
      <c r="I184" s="83"/>
      <c r="J184" s="76"/>
      <c r="K184" s="76"/>
      <c r="L184" s="131"/>
      <c r="M184" s="83"/>
      <c r="N184" s="83"/>
      <c r="O184" s="76"/>
      <c r="P184" s="76"/>
      <c r="Q184" s="98"/>
      <c r="R184" s="98"/>
      <c r="S184" s="118"/>
      <c r="T184" s="76"/>
    </row>
    <row r="185" spans="1:28" x14ac:dyDescent="0.2">
      <c r="G185" s="62" t="s">
        <v>112</v>
      </c>
      <c r="H185" s="62">
        <v>1.1809999999999999E-2</v>
      </c>
      <c r="I185" s="62" t="s">
        <v>127</v>
      </c>
    </row>
    <row r="189" spans="1:28" x14ac:dyDescent="0.2">
      <c r="E189" s="82">
        <v>1294087950</v>
      </c>
    </row>
    <row r="190" spans="1:28" x14ac:dyDescent="0.2">
      <c r="E190" s="82">
        <f>E9+E21+E22+E23+E35+E36+E48+E61+E62+E74+E75+E89+E90+E103+E121+E156</f>
        <v>1294308302.1899726</v>
      </c>
    </row>
    <row r="191" spans="1:28" x14ac:dyDescent="0.2">
      <c r="E191" s="82">
        <f>E190-E189</f>
        <v>220352.18997263908</v>
      </c>
    </row>
    <row r="192" spans="1:28" x14ac:dyDescent="0.2">
      <c r="E192" s="76">
        <f>E191/E189</f>
        <v>1.7027605424549318E-4</v>
      </c>
    </row>
  </sheetData>
  <mergeCells count="1">
    <mergeCell ref="B19:B20"/>
  </mergeCells>
  <printOptions horizontalCentered="1"/>
  <pageMargins left="0.7" right="0.7" top="0.75" bottom="0.75" header="0.3" footer="0.3"/>
  <pageSetup scale="48" fitToHeight="3" orientation="landscape" r:id="rId1"/>
  <headerFooter>
    <oddHeader>&amp;R&amp;"Arial,Bold"&amp;12Exhibit 4
Page &amp;P of &amp;N</oddHeader>
  </headerFooter>
  <rowBreaks count="4" manualBreakCount="4">
    <brk id="45" max="17" man="1"/>
    <brk id="100" max="17" man="1"/>
    <brk id="130" max="17" man="1"/>
    <brk id="166" max="17" man="1"/>
  </rowBreaks>
  <ignoredErrors>
    <ignoredError sqref="M10 G75 I13 N157 N24 N107:O10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I101"/>
  <sheetViews>
    <sheetView view="pageBreakPreview" topLeftCell="A43" zoomScaleNormal="100" zoomScaleSheetLayoutView="100" workbookViewId="0">
      <selection activeCell="F5" sqref="F5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.140625" style="2" customWidth="1"/>
    <col min="4" max="4" width="38.7109375" style="10" customWidth="1"/>
    <col min="5" max="5" width="33.7109375" style="2" bestFit="1" customWidth="1"/>
    <col min="6" max="6" width="12.7109375" style="2" customWidth="1"/>
    <col min="7" max="7" width="12.5703125" style="2" customWidth="1"/>
    <col min="8" max="8" width="10.7109375" style="2" customWidth="1"/>
    <col min="9" max="16384" width="8.85546875" style="2"/>
  </cols>
  <sheetData>
    <row r="1" spans="1:9" x14ac:dyDescent="0.2">
      <c r="A1" s="1" t="str">
        <f>Summary!A1</f>
        <v>BLUE GRASS ENERGY</v>
      </c>
    </row>
    <row r="2" spans="1:9" x14ac:dyDescent="0.2">
      <c r="A2" s="1" t="s">
        <v>108</v>
      </c>
    </row>
    <row r="4" spans="1:9" x14ac:dyDescent="0.2">
      <c r="C4" s="44"/>
      <c r="D4" s="43" t="s">
        <v>79</v>
      </c>
      <c r="E4" s="43" t="s">
        <v>2</v>
      </c>
      <c r="F4" s="47" t="s">
        <v>80</v>
      </c>
      <c r="G4" s="47" t="s">
        <v>81</v>
      </c>
      <c r="H4" s="47" t="s">
        <v>109</v>
      </c>
      <c r="I4" s="47" t="s">
        <v>16</v>
      </c>
    </row>
    <row r="5" spans="1:9" x14ac:dyDescent="0.2">
      <c r="C5" s="64" t="str">
        <f>'Billing Detail'!C7</f>
        <v>GS-1</v>
      </c>
      <c r="D5" s="65" t="str">
        <f>'Billing Detail'!B7</f>
        <v>Residential , Farm &amp; Non-Farm</v>
      </c>
    </row>
    <row r="6" spans="1:9" x14ac:dyDescent="0.2">
      <c r="C6" s="64"/>
      <c r="D6" s="65"/>
      <c r="E6" s="2" t="str">
        <f>'Billing Detail'!D8</f>
        <v>Customer Charge</v>
      </c>
      <c r="F6" s="45">
        <f>'Billing Detail'!H8</f>
        <v>21.38</v>
      </c>
      <c r="G6" s="45">
        <f>'Billing Detail'!L8</f>
        <v>22.56</v>
      </c>
      <c r="H6" s="45">
        <f>G6-F6</f>
        <v>1.1799999999999997</v>
      </c>
      <c r="I6" s="5">
        <f>H6/F6</f>
        <v>5.519176800748362E-2</v>
      </c>
    </row>
    <row r="7" spans="1:9" x14ac:dyDescent="0.2">
      <c r="C7" s="64"/>
      <c r="D7" s="65"/>
      <c r="E7" s="2" t="str">
        <f>'Billing Detail'!D9</f>
        <v>Energy Charge per kWh</v>
      </c>
      <c r="F7" s="46">
        <f>'Billing Detail'!H9</f>
        <v>9.5780000000000004E-2</v>
      </c>
      <c r="G7" s="46">
        <f>'Billing Detail'!L9</f>
        <v>0.10106</v>
      </c>
      <c r="H7" s="46">
        <f t="shared" ref="H7:H66" si="0">G7-F7</f>
        <v>5.279999999999993E-3</v>
      </c>
      <c r="I7" s="5">
        <f t="shared" ref="I7:I66" si="1">H7/F7</f>
        <v>5.51263311756107E-2</v>
      </c>
    </row>
    <row r="8" spans="1:9" x14ac:dyDescent="0.2">
      <c r="C8" s="64" t="str">
        <f>'Billing Detail'!C19</f>
        <v>GS-2</v>
      </c>
      <c r="D8" s="65" t="str">
        <f>'Billing Detail'!B19</f>
        <v>Residential and Farm Inclining Block</v>
      </c>
      <c r="F8" s="45"/>
      <c r="G8" s="45"/>
      <c r="H8" s="45"/>
      <c r="I8" s="5"/>
    </row>
    <row r="9" spans="1:9" x14ac:dyDescent="0.2">
      <c r="C9" s="64"/>
      <c r="D9" s="65"/>
      <c r="E9" s="2" t="str">
        <f>'Billing Detail'!D20</f>
        <v>Customer Charge</v>
      </c>
      <c r="F9" s="45">
        <f>'Billing Detail'!H20</f>
        <v>18.64</v>
      </c>
      <c r="G9" s="45">
        <f>'Billing Detail'!L20</f>
        <v>19.670000000000002</v>
      </c>
      <c r="H9" s="45">
        <f t="shared" si="0"/>
        <v>1.0300000000000011</v>
      </c>
      <c r="I9" s="5">
        <f t="shared" si="1"/>
        <v>5.5257510729613796E-2</v>
      </c>
    </row>
    <row r="10" spans="1:9" x14ac:dyDescent="0.2">
      <c r="C10" s="64"/>
      <c r="D10" s="65"/>
      <c r="E10" s="2" t="str">
        <f>'Billing Detail'!D21</f>
        <v>Energy Charge - First 200 per kWh</v>
      </c>
      <c r="F10" s="46">
        <f>'Billing Detail'!H21</f>
        <v>8.8239999999999999E-2</v>
      </c>
      <c r="G10" s="46">
        <f>'Billing Detail'!L21</f>
        <v>9.3100000000000002E-2</v>
      </c>
      <c r="H10" s="46">
        <f t="shared" si="0"/>
        <v>4.8600000000000032E-3</v>
      </c>
      <c r="I10" s="5">
        <f t="shared" si="1"/>
        <v>5.5077062556663683E-2</v>
      </c>
    </row>
    <row r="11" spans="1:9" x14ac:dyDescent="0.2">
      <c r="C11" s="64"/>
      <c r="D11" s="65"/>
      <c r="E11" s="2" t="str">
        <f>'Billing Detail'!D22</f>
        <v>Energy Charge - Next 300 per kWh</v>
      </c>
      <c r="F11" s="46">
        <f>'Billing Detail'!H22</f>
        <v>0.10378999999999999</v>
      </c>
      <c r="G11" s="46">
        <f>'Billing Detail'!L22</f>
        <v>0.10951</v>
      </c>
      <c r="H11" s="46">
        <f t="shared" si="0"/>
        <v>5.7200000000000029E-3</v>
      </c>
      <c r="I11" s="5">
        <f t="shared" si="1"/>
        <v>5.5111282397148117E-2</v>
      </c>
    </row>
    <row r="12" spans="1:9" x14ac:dyDescent="0.2">
      <c r="C12" s="64"/>
      <c r="D12" s="65"/>
      <c r="E12" s="2" t="str">
        <f>'Billing Detail'!D23</f>
        <v>Energy Charge - Over 500 per kWh</v>
      </c>
      <c r="F12" s="46">
        <f>'Billing Detail'!H23</f>
        <v>0.11415</v>
      </c>
      <c r="G12" s="46">
        <f>'Billing Detail'!L23</f>
        <v>0.12044000000000001</v>
      </c>
      <c r="H12" s="46">
        <f t="shared" si="0"/>
        <v>6.2900000000000039E-3</v>
      </c>
      <c r="I12" s="5">
        <f t="shared" si="1"/>
        <v>5.5102934734997847E-2</v>
      </c>
    </row>
    <row r="13" spans="1:9" x14ac:dyDescent="0.2">
      <c r="C13" s="64" t="str">
        <f>'Billing Detail'!C33</f>
        <v>GS-3</v>
      </c>
      <c r="D13" s="65" t="str">
        <f>'Billing Detail'!B33</f>
        <v>Residential Time of Day</v>
      </c>
      <c r="F13" s="45"/>
      <c r="G13" s="45"/>
      <c r="H13" s="45"/>
      <c r="I13" s="5"/>
    </row>
    <row r="14" spans="1:9" x14ac:dyDescent="0.2">
      <c r="C14" s="64"/>
      <c r="D14" s="65"/>
      <c r="E14" s="2" t="str">
        <f>'Billing Detail'!D34</f>
        <v>Customer Charge</v>
      </c>
      <c r="F14" s="45">
        <f>'Billing Detail'!H34</f>
        <v>25.91</v>
      </c>
      <c r="G14" s="45">
        <f>'Billing Detail'!L34</f>
        <v>27.34</v>
      </c>
      <c r="H14" s="45">
        <f t="shared" si="0"/>
        <v>1.4299999999999997</v>
      </c>
      <c r="I14" s="5">
        <f t="shared" si="1"/>
        <v>5.5191045928213035E-2</v>
      </c>
    </row>
    <row r="15" spans="1:9" x14ac:dyDescent="0.2">
      <c r="C15" s="64"/>
      <c r="D15" s="65"/>
      <c r="E15" s="2" t="str">
        <f>'Billing Detail'!D35</f>
        <v>Energy Charge - On Peak per kWh</v>
      </c>
      <c r="F15" s="46">
        <f>'Billing Detail'!H35</f>
        <v>0.17036000000000001</v>
      </c>
      <c r="G15" s="46">
        <f>'Billing Detail'!L35</f>
        <v>0.17974999999999999</v>
      </c>
      <c r="H15" s="46">
        <f t="shared" si="0"/>
        <v>9.3899999999999817E-3</v>
      </c>
      <c r="I15" s="5">
        <f t="shared" si="1"/>
        <v>5.5118572434843749E-2</v>
      </c>
    </row>
    <row r="16" spans="1:9" x14ac:dyDescent="0.2">
      <c r="C16" s="64"/>
      <c r="D16" s="65"/>
      <c r="E16" s="2" t="str">
        <f>'Billing Detail'!D36</f>
        <v>Energy Charge - Off Peak per kWh</v>
      </c>
      <c r="F16" s="46">
        <f>'Billing Detail'!H36</f>
        <v>6.5979999999999997E-2</v>
      </c>
      <c r="G16" s="46">
        <f>'Billing Detail'!L36</f>
        <v>6.9620000000000001E-2</v>
      </c>
      <c r="H16" s="46">
        <f t="shared" si="0"/>
        <v>3.6400000000000043E-3</v>
      </c>
      <c r="I16" s="5">
        <f t="shared" si="1"/>
        <v>5.5168232797817587E-2</v>
      </c>
    </row>
    <row r="17" spans="3:9" x14ac:dyDescent="0.2">
      <c r="C17" s="64" t="str">
        <f>'Billing Detail'!C46</f>
        <v>SC-1</v>
      </c>
      <c r="D17" s="65" t="str">
        <f>'Billing Detail'!B46</f>
        <v>Small Commercial (0-100 kW)</v>
      </c>
      <c r="F17" s="45"/>
      <c r="G17" s="45"/>
      <c r="H17" s="45"/>
      <c r="I17" s="5"/>
    </row>
    <row r="18" spans="3:9" x14ac:dyDescent="0.2">
      <c r="C18" s="64"/>
      <c r="D18" s="65"/>
      <c r="E18" s="2" t="str">
        <f>'Billing Detail'!D47</f>
        <v>Customer Charge</v>
      </c>
      <c r="F18" s="45">
        <f>'Billing Detail'!H47</f>
        <v>33.69</v>
      </c>
      <c r="G18" s="45">
        <f>'Billing Detail'!L47</f>
        <v>35.549999999999997</v>
      </c>
      <c r="H18" s="45">
        <f t="shared" si="0"/>
        <v>1.8599999999999994</v>
      </c>
      <c r="I18" s="5">
        <f t="shared" si="1"/>
        <v>5.5209260908281377E-2</v>
      </c>
    </row>
    <row r="19" spans="3:9" x14ac:dyDescent="0.2">
      <c r="C19" s="64"/>
      <c r="D19" s="65"/>
      <c r="E19" s="2" t="str">
        <f>'Billing Detail'!D48</f>
        <v>Energy Charge per kWh</v>
      </c>
      <c r="F19" s="46">
        <f>'Billing Detail'!H48</f>
        <v>9.6439999999999998E-2</v>
      </c>
      <c r="G19" s="46">
        <f>'Billing Detail'!L48</f>
        <v>0.10176</v>
      </c>
      <c r="H19" s="46">
        <f t="shared" si="0"/>
        <v>5.3200000000000053E-3</v>
      </c>
      <c r="I19" s="5">
        <f t="shared" si="1"/>
        <v>5.5163832434674466E-2</v>
      </c>
    </row>
    <row r="20" spans="3:9" x14ac:dyDescent="0.2">
      <c r="C20" s="64"/>
      <c r="D20" s="65"/>
      <c r="E20" s="2" t="str">
        <f>'Billing Detail'!D49</f>
        <v>Demand Charge over 10 KW per kW</v>
      </c>
      <c r="F20" s="45">
        <f>'Billing Detail'!H49</f>
        <v>8.06</v>
      </c>
      <c r="G20" s="45">
        <f>'Billing Detail'!L49</f>
        <v>8.5043699999999998</v>
      </c>
      <c r="H20" s="45">
        <f t="shared" si="0"/>
        <v>0.44436999999999927</v>
      </c>
      <c r="I20" s="5">
        <f t="shared" si="1"/>
        <v>5.5132754342431665E-2</v>
      </c>
    </row>
    <row r="21" spans="3:9" x14ac:dyDescent="0.2">
      <c r="C21" s="64" t="str">
        <f>'Billing Detail'!C59</f>
        <v>SC-2</v>
      </c>
      <c r="D21" s="65" t="str">
        <f>'Billing Detail'!B59</f>
        <v>General Service 0-100 KW Time of Day Rate</v>
      </c>
      <c r="F21" s="45"/>
      <c r="G21" s="45"/>
      <c r="H21" s="45"/>
      <c r="I21" s="5"/>
    </row>
    <row r="22" spans="3:9" x14ac:dyDescent="0.2">
      <c r="C22" s="64"/>
      <c r="D22" s="65"/>
      <c r="E22" s="2" t="str">
        <f>'Billing Detail'!D60</f>
        <v>Customer Charge</v>
      </c>
      <c r="F22" s="45">
        <f>'Billing Detail'!H60</f>
        <v>41.46</v>
      </c>
      <c r="G22" s="45">
        <f>'Billing Detail'!L60</f>
        <v>43.75</v>
      </c>
      <c r="H22" s="45">
        <f t="shared" si="0"/>
        <v>2.2899999999999991</v>
      </c>
      <c r="I22" s="5">
        <f t="shared" si="1"/>
        <v>5.523396044380123E-2</v>
      </c>
    </row>
    <row r="23" spans="3:9" x14ac:dyDescent="0.2">
      <c r="C23" s="64"/>
      <c r="D23" s="65"/>
      <c r="E23" s="2" t="str">
        <f>'Billing Detail'!D61</f>
        <v>Energy Charge - On Peak per kWh</v>
      </c>
      <c r="F23" s="46">
        <f>'Billing Detail'!H61</f>
        <v>0.14183999999999999</v>
      </c>
      <c r="G23" s="46">
        <f>'Billing Detail'!L61</f>
        <v>0.14965999999999999</v>
      </c>
      <c r="H23" s="46">
        <f t="shared" si="0"/>
        <v>7.8199999999999936E-3</v>
      </c>
      <c r="I23" s="5">
        <f t="shared" si="1"/>
        <v>5.5132543711223871E-2</v>
      </c>
    </row>
    <row r="24" spans="3:9" x14ac:dyDescent="0.2">
      <c r="C24" s="64"/>
      <c r="D24" s="65"/>
      <c r="E24" s="2" t="str">
        <f>'Billing Detail'!D62</f>
        <v>Energy Charge - Off Peak per kWh</v>
      </c>
      <c r="F24" s="46">
        <f>'Billing Detail'!H62</f>
        <v>8.0119999999999997E-2</v>
      </c>
      <c r="G24" s="46">
        <f>'Billing Detail'!L62</f>
        <v>8.4540000000000004E-2</v>
      </c>
      <c r="H24" s="46">
        <f t="shared" si="0"/>
        <v>4.4200000000000073E-3</v>
      </c>
      <c r="I24" s="5">
        <f t="shared" si="1"/>
        <v>5.516724912631063E-2</v>
      </c>
    </row>
    <row r="25" spans="3:9" x14ac:dyDescent="0.2">
      <c r="C25" s="64" t="str">
        <f>'Billing Detail'!C72</f>
        <v>LP-1</v>
      </c>
      <c r="D25" s="65" t="str">
        <f>'Billing Detail'!B72</f>
        <v>Large Power (101 - 500 kW)</v>
      </c>
      <c r="F25" s="45"/>
      <c r="G25" s="45"/>
      <c r="H25" s="45"/>
      <c r="I25" s="5"/>
    </row>
    <row r="26" spans="3:9" x14ac:dyDescent="0.2">
      <c r="C26" s="64"/>
      <c r="D26" s="65"/>
      <c r="E26" s="2" t="str">
        <f>'Billing Detail'!D73</f>
        <v>Customer Charge</v>
      </c>
      <c r="F26" s="45">
        <f>'Billing Detail'!H73</f>
        <v>57.6</v>
      </c>
      <c r="G26" s="45">
        <f>'Billing Detail'!L73</f>
        <v>60.78</v>
      </c>
      <c r="H26" s="45">
        <f t="shared" si="0"/>
        <v>3.1799999999999997</v>
      </c>
      <c r="I26" s="5">
        <f t="shared" si="1"/>
        <v>5.5208333333333325E-2</v>
      </c>
    </row>
    <row r="27" spans="3:9" x14ac:dyDescent="0.2">
      <c r="C27" s="64"/>
      <c r="D27" s="65"/>
      <c r="E27" s="2" t="str">
        <f>'Billing Detail'!D74</f>
        <v>Energy Charge per kWh</v>
      </c>
      <c r="F27" s="46">
        <f>'Billing Detail'!H74</f>
        <v>6.5689999999999998E-2</v>
      </c>
      <c r="G27" s="46">
        <f>'Billing Detail'!L74</f>
        <v>6.9309999999999997E-2</v>
      </c>
      <c r="H27" s="46">
        <f t="shared" si="0"/>
        <v>3.6199999999999982E-3</v>
      </c>
      <c r="I27" s="5">
        <f t="shared" si="1"/>
        <v>5.5107322271274142E-2</v>
      </c>
    </row>
    <row r="28" spans="3:9" x14ac:dyDescent="0.2">
      <c r="C28" s="64"/>
      <c r="D28" s="65"/>
      <c r="E28" s="2" t="str">
        <f>'Billing Detail'!D76</f>
        <v>Demand Charge per kW</v>
      </c>
      <c r="F28" s="45">
        <f>'Billing Detail'!H76</f>
        <v>8.64</v>
      </c>
      <c r="G28" s="45">
        <f>'Billing Detail'!L76</f>
        <v>9.1199999999999992</v>
      </c>
      <c r="H28" s="45">
        <f t="shared" si="0"/>
        <v>0.47999999999999865</v>
      </c>
      <c r="I28" s="5">
        <f t="shared" si="1"/>
        <v>5.5555555555555393E-2</v>
      </c>
    </row>
    <row r="29" spans="3:9" x14ac:dyDescent="0.2">
      <c r="C29" s="64" t="str">
        <f>'Billing Detail'!C180</f>
        <v>LP-1</v>
      </c>
      <c r="D29" s="65" t="str">
        <f>'Billing Detail'!B180</f>
        <v>Large Power (101 - 500 kW) (Time of Day)</v>
      </c>
      <c r="F29" s="45"/>
      <c r="G29" s="45"/>
      <c r="H29" s="45"/>
      <c r="I29" s="5"/>
    </row>
    <row r="30" spans="3:9" x14ac:dyDescent="0.2">
      <c r="C30" s="64"/>
      <c r="D30" s="65"/>
      <c r="E30" s="2" t="str">
        <f>'Billing Detail'!D181</f>
        <v>Customer Charge</v>
      </c>
      <c r="F30" s="45">
        <f>'Billing Detail'!H181</f>
        <v>57.82</v>
      </c>
      <c r="G30" s="45">
        <f>'Billing Detail'!L181</f>
        <v>61.007746239765822</v>
      </c>
      <c r="H30" s="45">
        <f t="shared" si="0"/>
        <v>3.1877462397658221</v>
      </c>
      <c r="I30" s="5">
        <f t="shared" si="1"/>
        <v>5.5132242126700488E-2</v>
      </c>
    </row>
    <row r="31" spans="3:9" x14ac:dyDescent="0.2">
      <c r="C31" s="64"/>
      <c r="D31" s="65"/>
      <c r="E31" s="2" t="str">
        <f>'Billing Detail'!D182</f>
        <v>Energy Charge - On Peak per kWh</v>
      </c>
      <c r="F31" s="46">
        <f>'Billing Detail'!H182</f>
        <v>0.10703</v>
      </c>
      <c r="G31" s="46">
        <f>'Billing Detail'!L182</f>
        <v>0.11293080387482074</v>
      </c>
      <c r="H31" s="46">
        <f t="shared" si="0"/>
        <v>5.9008038748207398E-3</v>
      </c>
      <c r="I31" s="5">
        <f t="shared" si="1"/>
        <v>5.5132242126700363E-2</v>
      </c>
    </row>
    <row r="32" spans="3:9" x14ac:dyDescent="0.2">
      <c r="C32" s="64"/>
      <c r="D32" s="65"/>
      <c r="E32" s="2" t="str">
        <f>'Billing Detail'!D183</f>
        <v>Energy Charge - Off Peak per kWh</v>
      </c>
      <c r="F32" s="46">
        <f>'Billing Detail'!H183</f>
        <v>7.5190000000000007E-2</v>
      </c>
      <c r="G32" s="46">
        <f>'Billing Detail'!L183</f>
        <v>7.9335393285506609E-2</v>
      </c>
      <c r="H32" s="46">
        <f t="shared" si="0"/>
        <v>4.1453932855066017E-3</v>
      </c>
      <c r="I32" s="5">
        <f t="shared" si="1"/>
        <v>5.5132242126700377E-2</v>
      </c>
    </row>
    <row r="33" spans="3:9" x14ac:dyDescent="0.2">
      <c r="C33" s="64" t="str">
        <f>'Billing Detail'!C87</f>
        <v>LP-2</v>
      </c>
      <c r="D33" s="65" t="str">
        <f>'Billing Detail'!B87</f>
        <v>Large Power (over 500 kW)</v>
      </c>
      <c r="F33" s="45"/>
      <c r="G33" s="45"/>
      <c r="H33" s="45"/>
      <c r="I33" s="5"/>
    </row>
    <row r="34" spans="3:9" x14ac:dyDescent="0.2">
      <c r="C34" s="64"/>
      <c r="D34" s="65"/>
      <c r="E34" s="2" t="str">
        <f>'Billing Detail'!D88</f>
        <v>Customer Charge</v>
      </c>
      <c r="F34" s="45">
        <f>'Billing Detail'!H88</f>
        <v>115.2</v>
      </c>
      <c r="G34" s="45">
        <f>'Billing Detail'!L88</f>
        <v>121.55</v>
      </c>
      <c r="H34" s="45">
        <f t="shared" si="0"/>
        <v>6.3499999999999943</v>
      </c>
      <c r="I34" s="5">
        <f t="shared" si="1"/>
        <v>5.5121527777777728E-2</v>
      </c>
    </row>
    <row r="35" spans="3:9" x14ac:dyDescent="0.2">
      <c r="C35" s="64"/>
      <c r="D35" s="65"/>
      <c r="E35" s="2" t="str">
        <f>'Billing Detail'!D89</f>
        <v>Energy Charge per kWh</v>
      </c>
      <c r="F35" s="46">
        <f>'Billing Detail'!H89</f>
        <v>5.9319999999999998E-2</v>
      </c>
      <c r="G35" s="46">
        <f>'Billing Detail'!L89</f>
        <v>6.2590000000000007E-2</v>
      </c>
      <c r="H35" s="46">
        <f t="shared" si="0"/>
        <v>3.270000000000009E-3</v>
      </c>
      <c r="I35" s="5">
        <f t="shared" si="1"/>
        <v>5.5124747134187614E-2</v>
      </c>
    </row>
    <row r="36" spans="3:9" x14ac:dyDescent="0.2">
      <c r="C36" s="64"/>
      <c r="D36" s="65"/>
      <c r="E36" s="2" t="str">
        <f>'Billing Detail'!D91</f>
        <v>Demand Charge per kW</v>
      </c>
      <c r="F36" s="45">
        <f>'Billing Detail'!H91</f>
        <v>8.64</v>
      </c>
      <c r="G36" s="45">
        <f>'Billing Detail'!L91</f>
        <v>9.1199999999999992</v>
      </c>
      <c r="H36" s="45">
        <f t="shared" si="0"/>
        <v>0.47999999999999865</v>
      </c>
      <c r="I36" s="5">
        <f t="shared" si="1"/>
        <v>5.5555555555555393E-2</v>
      </c>
    </row>
    <row r="37" spans="3:9" x14ac:dyDescent="0.2">
      <c r="C37" s="64" t="str">
        <f>'Billing Detail'!C101</f>
        <v>B-1</v>
      </c>
      <c r="D37" s="65" t="str">
        <f>'Billing Detail'!B101</f>
        <v>Large Industrial (1,000 - 3,999 kW)</v>
      </c>
      <c r="F37" s="45"/>
      <c r="G37" s="45"/>
      <c r="H37" s="45"/>
      <c r="I37" s="5"/>
    </row>
    <row r="38" spans="3:9" x14ac:dyDescent="0.2">
      <c r="C38" s="64"/>
      <c r="D38" s="65"/>
      <c r="E38" s="42" t="str">
        <f>'Billing Detail'!D102</f>
        <v>Customer Charge</v>
      </c>
      <c r="F38" s="45">
        <f>'Billing Detail'!H102</f>
        <v>1150.8599999999999</v>
      </c>
      <c r="G38" s="45">
        <f>'Billing Detail'!L102</f>
        <v>1249.1099999999999</v>
      </c>
      <c r="H38" s="45">
        <f t="shared" si="0"/>
        <v>98.25</v>
      </c>
      <c r="I38" s="5">
        <f t="shared" si="1"/>
        <v>8.5370939992701123E-2</v>
      </c>
    </row>
    <row r="39" spans="3:9" x14ac:dyDescent="0.2">
      <c r="C39" s="64"/>
      <c r="D39" s="65"/>
      <c r="E39" s="42" t="str">
        <f>'Billing Detail'!D103</f>
        <v>Energy Charge per kWh</v>
      </c>
      <c r="F39" s="46">
        <f>'Billing Detail'!H103</f>
        <v>5.9859999999999997E-2</v>
      </c>
      <c r="G39" s="46">
        <f>'Billing Detail'!L103</f>
        <v>6.497E-2</v>
      </c>
      <c r="H39" s="46">
        <f t="shared" si="0"/>
        <v>5.1100000000000034E-3</v>
      </c>
      <c r="I39" s="5">
        <f t="shared" si="1"/>
        <v>8.5365853658536647E-2</v>
      </c>
    </row>
    <row r="40" spans="3:9" x14ac:dyDescent="0.2">
      <c r="C40" s="64"/>
      <c r="D40" s="65"/>
      <c r="E40" s="42" t="str">
        <f>'Billing Detail'!D105</f>
        <v>Demand Charge Contract per kW</v>
      </c>
      <c r="F40" s="45">
        <f>'Billing Detail'!H105</f>
        <v>7.42</v>
      </c>
      <c r="G40" s="45">
        <f>'Billing Detail'!L105</f>
        <v>8.0500000000000007</v>
      </c>
      <c r="H40" s="45">
        <f t="shared" si="0"/>
        <v>0.63000000000000078</v>
      </c>
      <c r="I40" s="5">
        <f t="shared" si="1"/>
        <v>8.4905660377358597E-2</v>
      </c>
    </row>
    <row r="41" spans="3:9" x14ac:dyDescent="0.2">
      <c r="C41" s="64"/>
      <c r="D41" s="65"/>
      <c r="E41" s="42" t="str">
        <f>'Billing Detail'!D106</f>
        <v>Demand Charge Excess per kW</v>
      </c>
      <c r="F41" s="45">
        <f>'Billing Detail'!H106</f>
        <v>10.33</v>
      </c>
      <c r="G41" s="45">
        <f>'Billing Detail'!L106</f>
        <v>11.21</v>
      </c>
      <c r="H41" s="45">
        <f t="shared" si="0"/>
        <v>0.88000000000000078</v>
      </c>
      <c r="I41" s="5">
        <f t="shared" si="1"/>
        <v>8.5188770571152053E-2</v>
      </c>
    </row>
    <row r="42" spans="3:9" x14ac:dyDescent="0.2">
      <c r="C42" s="64" t="str">
        <f>'Billing Detail'!C116</f>
        <v>B-2</v>
      </c>
      <c r="D42" s="65" t="str">
        <f>'Billing Detail'!B116</f>
        <v>Large Industrial (over 4,000 kW)</v>
      </c>
      <c r="E42" s="42"/>
      <c r="F42" s="45"/>
      <c r="G42" s="45"/>
      <c r="H42" s="45"/>
      <c r="I42" s="5"/>
    </row>
    <row r="43" spans="3:9" x14ac:dyDescent="0.2">
      <c r="C43" s="64"/>
      <c r="D43" s="65"/>
      <c r="E43" s="2" t="str">
        <f>'Billing Detail'!D117</f>
        <v>Customer Charge</v>
      </c>
      <c r="F43" s="45">
        <f>'Billing Detail'!H117</f>
        <v>2301.71</v>
      </c>
      <c r="G43" s="45">
        <f>'Billing Detail'!L117</f>
        <v>2498.1999999999998</v>
      </c>
      <c r="H43" s="45">
        <f t="shared" si="0"/>
        <v>196.48999999999978</v>
      </c>
      <c r="I43" s="5">
        <f t="shared" si="1"/>
        <v>8.5366966298968935E-2</v>
      </c>
    </row>
    <row r="44" spans="3:9" x14ac:dyDescent="0.2">
      <c r="C44" s="64"/>
      <c r="D44" s="65"/>
      <c r="E44" s="2" t="str">
        <f>'Billing Detail'!D118</f>
        <v>Demand Charge Contract per kW</v>
      </c>
      <c r="F44" s="45">
        <f>'Billing Detail'!H118</f>
        <v>7.42</v>
      </c>
      <c r="G44" s="45">
        <f>'Billing Detail'!L118</f>
        <v>8.0500000000000007</v>
      </c>
      <c r="H44" s="45">
        <f t="shared" si="0"/>
        <v>0.63000000000000078</v>
      </c>
      <c r="I44" s="5">
        <f t="shared" si="1"/>
        <v>8.4905660377358597E-2</v>
      </c>
    </row>
    <row r="45" spans="3:9" x14ac:dyDescent="0.2">
      <c r="C45" s="64"/>
      <c r="D45" s="65"/>
      <c r="E45" s="2" t="str">
        <f>'Billing Detail'!D119</f>
        <v>Demand Charge Excess per kW</v>
      </c>
      <c r="F45" s="45">
        <f>'Billing Detail'!H119</f>
        <v>10.33</v>
      </c>
      <c r="G45" s="45">
        <f>'Billing Detail'!L119</f>
        <v>11.21</v>
      </c>
      <c r="H45" s="45">
        <f t="shared" si="0"/>
        <v>0.88000000000000078</v>
      </c>
      <c r="I45" s="5">
        <f t="shared" si="1"/>
        <v>8.5188770571152053E-2</v>
      </c>
    </row>
    <row r="46" spans="3:9" x14ac:dyDescent="0.2">
      <c r="C46" s="64"/>
      <c r="D46" s="65"/>
      <c r="E46" s="2" t="str">
        <f>'Billing Detail'!D121</f>
        <v>Energy Charge per kWh</v>
      </c>
      <c r="F46" s="46">
        <f>'Billing Detail'!H121</f>
        <v>5.4219999999999997E-2</v>
      </c>
      <c r="G46" s="46">
        <f>'Billing Detail'!L121</f>
        <v>5.885E-2</v>
      </c>
      <c r="H46" s="46">
        <f t="shared" si="0"/>
        <v>4.6300000000000022E-3</v>
      </c>
      <c r="I46" s="5">
        <f t="shared" si="1"/>
        <v>8.539284396901517E-2</v>
      </c>
    </row>
    <row r="47" spans="3:9" x14ac:dyDescent="0.2">
      <c r="C47" s="64"/>
      <c r="D47" s="65" t="s">
        <v>103</v>
      </c>
      <c r="F47" s="46"/>
      <c r="G47" s="46"/>
      <c r="H47" s="46"/>
      <c r="I47" s="5"/>
    </row>
    <row r="48" spans="3:9" x14ac:dyDescent="0.2">
      <c r="C48" s="64"/>
      <c r="D48" s="65"/>
      <c r="E48" s="2" t="str">
        <f>'Billing Detail'!D120</f>
        <v>Interruptible Credit per kW</v>
      </c>
      <c r="F48" s="45">
        <f>'Billing Detail'!H120</f>
        <v>-5.6</v>
      </c>
      <c r="G48" s="45">
        <f>'Billing Detail'!L120</f>
        <v>-5.6</v>
      </c>
      <c r="H48" s="45">
        <f t="shared" si="0"/>
        <v>0</v>
      </c>
      <c r="I48" s="5">
        <f t="shared" si="1"/>
        <v>0</v>
      </c>
    </row>
    <row r="49" spans="3:9" x14ac:dyDescent="0.2">
      <c r="C49" s="64" t="str">
        <f>'Billing Detail'!C131</f>
        <v>L</v>
      </c>
      <c r="D49" s="65" t="str">
        <f>'Billing Detail'!B131</f>
        <v>Lighting</v>
      </c>
      <c r="F49" s="45"/>
      <c r="G49" s="45"/>
      <c r="H49" s="45"/>
      <c r="I49" s="5"/>
    </row>
    <row r="50" spans="3:9" x14ac:dyDescent="0.2">
      <c r="C50" s="64"/>
      <c r="D50" s="65"/>
      <c r="E50" s="2" t="str">
        <f>'Billing Detail'!C132</f>
        <v>Open Bottom Light- 6000-9500 Lumens</v>
      </c>
      <c r="F50" s="45">
        <f>'Billing Detail'!H132</f>
        <v>13.48</v>
      </c>
      <c r="G50" s="45">
        <f>'Billing Detail'!L132</f>
        <v>14.22</v>
      </c>
      <c r="H50" s="45">
        <f t="shared" si="0"/>
        <v>0.74000000000000021</v>
      </c>
      <c r="I50" s="5">
        <f t="shared" si="1"/>
        <v>5.4896142433234436E-2</v>
      </c>
    </row>
    <row r="51" spans="3:9" x14ac:dyDescent="0.2">
      <c r="C51" s="64"/>
      <c r="D51" s="65"/>
      <c r="E51" s="2" t="str">
        <f>'Billing Detail'!C133</f>
        <v>Open Bottom Light- 25,000 Lumens</v>
      </c>
      <c r="F51" s="45">
        <f>'Billing Detail'!H133</f>
        <v>20.97</v>
      </c>
      <c r="G51" s="45">
        <f>'Billing Detail'!L133</f>
        <v>22.13</v>
      </c>
      <c r="H51" s="45">
        <f t="shared" si="0"/>
        <v>1.1600000000000001</v>
      </c>
      <c r="I51" s="5">
        <f t="shared" si="1"/>
        <v>5.531711969480211E-2</v>
      </c>
    </row>
    <row r="52" spans="3:9" x14ac:dyDescent="0.2">
      <c r="C52" s="64"/>
      <c r="D52" s="65"/>
      <c r="E52" s="2" t="str">
        <f>'Billing Detail'!C134</f>
        <v>Directional Flood Light</v>
      </c>
      <c r="F52" s="45">
        <f>'Billing Detail'!H134</f>
        <v>21.45</v>
      </c>
      <c r="G52" s="45">
        <f>'Billing Detail'!L134</f>
        <v>22.63</v>
      </c>
      <c r="H52" s="45">
        <f t="shared" si="0"/>
        <v>1.1799999999999997</v>
      </c>
      <c r="I52" s="5">
        <f t="shared" si="1"/>
        <v>5.5011655011655003E-2</v>
      </c>
    </row>
    <row r="53" spans="3:9" x14ac:dyDescent="0.2">
      <c r="C53" s="64"/>
      <c r="D53" s="65"/>
      <c r="E53" s="2" t="str">
        <f>'Billing Detail'!C135</f>
        <v>Shoebox Fixture</v>
      </c>
      <c r="F53" s="45">
        <f>'Billing Detail'!H135</f>
        <v>23.54</v>
      </c>
      <c r="G53" s="45">
        <f>'Billing Detail'!L135</f>
        <v>24.84</v>
      </c>
      <c r="H53" s="45">
        <f t="shared" si="0"/>
        <v>1.3000000000000007</v>
      </c>
      <c r="I53" s="5">
        <f t="shared" si="1"/>
        <v>5.522514868309264E-2</v>
      </c>
    </row>
    <row r="54" spans="3:9" x14ac:dyDescent="0.2">
      <c r="C54" s="64"/>
      <c r="D54" s="65"/>
      <c r="E54" s="2" t="str">
        <f>'Billing Detail'!C136</f>
        <v>Acorn Fixture</v>
      </c>
      <c r="F54" s="45">
        <f>'Billing Detail'!H136</f>
        <v>22.71</v>
      </c>
      <c r="G54" s="45">
        <f>'Billing Detail'!L136</f>
        <v>23.96</v>
      </c>
      <c r="H54" s="45">
        <f t="shared" si="0"/>
        <v>1.25</v>
      </c>
      <c r="I54" s="5">
        <f t="shared" si="1"/>
        <v>5.5041831792162044E-2</v>
      </c>
    </row>
    <row r="55" spans="3:9" x14ac:dyDescent="0.2">
      <c r="C55" s="64"/>
      <c r="D55" s="65"/>
      <c r="E55" s="2" t="str">
        <f>'Billing Detail'!C137</f>
        <v>Colonial Fixture</v>
      </c>
      <c r="F55" s="45">
        <f>'Billing Detail'!H137</f>
        <v>19.239999999999998</v>
      </c>
      <c r="G55" s="45">
        <f>'Billing Detail'!L137</f>
        <v>20.3</v>
      </c>
      <c r="H55" s="45">
        <f t="shared" si="0"/>
        <v>1.0600000000000023</v>
      </c>
      <c r="I55" s="5">
        <f t="shared" si="1"/>
        <v>5.5093555093555215E-2</v>
      </c>
    </row>
    <row r="56" spans="3:9" x14ac:dyDescent="0.2">
      <c r="C56" s="64"/>
      <c r="D56" s="65"/>
      <c r="E56" s="2" t="str">
        <f>'Billing Detail'!C138</f>
        <v>Cobra Head- 50,000 Lumens</v>
      </c>
      <c r="F56" s="45">
        <f>'Billing Detail'!H138</f>
        <v>29.27</v>
      </c>
      <c r="G56" s="45">
        <f>'Billing Detail'!L138</f>
        <v>30.88</v>
      </c>
      <c r="H56" s="45">
        <f t="shared" si="0"/>
        <v>1.6099999999999994</v>
      </c>
      <c r="I56" s="5">
        <f t="shared" si="1"/>
        <v>5.5005124701059088E-2</v>
      </c>
    </row>
    <row r="57" spans="3:9" x14ac:dyDescent="0.2">
      <c r="C57" s="64"/>
      <c r="D57" s="65"/>
      <c r="E57" s="2" t="str">
        <f>'Billing Detail'!C139</f>
        <v>Ornamental Light 6000-9500 Lumens</v>
      </c>
      <c r="F57" s="45">
        <f>'Billing Detail'!H139</f>
        <v>13.31</v>
      </c>
      <c r="G57" s="45">
        <f>'Billing Detail'!L139</f>
        <v>14.04</v>
      </c>
      <c r="H57" s="45">
        <f t="shared" si="0"/>
        <v>0.72999999999999865</v>
      </c>
      <c r="I57" s="5">
        <f t="shared" si="1"/>
        <v>5.4845980465815077E-2</v>
      </c>
    </row>
    <row r="58" spans="3:9" x14ac:dyDescent="0.2">
      <c r="C58" s="64"/>
      <c r="D58" s="65"/>
      <c r="E58" s="2" t="str">
        <f>'Billing Detail'!C140</f>
        <v>Ornamental light- approx 25000 Lumens</v>
      </c>
      <c r="F58" s="45">
        <f>'Billing Detail'!H140</f>
        <v>19.04</v>
      </c>
      <c r="G58" s="45">
        <f>'Billing Detail'!L140</f>
        <v>20.09</v>
      </c>
      <c r="H58" s="45">
        <f t="shared" si="0"/>
        <v>1.0500000000000007</v>
      </c>
      <c r="I58" s="5">
        <f t="shared" si="1"/>
        <v>5.5147058823529452E-2</v>
      </c>
    </row>
    <row r="59" spans="3:9" x14ac:dyDescent="0.2">
      <c r="C59" s="64"/>
      <c r="D59" s="65"/>
      <c r="E59" s="2" t="str">
        <f>'Billing Detail'!C141</f>
        <v>Colonial Fixture- 15ft Mounting height</v>
      </c>
      <c r="F59" s="45">
        <f>'Billing Detail'!H141</f>
        <v>11.7</v>
      </c>
      <c r="G59" s="45">
        <f>'Billing Detail'!L141</f>
        <v>12.35</v>
      </c>
      <c r="H59" s="45">
        <f t="shared" si="0"/>
        <v>0.65000000000000036</v>
      </c>
      <c r="I59" s="5">
        <f t="shared" si="1"/>
        <v>5.5555555555555587E-2</v>
      </c>
    </row>
    <row r="60" spans="3:9" x14ac:dyDescent="0.2">
      <c r="C60" s="64"/>
      <c r="D60" s="65"/>
      <c r="E60" s="2" t="str">
        <f>'Billing Detail'!C142</f>
        <v>Cobra Head- 25000 Lumens</v>
      </c>
      <c r="F60" s="45">
        <f>'Billing Detail'!H142</f>
        <v>20.76</v>
      </c>
      <c r="G60" s="45">
        <f>'Billing Detail'!L142</f>
        <v>21.9</v>
      </c>
      <c r="H60" s="45">
        <f t="shared" si="0"/>
        <v>1.139999999999997</v>
      </c>
      <c r="I60" s="5">
        <f t="shared" si="1"/>
        <v>5.4913294797687716E-2</v>
      </c>
    </row>
    <row r="61" spans="3:9" x14ac:dyDescent="0.2">
      <c r="C61" s="64"/>
      <c r="D61" s="65"/>
      <c r="E61" s="2" t="str">
        <f>'Billing Detail'!C143</f>
        <v>Cobra Head- 6000-9500 Lumens</v>
      </c>
      <c r="F61" s="45">
        <f>'Billing Detail'!H143</f>
        <v>14.03</v>
      </c>
      <c r="G61" s="45">
        <f>'Billing Detail'!L143</f>
        <v>14.8</v>
      </c>
      <c r="H61" s="45">
        <f t="shared" si="0"/>
        <v>0.77000000000000135</v>
      </c>
      <c r="I61" s="5">
        <f t="shared" si="1"/>
        <v>5.4882394868139797E-2</v>
      </c>
    </row>
    <row r="62" spans="3:9" x14ac:dyDescent="0.2">
      <c r="C62" s="64" t="str">
        <f>'Billing Detail'!C152</f>
        <v>Special</v>
      </c>
      <c r="D62" s="65" t="str">
        <f>'Billing Detail'!B152</f>
        <v>Special - EKPC Rate G</v>
      </c>
      <c r="F62" s="45"/>
      <c r="G62" s="45"/>
      <c r="H62" s="45"/>
      <c r="I62" s="5"/>
    </row>
    <row r="63" spans="3:9" x14ac:dyDescent="0.2">
      <c r="C63" s="64"/>
      <c r="D63" s="65"/>
      <c r="E63" s="2" t="str">
        <f>'Billing Detail'!D153</f>
        <v>Customer Charge</v>
      </c>
      <c r="F63" s="45">
        <f>'Billing Detail'!H153</f>
        <v>5726.7</v>
      </c>
      <c r="G63" s="45">
        <f>'Billing Detail'!L153</f>
        <v>6127.6</v>
      </c>
      <c r="H63" s="45">
        <f t="shared" si="0"/>
        <v>400.90000000000055</v>
      </c>
      <c r="I63" s="5">
        <f t="shared" si="1"/>
        <v>7.0005413239736775E-2</v>
      </c>
    </row>
    <row r="64" spans="3:9" x14ac:dyDescent="0.2">
      <c r="C64" s="64"/>
      <c r="D64" s="65"/>
      <c r="E64" s="2" t="str">
        <f>'Billing Detail'!D154</f>
        <v>Demand Charge per kW</v>
      </c>
      <c r="F64" s="45">
        <f>'Billing Detail'!H154</f>
        <v>7.3</v>
      </c>
      <c r="G64" s="45">
        <f>'Billing Detail'!L154</f>
        <v>9.14</v>
      </c>
      <c r="H64" s="45">
        <f t="shared" si="0"/>
        <v>1.8400000000000007</v>
      </c>
      <c r="I64" s="5">
        <f t="shared" si="1"/>
        <v>0.25205479452054808</v>
      </c>
    </row>
    <row r="65" spans="3:9" x14ac:dyDescent="0.2">
      <c r="C65" s="64"/>
      <c r="D65" s="65"/>
      <c r="E65" s="2" t="str">
        <f>'Billing Detail'!D155</f>
        <v>Interruptible Credit per kW</v>
      </c>
      <c r="F65" s="45">
        <f>'Billing Detail'!H155</f>
        <v>-5.6</v>
      </c>
      <c r="G65" s="45">
        <f>'Billing Detail'!L155</f>
        <v>-5.6</v>
      </c>
      <c r="H65" s="45">
        <f t="shared" si="0"/>
        <v>0</v>
      </c>
      <c r="I65" s="5">
        <f t="shared" si="1"/>
        <v>0</v>
      </c>
    </row>
    <row r="66" spans="3:9" x14ac:dyDescent="0.2">
      <c r="E66" s="2" t="str">
        <f>'Billing Detail'!D156</f>
        <v>Energy Charge per kWh</v>
      </c>
      <c r="F66" s="46">
        <f>'Billing Detail'!H156</f>
        <v>5.1459999999999999E-2</v>
      </c>
      <c r="G66" s="46">
        <f>'Billing Detail'!L156</f>
        <v>5.4776869215274172E-2</v>
      </c>
      <c r="H66" s="46">
        <f t="shared" si="0"/>
        <v>3.3168692152741736E-3</v>
      </c>
      <c r="I66" s="5">
        <f t="shared" si="1"/>
        <v>6.4455289842094324E-2</v>
      </c>
    </row>
    <row r="67" spans="3:9" x14ac:dyDescent="0.2">
      <c r="F67" s="42"/>
      <c r="G67" s="42"/>
    </row>
    <row r="69" spans="3:9" ht="43.15" customHeight="1" x14ac:dyDescent="0.2">
      <c r="C69" s="135" t="s">
        <v>93</v>
      </c>
      <c r="D69" s="135"/>
      <c r="E69" s="135"/>
      <c r="F69" s="135"/>
      <c r="G69" s="135"/>
    </row>
    <row r="70" spans="3:9" x14ac:dyDescent="0.2">
      <c r="C70" s="4"/>
      <c r="D70" s="2"/>
      <c r="F70" s="136" t="s">
        <v>94</v>
      </c>
      <c r="G70" s="136"/>
    </row>
    <row r="71" spans="3:9" x14ac:dyDescent="0.2">
      <c r="C71" s="48" t="s">
        <v>95</v>
      </c>
      <c r="D71" s="49"/>
      <c r="E71" s="50"/>
      <c r="F71" s="51" t="s">
        <v>96</v>
      </c>
      <c r="G71" s="51" t="s">
        <v>97</v>
      </c>
    </row>
    <row r="72" spans="3:9" x14ac:dyDescent="0.2">
      <c r="C72" s="52" t="str">
        <f>Summary!C11</f>
        <v>GS-1</v>
      </c>
      <c r="D72" s="2" t="str">
        <f>Summary!B11</f>
        <v>Residential , Farm &amp; Non-Farm</v>
      </c>
      <c r="F72" s="53">
        <f>Summary!L11</f>
        <v>5041952.2011630479</v>
      </c>
      <c r="G72" s="54">
        <f>Summary!N11</f>
        <v>4.8888421359324592E-2</v>
      </c>
    </row>
    <row r="73" spans="3:9" x14ac:dyDescent="0.2">
      <c r="C73" s="52" t="str">
        <f>Summary!C12</f>
        <v>GS-2</v>
      </c>
      <c r="D73" s="2" t="str">
        <f>Summary!B12</f>
        <v>Residential and Farm Inclining Block</v>
      </c>
      <c r="F73" s="53">
        <f>Summary!L12</f>
        <v>2215.3993800000012</v>
      </c>
      <c r="G73" s="54">
        <f>Summary!N12</f>
        <v>4.9858778369084339E-2</v>
      </c>
    </row>
    <row r="74" spans="3:9" x14ac:dyDescent="0.2">
      <c r="C74" s="52" t="str">
        <f>Summary!C13</f>
        <v>GS-3</v>
      </c>
      <c r="D74" s="2" t="str">
        <f>Summary!B13</f>
        <v>Residential Time of Day</v>
      </c>
      <c r="F74" s="53">
        <f>Summary!L13</f>
        <v>1421.3925599999984</v>
      </c>
      <c r="G74" s="54">
        <f>Summary!N13</f>
        <v>4.9381371337198478E-2</v>
      </c>
    </row>
    <row r="75" spans="3:9" x14ac:dyDescent="0.2">
      <c r="C75" s="52" t="str">
        <f>Summary!C14</f>
        <v>SC-1</v>
      </c>
      <c r="D75" s="2" t="str">
        <f>Summary!B14</f>
        <v>Small Commercial (0-100 kW)</v>
      </c>
      <c r="F75" s="53">
        <f>Summary!L14</f>
        <v>554715.90385969984</v>
      </c>
      <c r="G75" s="54">
        <f>Summary!N14</f>
        <v>4.9106424002813592E-2</v>
      </c>
    </row>
    <row r="76" spans="3:9" x14ac:dyDescent="0.2">
      <c r="C76" s="52" t="str">
        <f>Summary!C15</f>
        <v>SC-2</v>
      </c>
      <c r="D76" s="2" t="str">
        <f>Summary!B15</f>
        <v>General Service 0-100 KW Time of Day Rate</v>
      </c>
      <c r="F76" s="53">
        <f>Summary!L15</f>
        <v>9382.4925200000107</v>
      </c>
      <c r="G76" s="54">
        <f>Summary!N15</f>
        <v>4.8750068022051778E-2</v>
      </c>
    </row>
    <row r="77" spans="3:9" x14ac:dyDescent="0.2">
      <c r="C77" s="52" t="str">
        <f>Summary!C16</f>
        <v>LP-1</v>
      </c>
      <c r="D77" s="2" t="str">
        <f>Summary!B16</f>
        <v>Large Power (101 - 500 kW)</v>
      </c>
      <c r="F77" s="53">
        <f>Summary!L16</f>
        <v>188580.22696999979</v>
      </c>
      <c r="G77" s="54">
        <f>Summary!N16</f>
        <v>4.890850157210911E-2</v>
      </c>
    </row>
    <row r="78" spans="3:9" x14ac:dyDescent="0.2">
      <c r="C78" s="52" t="str">
        <f>Summary!C17</f>
        <v>LP-2</v>
      </c>
      <c r="D78" s="2" t="str">
        <f>Summary!B17</f>
        <v>Large Power (over 500 kW)</v>
      </c>
      <c r="F78" s="53">
        <f>Summary!L17</f>
        <v>486277.94626600022</v>
      </c>
      <c r="G78" s="54">
        <f>Summary!N17</f>
        <v>4.8684864258820681E-2</v>
      </c>
    </row>
    <row r="79" spans="3:9" x14ac:dyDescent="0.2">
      <c r="C79" s="52" t="str">
        <f>Summary!C21</f>
        <v>B-1</v>
      </c>
      <c r="D79" s="2" t="str">
        <f>Summary!B21</f>
        <v>Large Industrial (1,000 - 3,999 kW)</v>
      </c>
      <c r="F79" s="53">
        <f>Summary!L21</f>
        <v>334891.6687600002</v>
      </c>
      <c r="G79" s="54">
        <f>Summary!N21</f>
        <v>7.8270255749274376E-2</v>
      </c>
    </row>
    <row r="80" spans="3:9" x14ac:dyDescent="0.2">
      <c r="C80" s="52" t="str">
        <f>Summary!C22</f>
        <v>B-2</v>
      </c>
      <c r="D80" s="2" t="str">
        <f>Summary!B22</f>
        <v>Large Industrial (over 4,000 kW)</v>
      </c>
      <c r="F80" s="53">
        <f>Summary!L22</f>
        <v>801805.55963000015</v>
      </c>
      <c r="G80" s="54">
        <f>Summary!N22</f>
        <v>7.6181051950604942E-2</v>
      </c>
    </row>
    <row r="81" spans="3:8" x14ac:dyDescent="0.2">
      <c r="C81" s="52" t="str">
        <f>Summary!C18</f>
        <v>L</v>
      </c>
      <c r="D81" s="2" t="str">
        <f>Summary!B18</f>
        <v>Lighting</v>
      </c>
      <c r="F81" s="53">
        <f>Summary!L18</f>
        <v>149105.92999999924</v>
      </c>
      <c r="G81" s="54">
        <f>Summary!N18</f>
        <v>5.3384749216012654E-2</v>
      </c>
    </row>
    <row r="82" spans="3:8" x14ac:dyDescent="0.2">
      <c r="C82" s="2" t="str">
        <f>Summary!C25</f>
        <v>Special</v>
      </c>
      <c r="D82" s="52" t="str">
        <f>Summary!B25</f>
        <v>Special - EKPC Rate G</v>
      </c>
      <c r="F82" s="53">
        <f>Summary!L25</f>
        <v>640575.06073800777</v>
      </c>
      <c r="G82" s="54">
        <f>Summary!N25</f>
        <v>0.10402199077476888</v>
      </c>
    </row>
    <row r="83" spans="3:8" x14ac:dyDescent="0.2">
      <c r="C83" s="55" t="s">
        <v>98</v>
      </c>
      <c r="D83" s="20"/>
      <c r="E83" s="20"/>
      <c r="F83" s="56">
        <f>Summary!L36</f>
        <v>8210923.7818467319</v>
      </c>
      <c r="G83" s="57">
        <f>Summary!N36</f>
        <v>5.3915472095525142E-2</v>
      </c>
    </row>
    <row r="84" spans="3:8" x14ac:dyDescent="0.2">
      <c r="C84" s="4"/>
      <c r="D84" s="2"/>
    </row>
    <row r="85" spans="3:8" ht="41.45" customHeight="1" x14ac:dyDescent="0.2">
      <c r="C85" s="135" t="s">
        <v>99</v>
      </c>
      <c r="D85" s="135"/>
      <c r="E85" s="135"/>
      <c r="F85" s="135"/>
      <c r="G85" s="135"/>
      <c r="H85" s="122"/>
    </row>
    <row r="86" spans="3:8" x14ac:dyDescent="0.2">
      <c r="C86" s="4"/>
      <c r="D86" s="2"/>
      <c r="E86" s="58" t="s">
        <v>18</v>
      </c>
      <c r="F86" s="136" t="s">
        <v>94</v>
      </c>
      <c r="G86" s="136"/>
    </row>
    <row r="87" spans="3:8" x14ac:dyDescent="0.2">
      <c r="C87" s="48" t="s">
        <v>95</v>
      </c>
      <c r="D87" s="50"/>
      <c r="E87" s="59" t="s">
        <v>100</v>
      </c>
      <c r="F87" s="51" t="s">
        <v>96</v>
      </c>
      <c r="G87" s="51" t="s">
        <v>97</v>
      </c>
    </row>
    <row r="88" spans="3:8" x14ac:dyDescent="0.2">
      <c r="C88" s="2" t="str">
        <f>Summary!C11</f>
        <v>GS-1</v>
      </c>
      <c r="D88" s="4" t="str">
        <f>Summary!B11</f>
        <v>Residential , Farm &amp; Non-Farm</v>
      </c>
      <c r="E88" s="66">
        <f>'Billing Detail'!E17</f>
        <v>1117.7258450939248</v>
      </c>
      <c r="F88" s="61">
        <f>'Billing Detail'!N17</f>
        <v>7.0815924620959265</v>
      </c>
      <c r="G88" s="5">
        <f>Summary!N11</f>
        <v>4.8888421359324592E-2</v>
      </c>
    </row>
    <row r="89" spans="3:8" x14ac:dyDescent="0.2">
      <c r="C89" s="2" t="str">
        <f>Summary!C12</f>
        <v>GS-2</v>
      </c>
      <c r="D89" s="4" t="str">
        <f>Summary!B12</f>
        <v>Residential and Farm Inclining Block</v>
      </c>
      <c r="E89" s="66">
        <f>'Billing Detail'!E31</f>
        <v>91.461852861035425</v>
      </c>
      <c r="F89" s="61">
        <f>'Billing Detail'!N31</f>
        <v>1.509127643051773</v>
      </c>
      <c r="G89" s="5">
        <f>Summary!N12</f>
        <v>4.9858778369084339E-2</v>
      </c>
    </row>
    <row r="90" spans="3:8" x14ac:dyDescent="0.2">
      <c r="C90" s="2" t="str">
        <f>Summary!C13</f>
        <v>GS-3</v>
      </c>
      <c r="D90" s="4" t="str">
        <f>Summary!B13</f>
        <v>Residential Time of Day</v>
      </c>
      <c r="E90" s="66">
        <f>'Billing Detail'!E44</f>
        <v>941.43347639484978</v>
      </c>
      <c r="F90" s="61">
        <f>'Billing Detail'!N44</f>
        <v>6.1003972532188868</v>
      </c>
      <c r="G90" s="5">
        <f>Summary!N13</f>
        <v>4.9381371337198478E-2</v>
      </c>
    </row>
    <row r="91" spans="3:8" x14ac:dyDescent="0.2">
      <c r="C91" s="2" t="str">
        <f>Summary!C14</f>
        <v>SC-1</v>
      </c>
      <c r="D91" s="4" t="str">
        <f>Summary!B14</f>
        <v>Small Commercial (0-100 kW)</v>
      </c>
      <c r="E91" s="66">
        <f>'Billing Detail'!E57</f>
        <v>2187.506957302362</v>
      </c>
      <c r="F91" s="61">
        <f>'Billing Detail'!N57</f>
        <v>15.561799468655636</v>
      </c>
      <c r="G91" s="5">
        <f>Summary!N14</f>
        <v>4.9106424002813592E-2</v>
      </c>
    </row>
    <row r="92" spans="3:8" x14ac:dyDescent="0.2">
      <c r="C92" s="2" t="str">
        <f>Summary!C15</f>
        <v>SC-2</v>
      </c>
      <c r="D92" s="4" t="str">
        <f>Summary!B15</f>
        <v>General Service 0-100 KW Time of Day Rate</v>
      </c>
      <c r="E92" s="66">
        <f>'Billing Detail'!E70</f>
        <v>2271.7412587412587</v>
      </c>
      <c r="F92" s="61">
        <f>'Billing Detail'!N70</f>
        <v>16.402958951049015</v>
      </c>
      <c r="G92" s="5">
        <f>Summary!N15</f>
        <v>4.8750068022051778E-2</v>
      </c>
    </row>
    <row r="93" spans="3:8" x14ac:dyDescent="0.2">
      <c r="C93" s="2" t="str">
        <f>Summary!C16</f>
        <v>LP-1</v>
      </c>
      <c r="D93" s="4" t="str">
        <f>Summary!B16</f>
        <v>Large Power (101 - 500 kW)</v>
      </c>
      <c r="E93" s="66">
        <f>'Billing Detail'!E85</f>
        <v>49269.118279569891</v>
      </c>
      <c r="F93" s="61">
        <f>'Billing Detail'!N85</f>
        <v>253.46804700268694</v>
      </c>
      <c r="G93" s="5">
        <f>Summary!N16</f>
        <v>4.890850157210911E-2</v>
      </c>
    </row>
    <row r="94" spans="3:8" x14ac:dyDescent="0.2">
      <c r="C94" s="2" t="str">
        <f>Summary!C17</f>
        <v>LP-2</v>
      </c>
      <c r="D94" s="4" t="str">
        <f>Summary!B17</f>
        <v>Large Power (over 500 kW)</v>
      </c>
      <c r="E94" s="66">
        <f>'Billing Detail'!E99</f>
        <v>325326.77485380118</v>
      </c>
      <c r="F94" s="61">
        <f>'Billing Detail'!N99</f>
        <v>1421.8653399590621</v>
      </c>
      <c r="G94" s="5">
        <f>Summary!N17</f>
        <v>4.8684864258820681E-2</v>
      </c>
    </row>
    <row r="95" spans="3:8" x14ac:dyDescent="0.2">
      <c r="C95" s="2" t="str">
        <f>Summary!C21</f>
        <v>B-1</v>
      </c>
      <c r="D95" s="4" t="str">
        <f>Summary!B21</f>
        <v>Large Industrial (1,000 - 3,999 kW)</v>
      </c>
      <c r="E95" s="66">
        <f>'Billing Detail'!E114</f>
        <v>1732321.2857142857</v>
      </c>
      <c r="F95" s="61">
        <f>'Billing Detail'!N114</f>
        <v>11960.416741428606</v>
      </c>
      <c r="G95" s="5">
        <f>Summary!N21</f>
        <v>7.8270255749274376E-2</v>
      </c>
    </row>
    <row r="96" spans="3:8" x14ac:dyDescent="0.2">
      <c r="C96" s="2" t="str">
        <f>Summary!C22</f>
        <v>B-2</v>
      </c>
      <c r="D96" s="4" t="str">
        <f>Summary!B22</f>
        <v>Large Industrial (over 4,000 kW)</v>
      </c>
      <c r="E96" s="66">
        <f>'Billing Detail'!E129</f>
        <v>3755633.9166666665</v>
      </c>
      <c r="F96" s="61">
        <f>'Billing Detail'!N129</f>
        <v>22272.376656388922</v>
      </c>
      <c r="G96" s="5">
        <f>Summary!N22</f>
        <v>7.6181051950604942E-2</v>
      </c>
    </row>
    <row r="97" spans="3:7" x14ac:dyDescent="0.2">
      <c r="C97" s="2" t="str">
        <f>Summary!C18</f>
        <v>L</v>
      </c>
      <c r="D97" s="4" t="str">
        <f>Summary!B18</f>
        <v>Lighting</v>
      </c>
      <c r="E97" s="67" t="s">
        <v>101</v>
      </c>
      <c r="F97" s="63" t="s">
        <v>101</v>
      </c>
      <c r="G97" s="5">
        <f>Summary!N18</f>
        <v>5.3384749216012654E-2</v>
      </c>
    </row>
    <row r="98" spans="3:7" x14ac:dyDescent="0.2">
      <c r="C98" s="2" t="str">
        <f>Summary!C25</f>
        <v>Special</v>
      </c>
      <c r="D98" s="4" t="str">
        <f>Summary!B25</f>
        <v>Special - EKPC Rate G</v>
      </c>
      <c r="E98" s="66">
        <f>'Billing Detail'!E164</f>
        <v>7271260.666666667</v>
      </c>
      <c r="F98" s="61">
        <f>'Billing Detail'!N164</f>
        <v>53381.255061500706</v>
      </c>
      <c r="G98" s="5">
        <f>Summary!N25</f>
        <v>0.10402199077476888</v>
      </c>
    </row>
    <row r="99" spans="3:7" x14ac:dyDescent="0.2">
      <c r="D99" s="4"/>
      <c r="E99" s="60"/>
      <c r="F99" s="61"/>
      <c r="G99" s="5"/>
    </row>
    <row r="100" spans="3:7" x14ac:dyDescent="0.2">
      <c r="C100" s="4"/>
      <c r="D100" s="62"/>
      <c r="E100" s="60"/>
      <c r="F100" s="61"/>
      <c r="G100" s="5"/>
    </row>
    <row r="101" spans="3:7" x14ac:dyDescent="0.2">
      <c r="C101" s="4"/>
      <c r="D101" s="62"/>
      <c r="E101" s="60"/>
      <c r="F101" s="61"/>
      <c r="G101" s="5"/>
    </row>
  </sheetData>
  <mergeCells count="4">
    <mergeCell ref="C69:G69"/>
    <mergeCell ref="F70:G70"/>
    <mergeCell ref="F86:G86"/>
    <mergeCell ref="C85:G85"/>
  </mergeCells>
  <pageMargins left="0.7" right="0.7" top="0.75" bottom="0.75" header="0.3" footer="0.3"/>
  <pageSetup paperSize="9" scale="80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2025-07-29T20:30:56Z</cp:lastPrinted>
  <dcterms:created xsi:type="dcterms:W3CDTF">2021-02-09T02:13:44Z</dcterms:created>
  <dcterms:modified xsi:type="dcterms:W3CDTF">2025-09-19T19:15:08Z</dcterms:modified>
</cp:coreProperties>
</file>