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c385686f0d07d2/Documents/CATALYST Consulting/Clients/EKPC/A-EKPC 2025 Pass Thru Cases/Clark/Analysis/"/>
    </mc:Choice>
  </mc:AlternateContent>
  <xr:revisionPtr revIDLastSave="3" documentId="8_{88AFD8DE-2104-4BF0-92EA-E94A6714D95F}" xr6:coauthVersionLast="47" xr6:coauthVersionMax="47" xr10:uidLastSave="{04E279B3-72D8-48A4-8C09-2A1C1EDF558F}"/>
  <bookViews>
    <workbookView xWindow="-120" yWindow="-120" windowWidth="29040" windowHeight="15720" activeTab="1" xr2:uid="{5A56C961-47FC-4CB4-AEDD-3C6FC9A16749}"/>
  </bookViews>
  <sheets>
    <sheet name="Summary" sheetId="2" r:id="rId1"/>
    <sheet name="Billing Detail" sheetId="1" r:id="rId2"/>
    <sheet name="Notice Table" sheetId="3" r:id="rId3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1">'Billing Detail'!$A$1:$R$140</definedName>
    <definedName name="_xlnm.Print_Area" localSheetId="2">'Notice Table'!$A$1:$G$42</definedName>
    <definedName name="_xlnm.Print_Area" localSheetId="0">Summary!$A$1:$O$31</definedName>
    <definedName name="_xlnm.Print_Titles" localSheetId="1">'Billing Detail'!$1:$5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500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3" i="1" l="1"/>
  <c r="E70" i="3"/>
  <c r="F30" i="3"/>
  <c r="F31" i="3"/>
  <c r="F32" i="3"/>
  <c r="F29" i="3"/>
  <c r="E30" i="3"/>
  <c r="E31" i="3"/>
  <c r="E32" i="3"/>
  <c r="E29" i="3"/>
  <c r="D28" i="3"/>
  <c r="C28" i="3"/>
  <c r="D33" i="3"/>
  <c r="A15" i="2"/>
  <c r="A16" i="2" s="1"/>
  <c r="C15" i="2"/>
  <c r="C70" i="3" s="1"/>
  <c r="B15" i="2"/>
  <c r="D70" i="3" s="1"/>
  <c r="E97" i="1"/>
  <c r="I97" i="1" s="1"/>
  <c r="E106" i="1"/>
  <c r="G104" i="1"/>
  <c r="I103" i="1"/>
  <c r="M103" i="1" s="1"/>
  <c r="I102" i="1"/>
  <c r="M102" i="1" s="1"/>
  <c r="N102" i="1" s="1"/>
  <c r="I101" i="1"/>
  <c r="M101" i="1" s="1"/>
  <c r="N101" i="1" s="1"/>
  <c r="I100" i="1"/>
  <c r="M100" i="1" s="1"/>
  <c r="I98" i="1"/>
  <c r="G98" i="1"/>
  <c r="I96" i="1"/>
  <c r="G96" i="1"/>
  <c r="I95" i="1"/>
  <c r="G95" i="1"/>
  <c r="G12" i="1"/>
  <c r="G131" i="1" s="1"/>
  <c r="G11" i="1"/>
  <c r="G130" i="1" s="1"/>
  <c r="E13" i="1"/>
  <c r="G13" i="1" s="1"/>
  <c r="G132" i="1" s="1"/>
  <c r="E8" i="1"/>
  <c r="E9" i="1"/>
  <c r="G121" i="1"/>
  <c r="G120" i="1"/>
  <c r="E118" i="1"/>
  <c r="G36" i="1"/>
  <c r="G35" i="1"/>
  <c r="E33" i="1"/>
  <c r="I13" i="1" l="1"/>
  <c r="D55" i="3"/>
  <c r="C55" i="3"/>
  <c r="G97" i="1"/>
  <c r="I99" i="1"/>
  <c r="M104" i="1"/>
  <c r="N100" i="1"/>
  <c r="I104" i="1"/>
  <c r="E15" i="2" l="1"/>
  <c r="G15" i="2" s="1"/>
  <c r="G99" i="1"/>
  <c r="G105" i="1" s="1"/>
  <c r="G106" i="1" s="1"/>
  <c r="J98" i="1"/>
  <c r="J97" i="1"/>
  <c r="J96" i="1"/>
  <c r="J95" i="1"/>
  <c r="I105" i="1"/>
  <c r="I106" i="1" s="1"/>
  <c r="N104" i="1"/>
  <c r="O104" i="1" s="1"/>
  <c r="J99" i="1" l="1"/>
  <c r="I86" i="1" l="1"/>
  <c r="I73" i="1"/>
  <c r="I60" i="1"/>
  <c r="I47" i="1"/>
  <c r="I35" i="1"/>
  <c r="I22" i="1"/>
  <c r="I11" i="1"/>
  <c r="E92" i="1" l="1"/>
  <c r="E69" i="3" s="1"/>
  <c r="D37" i="3"/>
  <c r="D35" i="3"/>
  <c r="E26" i="3"/>
  <c r="F26" i="3"/>
  <c r="E27" i="3"/>
  <c r="F27" i="3"/>
  <c r="F25" i="3"/>
  <c r="E25" i="3"/>
  <c r="E22" i="3"/>
  <c r="F22" i="3"/>
  <c r="E23" i="3"/>
  <c r="F23" i="3"/>
  <c r="E19" i="3"/>
  <c r="F19" i="3"/>
  <c r="E20" i="3"/>
  <c r="F20" i="3"/>
  <c r="F18" i="3"/>
  <c r="E18" i="3"/>
  <c r="F69" i="1"/>
  <c r="G69" i="1" s="1"/>
  <c r="I69" i="1"/>
  <c r="O69" i="1" s="1"/>
  <c r="G83" i="1"/>
  <c r="G70" i="1"/>
  <c r="G57" i="1"/>
  <c r="I121" i="1"/>
  <c r="I120" i="1"/>
  <c r="I130" i="1" s="1"/>
  <c r="I83" i="1"/>
  <c r="I70" i="1"/>
  <c r="I57" i="1"/>
  <c r="I82" i="1" l="1"/>
  <c r="G82" i="1"/>
  <c r="E79" i="1"/>
  <c r="E68" i="3" s="1"/>
  <c r="E66" i="1"/>
  <c r="E67" i="3" s="1"/>
  <c r="E53" i="1"/>
  <c r="E66" i="3" s="1"/>
  <c r="E41" i="1"/>
  <c r="E65" i="3" s="1"/>
  <c r="E17" i="1" l="1"/>
  <c r="E63" i="3" s="1"/>
  <c r="E34" i="3" l="1"/>
  <c r="F34" i="3"/>
  <c r="E36" i="3"/>
  <c r="F36" i="3"/>
  <c r="E38" i="3"/>
  <c r="F38" i="3"/>
  <c r="E39" i="3"/>
  <c r="F39" i="3"/>
  <c r="E40" i="3"/>
  <c r="F40" i="3"/>
  <c r="E41" i="3"/>
  <c r="F41" i="3"/>
  <c r="E42" i="3"/>
  <c r="F42" i="3"/>
  <c r="C24" i="3"/>
  <c r="D24" i="3"/>
  <c r="C21" i="3"/>
  <c r="D21" i="3"/>
  <c r="C17" i="3"/>
  <c r="D17" i="3"/>
  <c r="E16" i="3"/>
  <c r="E15" i="3"/>
  <c r="C14" i="3"/>
  <c r="D14" i="3"/>
  <c r="E12" i="3"/>
  <c r="F12" i="3"/>
  <c r="E13" i="3"/>
  <c r="F13" i="3"/>
  <c r="F11" i="3"/>
  <c r="E11" i="3"/>
  <c r="C10" i="3"/>
  <c r="D10" i="3"/>
  <c r="E9" i="3"/>
  <c r="C8" i="3"/>
  <c r="D8" i="3"/>
  <c r="E7" i="3"/>
  <c r="F7" i="3"/>
  <c r="F6" i="3"/>
  <c r="E6" i="3"/>
  <c r="C5" i="3"/>
  <c r="D5" i="3"/>
  <c r="F16" i="3" l="1"/>
  <c r="F15" i="3"/>
  <c r="F9" i="3"/>
  <c r="H19" i="2"/>
  <c r="A1" i="3" l="1"/>
  <c r="L29" i="2" l="1"/>
  <c r="C13" i="2" l="1"/>
  <c r="B13" i="2"/>
  <c r="C11" i="2"/>
  <c r="I84" i="1"/>
  <c r="G84" i="1"/>
  <c r="I71" i="1"/>
  <c r="G71" i="1"/>
  <c r="C68" i="3" l="1"/>
  <c r="C53" i="3"/>
  <c r="C66" i="3"/>
  <c r="C51" i="3"/>
  <c r="D68" i="3"/>
  <c r="D53" i="3"/>
  <c r="I58" i="1"/>
  <c r="G58" i="1"/>
  <c r="I20" i="1"/>
  <c r="G20" i="1"/>
  <c r="G77" i="1" l="1"/>
  <c r="I76" i="1"/>
  <c r="M76" i="1" s="1"/>
  <c r="I75" i="1"/>
  <c r="M75" i="1" s="1"/>
  <c r="N75" i="1" s="1"/>
  <c r="I74" i="1"/>
  <c r="M74" i="1" s="1"/>
  <c r="N74" i="1" s="1"/>
  <c r="M73" i="1"/>
  <c r="I45" i="1"/>
  <c r="G45" i="1"/>
  <c r="I32" i="1"/>
  <c r="G32" i="1"/>
  <c r="I72" i="1" l="1"/>
  <c r="G72" i="1"/>
  <c r="N73" i="1"/>
  <c r="M77" i="1"/>
  <c r="I77" i="1"/>
  <c r="J69" i="1" l="1"/>
  <c r="J70" i="1"/>
  <c r="G78" i="1"/>
  <c r="G79" i="1" s="1"/>
  <c r="D13" i="2"/>
  <c r="E13" i="2"/>
  <c r="J71" i="1"/>
  <c r="I78" i="1"/>
  <c r="I79" i="1" s="1"/>
  <c r="N77" i="1"/>
  <c r="O77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108" i="1" l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94" i="1"/>
  <c r="A95" i="1" s="1"/>
  <c r="G13" i="2"/>
  <c r="J72" i="1"/>
  <c r="I63" i="1"/>
  <c r="M63" i="1" s="1"/>
  <c r="I62" i="1"/>
  <c r="M62" i="1" s="1"/>
  <c r="I61" i="1"/>
  <c r="M61" i="1" s="1"/>
  <c r="I89" i="1"/>
  <c r="M89" i="1" s="1"/>
  <c r="N89" i="1" s="1"/>
  <c r="N133" i="1" s="1"/>
  <c r="I88" i="1"/>
  <c r="I87" i="1"/>
  <c r="M87" i="1" s="1"/>
  <c r="I50" i="1"/>
  <c r="M50" i="1" s="1"/>
  <c r="I49" i="1"/>
  <c r="M49" i="1" s="1"/>
  <c r="I48" i="1"/>
  <c r="M48" i="1" s="1"/>
  <c r="I38" i="1"/>
  <c r="M38" i="1" s="1"/>
  <c r="I36" i="1"/>
  <c r="I25" i="1"/>
  <c r="M25" i="1" s="1"/>
  <c r="I24" i="1"/>
  <c r="I23" i="1"/>
  <c r="M23" i="1" s="1"/>
  <c r="I14" i="1"/>
  <c r="I12" i="1"/>
  <c r="B25" i="2"/>
  <c r="I131" i="1" l="1"/>
  <c r="M24" i="1"/>
  <c r="I133" i="1"/>
  <c r="A96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97" i="1"/>
  <c r="E25" i="2"/>
  <c r="M13" i="1"/>
  <c r="M12" i="1"/>
  <c r="M14" i="1"/>
  <c r="M133" i="1" s="1"/>
  <c r="M88" i="1"/>
  <c r="I26" i="1"/>
  <c r="I51" i="1"/>
  <c r="M36" i="1"/>
  <c r="G39" i="1"/>
  <c r="I37" i="1"/>
  <c r="M37" i="1" s="1"/>
  <c r="G15" i="1"/>
  <c r="G64" i="1"/>
  <c r="D25" i="2"/>
  <c r="G90" i="1"/>
  <c r="G51" i="1"/>
  <c r="G26" i="1"/>
  <c r="I132" i="1" l="1"/>
  <c r="J25" i="2"/>
  <c r="I15" i="1"/>
  <c r="I64" i="1"/>
  <c r="I90" i="1"/>
  <c r="I39" i="1"/>
  <c r="I118" i="1"/>
  <c r="G118" i="1"/>
  <c r="I117" i="1"/>
  <c r="G117" i="1"/>
  <c r="I116" i="1"/>
  <c r="G116" i="1"/>
  <c r="I115" i="1"/>
  <c r="G115" i="1"/>
  <c r="I114" i="1"/>
  <c r="G114" i="1"/>
  <c r="I112" i="1"/>
  <c r="G112" i="1"/>
  <c r="I110" i="1"/>
  <c r="G110" i="1"/>
  <c r="E24" i="2" l="1"/>
  <c r="E23" i="2"/>
  <c r="D24" i="2"/>
  <c r="D23" i="2"/>
  <c r="C10" i="2"/>
  <c r="C14" i="2"/>
  <c r="C12" i="2"/>
  <c r="C16" i="2"/>
  <c r="B16" i="2"/>
  <c r="B12" i="2"/>
  <c r="B14" i="2"/>
  <c r="B11" i="2"/>
  <c r="B10" i="2"/>
  <c r="C9" i="2"/>
  <c r="C8" i="2"/>
  <c r="B9" i="2"/>
  <c r="B8" i="2"/>
  <c r="N88" i="1"/>
  <c r="N87" i="1"/>
  <c r="M86" i="1"/>
  <c r="N49" i="1"/>
  <c r="N48" i="1"/>
  <c r="M47" i="1"/>
  <c r="I44" i="1"/>
  <c r="G44" i="1"/>
  <c r="N24" i="1"/>
  <c r="N23" i="1"/>
  <c r="M22" i="1"/>
  <c r="N36" i="1"/>
  <c r="M35" i="1"/>
  <c r="I33" i="1"/>
  <c r="G33" i="1"/>
  <c r="I31" i="1"/>
  <c r="G31" i="1"/>
  <c r="N62" i="1"/>
  <c r="N61" i="1"/>
  <c r="M60" i="1"/>
  <c r="I56" i="1"/>
  <c r="G56" i="1"/>
  <c r="G59" i="1" s="1"/>
  <c r="D56" i="3" l="1"/>
  <c r="D71" i="3"/>
  <c r="C56" i="3"/>
  <c r="C71" i="3"/>
  <c r="C50" i="3"/>
  <c r="C65" i="3"/>
  <c r="C64" i="3"/>
  <c r="C49" i="3"/>
  <c r="C63" i="3"/>
  <c r="C48" i="3"/>
  <c r="D65" i="3"/>
  <c r="D50" i="3"/>
  <c r="C54" i="3"/>
  <c r="C69" i="3"/>
  <c r="C67" i="3"/>
  <c r="C52" i="3"/>
  <c r="D67" i="3"/>
  <c r="D52" i="3"/>
  <c r="D69" i="3"/>
  <c r="D54" i="3"/>
  <c r="D66" i="3"/>
  <c r="D51" i="3"/>
  <c r="D49" i="3"/>
  <c r="D64" i="3"/>
  <c r="D48" i="3"/>
  <c r="D63" i="3"/>
  <c r="N22" i="1"/>
  <c r="M26" i="1"/>
  <c r="N60" i="1"/>
  <c r="M64" i="1"/>
  <c r="N86" i="1"/>
  <c r="M90" i="1"/>
  <c r="N47" i="1"/>
  <c r="M51" i="1"/>
  <c r="N35" i="1"/>
  <c r="M39" i="1"/>
  <c r="N39" i="1" s="1"/>
  <c r="O39" i="1" s="1"/>
  <c r="E22" i="2"/>
  <c r="E26" i="2" s="1"/>
  <c r="G46" i="1"/>
  <c r="D11" i="2" s="1"/>
  <c r="D22" i="2"/>
  <c r="D26" i="2" s="1"/>
  <c r="G21" i="1"/>
  <c r="D9" i="2" s="1"/>
  <c r="G85" i="1"/>
  <c r="I85" i="1"/>
  <c r="I46" i="1"/>
  <c r="I21" i="1"/>
  <c r="G34" i="1"/>
  <c r="N37" i="1"/>
  <c r="I34" i="1"/>
  <c r="J33" i="1" s="1"/>
  <c r="I59" i="1"/>
  <c r="J57" i="1" s="1"/>
  <c r="G124" i="1"/>
  <c r="G134" i="1" s="1"/>
  <c r="M122" i="1"/>
  <c r="M132" i="1" s="1"/>
  <c r="M121" i="1"/>
  <c r="M131" i="1" s="1"/>
  <c r="M120" i="1"/>
  <c r="B23" i="2"/>
  <c r="B24" i="2"/>
  <c r="B22" i="2"/>
  <c r="M11" i="1"/>
  <c r="M130" i="1" s="1"/>
  <c r="I9" i="1"/>
  <c r="I8" i="1"/>
  <c r="G9" i="1"/>
  <c r="G8" i="1"/>
  <c r="A2" i="1"/>
  <c r="A1" i="1"/>
  <c r="A8" i="2"/>
  <c r="A9" i="2" s="1"/>
  <c r="A10" i="2" s="1"/>
  <c r="A11" i="2" s="1"/>
  <c r="A12" i="2" s="1"/>
  <c r="A13" i="2" s="1"/>
  <c r="A14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J82" i="1" l="1"/>
  <c r="J83" i="1"/>
  <c r="J84" i="1"/>
  <c r="M15" i="1"/>
  <c r="N120" i="1"/>
  <c r="J20" i="1"/>
  <c r="E11" i="2"/>
  <c r="J45" i="1"/>
  <c r="N121" i="1"/>
  <c r="N122" i="1"/>
  <c r="J24" i="2"/>
  <c r="J32" i="1"/>
  <c r="J58" i="1"/>
  <c r="J44" i="1"/>
  <c r="J31" i="1"/>
  <c r="J56" i="1"/>
  <c r="G52" i="1"/>
  <c r="G53" i="1" s="1"/>
  <c r="G27" i="1"/>
  <c r="N12" i="1"/>
  <c r="N131" i="1" s="1"/>
  <c r="J23" i="2"/>
  <c r="N13" i="1"/>
  <c r="N132" i="1" s="1"/>
  <c r="G91" i="1"/>
  <c r="G92" i="1" s="1"/>
  <c r="D14" i="2"/>
  <c r="G40" i="1"/>
  <c r="G41" i="1" s="1"/>
  <c r="D10" i="2"/>
  <c r="I52" i="1"/>
  <c r="I53" i="1" s="1"/>
  <c r="G65" i="1"/>
  <c r="G66" i="1" s="1"/>
  <c r="D12" i="2"/>
  <c r="I65" i="1"/>
  <c r="I66" i="1" s="1"/>
  <c r="E12" i="2"/>
  <c r="I40" i="1"/>
  <c r="I41" i="1" s="1"/>
  <c r="E10" i="2"/>
  <c r="I27" i="1"/>
  <c r="E9" i="2"/>
  <c r="I91" i="1"/>
  <c r="I92" i="1" s="1"/>
  <c r="E14" i="2"/>
  <c r="N51" i="1"/>
  <c r="O51" i="1" s="1"/>
  <c r="N90" i="1"/>
  <c r="O90" i="1" s="1"/>
  <c r="N26" i="1"/>
  <c r="O26" i="1" s="1"/>
  <c r="N64" i="1"/>
  <c r="O64" i="1" s="1"/>
  <c r="G10" i="1"/>
  <c r="I10" i="1"/>
  <c r="I124" i="1"/>
  <c r="I134" i="1" s="1"/>
  <c r="I119" i="1"/>
  <c r="G119" i="1"/>
  <c r="N11" i="1"/>
  <c r="N130" i="1" s="1"/>
  <c r="I129" i="1" l="1"/>
  <c r="G129" i="1"/>
  <c r="G12" i="2"/>
  <c r="G14" i="2"/>
  <c r="G11" i="2"/>
  <c r="G9" i="2"/>
  <c r="G10" i="2"/>
  <c r="D16" i="2"/>
  <c r="J59" i="1"/>
  <c r="J46" i="1"/>
  <c r="J22" i="2"/>
  <c r="J26" i="2" s="1"/>
  <c r="J34" i="1"/>
  <c r="E16" i="2"/>
  <c r="J21" i="1"/>
  <c r="J116" i="1"/>
  <c r="J117" i="1"/>
  <c r="J114" i="1"/>
  <c r="J115" i="1"/>
  <c r="J118" i="1"/>
  <c r="J112" i="1"/>
  <c r="J110" i="1"/>
  <c r="J9" i="1"/>
  <c r="J8" i="1"/>
  <c r="J85" i="1"/>
  <c r="G125" i="1"/>
  <c r="E8" i="2"/>
  <c r="G16" i="1"/>
  <c r="G135" i="1" s="1"/>
  <c r="D8" i="2"/>
  <c r="I125" i="1"/>
  <c r="M124" i="1"/>
  <c r="M134" i="1" s="1"/>
  <c r="I16" i="1"/>
  <c r="N15" i="1"/>
  <c r="I17" i="1" l="1"/>
  <c r="I135" i="1"/>
  <c r="N134" i="1"/>
  <c r="G16" i="2"/>
  <c r="G8" i="2"/>
  <c r="D17" i="2"/>
  <c r="D19" i="2" s="1"/>
  <c r="D28" i="2" s="1"/>
  <c r="D30" i="2" s="1"/>
  <c r="D31" i="2" s="1"/>
  <c r="E17" i="2"/>
  <c r="F15" i="2" s="1"/>
  <c r="G17" i="1"/>
  <c r="J119" i="1"/>
  <c r="N124" i="1"/>
  <c r="O124" i="1" s="1"/>
  <c r="J10" i="1"/>
  <c r="G17" i="2" l="1"/>
  <c r="H15" i="2" s="1"/>
  <c r="I15" i="2" s="1"/>
  <c r="E19" i="2"/>
  <c r="F13" i="2"/>
  <c r="F8" i="2"/>
  <c r="F11" i="2"/>
  <c r="F9" i="2"/>
  <c r="F16" i="2"/>
  <c r="F17" i="2"/>
  <c r="F19" i="2" s="1"/>
  <c r="F10" i="2"/>
  <c r="F12" i="2"/>
  <c r="F14" i="2"/>
  <c r="K99" i="1" l="1"/>
  <c r="S99" i="1" s="1"/>
  <c r="L97" i="1" s="1"/>
  <c r="H8" i="2"/>
  <c r="I8" i="2" s="1"/>
  <c r="K10" i="1" s="1"/>
  <c r="H9" i="2"/>
  <c r="I9" i="2" s="1"/>
  <c r="K21" i="1" s="1"/>
  <c r="H10" i="2"/>
  <c r="I10" i="2" s="1"/>
  <c r="K34" i="1" s="1"/>
  <c r="H11" i="2"/>
  <c r="I11" i="2" s="1"/>
  <c r="K46" i="1" s="1"/>
  <c r="H16" i="2"/>
  <c r="I16" i="2" s="1"/>
  <c r="K119" i="1" s="1"/>
  <c r="H12" i="2"/>
  <c r="I12" i="2" s="1"/>
  <c r="K59" i="1" s="1"/>
  <c r="G19" i="2"/>
  <c r="H13" i="2"/>
  <c r="I13" i="2" s="1"/>
  <c r="K72" i="1" s="1"/>
  <c r="H14" i="2"/>
  <c r="I14" i="2" s="1"/>
  <c r="K85" i="1" s="1"/>
  <c r="E28" i="2"/>
  <c r="T97" i="1" l="1"/>
  <c r="G31" i="3"/>
  <c r="H31" i="3" s="1"/>
  <c r="I31" i="3" s="1"/>
  <c r="M97" i="1"/>
  <c r="N97" i="1" s="1"/>
  <c r="O97" i="1" s="1"/>
  <c r="L95" i="1"/>
  <c r="L96" i="1"/>
  <c r="G30" i="3" s="1"/>
  <c r="H30" i="3" s="1"/>
  <c r="I30" i="3" s="1"/>
  <c r="L98" i="1"/>
  <c r="G32" i="3" s="1"/>
  <c r="H32" i="3" s="1"/>
  <c r="I32" i="3" s="1"/>
  <c r="S85" i="1"/>
  <c r="S21" i="1"/>
  <c r="L20" i="1" s="1"/>
  <c r="S119" i="1"/>
  <c r="S34" i="1"/>
  <c r="L32" i="1" s="1"/>
  <c r="S10" i="1"/>
  <c r="S59" i="1"/>
  <c r="S46" i="1"/>
  <c r="S72" i="1"/>
  <c r="I17" i="2"/>
  <c r="I19" i="2" s="1"/>
  <c r="M95" i="1" l="1"/>
  <c r="G29" i="3"/>
  <c r="H29" i="3" s="1"/>
  <c r="I29" i="3" s="1"/>
  <c r="M98" i="1"/>
  <c r="T98" i="1"/>
  <c r="T96" i="1"/>
  <c r="M96" i="1"/>
  <c r="L57" i="1"/>
  <c r="M57" i="1" s="1"/>
  <c r="N57" i="1" s="1"/>
  <c r="O57" i="1" s="1"/>
  <c r="L58" i="1"/>
  <c r="G20" i="3" s="1"/>
  <c r="H20" i="3" s="1"/>
  <c r="I20" i="3" s="1"/>
  <c r="L69" i="1"/>
  <c r="M69" i="1" s="1"/>
  <c r="L71" i="1"/>
  <c r="G23" i="3" s="1"/>
  <c r="H23" i="3" s="1"/>
  <c r="I23" i="3" s="1"/>
  <c r="L70" i="1"/>
  <c r="G22" i="3" s="1"/>
  <c r="H22" i="3" s="1"/>
  <c r="I22" i="3" s="1"/>
  <c r="L84" i="1"/>
  <c r="M84" i="1" s="1"/>
  <c r="L83" i="1"/>
  <c r="G26" i="3" s="1"/>
  <c r="H26" i="3" s="1"/>
  <c r="I26" i="3" s="1"/>
  <c r="L82" i="1"/>
  <c r="L44" i="1"/>
  <c r="T44" i="1" s="1"/>
  <c r="L45" i="1"/>
  <c r="L9" i="1"/>
  <c r="G7" i="3" s="1"/>
  <c r="H7" i="3" s="1"/>
  <c r="I7" i="3" s="1"/>
  <c r="L31" i="1"/>
  <c r="G11" i="3" s="1"/>
  <c r="H11" i="3" s="1"/>
  <c r="I11" i="3" s="1"/>
  <c r="G12" i="3"/>
  <c r="H12" i="3" s="1"/>
  <c r="I12" i="3" s="1"/>
  <c r="L33" i="1"/>
  <c r="G13" i="3" s="1"/>
  <c r="H13" i="3" s="1"/>
  <c r="I13" i="3" s="1"/>
  <c r="L114" i="1"/>
  <c r="G38" i="3" s="1"/>
  <c r="H38" i="3" s="1"/>
  <c r="I38" i="3" s="1"/>
  <c r="L117" i="1"/>
  <c r="G41" i="3" s="1"/>
  <c r="H41" i="3" s="1"/>
  <c r="I41" i="3" s="1"/>
  <c r="L118" i="1"/>
  <c r="G42" i="3" s="1"/>
  <c r="H42" i="3" s="1"/>
  <c r="I42" i="3" s="1"/>
  <c r="L8" i="1"/>
  <c r="G6" i="3" s="1"/>
  <c r="H6" i="3" s="1"/>
  <c r="I6" i="3" s="1"/>
  <c r="L115" i="1"/>
  <c r="G39" i="3" s="1"/>
  <c r="H39" i="3" s="1"/>
  <c r="I39" i="3" s="1"/>
  <c r="L112" i="1"/>
  <c r="G36" i="3" s="1"/>
  <c r="H36" i="3" s="1"/>
  <c r="I36" i="3" s="1"/>
  <c r="L116" i="1"/>
  <c r="G40" i="3" s="1"/>
  <c r="H40" i="3" s="1"/>
  <c r="I40" i="3" s="1"/>
  <c r="L110" i="1"/>
  <c r="G34" i="3" s="1"/>
  <c r="H34" i="3" s="1"/>
  <c r="I34" i="3" s="1"/>
  <c r="L56" i="1"/>
  <c r="G18" i="3" s="1"/>
  <c r="H18" i="3" s="1"/>
  <c r="I18" i="3" s="1"/>
  <c r="M99" i="1" l="1"/>
  <c r="P95" i="1" s="1"/>
  <c r="Q95" i="1" s="1"/>
  <c r="N95" i="1"/>
  <c r="O95" i="1" s="1"/>
  <c r="N96" i="1"/>
  <c r="O96" i="1" s="1"/>
  <c r="P97" i="1"/>
  <c r="Q97" i="1" s="1"/>
  <c r="N98" i="1"/>
  <c r="O98" i="1" s="1"/>
  <c r="T58" i="1"/>
  <c r="T84" i="1"/>
  <c r="M82" i="1"/>
  <c r="N82" i="1" s="1"/>
  <c r="O82" i="1" s="1"/>
  <c r="G25" i="3"/>
  <c r="H25" i="3" s="1"/>
  <c r="I25" i="3" s="1"/>
  <c r="G27" i="3"/>
  <c r="H27" i="3" s="1"/>
  <c r="I27" i="3" s="1"/>
  <c r="T57" i="1"/>
  <c r="G19" i="3"/>
  <c r="H19" i="3" s="1"/>
  <c r="I19" i="3" s="1"/>
  <c r="M83" i="1"/>
  <c r="T83" i="1"/>
  <c r="M70" i="1"/>
  <c r="N70" i="1" s="1"/>
  <c r="O70" i="1" s="1"/>
  <c r="T70" i="1"/>
  <c r="N69" i="1"/>
  <c r="M56" i="1"/>
  <c r="N56" i="1" s="1"/>
  <c r="O56" i="1" s="1"/>
  <c r="T56" i="1"/>
  <c r="M58" i="1"/>
  <c r="N58" i="1" s="1"/>
  <c r="O58" i="1" s="1"/>
  <c r="N84" i="1"/>
  <c r="O84" i="1" s="1"/>
  <c r="M31" i="1"/>
  <c r="N31" i="1" s="1"/>
  <c r="O31" i="1" s="1"/>
  <c r="T31" i="1"/>
  <c r="T9" i="1"/>
  <c r="M9" i="1"/>
  <c r="N9" i="1" s="1"/>
  <c r="O9" i="1" s="1"/>
  <c r="G9" i="3"/>
  <c r="H9" i="3" s="1"/>
  <c r="I9" i="3" s="1"/>
  <c r="G16" i="3"/>
  <c r="H16" i="3" s="1"/>
  <c r="I16" i="3" s="1"/>
  <c r="M114" i="1"/>
  <c r="N114" i="1" s="1"/>
  <c r="O114" i="1" s="1"/>
  <c r="T114" i="1"/>
  <c r="M117" i="1"/>
  <c r="N117" i="1" s="1"/>
  <c r="O117" i="1" s="1"/>
  <c r="T117" i="1"/>
  <c r="T118" i="1"/>
  <c r="T115" i="1"/>
  <c r="M8" i="1"/>
  <c r="N8" i="1" s="1"/>
  <c r="T32" i="1"/>
  <c r="M44" i="1"/>
  <c r="N44" i="1" s="1"/>
  <c r="M118" i="1"/>
  <c r="N118" i="1" s="1"/>
  <c r="O118" i="1" s="1"/>
  <c r="M71" i="1"/>
  <c r="N71" i="1" s="1"/>
  <c r="O71" i="1" s="1"/>
  <c r="M33" i="1"/>
  <c r="N33" i="1" s="1"/>
  <c r="O33" i="1" s="1"/>
  <c r="M116" i="1"/>
  <c r="N116" i="1" s="1"/>
  <c r="O116" i="1" s="1"/>
  <c r="M32" i="1"/>
  <c r="N32" i="1" s="1"/>
  <c r="O32" i="1" s="1"/>
  <c r="T33" i="1"/>
  <c r="T116" i="1"/>
  <c r="M115" i="1"/>
  <c r="N115" i="1" s="1"/>
  <c r="O115" i="1" s="1"/>
  <c r="T71" i="1"/>
  <c r="T8" i="1"/>
  <c r="T112" i="1"/>
  <c r="M112" i="1"/>
  <c r="N112" i="1" s="1"/>
  <c r="O112" i="1" s="1"/>
  <c r="M110" i="1"/>
  <c r="N110" i="1" s="1"/>
  <c r="O110" i="1" s="1"/>
  <c r="T110" i="1"/>
  <c r="P96" i="1" l="1"/>
  <c r="Q96" i="1" s="1"/>
  <c r="M105" i="1"/>
  <c r="R99" i="1"/>
  <c r="P98" i="1"/>
  <c r="Q98" i="1" s="1"/>
  <c r="J15" i="2"/>
  <c r="O15" i="2" s="1"/>
  <c r="N99" i="1"/>
  <c r="N105" i="1"/>
  <c r="O105" i="1" s="1"/>
  <c r="N15" i="2" s="1"/>
  <c r="M106" i="1"/>
  <c r="N106" i="1" s="1"/>
  <c r="M59" i="1"/>
  <c r="R59" i="1" s="1"/>
  <c r="M85" i="1"/>
  <c r="J14" i="2" s="1"/>
  <c r="O14" i="2" s="1"/>
  <c r="N59" i="1"/>
  <c r="L12" i="2" s="1"/>
  <c r="N83" i="1"/>
  <c r="O83" i="1" s="1"/>
  <c r="N10" i="1"/>
  <c r="M45" i="1"/>
  <c r="M46" i="1" s="1"/>
  <c r="P44" i="1" s="1"/>
  <c r="Q44" i="1" s="1"/>
  <c r="T45" i="1"/>
  <c r="M72" i="1"/>
  <c r="N72" i="1"/>
  <c r="O8" i="1"/>
  <c r="M34" i="1"/>
  <c r="R34" i="1" s="1"/>
  <c r="G15" i="3"/>
  <c r="H15" i="3" s="1"/>
  <c r="I15" i="3" s="1"/>
  <c r="N34" i="1"/>
  <c r="O34" i="1" s="1"/>
  <c r="M10" i="1"/>
  <c r="M119" i="1"/>
  <c r="N119" i="1"/>
  <c r="O119" i="1" s="1"/>
  <c r="O44" i="1"/>
  <c r="G55" i="3" l="1"/>
  <c r="G70" i="3"/>
  <c r="O106" i="1"/>
  <c r="F70" i="3"/>
  <c r="P99" i="1"/>
  <c r="Q99" i="1" s="1"/>
  <c r="O99" i="1"/>
  <c r="L15" i="2"/>
  <c r="J12" i="2"/>
  <c r="O12" i="2" s="1"/>
  <c r="M65" i="1"/>
  <c r="M66" i="1" s="1"/>
  <c r="N66" i="1" s="1"/>
  <c r="O66" i="1" s="1"/>
  <c r="P56" i="1"/>
  <c r="Q56" i="1" s="1"/>
  <c r="P58" i="1"/>
  <c r="Q58" i="1" s="1"/>
  <c r="P57" i="1"/>
  <c r="Q57" i="1" s="1"/>
  <c r="P82" i="1"/>
  <c r="Q82" i="1" s="1"/>
  <c r="M91" i="1"/>
  <c r="M92" i="1" s="1"/>
  <c r="N92" i="1" s="1"/>
  <c r="F69" i="3" s="1"/>
  <c r="P83" i="1"/>
  <c r="Q83" i="1" s="1"/>
  <c r="P84" i="1"/>
  <c r="Q84" i="1" s="1"/>
  <c r="R85" i="1"/>
  <c r="N85" i="1"/>
  <c r="L14" i="2" s="1"/>
  <c r="F54" i="3" s="1"/>
  <c r="O10" i="1"/>
  <c r="P8" i="1"/>
  <c r="Q8" i="1" s="1"/>
  <c r="P70" i="1"/>
  <c r="Q70" i="1" s="1"/>
  <c r="P69" i="1"/>
  <c r="Q69" i="1" s="1"/>
  <c r="N45" i="1"/>
  <c r="O45" i="1" s="1"/>
  <c r="R72" i="1"/>
  <c r="M78" i="1"/>
  <c r="M79" i="1" s="1"/>
  <c r="N79" i="1" s="1"/>
  <c r="P9" i="1"/>
  <c r="Q9" i="1" s="1"/>
  <c r="J8" i="2"/>
  <c r="O8" i="2" s="1"/>
  <c r="J13" i="2"/>
  <c r="O13" i="2" s="1"/>
  <c r="P71" i="1"/>
  <c r="Q71" i="1" s="1"/>
  <c r="P33" i="1"/>
  <c r="Q33" i="1" s="1"/>
  <c r="P32" i="1"/>
  <c r="Q32" i="1" s="1"/>
  <c r="P31" i="1"/>
  <c r="Q31" i="1" s="1"/>
  <c r="M40" i="1"/>
  <c r="M41" i="1" s="1"/>
  <c r="N41" i="1" s="1"/>
  <c r="O41" i="1" s="1"/>
  <c r="J10" i="2"/>
  <c r="O10" i="2" s="1"/>
  <c r="P118" i="1"/>
  <c r="Q118" i="1" s="1"/>
  <c r="J16" i="2"/>
  <c r="L16" i="2" s="1"/>
  <c r="F56" i="3" s="1"/>
  <c r="R10" i="1"/>
  <c r="M16" i="1"/>
  <c r="P115" i="1"/>
  <c r="Q115" i="1" s="1"/>
  <c r="P112" i="1"/>
  <c r="Q112" i="1" s="1"/>
  <c r="P110" i="1"/>
  <c r="Q110" i="1" s="1"/>
  <c r="P114" i="1"/>
  <c r="Q114" i="1" s="1"/>
  <c r="M125" i="1"/>
  <c r="N125" i="1" s="1"/>
  <c r="O125" i="1" s="1"/>
  <c r="N16" i="2" s="1"/>
  <c r="P116" i="1"/>
  <c r="Q116" i="1" s="1"/>
  <c r="R119" i="1"/>
  <c r="P117" i="1"/>
  <c r="Q117" i="1" s="1"/>
  <c r="J11" i="2"/>
  <c r="O11" i="2" s="1"/>
  <c r="M52" i="1"/>
  <c r="M53" i="1" s="1"/>
  <c r="N53" i="1" s="1"/>
  <c r="P45" i="1"/>
  <c r="Q45" i="1" s="1"/>
  <c r="R46" i="1"/>
  <c r="M12" i="2"/>
  <c r="F52" i="3"/>
  <c r="O59" i="1"/>
  <c r="L8" i="2"/>
  <c r="L10" i="2"/>
  <c r="O72" i="1"/>
  <c r="L13" i="2"/>
  <c r="M17" i="1" l="1"/>
  <c r="N17" i="1" s="1"/>
  <c r="O17" i="1" s="1"/>
  <c r="M15" i="2"/>
  <c r="F55" i="3"/>
  <c r="N65" i="1"/>
  <c r="O65" i="1" s="1"/>
  <c r="N12" i="2" s="1"/>
  <c r="F67" i="3"/>
  <c r="P59" i="1"/>
  <c r="Q59" i="1" s="1"/>
  <c r="M14" i="2"/>
  <c r="O92" i="1"/>
  <c r="N91" i="1"/>
  <c r="O91" i="1" s="1"/>
  <c r="N14" i="2" s="1"/>
  <c r="O85" i="1"/>
  <c r="P85" i="1"/>
  <c r="Q85" i="1" s="1"/>
  <c r="N46" i="1"/>
  <c r="O46" i="1" s="1"/>
  <c r="N78" i="1"/>
  <c r="O78" i="1" s="1"/>
  <c r="N13" i="2" s="1"/>
  <c r="P72" i="1"/>
  <c r="Q72" i="1" s="1"/>
  <c r="N40" i="1"/>
  <c r="O40" i="1" s="1"/>
  <c r="N10" i="2" s="1"/>
  <c r="P10" i="1"/>
  <c r="Q10" i="1" s="1"/>
  <c r="M16" i="2"/>
  <c r="O16" i="2"/>
  <c r="P34" i="1"/>
  <c r="Q34" i="1" s="1"/>
  <c r="N16" i="1"/>
  <c r="F63" i="3"/>
  <c r="F65" i="3"/>
  <c r="P119" i="1"/>
  <c r="Q119" i="1" s="1"/>
  <c r="P46" i="1"/>
  <c r="Q46" i="1" s="1"/>
  <c r="O53" i="1"/>
  <c r="F66" i="3"/>
  <c r="O79" i="1"/>
  <c r="F68" i="3"/>
  <c r="N52" i="1"/>
  <c r="O52" i="1" s="1"/>
  <c r="N11" i="2" s="1"/>
  <c r="M10" i="2"/>
  <c r="F50" i="3"/>
  <c r="M8" i="2"/>
  <c r="F48" i="3"/>
  <c r="M13" i="2"/>
  <c r="F53" i="3"/>
  <c r="G56" i="3"/>
  <c r="G71" i="3"/>
  <c r="G69" i="3" l="1"/>
  <c r="O16" i="1"/>
  <c r="N8" i="2" s="1"/>
  <c r="G48" i="3" s="1"/>
  <c r="G54" i="3"/>
  <c r="L11" i="2"/>
  <c r="M11" i="2" s="1"/>
  <c r="G65" i="3"/>
  <c r="G50" i="3"/>
  <c r="G68" i="3"/>
  <c r="G53" i="3"/>
  <c r="G67" i="3"/>
  <c r="G52" i="3"/>
  <c r="G66" i="3"/>
  <c r="G51" i="3"/>
  <c r="M20" i="1"/>
  <c r="G63" i="3" l="1"/>
  <c r="F51" i="3"/>
  <c r="T20" i="1"/>
  <c r="N20" i="1"/>
  <c r="O20" i="1" s="1"/>
  <c r="N21" i="1" l="1"/>
  <c r="N129" i="1" s="1"/>
  <c r="M21" i="1"/>
  <c r="M129" i="1" s="1"/>
  <c r="J9" i="2" l="1"/>
  <c r="O9" i="2" s="1"/>
  <c r="M27" i="1"/>
  <c r="M135" i="1" s="1"/>
  <c r="R21" i="1"/>
  <c r="P20" i="1"/>
  <c r="Q20" i="1" s="1"/>
  <c r="J17" i="2" l="1"/>
  <c r="K15" i="2" s="1"/>
  <c r="L9" i="2"/>
  <c r="O21" i="1"/>
  <c r="P21" i="1"/>
  <c r="Q21" i="1" s="1"/>
  <c r="N27" i="1"/>
  <c r="N135" i="1" s="1"/>
  <c r="O129" i="1"/>
  <c r="O27" i="1" l="1"/>
  <c r="N9" i="2" s="1"/>
  <c r="M9" i="2"/>
  <c r="F49" i="3"/>
  <c r="O17" i="2"/>
  <c r="O19" i="2" s="1"/>
  <c r="K9" i="2"/>
  <c r="K12" i="2"/>
  <c r="K10" i="2"/>
  <c r="K16" i="2"/>
  <c r="K13" i="2"/>
  <c r="J19" i="2"/>
  <c r="J28" i="2" s="1"/>
  <c r="L28" i="2" s="1"/>
  <c r="F57" i="3" s="1"/>
  <c r="K17" i="2"/>
  <c r="K19" i="2" s="1"/>
  <c r="K14" i="2"/>
  <c r="K11" i="2"/>
  <c r="K8" i="2"/>
  <c r="L17" i="2"/>
  <c r="L19" i="2" s="1"/>
  <c r="N137" i="1"/>
  <c r="O135" i="1"/>
  <c r="G49" i="3" l="1"/>
  <c r="O28" i="1"/>
  <c r="M17" i="2"/>
  <c r="M19" i="2" s="1"/>
  <c r="L30" i="2"/>
  <c r="L31" i="2" s="1"/>
  <c r="N28" i="2"/>
  <c r="G57" i="3" s="1"/>
  <c r="G64" i="3" l="1"/>
</calcChain>
</file>

<file path=xl/sharedStrings.xml><?xml version="1.0" encoding="utf-8"?>
<sst xmlns="http://schemas.openxmlformats.org/spreadsheetml/2006/main" count="208" uniqueCount="108">
  <si>
    <t>Billing Analysis for Pass-Through Rate Increase</t>
  </si>
  <si>
    <t>#</t>
  </si>
  <si>
    <t>Item</t>
  </si>
  <si>
    <t>Present Revenue</t>
  </si>
  <si>
    <t>Proposed Revenue</t>
  </si>
  <si>
    <t>Base Rates</t>
  </si>
  <si>
    <t>Total Base Rates</t>
  </si>
  <si>
    <t>Riders</t>
  </si>
  <si>
    <t>Total Riders</t>
  </si>
  <si>
    <t>Total Revenue</t>
  </si>
  <si>
    <t>Target Revenue</t>
  </si>
  <si>
    <t>Code</t>
  </si>
  <si>
    <t>Classification</t>
  </si>
  <si>
    <t>Billing Component</t>
  </si>
  <si>
    <t>Billing Units</t>
  </si>
  <si>
    <t>Increase $</t>
  </si>
  <si>
    <t>%</t>
  </si>
  <si>
    <t>Average</t>
  </si>
  <si>
    <t>TOTAL REVENUE</t>
  </si>
  <si>
    <t>Present Share</t>
  </si>
  <si>
    <t>Proposed Rate</t>
  </si>
  <si>
    <t>Proposed Share</t>
  </si>
  <si>
    <t xml:space="preserve">       Present Rate</t>
  </si>
  <si>
    <t xml:space="preserve">            Present Revenue</t>
  </si>
  <si>
    <t>Share Variance</t>
  </si>
  <si>
    <t xml:space="preserve">    FAC</t>
  </si>
  <si>
    <t xml:space="preserve">    ES</t>
  </si>
  <si>
    <t>TOTALS</t>
  </si>
  <si>
    <t xml:space="preserve">    Misc Adj</t>
  </si>
  <si>
    <t>Lighting</t>
  </si>
  <si>
    <t>Allocation Revenue</t>
  </si>
  <si>
    <t>Allocation Share</t>
  </si>
  <si>
    <t>Allocated Increase</t>
  </si>
  <si>
    <t>Per Unit Rate Change</t>
  </si>
  <si>
    <t>Rounding</t>
  </si>
  <si>
    <t xml:space="preserve">Total Revenue Increase Allocated by East Kentucky Power Cooperative:   </t>
  </si>
  <si>
    <t>Rate Rounding Variance</t>
  </si>
  <si>
    <t>Rate Variance</t>
  </si>
  <si>
    <t xml:space="preserve">    Other</t>
  </si>
  <si>
    <t>TOTAL Base Rates</t>
  </si>
  <si>
    <t>SubTotal Base Rates</t>
  </si>
  <si>
    <t>Base %</t>
  </si>
  <si>
    <t>Total %</t>
  </si>
  <si>
    <t>Base Rate Increase</t>
  </si>
  <si>
    <t>Present</t>
  </si>
  <si>
    <t>Proposed</t>
  </si>
  <si>
    <t>Energy Charge per kWh</t>
  </si>
  <si>
    <t>Energy Charge - Off Peak per kWh</t>
  </si>
  <si>
    <t>Demand Charge per kW</t>
  </si>
  <si>
    <t>Target Share</t>
  </si>
  <si>
    <t>The amount of the change requested in both dollar amounts and percentage change for each customer classification to which the proposed rates will apply is set forth below:</t>
  </si>
  <si>
    <t>Increase</t>
  </si>
  <si>
    <t>Rate Class</t>
  </si>
  <si>
    <t>Dollars</t>
  </si>
  <si>
    <t>Percent</t>
  </si>
  <si>
    <t>Total</t>
  </si>
  <si>
    <t>The amount of the average usage and the effect upon the average bill for each customer classification to which the proposed rates will apply is set forth below:</t>
  </si>
  <si>
    <t>Usage (kWh)</t>
  </si>
  <si>
    <t>NA</t>
  </si>
  <si>
    <t>Rate</t>
  </si>
  <si>
    <t>C</t>
  </si>
  <si>
    <t>D</t>
  </si>
  <si>
    <t>E</t>
  </si>
  <si>
    <t>Residential</t>
  </si>
  <si>
    <t>R</t>
  </si>
  <si>
    <t>Time of Use Marketing Service</t>
  </si>
  <si>
    <t>General Power Service &lt; 50kW</t>
  </si>
  <si>
    <t>General Power Service 1000-5000kW</t>
  </si>
  <si>
    <t>L</t>
  </si>
  <si>
    <t>General Power Service 500+kW</t>
  </si>
  <si>
    <t>M</t>
  </si>
  <si>
    <t>P</t>
  </si>
  <si>
    <t>S,T,O</t>
  </si>
  <si>
    <t>Rate T - Outdoor Lights</t>
  </si>
  <si>
    <t>400 W</t>
  </si>
  <si>
    <t>Rate S - Outdoor Lights</t>
  </si>
  <si>
    <t>175 W</t>
  </si>
  <si>
    <t>Open Bottom Light  (4,800-6,800 Lumens)</t>
  </si>
  <si>
    <t>Cobra Head Light (7,200 - 10,000 Lumens)</t>
  </si>
  <si>
    <t>Directional Flood Light (15,00 - 18,000 Lumens)</t>
  </si>
  <si>
    <t>Ornamental Light w/Pole (4,80 - 6,800 Lumens)</t>
  </si>
  <si>
    <t>Additional Pole (30' Wood / if no existing pole available)</t>
  </si>
  <si>
    <t>Rate O - LED Outdoor Lighting</t>
  </si>
  <si>
    <t>CLARK ENERGY COOPERATIVE</t>
  </si>
  <si>
    <t>Facility Charge per month</t>
  </si>
  <si>
    <t>Facility Charge Three Phase per month</t>
  </si>
  <si>
    <t xml:space="preserve">Facility Charge Single Phase per month </t>
  </si>
  <si>
    <t>Public Facilities</t>
  </si>
  <si>
    <t>T</t>
  </si>
  <si>
    <t>S</t>
  </si>
  <si>
    <t>O</t>
  </si>
  <si>
    <t>Present &amp; Proposed Rates</t>
  </si>
  <si>
    <t>General Power Service 50-500kW</t>
  </si>
  <si>
    <t>Var</t>
  </si>
  <si>
    <t>2023 Rate</t>
  </si>
  <si>
    <t xml:space="preserve">          2023 Revenue</t>
  </si>
  <si>
    <t>FAC Roll-In &gt;</t>
  </si>
  <si>
    <t>DEMAND UPCHARGE</t>
  </si>
  <si>
    <t>RATE MINIMUM UPCHARGE</t>
  </si>
  <si>
    <t xml:space="preserve">    Prepay</t>
  </si>
  <si>
    <t>B-1</t>
  </si>
  <si>
    <t>Demand Charge - Contract per kW</t>
  </si>
  <si>
    <t>Demand Charge - Excess per kW</t>
  </si>
  <si>
    <t>Energy minimum upcharge</t>
  </si>
  <si>
    <t>Demand minimum upcharge</t>
  </si>
  <si>
    <t>Large Industrial Rate</t>
  </si>
  <si>
    <t>2023 Revenue</t>
  </si>
  <si>
    <t>FAC Roll-In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</si>
</sst>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0000_);_(* \(#,##0.00000\);_(* &quot;-&quot;??_);_(@_)"/>
    <numFmt numFmtId="167" formatCode="_(* #,##0.000000_);_(* \(#,##0.000000\);_(* &quot;-&quot;??_);_(@_)"/>
    <numFmt numFmtId="168" formatCode="0.00000%"/>
    <numFmt numFmtId="169" formatCode="_(* #,##0.0000_);_(* \(#,##0.0000\);_(* &quot;-&quot;??_);_(@_)"/>
    <numFmt numFmtId="170" formatCode="_(&quot;$&quot;* #,##0.00000_);_(&quot;$&quot;* \(#,##0.00000\);_(&quot;$&quot;* &quot;-&quot;??_);_(@_)"/>
    <numFmt numFmtId="171" formatCode="&quot;$&quot;#,##0"/>
    <numFmt numFmtId="172" formatCode="0.00000"/>
    <numFmt numFmtId="173" formatCode="_(&quot;$&quot;* #,##0.000000_);_(&quot;$&quot;* \(#,##0.000000\);_(&quot;$&quot;* &quot;-&quot;??_);_(@_)"/>
    <numFmt numFmtId="174" formatCode="0.0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0"/>
      <color theme="1"/>
      <name val="Arial"/>
      <family val="2"/>
    </font>
    <font>
      <b/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10" fontId="3" fillId="0" borderId="0" xfId="3" applyNumberFormat="1" applyFont="1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right" wrapText="1"/>
    </xf>
    <xf numFmtId="165" fontId="3" fillId="0" borderId="0" xfId="0" applyNumberFormat="1" applyFont="1"/>
    <xf numFmtId="43" fontId="3" fillId="0" borderId="0" xfId="1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vertical="center"/>
    </xf>
    <xf numFmtId="165" fontId="7" fillId="0" borderId="5" xfId="2" applyNumberFormat="1" applyFont="1" applyFill="1" applyBorder="1" applyAlignment="1">
      <alignment vertical="center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7" fontId="3" fillId="0" borderId="0" xfId="1" applyNumberFormat="1" applyFont="1"/>
    <xf numFmtId="166" fontId="3" fillId="0" borderId="0" xfId="1" applyNumberFormat="1" applyFont="1"/>
    <xf numFmtId="0" fontId="6" fillId="0" borderId="0" xfId="0" applyFont="1"/>
    <xf numFmtId="164" fontId="3" fillId="0" borderId="0" xfId="1" applyNumberFormat="1" applyFont="1" applyAlignment="1"/>
    <xf numFmtId="9" fontId="3" fillId="0" borderId="0" xfId="3" applyFont="1" applyAlignment="1"/>
    <xf numFmtId="10" fontId="3" fillId="0" borderId="0" xfId="3" applyNumberFormat="1" applyFont="1" applyAlignment="1"/>
    <xf numFmtId="165" fontId="3" fillId="0" borderId="0" xfId="2" applyNumberFormat="1" applyFont="1" applyAlignment="1"/>
    <xf numFmtId="0" fontId="3" fillId="0" borderId="2" xfId="0" applyFont="1" applyBorder="1"/>
    <xf numFmtId="165" fontId="3" fillId="0" borderId="2" xfId="2" applyNumberFormat="1" applyFont="1" applyBorder="1" applyAlignment="1"/>
    <xf numFmtId="10" fontId="3" fillId="0" borderId="2" xfId="3" applyNumberFormat="1" applyFont="1" applyBorder="1" applyAlignment="1"/>
    <xf numFmtId="165" fontId="3" fillId="0" borderId="2" xfId="0" applyNumberFormat="1" applyFont="1" applyBorder="1"/>
    <xf numFmtId="165" fontId="3" fillId="0" borderId="0" xfId="2" applyNumberFormat="1" applyFont="1" applyBorder="1" applyAlignment="1"/>
    <xf numFmtId="10" fontId="3" fillId="0" borderId="0" xfId="3" applyNumberFormat="1" applyFont="1" applyBorder="1" applyAlignment="1"/>
    <xf numFmtId="165" fontId="3" fillId="0" borderId="5" xfId="2" applyNumberFormat="1" applyFont="1" applyBorder="1" applyAlignment="1"/>
    <xf numFmtId="164" fontId="3" fillId="2" borderId="0" xfId="1" applyNumberFormat="1" applyFont="1" applyFill="1" applyAlignment="1"/>
    <xf numFmtId="0" fontId="3" fillId="2" borderId="0" xfId="0" applyFont="1" applyFill="1"/>
    <xf numFmtId="165" fontId="3" fillId="2" borderId="0" xfId="2" applyNumberFormat="1" applyFont="1" applyFill="1" applyAlignment="1"/>
    <xf numFmtId="0" fontId="3" fillId="2" borderId="2" xfId="0" applyFont="1" applyFill="1" applyBorder="1"/>
    <xf numFmtId="165" fontId="3" fillId="2" borderId="2" xfId="2" applyNumberFormat="1" applyFont="1" applyFill="1" applyBorder="1" applyAlignment="1"/>
    <xf numFmtId="0" fontId="3" fillId="0" borderId="3" xfId="0" applyFont="1" applyBorder="1"/>
    <xf numFmtId="165" fontId="3" fillId="0" borderId="3" xfId="0" applyNumberFormat="1" applyFont="1" applyBorder="1"/>
    <xf numFmtId="165" fontId="3" fillId="0" borderId="3" xfId="2" applyNumberFormat="1" applyFont="1" applyBorder="1" applyAlignment="1"/>
    <xf numFmtId="9" fontId="3" fillId="0" borderId="3" xfId="3" applyFont="1" applyBorder="1" applyAlignment="1"/>
    <xf numFmtId="10" fontId="3" fillId="0" borderId="3" xfId="3" applyNumberFormat="1" applyFont="1" applyBorder="1" applyAlignment="1"/>
    <xf numFmtId="0" fontId="3" fillId="2" borderId="4" xfId="0" applyFont="1" applyFill="1" applyBorder="1"/>
    <xf numFmtId="43" fontId="3" fillId="0" borderId="0" xfId="0" applyNumberFormat="1" applyFont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4" fontId="3" fillId="0" borderId="0" xfId="2" applyFont="1"/>
    <xf numFmtId="170" fontId="3" fillId="0" borderId="0" xfId="2" applyNumberFormat="1" applyFont="1"/>
    <xf numFmtId="0" fontId="2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9" fontId="3" fillId="0" borderId="0" xfId="1" applyNumberFormat="1" applyFont="1" applyAlignment="1">
      <alignment vertical="center"/>
    </xf>
    <xf numFmtId="0" fontId="9" fillId="0" borderId="4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right"/>
    </xf>
    <xf numFmtId="165" fontId="3" fillId="0" borderId="0" xfId="2" applyNumberFormat="1" applyFont="1" applyBorder="1" applyAlignment="1">
      <alignment horizontal="right"/>
    </xf>
    <xf numFmtId="10" fontId="3" fillId="0" borderId="0" xfId="0" applyNumberFormat="1" applyFont="1" applyAlignment="1">
      <alignment horizontal="right"/>
    </xf>
    <xf numFmtId="171" fontId="3" fillId="0" borderId="2" xfId="0" applyNumberFormat="1" applyFont="1" applyBorder="1"/>
    <xf numFmtId="10" fontId="3" fillId="0" borderId="2" xfId="3" applyNumberFormat="1" applyFont="1" applyBorder="1"/>
    <xf numFmtId="171" fontId="3" fillId="0" borderId="0" xfId="0" applyNumberFormat="1" applyFont="1"/>
    <xf numFmtId="10" fontId="3" fillId="0" borderId="0" xfId="3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4" fontId="7" fillId="0" borderId="0" xfId="1" applyNumberFormat="1" applyFont="1" applyAlignment="1">
      <alignment horizontal="right"/>
    </xf>
    <xf numFmtId="0" fontId="10" fillId="0" borderId="0" xfId="0" applyFont="1"/>
    <xf numFmtId="0" fontId="7" fillId="0" borderId="2" xfId="0" applyFont="1" applyBorder="1" applyAlignment="1">
      <alignment horizontal="center"/>
    </xf>
    <xf numFmtId="44" fontId="3" fillId="0" borderId="0" xfId="2" applyFont="1" applyAlignment="1">
      <alignment horizontal="right"/>
    </xf>
    <xf numFmtId="164" fontId="3" fillId="0" borderId="0" xfId="1" applyNumberFormat="1" applyFont="1" applyAlignment="1">
      <alignment horizontal="right"/>
    </xf>
    <xf numFmtId="10" fontId="3" fillId="0" borderId="5" xfId="3" applyNumberFormat="1" applyFont="1" applyBorder="1" applyAlignment="1"/>
    <xf numFmtId="0" fontId="7" fillId="0" borderId="0" xfId="0" applyFont="1" applyAlignment="1">
      <alignment horizontal="left"/>
    </xf>
    <xf numFmtId="0" fontId="7" fillId="0" borderId="0" xfId="0" applyFont="1"/>
    <xf numFmtId="10" fontId="7" fillId="0" borderId="0" xfId="3" applyNumberFormat="1" applyFont="1" applyFill="1"/>
    <xf numFmtId="9" fontId="7" fillId="0" borderId="0" xfId="3" applyFont="1" applyFill="1" applyAlignment="1"/>
    <xf numFmtId="10" fontId="7" fillId="0" borderId="0" xfId="3" applyNumberFormat="1" applyFont="1" applyFill="1" applyAlignment="1"/>
    <xf numFmtId="165" fontId="7" fillId="0" borderId="0" xfId="2" applyNumberFormat="1" applyFont="1" applyFill="1" applyAlignment="1"/>
    <xf numFmtId="165" fontId="7" fillId="0" borderId="0" xfId="2" applyNumberFormat="1" applyFont="1" applyFill="1" applyAlignment="1">
      <alignment horizontal="center"/>
    </xf>
    <xf numFmtId="43" fontId="7" fillId="0" borderId="0" xfId="1" applyFont="1" applyFill="1"/>
    <xf numFmtId="165" fontId="7" fillId="0" borderId="5" xfId="3" applyNumberFormat="1" applyFont="1" applyFill="1" applyBorder="1" applyAlignment="1">
      <alignment vertical="center"/>
    </xf>
    <xf numFmtId="165" fontId="7" fillId="0" borderId="0" xfId="0" applyNumberFormat="1" applyFont="1"/>
    <xf numFmtId="0" fontId="7" fillId="0" borderId="5" xfId="0" applyFont="1" applyBorder="1"/>
    <xf numFmtId="0" fontId="7" fillId="0" borderId="3" xfId="0" applyFont="1" applyBorder="1" applyAlignment="1">
      <alignment vertical="center"/>
    </xf>
    <xf numFmtId="0" fontId="7" fillId="0" borderId="6" xfId="0" applyFont="1" applyBorder="1"/>
    <xf numFmtId="0" fontId="7" fillId="0" borderId="0" xfId="0" applyFont="1" applyAlignment="1">
      <alignment horizontal="right"/>
    </xf>
    <xf numFmtId="165" fontId="7" fillId="0" borderId="0" xfId="2" applyNumberFormat="1" applyFont="1" applyFill="1"/>
    <xf numFmtId="0" fontId="7" fillId="0" borderId="5" xfId="0" applyFont="1" applyBorder="1" applyAlignment="1">
      <alignment vertical="center"/>
    </xf>
    <xf numFmtId="10" fontId="7" fillId="0" borderId="0" xfId="0" applyNumberFormat="1" applyFont="1"/>
    <xf numFmtId="10" fontId="7" fillId="0" borderId="5" xfId="3" applyNumberFormat="1" applyFont="1" applyFill="1" applyBorder="1" applyAlignment="1">
      <alignment vertical="center"/>
    </xf>
    <xf numFmtId="10" fontId="7" fillId="0" borderId="5" xfId="0" applyNumberFormat="1" applyFont="1" applyBorder="1" applyAlignment="1">
      <alignment vertical="center"/>
    </xf>
    <xf numFmtId="44" fontId="7" fillId="0" borderId="5" xfId="2" applyFont="1" applyFill="1" applyBorder="1" applyAlignment="1">
      <alignment vertical="center"/>
    </xf>
    <xf numFmtId="168" fontId="7" fillId="0" borderId="0" xfId="3" applyNumberFormat="1" applyFont="1" applyFill="1"/>
    <xf numFmtId="165" fontId="7" fillId="0" borderId="5" xfId="2" applyNumberFormat="1" applyFont="1" applyFill="1" applyBorder="1"/>
    <xf numFmtId="43" fontId="7" fillId="0" borderId="5" xfId="1" applyFont="1" applyFill="1" applyBorder="1"/>
    <xf numFmtId="165" fontId="7" fillId="0" borderId="3" xfId="2" applyNumberFormat="1" applyFont="1" applyFill="1" applyBorder="1" applyAlignment="1">
      <alignment vertical="center"/>
    </xf>
    <xf numFmtId="165" fontId="7" fillId="0" borderId="3" xfId="0" applyNumberFormat="1" applyFont="1" applyBorder="1" applyAlignment="1">
      <alignment vertical="center"/>
    </xf>
    <xf numFmtId="10" fontId="7" fillId="0" borderId="3" xfId="3" applyNumberFormat="1" applyFont="1" applyFill="1" applyBorder="1" applyAlignment="1">
      <alignment vertical="center"/>
    </xf>
    <xf numFmtId="44" fontId="7" fillId="0" borderId="0" xfId="0" applyNumberFormat="1" applyFont="1"/>
    <xf numFmtId="44" fontId="7" fillId="0" borderId="0" xfId="0" applyNumberFormat="1" applyFont="1" applyAlignment="1">
      <alignment horizontal="right"/>
    </xf>
    <xf numFmtId="43" fontId="7" fillId="0" borderId="0" xfId="0" applyNumberFormat="1" applyFont="1"/>
    <xf numFmtId="165" fontId="7" fillId="0" borderId="5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5" xfId="0" applyNumberFormat="1" applyFont="1" applyBorder="1"/>
    <xf numFmtId="0" fontId="11" fillId="0" borderId="4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43" fontId="4" fillId="0" borderId="0" xfId="1" applyFont="1" applyFill="1"/>
    <xf numFmtId="166" fontId="4" fillId="0" borderId="0" xfId="1" applyNumberFormat="1" applyFont="1" applyFill="1"/>
    <xf numFmtId="165" fontId="4" fillId="0" borderId="0" xfId="2" applyNumberFormat="1" applyFont="1" applyFill="1"/>
    <xf numFmtId="43" fontId="7" fillId="0" borderId="0" xfId="1" applyFont="1"/>
    <xf numFmtId="8" fontId="4" fillId="0" borderId="0" xfId="1" applyNumberFormat="1" applyFont="1" applyFill="1"/>
    <xf numFmtId="164" fontId="3" fillId="0" borderId="0" xfId="1" applyNumberFormat="1" applyFont="1" applyAlignment="1">
      <alignment vertical="center"/>
    </xf>
    <xf numFmtId="164" fontId="3" fillId="0" borderId="0" xfId="1" applyNumberFormat="1" applyFont="1"/>
    <xf numFmtId="6" fontId="3" fillId="0" borderId="1" xfId="0" applyNumberFormat="1" applyFont="1" applyBorder="1"/>
    <xf numFmtId="164" fontId="3" fillId="0" borderId="0" xfId="1" applyNumberFormat="1" applyFont="1" applyFill="1"/>
    <xf numFmtId="43" fontId="3" fillId="0" borderId="0" xfId="1" applyFont="1" applyFill="1"/>
    <xf numFmtId="43" fontId="3" fillId="0" borderId="0" xfId="1" applyFont="1" applyFill="1" applyAlignment="1">
      <alignment horizontal="right"/>
    </xf>
    <xf numFmtId="166" fontId="3" fillId="0" borderId="0" xfId="1" applyNumberFormat="1" applyFont="1" applyFill="1"/>
    <xf numFmtId="165" fontId="3" fillId="0" borderId="5" xfId="0" applyNumberFormat="1" applyFont="1" applyBorder="1" applyAlignment="1">
      <alignment vertical="center"/>
    </xf>
    <xf numFmtId="165" fontId="3" fillId="0" borderId="5" xfId="0" applyNumberFormat="1" applyFont="1" applyBorder="1"/>
    <xf numFmtId="165" fontId="3" fillId="0" borderId="3" xfId="0" applyNumberFormat="1" applyFont="1" applyBorder="1" applyAlignment="1">
      <alignment vertical="center"/>
    </xf>
    <xf numFmtId="165" fontId="3" fillId="0" borderId="0" xfId="2" applyNumberFormat="1" applyFont="1" applyFill="1"/>
    <xf numFmtId="165" fontId="3" fillId="0" borderId="5" xfId="2" applyNumberFormat="1" applyFont="1" applyFill="1" applyBorder="1" applyAlignment="1">
      <alignment vertical="center"/>
    </xf>
    <xf numFmtId="165" fontId="3" fillId="0" borderId="5" xfId="2" applyNumberFormat="1" applyFont="1" applyFill="1" applyBorder="1"/>
    <xf numFmtId="44" fontId="3" fillId="0" borderId="0" xfId="0" applyNumberFormat="1" applyFont="1"/>
    <xf numFmtId="44" fontId="3" fillId="0" borderId="0" xfId="0" applyNumberFormat="1" applyFont="1" applyAlignment="1">
      <alignment horizontal="right"/>
    </xf>
    <xf numFmtId="172" fontId="3" fillId="0" borderId="0" xfId="0" applyNumberFormat="1" applyFont="1"/>
    <xf numFmtId="0" fontId="9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173" fontId="3" fillId="0" borderId="0" xfId="2" applyNumberFormat="1" applyFont="1"/>
    <xf numFmtId="167" fontId="3" fillId="0" borderId="0" xfId="1" applyNumberFormat="1" applyFont="1" applyFill="1"/>
    <xf numFmtId="174" fontId="3" fillId="0" borderId="0" xfId="0" applyNumberFormat="1" applyFont="1"/>
  </cellXfs>
  <cellStyles count="5">
    <cellStyle name="Comma" xfId="1" builtinId="3"/>
    <cellStyle name="Currency" xfId="2" builtinId="4"/>
    <cellStyle name="Normal" xfId="0" builtinId="0"/>
    <cellStyle name="Normal 2" xfId="4" xr:uid="{07BB8BC8-C5A2-4D23-8181-BEF9162D0260}"/>
    <cellStyle name="Percent" xfId="3" builtinId="5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A6C87-2D74-4DCB-9000-40376CA871FF}">
  <sheetPr>
    <pageSetUpPr fitToPage="1"/>
  </sheetPr>
  <dimension ref="A1:V139"/>
  <sheetViews>
    <sheetView view="pageBreakPreview" zoomScaleNormal="75" zoomScaleSheetLayoutView="100" workbookViewId="0">
      <selection activeCell="L16" sqref="L16"/>
    </sheetView>
  </sheetViews>
  <sheetFormatPr defaultColWidth="8.85546875" defaultRowHeight="12.75" x14ac:dyDescent="0.2"/>
  <cols>
    <col min="1" max="1" width="9" style="2" bestFit="1" customWidth="1"/>
    <col min="2" max="2" width="33.5703125" style="2" bestFit="1" customWidth="1"/>
    <col min="3" max="3" width="6" style="14" bestFit="1" customWidth="1"/>
    <col min="4" max="4" width="13.7109375" style="2" hidden="1" customWidth="1"/>
    <col min="5" max="5" width="12.7109375" style="2" bestFit="1" customWidth="1"/>
    <col min="6" max="6" width="8.5703125" style="2" bestFit="1" customWidth="1"/>
    <col min="7" max="7" width="12.7109375" style="2" bestFit="1" customWidth="1"/>
    <col min="8" max="8" width="10.42578125" style="2" bestFit="1" customWidth="1"/>
    <col min="9" max="9" width="11.7109375" style="2" bestFit="1" customWidth="1"/>
    <col min="10" max="10" width="12.7109375" style="2" bestFit="1" customWidth="1"/>
    <col min="11" max="11" width="10.7109375" style="2" customWidth="1"/>
    <col min="12" max="12" width="11.7109375" style="2" bestFit="1" customWidth="1"/>
    <col min="13" max="14" width="7.7109375" style="2" bestFit="1" customWidth="1"/>
    <col min="15" max="15" width="10" style="2" customWidth="1"/>
    <col min="16" max="16" width="26.140625" style="2" customWidth="1"/>
    <col min="17" max="17" width="9" style="2" bestFit="1" customWidth="1"/>
    <col min="18" max="18" width="14.5703125" style="2" customWidth="1"/>
    <col min="19" max="19" width="9" style="2" customWidth="1"/>
    <col min="20" max="20" width="14.7109375" style="2" customWidth="1"/>
    <col min="21" max="21" width="10" style="2" customWidth="1"/>
    <col min="22" max="16384" width="8.85546875" style="2"/>
  </cols>
  <sheetData>
    <row r="1" spans="1:22" x14ac:dyDescent="0.2">
      <c r="A1" s="1" t="s">
        <v>83</v>
      </c>
    </row>
    <row r="2" spans="1:22" x14ac:dyDescent="0.2">
      <c r="A2" s="1" t="s">
        <v>0</v>
      </c>
    </row>
    <row r="3" spans="1:22" x14ac:dyDescent="0.2">
      <c r="A3" s="1"/>
    </row>
    <row r="4" spans="1:22" x14ac:dyDescent="0.2">
      <c r="A4" s="1"/>
      <c r="K4" s="26" t="s">
        <v>35</v>
      </c>
      <c r="L4" s="128">
        <v>2580307.8974233866</v>
      </c>
      <c r="M4" s="4"/>
    </row>
    <row r="5" spans="1:22" x14ac:dyDescent="0.2">
      <c r="M5" s="4"/>
      <c r="N5" s="4"/>
    </row>
    <row r="6" spans="1:22" s="9" customFormat="1" ht="31.9" customHeight="1" x14ac:dyDescent="0.2">
      <c r="A6" s="7" t="s">
        <v>1</v>
      </c>
      <c r="B6" s="7" t="s">
        <v>2</v>
      </c>
      <c r="C6" s="8" t="s">
        <v>11</v>
      </c>
      <c r="D6" s="10" t="s">
        <v>106</v>
      </c>
      <c r="E6" s="10" t="s">
        <v>3</v>
      </c>
      <c r="F6" s="10" t="s">
        <v>19</v>
      </c>
      <c r="G6" s="10" t="s">
        <v>30</v>
      </c>
      <c r="H6" s="10" t="s">
        <v>31</v>
      </c>
      <c r="I6" s="10" t="s">
        <v>32</v>
      </c>
      <c r="J6" s="10" t="s">
        <v>4</v>
      </c>
      <c r="K6" s="10" t="s">
        <v>21</v>
      </c>
      <c r="L6" s="10" t="s">
        <v>43</v>
      </c>
      <c r="M6" s="8" t="s">
        <v>41</v>
      </c>
      <c r="N6" s="8" t="s">
        <v>42</v>
      </c>
      <c r="O6" s="10" t="s">
        <v>34</v>
      </c>
      <c r="Q6" s="2"/>
      <c r="R6" s="2"/>
      <c r="S6" s="2"/>
      <c r="T6" s="2"/>
      <c r="U6" s="2"/>
      <c r="V6" s="2"/>
    </row>
    <row r="7" spans="1:22" x14ac:dyDescent="0.2">
      <c r="A7" s="3">
        <v>1</v>
      </c>
      <c r="B7" s="34" t="s">
        <v>5</v>
      </c>
      <c r="C7" s="63"/>
      <c r="D7" s="34"/>
      <c r="E7" s="35"/>
      <c r="F7" s="36"/>
      <c r="G7" s="90"/>
      <c r="H7" s="77"/>
      <c r="I7" s="77"/>
      <c r="J7" s="35"/>
      <c r="K7" s="36"/>
      <c r="L7" s="35"/>
      <c r="M7" s="37"/>
      <c r="N7" s="37"/>
    </row>
    <row r="8" spans="1:22" x14ac:dyDescent="0.2">
      <c r="A8" s="3">
        <f>A7+1</f>
        <v>2</v>
      </c>
      <c r="B8" s="2" t="str">
        <f>'Billing Detail'!B7</f>
        <v>Residential</v>
      </c>
      <c r="C8" s="14" t="str">
        <f>'Billing Detail'!C7</f>
        <v>R</v>
      </c>
      <c r="D8" s="38">
        <f>'Billing Detail'!G10</f>
        <v>33409105.9014</v>
      </c>
      <c r="E8" s="38">
        <f>'Billing Detail'!I10</f>
        <v>37060550.757959999</v>
      </c>
      <c r="F8" s="37">
        <f t="shared" ref="F8:F17" si="0">E8/E$17</f>
        <v>0.74632810457741428</v>
      </c>
      <c r="G8" s="93">
        <f>E8</f>
        <v>37060550.757959999</v>
      </c>
      <c r="H8" s="91">
        <f t="shared" ref="H8:H16" si="1">G8/G$17</f>
        <v>0.74632810457741428</v>
      </c>
      <c r="I8" s="92">
        <f t="shared" ref="I8:I16" si="2">ROUND(L$4*H8,2)</f>
        <v>1925756.3</v>
      </c>
      <c r="J8" s="38">
        <f>'Billing Detail'!M10</f>
        <v>38987009.019479997</v>
      </c>
      <c r="K8" s="37">
        <f t="shared" ref="K8:K17" si="3">J8/J$17</f>
        <v>0.74633338732768661</v>
      </c>
      <c r="L8" s="38">
        <f>'Billing Detail'!N10</f>
        <v>1926458.2615200011</v>
      </c>
      <c r="M8" s="37">
        <f>IF(E8=0,0,L8/E8)</f>
        <v>5.198137162347026E-2</v>
      </c>
      <c r="N8" s="37">
        <f>'Billing Detail'!O16</f>
        <v>4.6585210071347381E-2</v>
      </c>
      <c r="O8" s="11">
        <f>J8-I8-E8</f>
        <v>701.96152000129223</v>
      </c>
    </row>
    <row r="9" spans="1:22" x14ac:dyDescent="0.2">
      <c r="A9" s="3">
        <f t="shared" ref="A9:A31" si="4">A8+1</f>
        <v>3</v>
      </c>
      <c r="B9" s="2" t="str">
        <f>'Billing Detail'!B19</f>
        <v>Time of Use Marketing Service</v>
      </c>
      <c r="C9" s="14" t="str">
        <f>'Billing Detail'!C19</f>
        <v>D</v>
      </c>
      <c r="D9" s="38">
        <f>'Billing Detail'!G21</f>
        <v>23042.181220000002</v>
      </c>
      <c r="E9" s="38">
        <f>'Billing Detail'!I21</f>
        <v>27232.315440000002</v>
      </c>
      <c r="F9" s="37">
        <f t="shared" si="0"/>
        <v>5.484063768594734E-4</v>
      </c>
      <c r="G9" s="93">
        <f t="shared" ref="G9:G16" si="5">E9</f>
        <v>27232.315440000002</v>
      </c>
      <c r="H9" s="91">
        <f t="shared" si="1"/>
        <v>5.484063768594734E-4</v>
      </c>
      <c r="I9" s="92">
        <f t="shared" si="2"/>
        <v>1415.06</v>
      </c>
      <c r="J9" s="38">
        <f>'Billing Detail'!M21</f>
        <v>28647.997459999999</v>
      </c>
      <c r="K9" s="37">
        <f t="shared" si="3"/>
        <v>5.4841234355253285E-4</v>
      </c>
      <c r="L9" s="38">
        <f>'Billing Detail'!N21</f>
        <v>1415.6820199999966</v>
      </c>
      <c r="M9" s="37">
        <f t="shared" ref="M9:M16" si="6">IF(E9=0,0,L9/E9)</f>
        <v>5.1985370950888059E-2</v>
      </c>
      <c r="N9" s="37">
        <f>'Billing Detail'!O27</f>
        <v>5.0204621237011769E-2</v>
      </c>
      <c r="O9" s="11">
        <f t="shared" ref="O9:O17" si="7">J9-I9-E9</f>
        <v>0.6220199999952456</v>
      </c>
    </row>
    <row r="10" spans="1:22" x14ac:dyDescent="0.2">
      <c r="A10" s="3">
        <f t="shared" si="4"/>
        <v>4</v>
      </c>
      <c r="B10" s="2" t="str">
        <f>'Billing Detail'!B30</f>
        <v>General Power Service &lt; 50kW</v>
      </c>
      <c r="C10" s="14" t="str">
        <f>'Billing Detail'!C30</f>
        <v>C</v>
      </c>
      <c r="D10" s="38">
        <f>'Billing Detail'!G34</f>
        <v>3645392.3384799999</v>
      </c>
      <c r="E10" s="38">
        <f>'Billing Detail'!I34</f>
        <v>4000947.7957600001</v>
      </c>
      <c r="F10" s="37">
        <f t="shared" si="0"/>
        <v>8.0571381802290037E-2</v>
      </c>
      <c r="G10" s="93">
        <f t="shared" si="5"/>
        <v>4000947.7957600001</v>
      </c>
      <c r="H10" s="91">
        <f t="shared" si="1"/>
        <v>8.0571381802290037E-2</v>
      </c>
      <c r="I10" s="92">
        <f t="shared" si="2"/>
        <v>207898.97</v>
      </c>
      <c r="J10" s="38">
        <f>'Billing Detail'!M34</f>
        <v>4208703.000801851</v>
      </c>
      <c r="K10" s="37">
        <f t="shared" si="3"/>
        <v>8.0567749253993431E-2</v>
      </c>
      <c r="L10" s="38">
        <f>'Billing Detail'!N34</f>
        <v>207755.20504185112</v>
      </c>
      <c r="M10" s="37">
        <f t="shared" si="6"/>
        <v>5.1926497331962057E-2</v>
      </c>
      <c r="N10" s="37">
        <f>'Billing Detail'!O40</f>
        <v>4.6691548554838959E-2</v>
      </c>
      <c r="O10" s="11">
        <f t="shared" si="7"/>
        <v>-143.76495814928785</v>
      </c>
    </row>
    <row r="11" spans="1:22" x14ac:dyDescent="0.2">
      <c r="A11" s="3">
        <f t="shared" si="4"/>
        <v>5</v>
      </c>
      <c r="B11" s="2" t="str">
        <f>'Billing Detail'!B43</f>
        <v>Public Facilities</v>
      </c>
      <c r="C11" s="14" t="str">
        <f>'Billing Detail'!C43</f>
        <v>E</v>
      </c>
      <c r="D11" s="38">
        <f>'Billing Detail'!G46</f>
        <v>421595.59972</v>
      </c>
      <c r="E11" s="38">
        <f>'Billing Detail'!I46</f>
        <v>463765.7733</v>
      </c>
      <c r="F11" s="37">
        <f t="shared" si="0"/>
        <v>9.3393493479188676E-3</v>
      </c>
      <c r="G11" s="93">
        <f t="shared" si="5"/>
        <v>463765.7733</v>
      </c>
      <c r="H11" s="91">
        <f t="shared" si="1"/>
        <v>9.3393493479188676E-3</v>
      </c>
      <c r="I11" s="92">
        <f t="shared" si="2"/>
        <v>24098.400000000001</v>
      </c>
      <c r="J11" s="38">
        <f>'Billing Detail'!M46</f>
        <v>487868.06033000001</v>
      </c>
      <c r="K11" s="37">
        <f t="shared" si="3"/>
        <v>9.3393217687755201E-3</v>
      </c>
      <c r="L11" s="38">
        <f>'Billing Detail'!N46</f>
        <v>24102.287029999963</v>
      </c>
      <c r="M11" s="37">
        <f t="shared" si="6"/>
        <v>5.1970818929771942E-2</v>
      </c>
      <c r="N11" s="37">
        <f>'Billing Detail'!O52</f>
        <v>4.6418000037779988E-2</v>
      </c>
      <c r="O11" s="11">
        <f t="shared" si="7"/>
        <v>3.887029999983497</v>
      </c>
    </row>
    <row r="12" spans="1:22" x14ac:dyDescent="0.2">
      <c r="A12" s="3">
        <f t="shared" si="4"/>
        <v>6</v>
      </c>
      <c r="B12" s="2" t="str">
        <f>'Billing Detail'!B55</f>
        <v>General Power Service 50-500kW</v>
      </c>
      <c r="C12" s="14" t="str">
        <f>'Billing Detail'!C55</f>
        <v>L</v>
      </c>
      <c r="D12" s="38">
        <f>'Billing Detail'!G59</f>
        <v>4161236.6952599999</v>
      </c>
      <c r="E12" s="38">
        <f>'Billing Detail'!I59</f>
        <v>4669211.8055400001</v>
      </c>
      <c r="F12" s="37">
        <f t="shared" si="0"/>
        <v>9.4028931719280631E-2</v>
      </c>
      <c r="G12" s="93">
        <f t="shared" si="5"/>
        <v>4669211.8055400001</v>
      </c>
      <c r="H12" s="91">
        <f t="shared" si="1"/>
        <v>9.4028931719280631E-2</v>
      </c>
      <c r="I12" s="92">
        <f t="shared" si="2"/>
        <v>242623.6</v>
      </c>
      <c r="J12" s="38">
        <f>'Billing Detail'!M59</f>
        <v>4912041.8812600002</v>
      </c>
      <c r="K12" s="37">
        <f t="shared" si="3"/>
        <v>9.4031856973293276E-2</v>
      </c>
      <c r="L12" s="38">
        <f>'Billing Detail'!N59</f>
        <v>242830.07571999979</v>
      </c>
      <c r="M12" s="37">
        <f>IF(E12=0,0,L12/E12)</f>
        <v>5.2006652478665226E-2</v>
      </c>
      <c r="N12" s="37">
        <f>'Billing Detail'!O65</f>
        <v>4.1831855266845429E-2</v>
      </c>
      <c r="O12" s="11">
        <f>J12-I12-E12</f>
        <v>206.47572000045329</v>
      </c>
    </row>
    <row r="13" spans="1:22" x14ac:dyDescent="0.2">
      <c r="A13" s="3">
        <f t="shared" si="4"/>
        <v>7</v>
      </c>
      <c r="B13" s="2" t="str">
        <f>'Billing Detail'!B68</f>
        <v>General Power Service 1000-5000kW</v>
      </c>
      <c r="C13" s="14" t="str">
        <f>'Billing Detail'!C68</f>
        <v>M</v>
      </c>
      <c r="D13" s="38">
        <f>'Billing Detail'!G72</f>
        <v>157610.63800000001</v>
      </c>
      <c r="E13" s="38">
        <f>'Billing Detail'!I72</f>
        <v>180830.785</v>
      </c>
      <c r="F13" s="37">
        <f t="shared" si="0"/>
        <v>3.6415836855664893E-3</v>
      </c>
      <c r="G13" s="93">
        <f t="shared" si="5"/>
        <v>180830.785</v>
      </c>
      <c r="H13" s="91">
        <f t="shared" si="1"/>
        <v>3.6415836855664893E-3</v>
      </c>
      <c r="I13" s="92">
        <f t="shared" si="2"/>
        <v>9396.41</v>
      </c>
      <c r="J13" s="38">
        <f>'Billing Detail'!M72</f>
        <v>190222.53097406338</v>
      </c>
      <c r="K13" s="37">
        <f t="shared" si="3"/>
        <v>3.6414546655010901E-3</v>
      </c>
      <c r="L13" s="38">
        <f>'Billing Detail'!N72</f>
        <v>9391.7459740633712</v>
      </c>
      <c r="M13" s="37">
        <f t="shared" ref="M13" si="8">IF(E13=0,0,L13/E13)</f>
        <v>5.193665433716594E-2</v>
      </c>
      <c r="N13" s="37">
        <f>'Billing Detail'!O78</f>
        <v>4.6198031239997835E-2</v>
      </c>
      <c r="O13" s="11">
        <f t="shared" ref="O13" si="9">J13-I13-E13</f>
        <v>-4.6640259366249666</v>
      </c>
    </row>
    <row r="14" spans="1:22" x14ac:dyDescent="0.2">
      <c r="A14" s="3">
        <f t="shared" si="4"/>
        <v>8</v>
      </c>
      <c r="B14" s="2" t="str">
        <f>'Billing Detail'!B81</f>
        <v>General Power Service 500+kW</v>
      </c>
      <c r="C14" s="14" t="str">
        <f>'Billing Detail'!C81</f>
        <v>P</v>
      </c>
      <c r="D14" s="38">
        <f>'Billing Detail'!G85</f>
        <v>1086118.5499999998</v>
      </c>
      <c r="E14" s="38">
        <f>'Billing Detail'!I85</f>
        <v>1233358.8903999999</v>
      </c>
      <c r="F14" s="37">
        <f t="shared" si="0"/>
        <v>2.4837472301682633E-2</v>
      </c>
      <c r="G14" s="93">
        <f t="shared" si="5"/>
        <v>1233358.8903999999</v>
      </c>
      <c r="H14" s="91">
        <f t="shared" si="1"/>
        <v>2.4837472301682633E-2</v>
      </c>
      <c r="I14" s="92">
        <f t="shared" si="2"/>
        <v>64088.33</v>
      </c>
      <c r="J14" s="38">
        <f>'Billing Detail'!M85</f>
        <v>1297282.6950429906</v>
      </c>
      <c r="K14" s="37">
        <f t="shared" si="3"/>
        <v>2.4834051456198096E-2</v>
      </c>
      <c r="L14" s="38">
        <f>'Billing Detail'!N85</f>
        <v>63923.80464299061</v>
      </c>
      <c r="M14" s="37">
        <f t="shared" si="6"/>
        <v>5.1829037874173832E-2</v>
      </c>
      <c r="N14" s="37">
        <f>'Billing Detail'!O91</f>
        <v>4.3932222061107008E-2</v>
      </c>
      <c r="O14" s="11">
        <f t="shared" si="7"/>
        <v>-164.52535700937733</v>
      </c>
    </row>
    <row r="15" spans="1:22" x14ac:dyDescent="0.2">
      <c r="A15" s="3">
        <f t="shared" si="4"/>
        <v>9</v>
      </c>
      <c r="B15" s="2" t="str">
        <f>'Billing Detail'!B94</f>
        <v>Large Industrial Rate</v>
      </c>
      <c r="C15" s="14" t="str">
        <f>'Billing Detail'!C94</f>
        <v>B-1</v>
      </c>
      <c r="D15" s="38"/>
      <c r="E15" s="38">
        <f>'Billing Detail'!I99</f>
        <v>676436.48371599999</v>
      </c>
      <c r="F15" s="37">
        <f t="shared" si="0"/>
        <v>1.362212779987737E-2</v>
      </c>
      <c r="G15" s="93">
        <f t="shared" ref="G15" si="10">E15</f>
        <v>676436.48371599999</v>
      </c>
      <c r="H15" s="91">
        <f t="shared" si="1"/>
        <v>1.362212779987737E-2</v>
      </c>
      <c r="I15" s="92">
        <f t="shared" ref="I15" si="11">ROUND(L$4*H15,2)</f>
        <v>35149.279999999999</v>
      </c>
      <c r="J15" s="38">
        <f>'Billing Detail'!M99</f>
        <v>711658.42423908832</v>
      </c>
      <c r="K15" s="37">
        <f t="shared" si="3"/>
        <v>1.3623369828582116E-2</v>
      </c>
      <c r="L15" s="38">
        <f>'Billing Detail'!N99</f>
        <v>35221.940523088379</v>
      </c>
      <c r="M15" s="37">
        <f t="shared" ref="M15" si="12">IF(E15=0,0,L15/E15)</f>
        <v>5.2069841546092913E-2</v>
      </c>
      <c r="N15" s="37">
        <f>'Billing Detail'!O105</f>
        <v>4.6653813297412819E-2</v>
      </c>
      <c r="O15" s="11">
        <f t="shared" ref="O15" si="13">J15-I15-E15</f>
        <v>72.660523088299669</v>
      </c>
    </row>
    <row r="16" spans="1:22" x14ac:dyDescent="0.2">
      <c r="A16" s="3">
        <f t="shared" si="4"/>
        <v>10</v>
      </c>
      <c r="B16" s="2" t="str">
        <f>'Billing Detail'!B108</f>
        <v>Lighting</v>
      </c>
      <c r="C16" s="14" t="str">
        <f>'Billing Detail'!C108</f>
        <v>S,T,O</v>
      </c>
      <c r="D16" s="38">
        <f>'Billing Detail'!G119</f>
        <v>1295766.3899999999</v>
      </c>
      <c r="E16" s="38">
        <f>'Billing Detail'!I119</f>
        <v>1344847.7107660454</v>
      </c>
      <c r="F16" s="37">
        <f t="shared" si="0"/>
        <v>2.7082642389110193E-2</v>
      </c>
      <c r="G16" s="93">
        <f t="shared" si="5"/>
        <v>1344847.7107660454</v>
      </c>
      <c r="H16" s="91">
        <f t="shared" si="1"/>
        <v>2.7082642389110193E-2</v>
      </c>
      <c r="I16" s="92">
        <f t="shared" si="2"/>
        <v>69881.56</v>
      </c>
      <c r="J16" s="38">
        <f>'Billing Detail'!M119</f>
        <v>1414627.3983436851</v>
      </c>
      <c r="K16" s="37">
        <f t="shared" si="3"/>
        <v>2.7080396382417257E-2</v>
      </c>
      <c r="L16" s="38">
        <f t="shared" ref="L16:L17" si="14">J16-E16</f>
        <v>69779.687577639706</v>
      </c>
      <c r="M16" s="37">
        <f t="shared" si="6"/>
        <v>5.1886683539723727E-2</v>
      </c>
      <c r="N16" s="37">
        <f>'Billing Detail'!O125</f>
        <v>4.929250112526596E-2</v>
      </c>
      <c r="O16" s="11">
        <f t="shared" si="7"/>
        <v>-101.87242236034945</v>
      </c>
    </row>
    <row r="17" spans="1:19" ht="16.149999999999999" customHeight="1" x14ac:dyDescent="0.2">
      <c r="A17" s="3">
        <f t="shared" si="4"/>
        <v>11</v>
      </c>
      <c r="B17" s="39" t="s">
        <v>40</v>
      </c>
      <c r="C17" s="64"/>
      <c r="D17" s="40">
        <f>SUM(D8:D16)</f>
        <v>44199868.294079997</v>
      </c>
      <c r="E17" s="40">
        <f>SUM(E8:E16)</f>
        <v>49657182.317882046</v>
      </c>
      <c r="F17" s="41">
        <f t="shared" si="0"/>
        <v>1</v>
      </c>
      <c r="G17" s="40">
        <f>SUM(G8:G16)</f>
        <v>49657182.317882046</v>
      </c>
      <c r="H17" s="41">
        <v>1</v>
      </c>
      <c r="I17" s="40">
        <f>SUM(I8:I16)</f>
        <v>2580307.91</v>
      </c>
      <c r="J17" s="40">
        <f>SUM(J8:J16)</f>
        <v>52238061.007931679</v>
      </c>
      <c r="K17" s="41">
        <f t="shared" si="3"/>
        <v>1</v>
      </c>
      <c r="L17" s="40">
        <f t="shared" si="14"/>
        <v>2580878.6900496334</v>
      </c>
      <c r="M17" s="41">
        <f t="shared" ref="M17" si="15">L17/E17</f>
        <v>5.197392541381135E-2</v>
      </c>
      <c r="N17" s="41"/>
      <c r="O17" s="42">
        <f t="shared" si="7"/>
        <v>570.78004963696003</v>
      </c>
    </row>
    <row r="18" spans="1:19" ht="16.149999999999999" customHeight="1" x14ac:dyDescent="0.2">
      <c r="A18" s="3">
        <f t="shared" si="4"/>
        <v>12</v>
      </c>
      <c r="D18" s="43"/>
      <c r="E18" s="43"/>
      <c r="F18" s="44"/>
      <c r="G18" s="43"/>
      <c r="H18" s="44"/>
      <c r="I18" s="43"/>
      <c r="J18" s="43"/>
      <c r="K18" s="44"/>
      <c r="L18" s="43"/>
      <c r="M18" s="44"/>
      <c r="N18" s="44"/>
      <c r="O18" s="11"/>
    </row>
    <row r="19" spans="1:19" ht="16.149999999999999" customHeight="1" x14ac:dyDescent="0.2">
      <c r="A19" s="3">
        <f t="shared" si="4"/>
        <v>13</v>
      </c>
      <c r="B19" s="13" t="s">
        <v>39</v>
      </c>
      <c r="C19" s="65"/>
      <c r="D19" s="45">
        <f>D17</f>
        <v>44199868.294079997</v>
      </c>
      <c r="E19" s="45">
        <f t="shared" ref="E19:O19" si="16">E17</f>
        <v>49657182.317882046</v>
      </c>
      <c r="F19" s="86">
        <f t="shared" si="16"/>
        <v>1</v>
      </c>
      <c r="G19" s="45">
        <f t="shared" si="16"/>
        <v>49657182.317882046</v>
      </c>
      <c r="H19" s="86">
        <f t="shared" si="16"/>
        <v>1</v>
      </c>
      <c r="I19" s="45">
        <f t="shared" si="16"/>
        <v>2580307.91</v>
      </c>
      <c r="J19" s="45">
        <f t="shared" si="16"/>
        <v>52238061.007931679</v>
      </c>
      <c r="K19" s="86">
        <f t="shared" si="16"/>
        <v>1</v>
      </c>
      <c r="L19" s="45">
        <f t="shared" si="16"/>
        <v>2580878.6900496334</v>
      </c>
      <c r="M19" s="86">
        <f t="shared" si="16"/>
        <v>5.197392541381135E-2</v>
      </c>
      <c r="N19" s="45"/>
      <c r="O19" s="45">
        <f t="shared" si="16"/>
        <v>570.78004963696003</v>
      </c>
    </row>
    <row r="20" spans="1:19" ht="12.6" customHeight="1" x14ac:dyDescent="0.2">
      <c r="A20" s="3">
        <f t="shared" si="4"/>
        <v>14</v>
      </c>
      <c r="S20" s="38"/>
    </row>
    <row r="21" spans="1:19" x14ac:dyDescent="0.2">
      <c r="A21" s="3">
        <f t="shared" si="4"/>
        <v>15</v>
      </c>
      <c r="B21" s="34" t="s">
        <v>7</v>
      </c>
      <c r="C21" s="63"/>
      <c r="D21" s="34"/>
    </row>
    <row r="22" spans="1:19" x14ac:dyDescent="0.2">
      <c r="A22" s="3">
        <f t="shared" si="4"/>
        <v>16</v>
      </c>
      <c r="B22" s="2" t="str">
        <f>'Billing Detail'!D11</f>
        <v xml:space="preserve">    FAC</v>
      </c>
      <c r="D22" s="38">
        <f>'Billing Detail'!G130</f>
        <v>5107026.9700000007</v>
      </c>
      <c r="E22" s="38">
        <f>'Billing Detail'!I130</f>
        <v>781695.7750599999</v>
      </c>
      <c r="F22" s="46"/>
      <c r="G22" s="47"/>
      <c r="H22" s="47"/>
      <c r="I22" s="47"/>
      <c r="J22" s="38">
        <f>'Billing Detail'!M130</f>
        <v>781695.7750599999</v>
      </c>
      <c r="K22" s="48"/>
      <c r="L22" s="48"/>
      <c r="M22" s="47"/>
      <c r="N22" s="47"/>
    </row>
    <row r="23" spans="1:19" x14ac:dyDescent="0.2">
      <c r="A23" s="3">
        <f t="shared" si="4"/>
        <v>17</v>
      </c>
      <c r="B23" s="2" t="str">
        <f>'Billing Detail'!D12</f>
        <v xml:space="preserve">    ES</v>
      </c>
      <c r="D23" s="38">
        <f>'Billing Detail'!G131</f>
        <v>5341769.68</v>
      </c>
      <c r="E23" s="38">
        <f>'Billing Detail'!I131</f>
        <v>5341769.68</v>
      </c>
      <c r="F23" s="47"/>
      <c r="G23" s="47"/>
      <c r="H23" s="47"/>
      <c r="I23" s="47"/>
      <c r="J23" s="38">
        <f>'Billing Detail'!M131</f>
        <v>5341769.68</v>
      </c>
      <c r="K23" s="48"/>
      <c r="L23" s="48"/>
      <c r="M23" s="47"/>
      <c r="N23" s="47"/>
    </row>
    <row r="24" spans="1:19" x14ac:dyDescent="0.2">
      <c r="A24" s="3">
        <f t="shared" si="4"/>
        <v>18</v>
      </c>
      <c r="B24" s="2" t="str">
        <f>'Billing Detail'!D13</f>
        <v xml:space="preserve">    Prepay</v>
      </c>
      <c r="D24" s="38">
        <f>'Billing Detail'!G132</f>
        <v>120969.44</v>
      </c>
      <c r="E24" s="38">
        <f>'Billing Detail'!I132</f>
        <v>120969.44</v>
      </c>
      <c r="F24" s="47"/>
      <c r="G24" s="47"/>
      <c r="H24" s="47"/>
      <c r="I24" s="47"/>
      <c r="J24" s="38">
        <f>'Billing Detail'!M132</f>
        <v>120969.44</v>
      </c>
      <c r="K24" s="48"/>
      <c r="L24" s="48"/>
      <c r="M24" s="47"/>
      <c r="N24" s="47"/>
    </row>
    <row r="25" spans="1:19" x14ac:dyDescent="0.2">
      <c r="A25" s="3">
        <f t="shared" si="4"/>
        <v>19</v>
      </c>
      <c r="B25" s="2" t="str">
        <f>'Billing Detail'!D14</f>
        <v xml:space="preserve">    Other</v>
      </c>
      <c r="D25" s="38">
        <f>'Billing Detail'!G133</f>
        <v>82626.14</v>
      </c>
      <c r="E25" s="38">
        <f>'Billing Detail'!I133</f>
        <v>82626.14</v>
      </c>
      <c r="F25" s="47"/>
      <c r="G25" s="47"/>
      <c r="H25" s="47"/>
      <c r="I25" s="47"/>
      <c r="J25" s="38">
        <f>'Billing Detail'!M133</f>
        <v>82626.14</v>
      </c>
      <c r="K25" s="48"/>
      <c r="L25" s="48"/>
      <c r="M25" s="47"/>
      <c r="N25" s="56"/>
    </row>
    <row r="26" spans="1:19" x14ac:dyDescent="0.2">
      <c r="A26" s="3">
        <f t="shared" si="4"/>
        <v>20</v>
      </c>
      <c r="B26" s="39" t="s">
        <v>8</v>
      </c>
      <c r="C26" s="64"/>
      <c r="D26" s="40">
        <f>SUM(D22:D25)</f>
        <v>10652392.23</v>
      </c>
      <c r="E26" s="40">
        <f>SUM(E22:E25)</f>
        <v>6327061.0350599997</v>
      </c>
      <c r="F26" s="49"/>
      <c r="G26" s="49"/>
      <c r="H26" s="49"/>
      <c r="I26" s="49"/>
      <c r="J26" s="40">
        <f>SUM(J22:J25)</f>
        <v>6327061.0350599997</v>
      </c>
      <c r="K26" s="50"/>
      <c r="L26" s="50"/>
      <c r="M26" s="49"/>
      <c r="N26" s="47"/>
    </row>
    <row r="27" spans="1:19" x14ac:dyDescent="0.2">
      <c r="A27" s="3">
        <f t="shared" si="4"/>
        <v>21</v>
      </c>
    </row>
    <row r="28" spans="1:19" ht="18" customHeight="1" thickBot="1" x14ac:dyDescent="0.25">
      <c r="A28" s="3">
        <f t="shared" si="4"/>
        <v>22</v>
      </c>
      <c r="B28" s="51" t="s">
        <v>9</v>
      </c>
      <c r="C28" s="66"/>
      <c r="D28" s="52">
        <f>D19+D26</f>
        <v>54852260.524079993</v>
      </c>
      <c r="E28" s="52">
        <f>E19+E26</f>
        <v>55984243.35294205</v>
      </c>
      <c r="F28" s="53"/>
      <c r="G28" s="53"/>
      <c r="H28" s="53"/>
      <c r="I28" s="53"/>
      <c r="J28" s="52">
        <f>J19+J26</f>
        <v>58565122.042991683</v>
      </c>
      <c r="K28" s="54"/>
      <c r="L28" s="53">
        <f t="shared" ref="L28" si="17">J28-E28</f>
        <v>2580878.6900496334</v>
      </c>
      <c r="M28" s="51"/>
      <c r="N28" s="55">
        <f>L28/E28</f>
        <v>4.6100090587613607E-2</v>
      </c>
    </row>
    <row r="29" spans="1:19" ht="18" customHeight="1" thickTop="1" x14ac:dyDescent="0.2">
      <c r="A29" s="3">
        <f t="shared" si="4"/>
        <v>23</v>
      </c>
      <c r="B29" s="2" t="s">
        <v>10</v>
      </c>
      <c r="D29" s="43">
        <v>55228654</v>
      </c>
      <c r="L29" s="43">
        <f>L4</f>
        <v>2580307.8974233866</v>
      </c>
    </row>
    <row r="30" spans="1:19" ht="15" customHeight="1" x14ac:dyDescent="0.2">
      <c r="A30" s="3">
        <f t="shared" si="4"/>
        <v>24</v>
      </c>
      <c r="B30" s="39" t="s">
        <v>36</v>
      </c>
      <c r="C30" s="64"/>
      <c r="D30" s="40">
        <f>D28-D29</f>
        <v>-376393.47592000663</v>
      </c>
      <c r="E30" s="39"/>
      <c r="F30" s="39"/>
      <c r="G30" s="39"/>
      <c r="H30" s="39"/>
      <c r="I30" s="39"/>
      <c r="J30" s="39"/>
      <c r="K30" s="39"/>
      <c r="L30" s="40">
        <f>L28-L29</f>
        <v>570.79262624680996</v>
      </c>
    </row>
    <row r="31" spans="1:19" ht="15" customHeight="1" x14ac:dyDescent="0.2">
      <c r="A31" s="3">
        <f t="shared" si="4"/>
        <v>25</v>
      </c>
      <c r="B31" s="2" t="s">
        <v>36</v>
      </c>
      <c r="D31" s="37">
        <f>D30/D29</f>
        <v>-6.815184667002868E-3</v>
      </c>
      <c r="L31" s="37">
        <f>L30/L29</f>
        <v>2.2121105268746623E-4</v>
      </c>
    </row>
    <row r="32" spans="1:19" x14ac:dyDescent="0.2">
      <c r="A32" s="3"/>
    </row>
    <row r="139" spans="9:9" x14ac:dyDescent="0.2">
      <c r="I139" s="2" t="s">
        <v>107</v>
      </c>
    </row>
  </sheetData>
  <pageMargins left="0.7" right="0.7" top="0.75" bottom="0.75" header="0.3" footer="0.3"/>
  <pageSetup scale="74" orientation="landscape" r:id="rId1"/>
  <headerFooter>
    <oddHeader>&amp;R&amp;"Arial,Bold"&amp;10Exhibit 4
Page &amp;P of &amp;N</oddHeader>
  </headerFooter>
  <ignoredErrors>
    <ignoredError sqref="J17 F17 J8:J11 G8:G14 G1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36A2-12A9-4965-8FFC-07FECC5A7A7C}">
  <dimension ref="A1:X139"/>
  <sheetViews>
    <sheetView tabSelected="1" view="pageBreakPreview" zoomScale="75" zoomScaleNormal="75" zoomScaleSheetLayoutView="75" workbookViewId="0">
      <pane xSplit="4" ySplit="5" topLeftCell="E102" activePane="bottomRight" state="frozen"/>
      <selection activeCell="O140" sqref="O140"/>
      <selection pane="topRight" activeCell="O140" sqref="O140"/>
      <selection pane="bottomLeft" activeCell="O140" sqref="O140"/>
      <selection pane="bottomRight" activeCell="L96" sqref="L96"/>
    </sheetView>
  </sheetViews>
  <sheetFormatPr defaultColWidth="8.85546875" defaultRowHeight="12.75" x14ac:dyDescent="0.2"/>
  <cols>
    <col min="1" max="1" width="7.42578125" style="5" customWidth="1"/>
    <col min="2" max="2" width="30.7109375" style="2" customWidth="1"/>
    <col min="3" max="3" width="6.7109375" style="14" customWidth="1"/>
    <col min="4" max="4" width="30.7109375" style="2" customWidth="1"/>
    <col min="5" max="5" width="13.85546875" style="2" bestFit="1" customWidth="1"/>
    <col min="6" max="6" width="10" style="2" hidden="1" customWidth="1"/>
    <col min="7" max="7" width="13.85546875" style="2" hidden="1" customWidth="1"/>
    <col min="8" max="8" width="12.28515625" style="2" bestFit="1" customWidth="1"/>
    <col min="9" max="9" width="15.28515625" style="2" bestFit="1" customWidth="1"/>
    <col min="10" max="10" width="8.5703125" style="2" bestFit="1" customWidth="1"/>
    <col min="11" max="11" width="13.85546875" style="2" bestFit="1" customWidth="1"/>
    <col min="12" max="12" width="9.85546875" style="2" bestFit="1" customWidth="1"/>
    <col min="13" max="13" width="13.85546875" style="2" bestFit="1" customWidth="1"/>
    <col min="14" max="14" width="12.28515625" style="2" bestFit="1" customWidth="1"/>
    <col min="15" max="16" width="9.85546875" style="2" bestFit="1" customWidth="1"/>
    <col min="17" max="17" width="9.42578125" style="2" bestFit="1" customWidth="1"/>
    <col min="18" max="18" width="13.28515625" style="2" bestFit="1" customWidth="1"/>
    <col min="19" max="19" width="12.7109375" style="2" customWidth="1"/>
    <col min="20" max="20" width="14.140625" style="2" customWidth="1"/>
    <col min="21" max="21" width="8.85546875" style="2" customWidth="1"/>
    <col min="22" max="22" width="9.28515625" style="2" customWidth="1"/>
    <col min="23" max="23" width="11.7109375" style="2" customWidth="1"/>
    <col min="24" max="16384" width="8.85546875" style="2"/>
  </cols>
  <sheetData>
    <row r="1" spans="1:20" x14ac:dyDescent="0.2">
      <c r="A1" s="29" t="str">
        <f>Summary!A1</f>
        <v>CLARK ENERGY COOPERATIVE</v>
      </c>
      <c r="F1" s="12"/>
    </row>
    <row r="2" spans="1:20" ht="14.45" customHeight="1" x14ac:dyDescent="0.2">
      <c r="A2" s="29" t="str">
        <f>Summary!A2</f>
        <v>Billing Analysis for Pass-Through Rate Increase</v>
      </c>
      <c r="F2" s="32"/>
      <c r="G2" s="33"/>
      <c r="H2" s="3"/>
      <c r="P2" s="27"/>
    </row>
    <row r="5" spans="1:20" ht="38.450000000000003" customHeight="1" x14ac:dyDescent="0.2">
      <c r="A5" s="16" t="s">
        <v>1</v>
      </c>
      <c r="B5" s="16" t="s">
        <v>12</v>
      </c>
      <c r="C5" s="8" t="s">
        <v>11</v>
      </c>
      <c r="D5" s="16" t="s">
        <v>13</v>
      </c>
      <c r="E5" s="10" t="s">
        <v>14</v>
      </c>
      <c r="F5" s="119" t="s">
        <v>94</v>
      </c>
      <c r="G5" s="119" t="s">
        <v>95</v>
      </c>
      <c r="H5" s="10" t="s">
        <v>22</v>
      </c>
      <c r="I5" s="10" t="s">
        <v>23</v>
      </c>
      <c r="J5" s="10" t="s">
        <v>49</v>
      </c>
      <c r="K5" s="10" t="s">
        <v>10</v>
      </c>
      <c r="L5" s="10" t="s">
        <v>20</v>
      </c>
      <c r="M5" s="10" t="s">
        <v>4</v>
      </c>
      <c r="N5" s="10" t="s">
        <v>15</v>
      </c>
      <c r="O5" s="8" t="s">
        <v>16</v>
      </c>
      <c r="P5" s="10" t="s">
        <v>21</v>
      </c>
      <c r="Q5" s="10" t="s">
        <v>24</v>
      </c>
      <c r="R5" s="10" t="s">
        <v>37</v>
      </c>
      <c r="T5" s="10" t="s">
        <v>33</v>
      </c>
    </row>
    <row r="6" spans="1:20" ht="30.6" customHeight="1" thickBot="1" x14ac:dyDescent="0.25">
      <c r="A6" s="30"/>
      <c r="B6" s="21"/>
      <c r="C6" s="22"/>
      <c r="D6" s="21"/>
      <c r="E6" s="23"/>
      <c r="F6" s="23"/>
      <c r="G6" s="23"/>
      <c r="H6" s="23"/>
      <c r="I6" s="23"/>
      <c r="J6" s="23"/>
      <c r="K6" s="23"/>
      <c r="L6" s="23"/>
      <c r="M6" s="23"/>
      <c r="N6" s="23"/>
      <c r="O6" s="22"/>
      <c r="P6" s="23"/>
      <c r="Q6" s="23"/>
      <c r="R6" s="23"/>
    </row>
    <row r="7" spans="1:20" x14ac:dyDescent="0.2">
      <c r="A7" s="31">
        <v>1</v>
      </c>
      <c r="B7" s="24" t="s">
        <v>63</v>
      </c>
      <c r="C7" s="25" t="s">
        <v>64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20" x14ac:dyDescent="0.2">
      <c r="A8" s="31">
        <f>A7+1</f>
        <v>2</v>
      </c>
      <c r="C8" s="2"/>
      <c r="D8" s="2" t="s">
        <v>84</v>
      </c>
      <c r="E8" s="129">
        <f>302514+2658</f>
        <v>305172</v>
      </c>
      <c r="F8" s="121">
        <v>18.62</v>
      </c>
      <c r="G8" s="101">
        <f>F8*E8</f>
        <v>5682302.6400000006</v>
      </c>
      <c r="H8" s="130">
        <v>18.62</v>
      </c>
      <c r="I8" s="136">
        <f>H8*E8</f>
        <v>5682302.6400000006</v>
      </c>
      <c r="J8" s="89">
        <f>I8/I10</f>
        <v>0.15332482987397414</v>
      </c>
      <c r="K8" s="89"/>
      <c r="L8" s="130">
        <f>ROUND(H8*S10,2)</f>
        <v>19.59</v>
      </c>
      <c r="M8" s="101">
        <f>L8*E8</f>
        <v>5978319.4799999995</v>
      </c>
      <c r="N8" s="101">
        <f t="shared" ref="N8:N13" si="0">M8-I8</f>
        <v>296016.83999999892</v>
      </c>
      <c r="O8" s="89">
        <f>IF(I8=0,0,N8/I8)</f>
        <v>5.2094522019333851E-2</v>
      </c>
      <c r="P8" s="89">
        <f>M8/M10</f>
        <v>0.15334132138766815</v>
      </c>
      <c r="Q8" s="103">
        <f>P8-J8</f>
        <v>1.6491513694011362E-5</v>
      </c>
      <c r="R8" s="103"/>
      <c r="T8" s="4">
        <f>L8/H8-1</f>
        <v>5.2094522019334066E-2</v>
      </c>
    </row>
    <row r="9" spans="1:20" x14ac:dyDescent="0.2">
      <c r="A9" s="31">
        <f t="shared" ref="A9:A72" si="1">A8+1</f>
        <v>3</v>
      </c>
      <c r="B9" s="32"/>
      <c r="D9" s="2" t="s">
        <v>46</v>
      </c>
      <c r="E9" s="129">
        <f>307163707+2806145</f>
        <v>309969852</v>
      </c>
      <c r="F9" s="122">
        <v>8.9450000000000002E-2</v>
      </c>
      <c r="G9" s="101">
        <f t="shared" ref="G9" si="2">F9*E9</f>
        <v>27726803.261399999</v>
      </c>
      <c r="H9" s="132">
        <v>0.10123</v>
      </c>
      <c r="I9" s="136">
        <f t="shared" ref="I9" si="3">H9*E9</f>
        <v>31378248.117959999</v>
      </c>
      <c r="J9" s="89">
        <f>I9/I10</f>
        <v>0.84667517012602589</v>
      </c>
      <c r="K9" s="89"/>
      <c r="L9" s="141">
        <f>ROUND(H9*S10,5)</f>
        <v>0.10649</v>
      </c>
      <c r="M9" s="101">
        <f t="shared" ref="M9" si="4">L9*E9</f>
        <v>33008689.539480001</v>
      </c>
      <c r="N9" s="101">
        <f t="shared" si="0"/>
        <v>1630441.4215200022</v>
      </c>
      <c r="O9" s="89">
        <f t="shared" ref="O9" si="5">IF(I9=0,0,N9/I9)</f>
        <v>5.1960881161711027E-2</v>
      </c>
      <c r="P9" s="89">
        <f>M9/M10</f>
        <v>0.84665867861233191</v>
      </c>
      <c r="Q9" s="103">
        <f t="shared" ref="Q9:Q10" si="6">P9-J9</f>
        <v>-1.6491513693983606E-5</v>
      </c>
      <c r="R9" s="103"/>
      <c r="T9" s="4">
        <f>L9/H9-1</f>
        <v>5.1960881161710937E-2</v>
      </c>
    </row>
    <row r="10" spans="1:20" s="5" customFormat="1" ht="20.45" customHeight="1" x14ac:dyDescent="0.25">
      <c r="A10" s="31">
        <f t="shared" si="1"/>
        <v>4</v>
      </c>
      <c r="C10" s="15"/>
      <c r="D10" s="17" t="s">
        <v>6</v>
      </c>
      <c r="E10" s="17"/>
      <c r="F10" s="102"/>
      <c r="G10" s="18">
        <f>SUM(G8:G9)</f>
        <v>33409105.9014</v>
      </c>
      <c r="H10" s="17"/>
      <c r="I10" s="137">
        <f>SUM(I8:I9)</f>
        <v>37060550.757959999</v>
      </c>
      <c r="J10" s="104">
        <f>SUM(J8:J9)</f>
        <v>1</v>
      </c>
      <c r="K10" s="95">
        <f>I10+Summary!I8</f>
        <v>38986307.057959996</v>
      </c>
      <c r="L10" s="17"/>
      <c r="M10" s="18">
        <f>SUM(M8:M9)</f>
        <v>38987009.019479997</v>
      </c>
      <c r="N10" s="18">
        <f>SUM(N8:N9)</f>
        <v>1926458.2615200011</v>
      </c>
      <c r="O10" s="104">
        <f t="shared" ref="O10" si="7">N10/I10</f>
        <v>5.198137162347026E-2</v>
      </c>
      <c r="P10" s="104">
        <f>SUM(P8:P9)</f>
        <v>1</v>
      </c>
      <c r="Q10" s="105">
        <f t="shared" si="6"/>
        <v>0</v>
      </c>
      <c r="R10" s="106">
        <f>M10-K10</f>
        <v>701.96152000129223</v>
      </c>
      <c r="S10" s="67">
        <f>K10/I10</f>
        <v>1.0519624306874711</v>
      </c>
    </row>
    <row r="11" spans="1:20" x14ac:dyDescent="0.2">
      <c r="A11" s="31">
        <f t="shared" si="1"/>
        <v>5</v>
      </c>
      <c r="D11" s="2" t="s">
        <v>25</v>
      </c>
      <c r="F11" s="88"/>
      <c r="G11" s="123">
        <f>3818631.41+34704</f>
        <v>3853335.41</v>
      </c>
      <c r="I11" s="11">
        <f>G11-($H$139*E9)</f>
        <v>201890.55343999993</v>
      </c>
      <c r="J11" s="88"/>
      <c r="K11" s="96"/>
      <c r="M11" s="101">
        <f>I11</f>
        <v>201890.55343999993</v>
      </c>
      <c r="N11" s="101">
        <f t="shared" si="0"/>
        <v>0</v>
      </c>
      <c r="O11" s="94">
        <v>0</v>
      </c>
      <c r="P11" s="88"/>
      <c r="Q11" s="88"/>
      <c r="R11" s="107"/>
    </row>
    <row r="12" spans="1:20" x14ac:dyDescent="0.2">
      <c r="A12" s="31">
        <f t="shared" si="1"/>
        <v>6</v>
      </c>
      <c r="D12" s="2" t="s">
        <v>26</v>
      </c>
      <c r="F12" s="88"/>
      <c r="G12" s="123">
        <f>4039491.5+38208</f>
        <v>4077699.5</v>
      </c>
      <c r="I12" s="11">
        <f>G12</f>
        <v>4077699.5</v>
      </c>
      <c r="J12" s="88"/>
      <c r="K12" s="88"/>
      <c r="M12" s="101">
        <f t="shared" ref="M12:M14" si="8">I12</f>
        <v>4077699.5</v>
      </c>
      <c r="N12" s="101">
        <f t="shared" si="0"/>
        <v>0</v>
      </c>
      <c r="O12" s="94">
        <v>0</v>
      </c>
      <c r="P12" s="88"/>
      <c r="Q12" s="88"/>
      <c r="R12" s="88"/>
    </row>
    <row r="13" spans="1:20" x14ac:dyDescent="0.2">
      <c r="A13" s="31">
        <f t="shared" si="1"/>
        <v>7</v>
      </c>
      <c r="D13" s="2" t="s">
        <v>99</v>
      </c>
      <c r="E13" s="2">
        <f>2658</f>
        <v>2658</v>
      </c>
      <c r="F13" s="124">
        <v>5</v>
      </c>
      <c r="G13" s="101">
        <f>E13*F13</f>
        <v>13290</v>
      </c>
      <c r="H13" s="12">
        <v>5</v>
      </c>
      <c r="I13" s="11">
        <f>H13*E13</f>
        <v>13290</v>
      </c>
      <c r="J13" s="88"/>
      <c r="K13" s="88"/>
      <c r="M13" s="101">
        <f t="shared" si="8"/>
        <v>13290</v>
      </c>
      <c r="N13" s="101">
        <f t="shared" si="0"/>
        <v>0</v>
      </c>
      <c r="O13" s="94">
        <v>0</v>
      </c>
      <c r="P13" s="88"/>
      <c r="Q13" s="88"/>
      <c r="R13" s="88"/>
    </row>
    <row r="14" spans="1:20" x14ac:dyDescent="0.2">
      <c r="A14" s="31">
        <f t="shared" si="1"/>
        <v>8</v>
      </c>
      <c r="D14" s="2" t="s">
        <v>38</v>
      </c>
      <c r="F14" s="88"/>
      <c r="G14" s="101">
        <v>0</v>
      </c>
      <c r="I14" s="11">
        <f>G14</f>
        <v>0</v>
      </c>
      <c r="J14" s="88"/>
      <c r="K14" s="88"/>
      <c r="M14" s="101">
        <f t="shared" si="8"/>
        <v>0</v>
      </c>
      <c r="N14" s="101"/>
      <c r="O14" s="94">
        <v>0</v>
      </c>
      <c r="P14" s="88"/>
      <c r="Q14" s="88"/>
      <c r="R14" s="88"/>
    </row>
    <row r="15" spans="1:20" x14ac:dyDescent="0.2">
      <c r="A15" s="31">
        <f t="shared" si="1"/>
        <v>9</v>
      </c>
      <c r="D15" s="13" t="s">
        <v>8</v>
      </c>
      <c r="E15" s="13"/>
      <c r="F15" s="97"/>
      <c r="G15" s="108">
        <f>SUM(G11:G14)</f>
        <v>7944324.9100000001</v>
      </c>
      <c r="H15" s="13"/>
      <c r="I15" s="138">
        <f>SUM(I11:I14)</f>
        <v>4292880.0534399999</v>
      </c>
      <c r="J15" s="97"/>
      <c r="K15" s="97"/>
      <c r="L15" s="13"/>
      <c r="M15" s="108">
        <f>SUM(M11:M14)</f>
        <v>4292880.0534399999</v>
      </c>
      <c r="N15" s="108">
        <f>M15-I15</f>
        <v>0</v>
      </c>
      <c r="O15" s="109">
        <v>0</v>
      </c>
      <c r="P15" s="88"/>
      <c r="Q15" s="88"/>
      <c r="R15" s="88"/>
    </row>
    <row r="16" spans="1:20" s="5" customFormat="1" ht="26.45" customHeight="1" thickBot="1" x14ac:dyDescent="0.25">
      <c r="A16" s="31">
        <f t="shared" si="1"/>
        <v>10</v>
      </c>
      <c r="C16" s="15"/>
      <c r="D16" s="6" t="s">
        <v>18</v>
      </c>
      <c r="E16" s="6"/>
      <c r="F16" s="98"/>
      <c r="G16" s="110">
        <f>G10+G15</f>
        <v>41353430.811399996</v>
      </c>
      <c r="H16" s="6"/>
      <c r="I16" s="135">
        <f>I15+I10</f>
        <v>41353430.811399996</v>
      </c>
      <c r="J16" s="98"/>
      <c r="K16" s="98"/>
      <c r="L16" s="6"/>
      <c r="M16" s="110">
        <f>M15+M10</f>
        <v>43279889.072919995</v>
      </c>
      <c r="N16" s="110">
        <f>M16-I16</f>
        <v>1926458.2615199983</v>
      </c>
      <c r="O16" s="112">
        <f>N16/I16</f>
        <v>4.6585210071347381E-2</v>
      </c>
      <c r="P16" s="88"/>
      <c r="Q16" s="88"/>
      <c r="R16" s="88"/>
    </row>
    <row r="17" spans="1:20" ht="13.5" thickTop="1" x14ac:dyDescent="0.2">
      <c r="A17" s="31">
        <f t="shared" si="1"/>
        <v>11</v>
      </c>
      <c r="D17" s="2" t="s">
        <v>17</v>
      </c>
      <c r="E17" s="130">
        <f>E9/E8</f>
        <v>1015.721796232944</v>
      </c>
      <c r="F17" s="88"/>
      <c r="G17" s="113">
        <f>G16/E8</f>
        <v>135.50860108856642</v>
      </c>
      <c r="I17" s="139">
        <f>I16/E8</f>
        <v>135.50860108856642</v>
      </c>
      <c r="J17" s="88"/>
      <c r="K17" s="88"/>
      <c r="M17" s="113">
        <f>M16/E8</f>
        <v>141.82129773675172</v>
      </c>
      <c r="N17" s="113">
        <f>M17-I17</f>
        <v>6.3126966481852946</v>
      </c>
      <c r="O17" s="89">
        <f>N17/I17</f>
        <v>4.6585210071347492E-2</v>
      </c>
      <c r="P17" s="88"/>
      <c r="Q17" s="88"/>
      <c r="R17" s="88"/>
    </row>
    <row r="18" spans="1:20" ht="13.5" thickBot="1" x14ac:dyDescent="0.25">
      <c r="A18" s="31">
        <f t="shared" si="1"/>
        <v>12</v>
      </c>
      <c r="F18" s="88"/>
      <c r="G18" s="88"/>
      <c r="J18" s="88"/>
      <c r="K18" s="88"/>
      <c r="M18" s="88"/>
      <c r="N18" s="88"/>
      <c r="O18" s="88"/>
      <c r="P18" s="88"/>
      <c r="Q18" s="88"/>
      <c r="R18" s="88"/>
    </row>
    <row r="19" spans="1:20" x14ac:dyDescent="0.2">
      <c r="A19" s="31">
        <f t="shared" si="1"/>
        <v>13</v>
      </c>
      <c r="B19" s="24" t="s">
        <v>65</v>
      </c>
      <c r="C19" s="25" t="s">
        <v>61</v>
      </c>
      <c r="D19" s="24"/>
      <c r="E19" s="24"/>
      <c r="F19" s="99"/>
      <c r="G19" s="99"/>
      <c r="H19" s="24"/>
      <c r="I19" s="24"/>
      <c r="J19" s="99"/>
      <c r="K19" s="99"/>
      <c r="L19" s="24"/>
      <c r="M19" s="99"/>
      <c r="N19" s="99"/>
      <c r="O19" s="99"/>
      <c r="P19" s="99"/>
      <c r="Q19" s="99"/>
      <c r="R19" s="99"/>
    </row>
    <row r="20" spans="1:20" x14ac:dyDescent="0.2">
      <c r="A20" s="31">
        <f t="shared" si="1"/>
        <v>14</v>
      </c>
      <c r="B20" s="32"/>
      <c r="D20" s="2" t="s">
        <v>46</v>
      </c>
      <c r="E20" s="129">
        <v>355699</v>
      </c>
      <c r="F20" s="122">
        <v>6.4780000000000004E-2</v>
      </c>
      <c r="G20" s="101">
        <f t="shared" ref="G20" si="9">F20*E20</f>
        <v>23042.181220000002</v>
      </c>
      <c r="H20" s="132">
        <v>7.6560000000000003E-2</v>
      </c>
      <c r="I20" s="136">
        <f t="shared" ref="I20" si="10">H20*E20</f>
        <v>27232.315440000002</v>
      </c>
      <c r="J20" s="89">
        <f>I20/I21</f>
        <v>1</v>
      </c>
      <c r="K20" s="89"/>
      <c r="L20" s="141">
        <f>ROUND(H20*S21,5)</f>
        <v>8.054E-2</v>
      </c>
      <c r="M20" s="101">
        <f t="shared" ref="M20" si="11">L20*E20</f>
        <v>28647.997459999999</v>
      </c>
      <c r="N20" s="101">
        <f t="shared" ref="N20" si="12">M20-I20</f>
        <v>1415.6820199999966</v>
      </c>
      <c r="O20" s="89">
        <f t="shared" ref="O20" si="13">IF(I20=0,0,N20/I20)</f>
        <v>5.1985370950888059E-2</v>
      </c>
      <c r="P20" s="89">
        <f>M20/M$21</f>
        <v>1</v>
      </c>
      <c r="Q20" s="103">
        <f t="shared" ref="Q20" si="14">P20-J20</f>
        <v>0</v>
      </c>
      <c r="R20" s="103"/>
      <c r="T20" s="4">
        <f>L20/H20-1</f>
        <v>5.1985370950888177E-2</v>
      </c>
    </row>
    <row r="21" spans="1:20" s="5" customFormat="1" ht="20.45" customHeight="1" x14ac:dyDescent="0.25">
      <c r="A21" s="31">
        <f t="shared" si="1"/>
        <v>15</v>
      </c>
      <c r="C21" s="15"/>
      <c r="D21" s="17" t="s">
        <v>6</v>
      </c>
      <c r="E21" s="17"/>
      <c r="F21" s="102"/>
      <c r="G21" s="18">
        <f>SUM(G20:G20)</f>
        <v>23042.181220000002</v>
      </c>
      <c r="H21" s="17"/>
      <c r="I21" s="137">
        <f>SUM(I20:I20)</f>
        <v>27232.315440000002</v>
      </c>
      <c r="J21" s="104">
        <f>SUM(J20:J20)</f>
        <v>1</v>
      </c>
      <c r="K21" s="95">
        <f>I21+Summary!I9</f>
        <v>28647.375440000003</v>
      </c>
      <c r="L21" s="17"/>
      <c r="M21" s="18">
        <f>SUM(M20:M20)</f>
        <v>28647.997459999999</v>
      </c>
      <c r="N21" s="18">
        <f>SUM(N20:N20)</f>
        <v>1415.6820199999966</v>
      </c>
      <c r="O21" s="104">
        <f t="shared" ref="O21" si="15">N21/I21</f>
        <v>5.1985370950888059E-2</v>
      </c>
      <c r="P21" s="104">
        <f>SUM(P20:P20)</f>
        <v>1</v>
      </c>
      <c r="Q21" s="105">
        <f t="shared" ref="Q21" si="16">P21-J21</f>
        <v>0</v>
      </c>
      <c r="R21" s="106">
        <f>M21-K21</f>
        <v>0.6220199999952456</v>
      </c>
      <c r="S21" s="67">
        <f>K21/I21</f>
        <v>1.05196252970548</v>
      </c>
    </row>
    <row r="22" spans="1:20" x14ac:dyDescent="0.2">
      <c r="A22" s="31">
        <f t="shared" si="1"/>
        <v>16</v>
      </c>
      <c r="D22" s="2" t="s">
        <v>25</v>
      </c>
      <c r="F22" s="88"/>
      <c r="G22" s="123">
        <v>5156.0599999999995</v>
      </c>
      <c r="I22" s="11">
        <f>G22-($H$139*E20)</f>
        <v>965.92577999999958</v>
      </c>
      <c r="J22" s="88"/>
      <c r="K22" s="96"/>
      <c r="M22" s="101">
        <f>I22</f>
        <v>965.92577999999958</v>
      </c>
      <c r="N22" s="101">
        <f t="shared" ref="N22:N27" si="17">M22-I22</f>
        <v>0</v>
      </c>
      <c r="O22" s="94">
        <v>0</v>
      </c>
      <c r="P22" s="88"/>
      <c r="Q22" s="88"/>
      <c r="R22" s="88"/>
    </row>
    <row r="23" spans="1:20" x14ac:dyDescent="0.2">
      <c r="A23" s="31">
        <f t="shared" si="1"/>
        <v>17</v>
      </c>
      <c r="D23" s="2" t="s">
        <v>26</v>
      </c>
      <c r="F23" s="88"/>
      <c r="G23" s="123">
        <v>0</v>
      </c>
      <c r="I23" s="11">
        <f t="shared" ref="I23:I25" si="18">G23</f>
        <v>0</v>
      </c>
      <c r="J23" s="88"/>
      <c r="K23" s="88"/>
      <c r="M23" s="101">
        <f t="shared" ref="M23:M25" si="19">I23</f>
        <v>0</v>
      </c>
      <c r="N23" s="101">
        <f t="shared" si="17"/>
        <v>0</v>
      </c>
      <c r="O23" s="94">
        <v>0</v>
      </c>
      <c r="P23" s="88"/>
      <c r="Q23" s="88"/>
      <c r="R23" s="88"/>
    </row>
    <row r="24" spans="1:20" x14ac:dyDescent="0.2">
      <c r="A24" s="31">
        <f t="shared" si="1"/>
        <v>18</v>
      </c>
      <c r="D24" s="2" t="s">
        <v>28</v>
      </c>
      <c r="F24" s="88"/>
      <c r="G24" s="101">
        <v>0</v>
      </c>
      <c r="I24" s="11">
        <f t="shared" si="18"/>
        <v>0</v>
      </c>
      <c r="J24" s="88"/>
      <c r="K24" s="88"/>
      <c r="M24" s="101">
        <f t="shared" si="19"/>
        <v>0</v>
      </c>
      <c r="N24" s="101">
        <f t="shared" si="17"/>
        <v>0</v>
      </c>
      <c r="O24" s="94">
        <v>0</v>
      </c>
      <c r="P24" s="88"/>
      <c r="Q24" s="88"/>
      <c r="R24" s="88"/>
    </row>
    <row r="25" spans="1:20" x14ac:dyDescent="0.2">
      <c r="A25" s="31">
        <f t="shared" si="1"/>
        <v>19</v>
      </c>
      <c r="D25" s="2" t="s">
        <v>38</v>
      </c>
      <c r="F25" s="88"/>
      <c r="G25" s="101">
        <v>0</v>
      </c>
      <c r="I25" s="11">
        <f t="shared" si="18"/>
        <v>0</v>
      </c>
      <c r="J25" s="88"/>
      <c r="K25" s="88"/>
      <c r="M25" s="101">
        <f t="shared" si="19"/>
        <v>0</v>
      </c>
      <c r="N25" s="101"/>
      <c r="O25" s="94"/>
      <c r="P25" s="88"/>
      <c r="Q25" s="88"/>
      <c r="R25" s="88"/>
    </row>
    <row r="26" spans="1:20" x14ac:dyDescent="0.2">
      <c r="A26" s="31">
        <f t="shared" si="1"/>
        <v>20</v>
      </c>
      <c r="D26" s="13" t="s">
        <v>8</v>
      </c>
      <c r="E26" s="13"/>
      <c r="F26" s="97"/>
      <c r="G26" s="108">
        <f>SUM(G22:G25)</f>
        <v>5156.0599999999995</v>
      </c>
      <c r="H26" s="13"/>
      <c r="I26" s="138">
        <f>SUM(I22:I25)</f>
        <v>965.92577999999958</v>
      </c>
      <c r="J26" s="97"/>
      <c r="K26" s="97"/>
      <c r="L26" s="13"/>
      <c r="M26" s="108">
        <f>SUM(M22:M25)</f>
        <v>965.92577999999958</v>
      </c>
      <c r="N26" s="108">
        <f t="shared" si="17"/>
        <v>0</v>
      </c>
      <c r="O26" s="109">
        <f t="shared" ref="O26" si="20">N26-J26</f>
        <v>0</v>
      </c>
      <c r="P26" s="88"/>
      <c r="Q26" s="88"/>
      <c r="R26" s="88"/>
    </row>
    <row r="27" spans="1:20" s="5" customFormat="1" ht="26.45" customHeight="1" thickBot="1" x14ac:dyDescent="0.25">
      <c r="A27" s="31">
        <f t="shared" si="1"/>
        <v>21</v>
      </c>
      <c r="C27" s="15"/>
      <c r="D27" s="6" t="s">
        <v>18</v>
      </c>
      <c r="E27" s="6"/>
      <c r="F27" s="98"/>
      <c r="G27" s="110">
        <f>G21+G26</f>
        <v>28198.241220000004</v>
      </c>
      <c r="H27" s="6"/>
      <c r="I27" s="135">
        <f>I26+I21</f>
        <v>28198.241220000004</v>
      </c>
      <c r="J27" s="98"/>
      <c r="K27" s="98"/>
      <c r="L27" s="6"/>
      <c r="M27" s="110">
        <f>M26+M21</f>
        <v>29613.923239999996</v>
      </c>
      <c r="N27" s="110">
        <f t="shared" si="17"/>
        <v>1415.6820199999929</v>
      </c>
      <c r="O27" s="112">
        <f>N27/I27</f>
        <v>5.0204621237011769E-2</v>
      </c>
      <c r="P27" s="88"/>
      <c r="Q27" s="88"/>
      <c r="R27" s="88"/>
    </row>
    <row r="28" spans="1:20" ht="13.5" thickTop="1" x14ac:dyDescent="0.2">
      <c r="A28" s="31">
        <f t="shared" si="1"/>
        <v>22</v>
      </c>
      <c r="D28" s="2" t="s">
        <v>17</v>
      </c>
      <c r="E28" s="131" t="s">
        <v>58</v>
      </c>
      <c r="F28" s="100"/>
      <c r="G28" s="114" t="s">
        <v>58</v>
      </c>
      <c r="H28" s="120"/>
      <c r="I28" s="140" t="s">
        <v>58</v>
      </c>
      <c r="J28" s="100"/>
      <c r="K28" s="100"/>
      <c r="L28" s="120"/>
      <c r="M28" s="114" t="s">
        <v>58</v>
      </c>
      <c r="N28" s="114" t="s">
        <v>58</v>
      </c>
      <c r="O28" s="89">
        <f>O27</f>
        <v>5.0204621237011769E-2</v>
      </c>
      <c r="P28" s="88"/>
      <c r="Q28" s="88"/>
      <c r="R28" s="88"/>
    </row>
    <row r="29" spans="1:20" ht="13.5" thickBot="1" x14ac:dyDescent="0.25">
      <c r="A29" s="31">
        <f t="shared" si="1"/>
        <v>23</v>
      </c>
      <c r="F29" s="88"/>
      <c r="G29" s="88"/>
      <c r="J29" s="88"/>
      <c r="K29" s="88"/>
      <c r="M29" s="88"/>
      <c r="N29" s="88"/>
      <c r="O29" s="88"/>
      <c r="P29" s="88"/>
      <c r="Q29" s="88"/>
      <c r="R29" s="88"/>
    </row>
    <row r="30" spans="1:20" x14ac:dyDescent="0.2">
      <c r="A30" s="31">
        <f t="shared" si="1"/>
        <v>24</v>
      </c>
      <c r="B30" s="24" t="s">
        <v>66</v>
      </c>
      <c r="C30" s="25" t="s">
        <v>60</v>
      </c>
      <c r="D30" s="24"/>
      <c r="E30" s="24"/>
      <c r="F30" s="99"/>
      <c r="G30" s="99"/>
      <c r="H30" s="24"/>
      <c r="I30" s="24"/>
      <c r="J30" s="99"/>
      <c r="K30" s="99"/>
      <c r="L30" s="24"/>
      <c r="M30" s="99"/>
      <c r="N30" s="99"/>
      <c r="O30" s="99"/>
      <c r="P30" s="99"/>
      <c r="Q30" s="99"/>
      <c r="R30" s="99"/>
    </row>
    <row r="31" spans="1:20" x14ac:dyDescent="0.2">
      <c r="A31" s="31">
        <f t="shared" si="1"/>
        <v>25</v>
      </c>
      <c r="C31" s="2"/>
      <c r="D31" s="2" t="s">
        <v>86</v>
      </c>
      <c r="E31" s="129">
        <v>20701</v>
      </c>
      <c r="F31" s="121">
        <v>26.2</v>
      </c>
      <c r="G31" s="101">
        <f>F31*E31</f>
        <v>542366.19999999995</v>
      </c>
      <c r="H31" s="130">
        <v>26.2</v>
      </c>
      <c r="I31" s="136">
        <f>H31*E31</f>
        <v>542366.19999999995</v>
      </c>
      <c r="J31" s="89">
        <f>I31/I34</f>
        <v>0.13555942933691159</v>
      </c>
      <c r="K31" s="89"/>
      <c r="L31" s="130">
        <f>ROUND(H31*S34,2)</f>
        <v>27.56</v>
      </c>
      <c r="M31" s="101">
        <f>L31*E31</f>
        <v>570519.55999999994</v>
      </c>
      <c r="N31" s="101">
        <f>M31-I31</f>
        <v>28153.359999999986</v>
      </c>
      <c r="O31" s="89">
        <f>IF(I31=0,0,N31/I31)</f>
        <v>5.1908396946564864E-2</v>
      </c>
      <c r="P31" s="89">
        <f>M31/M$34</f>
        <v>0.13555709678048161</v>
      </c>
      <c r="Q31" s="103">
        <f>P31-J31</f>
        <v>-2.3325564299792045E-6</v>
      </c>
      <c r="R31" s="103"/>
      <c r="T31" s="4">
        <f>L31/H31-1</f>
        <v>5.1908396946564794E-2</v>
      </c>
    </row>
    <row r="32" spans="1:20" x14ac:dyDescent="0.2">
      <c r="A32" s="31">
        <f t="shared" si="1"/>
        <v>26</v>
      </c>
      <c r="D32" s="2" t="s">
        <v>85</v>
      </c>
      <c r="E32" s="129">
        <v>2809.9932497589198</v>
      </c>
      <c r="F32" s="121">
        <v>51.85</v>
      </c>
      <c r="G32" s="101">
        <f t="shared" ref="G32" si="21">F32*E32</f>
        <v>145698.15</v>
      </c>
      <c r="H32" s="130">
        <v>51.85</v>
      </c>
      <c r="I32" s="136">
        <f t="shared" ref="I32" si="22">H32*E32</f>
        <v>145698.15</v>
      </c>
      <c r="J32" s="89">
        <f>I32/I34</f>
        <v>3.6415908789013303E-2</v>
      </c>
      <c r="K32" s="89"/>
      <c r="L32" s="141">
        <f>ROUND(H32*S34,2)</f>
        <v>54.54</v>
      </c>
      <c r="M32" s="101">
        <f t="shared" ref="M32" si="23">L32*E32</f>
        <v>153257.03184185148</v>
      </c>
      <c r="N32" s="101">
        <f t="shared" ref="N32" si="24">M32-I32</f>
        <v>7558.8818418514857</v>
      </c>
      <c r="O32" s="89">
        <f t="shared" ref="O32" si="25">IF(I32=0,0,N32/I32)</f>
        <v>5.1880424300867825E-2</v>
      </c>
      <c r="P32" s="89">
        <f t="shared" ref="P32:P33" si="26">M32/M$34</f>
        <v>3.6414313818925362E-2</v>
      </c>
      <c r="Q32" s="103">
        <f t="shared" ref="Q32" si="27">P32-J32</f>
        <v>-1.5949700879411277E-6</v>
      </c>
      <c r="R32" s="103"/>
      <c r="T32" s="4">
        <f>L32/H32-1</f>
        <v>5.1880424300867922E-2</v>
      </c>
    </row>
    <row r="33" spans="1:20" x14ac:dyDescent="0.2">
      <c r="A33" s="31">
        <f t="shared" si="1"/>
        <v>27</v>
      </c>
      <c r="D33" s="2" t="s">
        <v>47</v>
      </c>
      <c r="E33" s="129">
        <f>21341164+8841812</f>
        <v>30182976</v>
      </c>
      <c r="F33" s="122">
        <v>9.7979999999999998E-2</v>
      </c>
      <c r="G33" s="101">
        <f t="shared" ref="G33" si="28">F33*E33</f>
        <v>2957327.9884799998</v>
      </c>
      <c r="H33" s="132">
        <v>0.10976</v>
      </c>
      <c r="I33" s="136">
        <f t="shared" ref="I33" si="29">H33*E33</f>
        <v>3312883.44576</v>
      </c>
      <c r="J33" s="89">
        <f>I33/I34</f>
        <v>0.82802466187407509</v>
      </c>
      <c r="K33" s="89"/>
      <c r="L33" s="141">
        <f>ROUND(H33*S34,5)</f>
        <v>0.11545999999999999</v>
      </c>
      <c r="M33" s="101">
        <f t="shared" ref="M33" si="30">L33*E33</f>
        <v>3484926.4089599997</v>
      </c>
      <c r="N33" s="101">
        <f t="shared" ref="N33:N41" si="31">M33-I33</f>
        <v>172042.96319999965</v>
      </c>
      <c r="O33" s="89">
        <f t="shared" ref="O33" si="32">IF(I33=0,0,N33/I33)</f>
        <v>5.1931486880466365E-2</v>
      </c>
      <c r="P33" s="89">
        <f t="shared" si="26"/>
        <v>0.82802858940059298</v>
      </c>
      <c r="Q33" s="103">
        <f t="shared" ref="Q33:Q34" si="33">P33-J33</f>
        <v>3.9275265178995156E-6</v>
      </c>
      <c r="R33" s="103"/>
      <c r="T33" s="4">
        <f>L33/H33-1</f>
        <v>5.1931486880466338E-2</v>
      </c>
    </row>
    <row r="34" spans="1:20" s="5" customFormat="1" ht="20.45" customHeight="1" x14ac:dyDescent="0.25">
      <c r="A34" s="31">
        <f t="shared" si="1"/>
        <v>28</v>
      </c>
      <c r="C34" s="15"/>
      <c r="D34" s="17" t="s">
        <v>6</v>
      </c>
      <c r="E34" s="17"/>
      <c r="F34" s="102"/>
      <c r="G34" s="18">
        <f>SUM(G31:G33)</f>
        <v>3645392.3384799999</v>
      </c>
      <c r="H34" s="17"/>
      <c r="I34" s="137">
        <f>SUM(I31:I33)</f>
        <v>4000947.7957600001</v>
      </c>
      <c r="J34" s="104">
        <f>SUM(J31:J33)</f>
        <v>1</v>
      </c>
      <c r="K34" s="95">
        <f>I34+Summary!I10</f>
        <v>4208846.7657599999</v>
      </c>
      <c r="L34" s="17"/>
      <c r="M34" s="18">
        <f>SUM(M31:M33)</f>
        <v>4208703.000801851</v>
      </c>
      <c r="N34" s="18">
        <f>SUM(N31:N33)</f>
        <v>207755.20504185112</v>
      </c>
      <c r="O34" s="104">
        <f t="shared" ref="O34" si="34">N34/I34</f>
        <v>5.1926497331962057E-2</v>
      </c>
      <c r="P34" s="104">
        <f>SUM(P31:P33)</f>
        <v>1</v>
      </c>
      <c r="Q34" s="105">
        <f t="shared" si="33"/>
        <v>0</v>
      </c>
      <c r="R34" s="106">
        <f>M34-K34</f>
        <v>-143.76495814882219</v>
      </c>
      <c r="S34" s="67">
        <f>K34/I34</f>
        <v>1.0519624300572781</v>
      </c>
    </row>
    <row r="35" spans="1:20" x14ac:dyDescent="0.2">
      <c r="A35" s="31">
        <f t="shared" si="1"/>
        <v>29</v>
      </c>
      <c r="D35" s="2" t="s">
        <v>25</v>
      </c>
      <c r="F35" s="88"/>
      <c r="G35" s="123">
        <f>257746.76+105417</f>
        <v>363163.76</v>
      </c>
      <c r="I35" s="11">
        <f>G35-($H$139*E33)</f>
        <v>7608.3027199999779</v>
      </c>
      <c r="J35" s="88"/>
      <c r="K35" s="96"/>
      <c r="M35" s="101">
        <f>I35</f>
        <v>7608.3027199999779</v>
      </c>
      <c r="N35" s="101">
        <f t="shared" si="31"/>
        <v>0</v>
      </c>
      <c r="O35" s="94">
        <v>0</v>
      </c>
      <c r="P35" s="88"/>
      <c r="Q35" s="88"/>
      <c r="R35" s="88"/>
    </row>
    <row r="36" spans="1:20" x14ac:dyDescent="0.2">
      <c r="A36" s="31">
        <f t="shared" si="1"/>
        <v>30</v>
      </c>
      <c r="D36" s="2" t="s">
        <v>26</v>
      </c>
      <c r="F36" s="88"/>
      <c r="G36" s="123">
        <f>318257.74+122711</f>
        <v>440968.74</v>
      </c>
      <c r="I36" s="11">
        <f t="shared" ref="I36:I38" si="35">G36</f>
        <v>440968.74</v>
      </c>
      <c r="J36" s="88"/>
      <c r="K36" s="88"/>
      <c r="M36" s="101">
        <f t="shared" ref="M36:M38" si="36">I36</f>
        <v>440968.74</v>
      </c>
      <c r="N36" s="101">
        <f t="shared" si="31"/>
        <v>0</v>
      </c>
      <c r="O36" s="94">
        <v>0</v>
      </c>
      <c r="P36" s="88"/>
      <c r="Q36" s="88"/>
      <c r="R36" s="88"/>
    </row>
    <row r="37" spans="1:20" x14ac:dyDescent="0.2">
      <c r="A37" s="31">
        <f t="shared" si="1"/>
        <v>31</v>
      </c>
      <c r="D37" s="2" t="s">
        <v>28</v>
      </c>
      <c r="F37" s="88"/>
      <c r="G37" s="101">
        <v>0</v>
      </c>
      <c r="I37" s="11">
        <f t="shared" si="35"/>
        <v>0</v>
      </c>
      <c r="J37" s="88"/>
      <c r="K37" s="88"/>
      <c r="M37" s="101">
        <f t="shared" si="36"/>
        <v>0</v>
      </c>
      <c r="N37" s="101">
        <f t="shared" si="31"/>
        <v>0</v>
      </c>
      <c r="O37" s="94">
        <v>0</v>
      </c>
      <c r="P37" s="88"/>
      <c r="Q37" s="88"/>
      <c r="R37" s="88"/>
    </row>
    <row r="38" spans="1:20" x14ac:dyDescent="0.2">
      <c r="A38" s="31">
        <f t="shared" si="1"/>
        <v>32</v>
      </c>
      <c r="D38" s="2" t="s">
        <v>38</v>
      </c>
      <c r="F38" s="88"/>
      <c r="G38" s="101">
        <v>0</v>
      </c>
      <c r="I38" s="11">
        <f t="shared" si="35"/>
        <v>0</v>
      </c>
      <c r="J38" s="88"/>
      <c r="K38" s="88"/>
      <c r="M38" s="101">
        <f t="shared" si="36"/>
        <v>0</v>
      </c>
      <c r="N38" s="101"/>
      <c r="O38" s="94"/>
      <c r="P38" s="88"/>
      <c r="Q38" s="88"/>
      <c r="R38" s="88"/>
    </row>
    <row r="39" spans="1:20" x14ac:dyDescent="0.2">
      <c r="A39" s="31">
        <f t="shared" si="1"/>
        <v>33</v>
      </c>
      <c r="D39" s="13" t="s">
        <v>8</v>
      </c>
      <c r="E39" s="13"/>
      <c r="F39" s="97"/>
      <c r="G39" s="108">
        <f>SUM(G35:G38)</f>
        <v>804132.5</v>
      </c>
      <c r="H39" s="13"/>
      <c r="I39" s="138">
        <f>SUM(I35:I38)</f>
        <v>448577.04271999997</v>
      </c>
      <c r="J39" s="97"/>
      <c r="K39" s="97"/>
      <c r="L39" s="13"/>
      <c r="M39" s="108">
        <f>SUM(M35:M38)</f>
        <v>448577.04271999997</v>
      </c>
      <c r="N39" s="108">
        <f t="shared" si="31"/>
        <v>0</v>
      </c>
      <c r="O39" s="109">
        <f t="shared" ref="O39" si="37">N39-J39</f>
        <v>0</v>
      </c>
      <c r="P39" s="88"/>
      <c r="Q39" s="88"/>
      <c r="R39" s="88"/>
    </row>
    <row r="40" spans="1:20" s="5" customFormat="1" ht="26.45" customHeight="1" thickBot="1" x14ac:dyDescent="0.25">
      <c r="A40" s="31">
        <f t="shared" si="1"/>
        <v>34</v>
      </c>
      <c r="C40" s="15"/>
      <c r="D40" s="6" t="s">
        <v>18</v>
      </c>
      <c r="E40" s="6"/>
      <c r="F40" s="98"/>
      <c r="G40" s="110">
        <f>G34+G39</f>
        <v>4449524.8384799995</v>
      </c>
      <c r="H40" s="6"/>
      <c r="I40" s="135">
        <f>I39+I34</f>
        <v>4449524.8384800004</v>
      </c>
      <c r="J40" s="98"/>
      <c r="K40" s="98"/>
      <c r="L40" s="6"/>
      <c r="M40" s="110">
        <f>M39+M34</f>
        <v>4657280.0435218513</v>
      </c>
      <c r="N40" s="110">
        <f t="shared" si="31"/>
        <v>207755.20504185092</v>
      </c>
      <c r="O40" s="112">
        <f>N40/I40</f>
        <v>4.6691548554838959E-2</v>
      </c>
      <c r="P40" s="88"/>
      <c r="Q40" s="88"/>
      <c r="R40" s="88"/>
    </row>
    <row r="41" spans="1:20" ht="13.5" thickTop="1" x14ac:dyDescent="0.2">
      <c r="A41" s="31">
        <f t="shared" si="1"/>
        <v>35</v>
      </c>
      <c r="D41" s="2" t="s">
        <v>17</v>
      </c>
      <c r="E41" s="130">
        <f>(E32+E33)/E31</f>
        <v>1458.1800875923752</v>
      </c>
      <c r="F41" s="88"/>
      <c r="G41" s="113">
        <f>G40/E31</f>
        <v>214.94250705183322</v>
      </c>
      <c r="I41" s="139">
        <f>I40/E31</f>
        <v>214.94250705183327</v>
      </c>
      <c r="J41" s="88"/>
      <c r="K41" s="88"/>
      <c r="M41" s="113">
        <f>M40/E31</f>
        <v>224.97850555634275</v>
      </c>
      <c r="N41" s="113">
        <f t="shared" si="31"/>
        <v>10.035998504509479</v>
      </c>
      <c r="O41" s="89">
        <f>N41/I41</f>
        <v>4.669154855483891E-2</v>
      </c>
      <c r="P41" s="88"/>
      <c r="Q41" s="88"/>
      <c r="R41" s="88"/>
    </row>
    <row r="42" spans="1:20" ht="13.5" thickBot="1" x14ac:dyDescent="0.25">
      <c r="A42" s="31">
        <f t="shared" si="1"/>
        <v>36</v>
      </c>
      <c r="F42" s="88"/>
      <c r="G42" s="88"/>
      <c r="J42" s="88"/>
      <c r="K42" s="88"/>
      <c r="M42" s="88"/>
      <c r="N42" s="88"/>
      <c r="O42" s="88"/>
      <c r="P42" s="88"/>
      <c r="Q42" s="88"/>
      <c r="R42" s="88"/>
    </row>
    <row r="43" spans="1:20" x14ac:dyDescent="0.2">
      <c r="A43" s="31">
        <f t="shared" si="1"/>
        <v>37</v>
      </c>
      <c r="B43" s="24" t="s">
        <v>87</v>
      </c>
      <c r="C43" s="25" t="s">
        <v>62</v>
      </c>
      <c r="D43" s="24"/>
      <c r="E43" s="24"/>
      <c r="F43" s="99"/>
      <c r="G43" s="99"/>
      <c r="H43" s="24"/>
      <c r="I43" s="24"/>
      <c r="J43" s="99"/>
      <c r="K43" s="99"/>
      <c r="L43" s="24"/>
      <c r="M43" s="99"/>
      <c r="N43" s="99"/>
      <c r="O43" s="99"/>
      <c r="P43" s="99"/>
      <c r="Q43" s="99"/>
      <c r="R43" s="99"/>
    </row>
    <row r="44" spans="1:20" x14ac:dyDescent="0.2">
      <c r="A44" s="31">
        <f t="shared" si="1"/>
        <v>38</v>
      </c>
      <c r="C44" s="2"/>
      <c r="D44" s="2" t="s">
        <v>84</v>
      </c>
      <c r="E44" s="129">
        <v>3701</v>
      </c>
      <c r="F44" s="121">
        <v>18.62</v>
      </c>
      <c r="G44" s="101">
        <f>F44*E44</f>
        <v>68912.62000000001</v>
      </c>
      <c r="H44" s="130">
        <v>18.62</v>
      </c>
      <c r="I44" s="136">
        <f>H44*E44</f>
        <v>68912.62000000001</v>
      </c>
      <c r="J44" s="89">
        <f>I44/I46</f>
        <v>0.14859358746903889</v>
      </c>
      <c r="K44" s="89"/>
      <c r="L44" s="130">
        <f>ROUND(H44*S46,2)</f>
        <v>19.59</v>
      </c>
      <c r="M44" s="101">
        <f>L44*E44</f>
        <v>72502.59</v>
      </c>
      <c r="N44" s="101">
        <f>M44-I44</f>
        <v>3589.9699999999866</v>
      </c>
      <c r="O44" s="89">
        <f>IF(I44=0,0,N44/I44)</f>
        <v>5.2094522019333844E-2</v>
      </c>
      <c r="P44" s="89">
        <f>M44/M$46</f>
        <v>0.14861106084903025</v>
      </c>
      <c r="Q44" s="103">
        <f>P44-J44</f>
        <v>1.7473379991361782E-5</v>
      </c>
      <c r="R44" s="103"/>
      <c r="T44" s="4">
        <f>L44/H44-1</f>
        <v>5.2094522019334066E-2</v>
      </c>
    </row>
    <row r="45" spans="1:20" x14ac:dyDescent="0.2">
      <c r="A45" s="31">
        <f t="shared" si="1"/>
        <v>39</v>
      </c>
      <c r="D45" s="2" t="s">
        <v>46</v>
      </c>
      <c r="E45" s="129">
        <v>3579811</v>
      </c>
      <c r="F45" s="122">
        <v>9.8519999999999996E-2</v>
      </c>
      <c r="G45" s="101">
        <f t="shared" ref="G45" si="38">F45*E45</f>
        <v>352682.97972</v>
      </c>
      <c r="H45" s="132">
        <v>0.1103</v>
      </c>
      <c r="I45" s="136">
        <f t="shared" ref="I45" si="39">H45*E45</f>
        <v>394853.15330000001</v>
      </c>
      <c r="J45" s="89">
        <f>I45/I46</f>
        <v>0.85140641253096117</v>
      </c>
      <c r="K45" s="89"/>
      <c r="L45" s="141">
        <f>ROUND(H45*S46,5)</f>
        <v>0.11602999999999999</v>
      </c>
      <c r="M45" s="101">
        <f t="shared" ref="M45" si="40">L45*E45</f>
        <v>415365.47032999998</v>
      </c>
      <c r="N45" s="101">
        <f t="shared" ref="N45" si="41">M45-I45</f>
        <v>20512.317029999977</v>
      </c>
      <c r="O45" s="89">
        <f t="shared" ref="O45" si="42">IF(I45=0,0,N45/I45)</f>
        <v>5.1949229374433303E-2</v>
      </c>
      <c r="P45" s="89">
        <f>M45/M$46</f>
        <v>0.85138893915096969</v>
      </c>
      <c r="Q45" s="103">
        <f t="shared" ref="Q45" si="43">P45-J45</f>
        <v>-1.7473379991472804E-5</v>
      </c>
      <c r="R45" s="103"/>
      <c r="T45" s="4">
        <f>L45/H45-1</f>
        <v>5.1949229374433248E-2</v>
      </c>
    </row>
    <row r="46" spans="1:20" s="5" customFormat="1" ht="20.45" customHeight="1" x14ac:dyDescent="0.25">
      <c r="A46" s="31">
        <f t="shared" si="1"/>
        <v>40</v>
      </c>
      <c r="C46" s="15"/>
      <c r="D46" s="17" t="s">
        <v>6</v>
      </c>
      <c r="E46" s="17"/>
      <c r="F46" s="102"/>
      <c r="G46" s="18">
        <f>SUM(G44:G45)</f>
        <v>421595.59972</v>
      </c>
      <c r="H46" s="17"/>
      <c r="I46" s="137">
        <f>SUM(I44:I45)</f>
        <v>463765.7733</v>
      </c>
      <c r="J46" s="104">
        <f>SUM(J44:J45)</f>
        <v>1</v>
      </c>
      <c r="K46" s="95">
        <f>I46+Summary!I11</f>
        <v>487864.17330000002</v>
      </c>
      <c r="L46" s="17"/>
      <c r="M46" s="18">
        <f>SUM(M44:M45)</f>
        <v>487868.06033000001</v>
      </c>
      <c r="N46" s="18">
        <f>SUM(N44:N45)</f>
        <v>24102.287029999963</v>
      </c>
      <c r="O46" s="104">
        <f t="shared" ref="O46" si="44">N46/I46</f>
        <v>5.1970818929771942E-2</v>
      </c>
      <c r="P46" s="104">
        <f>SUM(P44:P45)</f>
        <v>1</v>
      </c>
      <c r="Q46" s="105">
        <f t="shared" ref="Q46" si="45">P46-J46</f>
        <v>0</v>
      </c>
      <c r="R46" s="106">
        <f>M46-K46</f>
        <v>3.887029999983497</v>
      </c>
      <c r="S46" s="67">
        <f>K46/I46</f>
        <v>1.0519624374789971</v>
      </c>
    </row>
    <row r="47" spans="1:20" x14ac:dyDescent="0.2">
      <c r="A47" s="31">
        <f t="shared" si="1"/>
        <v>41</v>
      </c>
      <c r="D47" s="2" t="s">
        <v>25</v>
      </c>
      <c r="F47" s="88"/>
      <c r="G47" s="123">
        <v>43307.98</v>
      </c>
      <c r="I47" s="11">
        <f>G47-($H$139*E45)</f>
        <v>1137.8064200000008</v>
      </c>
      <c r="J47" s="88"/>
      <c r="K47" s="96"/>
      <c r="M47" s="101">
        <f>I47</f>
        <v>1137.8064200000008</v>
      </c>
      <c r="N47" s="101">
        <f t="shared" ref="N47:N53" si="46">M47-I47</f>
        <v>0</v>
      </c>
      <c r="O47" s="94">
        <v>0</v>
      </c>
      <c r="P47" s="88"/>
      <c r="Q47" s="88"/>
      <c r="R47" s="88"/>
    </row>
    <row r="48" spans="1:20" x14ac:dyDescent="0.2">
      <c r="A48" s="31">
        <f t="shared" si="1"/>
        <v>42</v>
      </c>
      <c r="D48" s="2" t="s">
        <v>26</v>
      </c>
      <c r="F48" s="88"/>
      <c r="G48" s="123">
        <v>54340.83</v>
      </c>
      <c r="I48" s="11">
        <f t="shared" ref="I48:I50" si="47">G48</f>
        <v>54340.83</v>
      </c>
      <c r="J48" s="88"/>
      <c r="K48" s="88"/>
      <c r="M48" s="101">
        <f t="shared" ref="M48:M50" si="48">I48</f>
        <v>54340.83</v>
      </c>
      <c r="N48" s="101">
        <f t="shared" si="46"/>
        <v>0</v>
      </c>
      <c r="O48" s="94">
        <v>0</v>
      </c>
      <c r="P48" s="88"/>
      <c r="Q48" s="88"/>
      <c r="R48" s="88"/>
    </row>
    <row r="49" spans="1:20" x14ac:dyDescent="0.2">
      <c r="A49" s="31">
        <f t="shared" si="1"/>
        <v>43</v>
      </c>
      <c r="D49" s="2" t="s">
        <v>28</v>
      </c>
      <c r="F49" s="88"/>
      <c r="G49" s="101">
        <v>0</v>
      </c>
      <c r="I49" s="11">
        <f t="shared" si="47"/>
        <v>0</v>
      </c>
      <c r="J49" s="88"/>
      <c r="K49" s="88"/>
      <c r="M49" s="101">
        <f t="shared" si="48"/>
        <v>0</v>
      </c>
      <c r="N49" s="101">
        <f t="shared" si="46"/>
        <v>0</v>
      </c>
      <c r="O49" s="94">
        <v>0</v>
      </c>
      <c r="P49" s="88"/>
      <c r="Q49" s="88"/>
      <c r="R49" s="88"/>
    </row>
    <row r="50" spans="1:20" x14ac:dyDescent="0.2">
      <c r="A50" s="31">
        <f t="shared" si="1"/>
        <v>44</v>
      </c>
      <c r="D50" s="2" t="s">
        <v>38</v>
      </c>
      <c r="F50" s="88"/>
      <c r="G50" s="101">
        <v>0</v>
      </c>
      <c r="I50" s="11">
        <f t="shared" si="47"/>
        <v>0</v>
      </c>
      <c r="J50" s="88"/>
      <c r="K50" s="88"/>
      <c r="M50" s="101">
        <f t="shared" si="48"/>
        <v>0</v>
      </c>
      <c r="N50" s="101"/>
      <c r="O50" s="94"/>
      <c r="P50" s="88"/>
      <c r="Q50" s="88"/>
      <c r="R50" s="88"/>
    </row>
    <row r="51" spans="1:20" x14ac:dyDescent="0.2">
      <c r="A51" s="31">
        <f t="shared" si="1"/>
        <v>45</v>
      </c>
      <c r="D51" s="13" t="s">
        <v>8</v>
      </c>
      <c r="E51" s="13"/>
      <c r="F51" s="97"/>
      <c r="G51" s="108">
        <f>SUM(G47:G50)</f>
        <v>97648.81</v>
      </c>
      <c r="H51" s="13"/>
      <c r="I51" s="138">
        <f>SUM(I47:I50)</f>
        <v>55478.636420000003</v>
      </c>
      <c r="J51" s="97"/>
      <c r="K51" s="97"/>
      <c r="L51" s="13"/>
      <c r="M51" s="108">
        <f>SUM(M47:M50)</f>
        <v>55478.636420000003</v>
      </c>
      <c r="N51" s="108">
        <f t="shared" si="46"/>
        <v>0</v>
      </c>
      <c r="O51" s="109">
        <f t="shared" ref="O51" si="49">N51-J51</f>
        <v>0</v>
      </c>
      <c r="P51" s="88"/>
      <c r="Q51" s="88"/>
      <c r="R51" s="88"/>
    </row>
    <row r="52" spans="1:20" s="5" customFormat="1" ht="26.45" customHeight="1" thickBot="1" x14ac:dyDescent="0.25">
      <c r="A52" s="31">
        <f t="shared" si="1"/>
        <v>46</v>
      </c>
      <c r="C52" s="15"/>
      <c r="D52" s="6" t="s">
        <v>18</v>
      </c>
      <c r="E52" s="6"/>
      <c r="F52" s="98"/>
      <c r="G52" s="110">
        <f>G46+G51</f>
        <v>519244.40972</v>
      </c>
      <c r="H52" s="6"/>
      <c r="I52" s="135">
        <f>I51+I46</f>
        <v>519244.40972</v>
      </c>
      <c r="J52" s="98"/>
      <c r="K52" s="98"/>
      <c r="L52" s="6"/>
      <c r="M52" s="110">
        <f>M51+M46</f>
        <v>543346.69675</v>
      </c>
      <c r="N52" s="110">
        <f t="shared" si="46"/>
        <v>24102.287030000007</v>
      </c>
      <c r="O52" s="112">
        <f>N52/I52</f>
        <v>4.6418000037779988E-2</v>
      </c>
      <c r="P52" s="88"/>
      <c r="Q52" s="88"/>
      <c r="R52" s="88"/>
    </row>
    <row r="53" spans="1:20" ht="13.5" thickTop="1" x14ac:dyDescent="0.2">
      <c r="A53" s="31">
        <f t="shared" si="1"/>
        <v>47</v>
      </c>
      <c r="D53" s="2" t="s">
        <v>17</v>
      </c>
      <c r="E53" s="130">
        <f>E45/E44</f>
        <v>967.25506619832481</v>
      </c>
      <c r="F53" s="88"/>
      <c r="G53" s="113">
        <f>G52/E44</f>
        <v>140.29840846257767</v>
      </c>
      <c r="I53" s="139">
        <f>I52/E44</f>
        <v>140.29840846257767</v>
      </c>
      <c r="J53" s="88"/>
      <c r="K53" s="88"/>
      <c r="M53" s="113">
        <f>M52/E44</f>
        <v>146.81077999189409</v>
      </c>
      <c r="N53" s="113">
        <f t="shared" si="46"/>
        <v>6.5123715293164253</v>
      </c>
      <c r="O53" s="89">
        <f>N53/I53</f>
        <v>4.6418000037780148E-2</v>
      </c>
      <c r="P53" s="88"/>
      <c r="Q53" s="88"/>
      <c r="R53" s="88"/>
    </row>
    <row r="54" spans="1:20" ht="13.5" thickBot="1" x14ac:dyDescent="0.25">
      <c r="A54" s="31">
        <f t="shared" si="1"/>
        <v>48</v>
      </c>
      <c r="F54" s="88"/>
      <c r="G54" s="88"/>
      <c r="J54" s="88"/>
      <c r="K54" s="88"/>
      <c r="M54" s="88"/>
      <c r="N54" s="88"/>
      <c r="O54" s="88"/>
      <c r="P54" s="88"/>
      <c r="Q54" s="88"/>
      <c r="R54" s="88"/>
    </row>
    <row r="55" spans="1:20" x14ac:dyDescent="0.2">
      <c r="A55" s="31">
        <f t="shared" si="1"/>
        <v>49</v>
      </c>
      <c r="B55" s="24" t="s">
        <v>92</v>
      </c>
      <c r="C55" s="25" t="s">
        <v>68</v>
      </c>
      <c r="D55" s="24"/>
      <c r="E55" s="24"/>
      <c r="F55" s="99"/>
      <c r="G55" s="99"/>
      <c r="H55" s="24"/>
      <c r="I55" s="24"/>
      <c r="J55" s="99"/>
      <c r="K55" s="99"/>
      <c r="L55" s="24"/>
      <c r="M55" s="99"/>
      <c r="N55" s="99"/>
      <c r="O55" s="99"/>
      <c r="P55" s="99"/>
      <c r="Q55" s="99"/>
      <c r="R55" s="99"/>
    </row>
    <row r="56" spans="1:20" x14ac:dyDescent="0.2">
      <c r="A56" s="31">
        <f t="shared" si="1"/>
        <v>50</v>
      </c>
      <c r="C56" s="2"/>
      <c r="D56" s="2" t="s">
        <v>84</v>
      </c>
      <c r="E56" s="129">
        <v>1449</v>
      </c>
      <c r="F56" s="121">
        <v>65.989999999999995</v>
      </c>
      <c r="G56" s="101">
        <f>F56*E56</f>
        <v>95619.51</v>
      </c>
      <c r="H56" s="130">
        <v>65.989999999999995</v>
      </c>
      <c r="I56" s="136">
        <f>H56*E56</f>
        <v>95619.51</v>
      </c>
      <c r="J56" s="89">
        <f>I56/I59</f>
        <v>2.04787261709884E-2</v>
      </c>
      <c r="K56" s="89"/>
      <c r="L56" s="130">
        <f>ROUND(H56*S59,2)</f>
        <v>69.42</v>
      </c>
      <c r="M56" s="101">
        <f>L56*E56</f>
        <v>100589.58</v>
      </c>
      <c r="N56" s="101">
        <f>M56-I56</f>
        <v>4970.070000000007</v>
      </c>
      <c r="O56" s="89">
        <f>IF(I56=0,0,N56/I56)</f>
        <v>5.1977572359448478E-2</v>
      </c>
      <c r="P56" s="89">
        <f>M56/M$59</f>
        <v>2.0478160087307219E-2</v>
      </c>
      <c r="Q56" s="103">
        <f>P56-J56</f>
        <v>-5.660836811804959E-7</v>
      </c>
      <c r="R56" s="103"/>
      <c r="T56" s="4">
        <f>L56/H56-1</f>
        <v>5.1977572359448443E-2</v>
      </c>
    </row>
    <row r="57" spans="1:20" x14ac:dyDescent="0.2">
      <c r="A57" s="31">
        <f t="shared" si="1"/>
        <v>51</v>
      </c>
      <c r="D57" s="2" t="s">
        <v>46</v>
      </c>
      <c r="E57" s="129">
        <v>43121826</v>
      </c>
      <c r="F57" s="122">
        <v>6.9510000000000002E-2</v>
      </c>
      <c r="G57" s="101">
        <f t="shared" ref="G57" si="50">F57*E57</f>
        <v>2997398.1252600001</v>
      </c>
      <c r="H57" s="132">
        <v>8.1290000000000001E-2</v>
      </c>
      <c r="I57" s="136">
        <f t="shared" ref="I57" si="51">H57*E57</f>
        <v>3505373.2355400003</v>
      </c>
      <c r="J57" s="89">
        <f>I57/I59</f>
        <v>0.75074196278285976</v>
      </c>
      <c r="K57" s="89"/>
      <c r="L57" s="141">
        <f>ROUND(H57*S59,5)</f>
        <v>8.5510000000000003E-2</v>
      </c>
      <c r="M57" s="101">
        <f t="shared" ref="M57" si="52">L57*E57</f>
        <v>3687347.3412600001</v>
      </c>
      <c r="N57" s="101">
        <f t="shared" ref="N57" si="53">M57-I57</f>
        <v>181974.10571999988</v>
      </c>
      <c r="O57" s="89">
        <f t="shared" ref="O57" si="54">IF(I57=0,0,N57/I57)</f>
        <v>5.1912904416287327E-2</v>
      </c>
      <c r="P57" s="89">
        <f>M57/M$59</f>
        <v>0.75067506149075203</v>
      </c>
      <c r="Q57" s="103">
        <f t="shared" ref="Q57" si="55">P57-J57</f>
        <v>-6.6901292107734989E-5</v>
      </c>
      <c r="R57" s="103"/>
      <c r="T57" s="4">
        <f>L57/H57-1</f>
        <v>5.1912904416287375E-2</v>
      </c>
    </row>
    <row r="58" spans="1:20" x14ac:dyDescent="0.2">
      <c r="A58" s="31">
        <f t="shared" si="1"/>
        <v>52</v>
      </c>
      <c r="D58" s="2" t="s">
        <v>48</v>
      </c>
      <c r="E58" s="129">
        <v>159674</v>
      </c>
      <c r="F58" s="121">
        <v>6.69</v>
      </c>
      <c r="G58" s="101">
        <f t="shared" ref="G58" si="56">F58*E58</f>
        <v>1068219.06</v>
      </c>
      <c r="H58" s="130">
        <v>6.69</v>
      </c>
      <c r="I58" s="136">
        <f t="shared" ref="I58" si="57">H58*E58</f>
        <v>1068219.06</v>
      </c>
      <c r="J58" s="89">
        <f>I58/I59</f>
        <v>0.22877931104615187</v>
      </c>
      <c r="K58" s="89"/>
      <c r="L58" s="130">
        <f>ROUND(H58*S59,2)</f>
        <v>7.04</v>
      </c>
      <c r="M58" s="101">
        <f t="shared" ref="M58" si="58">L58*E58</f>
        <v>1124104.96</v>
      </c>
      <c r="N58" s="101">
        <f t="shared" ref="N58" si="59">M58-I58</f>
        <v>55885.899999999907</v>
      </c>
      <c r="O58" s="89">
        <f t="shared" ref="O58" si="60">IF(I58=0,0,N58/I58)</f>
        <v>5.2316890881913214E-2</v>
      </c>
      <c r="P58" s="89">
        <f>M58/M$59</f>
        <v>0.22884677842194068</v>
      </c>
      <c r="Q58" s="103">
        <f t="shared" ref="Q58" si="61">P58-J58</f>
        <v>6.7467375788804462E-5</v>
      </c>
      <c r="R58" s="103"/>
      <c r="T58" s="4">
        <f>L58/H58-1</f>
        <v>5.2316890881913158E-2</v>
      </c>
    </row>
    <row r="59" spans="1:20" s="5" customFormat="1" ht="20.45" customHeight="1" x14ac:dyDescent="0.25">
      <c r="A59" s="31">
        <f t="shared" si="1"/>
        <v>53</v>
      </c>
      <c r="C59" s="15"/>
      <c r="D59" s="17" t="s">
        <v>6</v>
      </c>
      <c r="E59" s="17"/>
      <c r="F59" s="102"/>
      <c r="G59" s="18">
        <f>SUM(G56:G58)</f>
        <v>4161236.6952599999</v>
      </c>
      <c r="H59" s="17"/>
      <c r="I59" s="137">
        <f>SUM(I56:I58)</f>
        <v>4669211.8055400001</v>
      </c>
      <c r="J59" s="104">
        <f>SUM(J56:J58)</f>
        <v>1</v>
      </c>
      <c r="K59" s="95">
        <f>I59+Summary!I12</f>
        <v>4911835.4055399997</v>
      </c>
      <c r="L59" s="17"/>
      <c r="M59" s="18">
        <f>SUM(M56:M58)</f>
        <v>4912041.8812600002</v>
      </c>
      <c r="N59" s="18">
        <f>SUM(N56:N58)</f>
        <v>242830.07571999979</v>
      </c>
      <c r="O59" s="104">
        <f t="shared" ref="O59" si="62">N59/I59</f>
        <v>5.2006652478665226E-2</v>
      </c>
      <c r="P59" s="104">
        <f>SUM(P56:P58)</f>
        <v>0.99999999999999989</v>
      </c>
      <c r="Q59" s="105">
        <f t="shared" ref="Q59" si="63">P59-J59</f>
        <v>0</v>
      </c>
      <c r="R59" s="106">
        <f>M59-K59</f>
        <v>206.47572000045329</v>
      </c>
      <c r="S59" s="67">
        <f>K59/I59</f>
        <v>1.0519624317989018</v>
      </c>
    </row>
    <row r="60" spans="1:20" x14ac:dyDescent="0.2">
      <c r="A60" s="31">
        <f t="shared" si="1"/>
        <v>54</v>
      </c>
      <c r="D60" s="2" t="s">
        <v>25</v>
      </c>
      <c r="F60" s="88"/>
      <c r="G60" s="123">
        <v>515710.35000000003</v>
      </c>
      <c r="I60" s="11">
        <f>G60-($H$139*E58)</f>
        <v>513829.39028000005</v>
      </c>
      <c r="J60" s="88"/>
      <c r="K60" s="96"/>
      <c r="M60" s="101">
        <f>I60</f>
        <v>513829.39028000005</v>
      </c>
      <c r="N60" s="101">
        <f t="shared" ref="N60:N66" si="64">M60-I60</f>
        <v>0</v>
      </c>
      <c r="O60" s="94">
        <v>0</v>
      </c>
      <c r="P60" s="88"/>
      <c r="Q60" s="88"/>
      <c r="R60" s="88"/>
    </row>
    <row r="61" spans="1:20" x14ac:dyDescent="0.2">
      <c r="A61" s="31">
        <f t="shared" si="1"/>
        <v>55</v>
      </c>
      <c r="D61" s="2" t="s">
        <v>26</v>
      </c>
      <c r="F61" s="88"/>
      <c r="G61" s="123">
        <v>516283.30999999994</v>
      </c>
      <c r="I61" s="11">
        <f t="shared" ref="I61:I63" si="65">G61</f>
        <v>516283.30999999994</v>
      </c>
      <c r="J61" s="88"/>
      <c r="K61" s="88"/>
      <c r="M61" s="101">
        <f t="shared" ref="M61:M63" si="66">I61</f>
        <v>516283.30999999994</v>
      </c>
      <c r="N61" s="101">
        <f t="shared" si="64"/>
        <v>0</v>
      </c>
      <c r="O61" s="94">
        <v>0</v>
      </c>
      <c r="P61" s="88"/>
      <c r="Q61" s="88"/>
      <c r="R61" s="88"/>
    </row>
    <row r="62" spans="1:20" x14ac:dyDescent="0.2">
      <c r="A62" s="31">
        <f t="shared" si="1"/>
        <v>56</v>
      </c>
      <c r="D62" s="2" t="s">
        <v>97</v>
      </c>
      <c r="F62" s="88"/>
      <c r="G62" s="123">
        <v>57299.88</v>
      </c>
      <c r="I62" s="11">
        <f t="shared" si="65"/>
        <v>57299.88</v>
      </c>
      <c r="J62" s="88"/>
      <c r="K62" s="88"/>
      <c r="M62" s="101">
        <f t="shared" si="66"/>
        <v>57299.88</v>
      </c>
      <c r="N62" s="101">
        <f t="shared" si="64"/>
        <v>0</v>
      </c>
      <c r="O62" s="94">
        <v>0</v>
      </c>
      <c r="P62" s="88"/>
      <c r="Q62" s="88"/>
      <c r="R62" s="88"/>
    </row>
    <row r="63" spans="1:20" x14ac:dyDescent="0.2">
      <c r="A63" s="31">
        <f t="shared" si="1"/>
        <v>57</v>
      </c>
      <c r="D63" s="2" t="s">
        <v>98</v>
      </c>
      <c r="F63" s="88"/>
      <c r="G63" s="123">
        <v>48283.72</v>
      </c>
      <c r="I63" s="11">
        <f t="shared" si="65"/>
        <v>48283.72</v>
      </c>
      <c r="J63" s="88"/>
      <c r="K63" s="88"/>
      <c r="M63" s="101">
        <f t="shared" si="66"/>
        <v>48283.72</v>
      </c>
      <c r="N63" s="101"/>
      <c r="O63" s="94"/>
      <c r="P63" s="88"/>
      <c r="Q63" s="88"/>
      <c r="R63" s="88"/>
    </row>
    <row r="64" spans="1:20" x14ac:dyDescent="0.2">
      <c r="A64" s="31">
        <f t="shared" si="1"/>
        <v>58</v>
      </c>
      <c r="D64" s="13" t="s">
        <v>8</v>
      </c>
      <c r="E64" s="13"/>
      <c r="F64" s="97"/>
      <c r="G64" s="108">
        <f>SUM(G60:G63)</f>
        <v>1137577.2599999998</v>
      </c>
      <c r="H64" s="13"/>
      <c r="I64" s="138">
        <f>SUM(I60:I63)</f>
        <v>1135696.3002799999</v>
      </c>
      <c r="J64" s="97"/>
      <c r="K64" s="97"/>
      <c r="L64" s="13"/>
      <c r="M64" s="108">
        <f>SUM(M60:M63)</f>
        <v>1135696.3002799999</v>
      </c>
      <c r="N64" s="108">
        <f t="shared" si="64"/>
        <v>0</v>
      </c>
      <c r="O64" s="109">
        <f t="shared" ref="O64" si="67">N64-J64</f>
        <v>0</v>
      </c>
      <c r="P64" s="88"/>
      <c r="Q64" s="88"/>
      <c r="R64" s="88"/>
    </row>
    <row r="65" spans="1:20" s="5" customFormat="1" ht="26.45" customHeight="1" thickBot="1" x14ac:dyDescent="0.25">
      <c r="A65" s="31">
        <f t="shared" si="1"/>
        <v>59</v>
      </c>
      <c r="C65" s="15"/>
      <c r="D65" s="6" t="s">
        <v>18</v>
      </c>
      <c r="E65" s="6"/>
      <c r="F65" s="98"/>
      <c r="G65" s="110">
        <f>G59+G64</f>
        <v>5298813.9552599993</v>
      </c>
      <c r="H65" s="6"/>
      <c r="I65" s="135">
        <f>I64+I59</f>
        <v>5804908.1058200002</v>
      </c>
      <c r="J65" s="98"/>
      <c r="K65" s="98"/>
      <c r="L65" s="6"/>
      <c r="M65" s="110">
        <f>M64+M59</f>
        <v>6047738.1815400003</v>
      </c>
      <c r="N65" s="110">
        <f t="shared" si="64"/>
        <v>242830.07572000008</v>
      </c>
      <c r="O65" s="112">
        <f>N65/I65</f>
        <v>4.1831855266845429E-2</v>
      </c>
      <c r="P65" s="88"/>
      <c r="Q65" s="88"/>
      <c r="R65" s="88"/>
    </row>
    <row r="66" spans="1:20" ht="13.5" thickTop="1" x14ac:dyDescent="0.2">
      <c r="A66" s="31">
        <f t="shared" si="1"/>
        <v>60</v>
      </c>
      <c r="D66" s="2" t="s">
        <v>17</v>
      </c>
      <c r="E66" s="130">
        <f>E58/E56</f>
        <v>110.1959972394755</v>
      </c>
      <c r="F66" s="88"/>
      <c r="G66" s="113">
        <f>G65/E56</f>
        <v>3656.8764356521733</v>
      </c>
      <c r="I66" s="139">
        <f>I65/E56</f>
        <v>4006.1477610904071</v>
      </c>
      <c r="J66" s="88"/>
      <c r="K66" s="88"/>
      <c r="M66" s="113">
        <f>M65/E56</f>
        <v>4173.7323544099381</v>
      </c>
      <c r="N66" s="113">
        <f t="shared" si="64"/>
        <v>167.584593319531</v>
      </c>
      <c r="O66" s="89">
        <f>N66/I66</f>
        <v>4.1831855266845484E-2</v>
      </c>
      <c r="P66" s="88"/>
      <c r="Q66" s="88"/>
      <c r="R66" s="88"/>
    </row>
    <row r="67" spans="1:20" ht="13.5" thickBot="1" x14ac:dyDescent="0.25">
      <c r="A67" s="31">
        <f t="shared" si="1"/>
        <v>61</v>
      </c>
      <c r="F67" s="88"/>
      <c r="G67" s="88"/>
      <c r="J67" s="88"/>
      <c r="K67" s="88"/>
      <c r="M67" s="88"/>
      <c r="N67" s="88"/>
      <c r="O67" s="88"/>
      <c r="P67" s="88"/>
      <c r="Q67" s="88"/>
      <c r="R67" s="88"/>
    </row>
    <row r="68" spans="1:20" x14ac:dyDescent="0.2">
      <c r="A68" s="31">
        <f t="shared" si="1"/>
        <v>62</v>
      </c>
      <c r="B68" s="24" t="s">
        <v>67</v>
      </c>
      <c r="C68" s="25" t="s">
        <v>70</v>
      </c>
      <c r="D68" s="24"/>
      <c r="E68" s="24"/>
      <c r="F68" s="99"/>
      <c r="G68" s="99"/>
      <c r="H68" s="24"/>
      <c r="I68" s="24"/>
      <c r="J68" s="99"/>
      <c r="K68" s="99"/>
      <c r="L68" s="24"/>
      <c r="M68" s="99"/>
      <c r="N68" s="99"/>
      <c r="O68" s="99"/>
      <c r="P68" s="99"/>
      <c r="Q68" s="99"/>
      <c r="R68" s="99"/>
    </row>
    <row r="69" spans="1:20" x14ac:dyDescent="0.2">
      <c r="A69" s="31">
        <f t="shared" si="1"/>
        <v>63</v>
      </c>
      <c r="C69" s="2"/>
      <c r="D69" s="2" t="s">
        <v>84</v>
      </c>
      <c r="E69" s="129">
        <v>12</v>
      </c>
      <c r="F69" s="115">
        <f>H69</f>
        <v>0</v>
      </c>
      <c r="G69" s="101">
        <f>F69*E69</f>
        <v>0</v>
      </c>
      <c r="H69" s="130">
        <v>0</v>
      </c>
      <c r="I69" s="136">
        <f>H69*E69</f>
        <v>0</v>
      </c>
      <c r="J69" s="89">
        <f>I69/I72</f>
        <v>0</v>
      </c>
      <c r="K69" s="89"/>
      <c r="L69" s="130">
        <f>ROUND(H69*S72,2)</f>
        <v>0</v>
      </c>
      <c r="M69" s="101">
        <f>L69*E69</f>
        <v>0</v>
      </c>
      <c r="N69" s="101">
        <f>M69-I69</f>
        <v>0</v>
      </c>
      <c r="O69" s="89">
        <f>IF(I69=0,0,N69/I69)</f>
        <v>0</v>
      </c>
      <c r="P69" s="89">
        <f>M69/M$72</f>
        <v>0</v>
      </c>
      <c r="Q69" s="103">
        <f>P69-J69</f>
        <v>0</v>
      </c>
      <c r="R69" s="103"/>
      <c r="T69" s="4"/>
    </row>
    <row r="70" spans="1:20" x14ac:dyDescent="0.2">
      <c r="A70" s="31">
        <f t="shared" si="1"/>
        <v>64</v>
      </c>
      <c r="D70" s="2" t="s">
        <v>46</v>
      </c>
      <c r="E70" s="129">
        <v>1971150</v>
      </c>
      <c r="F70" s="122">
        <v>6.2520000000000006E-2</v>
      </c>
      <c r="G70" s="101">
        <f t="shared" ref="G70" si="68">F70*E70</f>
        <v>123236.29800000001</v>
      </c>
      <c r="H70" s="132">
        <v>7.4300000000000005E-2</v>
      </c>
      <c r="I70" s="136">
        <f t="shared" ref="I70" si="69">H70*E70</f>
        <v>146456.44500000001</v>
      </c>
      <c r="J70" s="89">
        <f>I70/I72</f>
        <v>0.80990880507431295</v>
      </c>
      <c r="K70" s="89"/>
      <c r="L70" s="141">
        <f>ROUND(H70*S72,5)</f>
        <v>7.8159999999999993E-2</v>
      </c>
      <c r="M70" s="101">
        <f t="shared" ref="M70" si="70">L70*E70</f>
        <v>154065.08399999997</v>
      </c>
      <c r="N70" s="101">
        <f t="shared" ref="N70" si="71">M70-I70</f>
        <v>7608.6389999999665</v>
      </c>
      <c r="O70" s="89">
        <f t="shared" ref="O70" si="72">IF(I70=0,0,N70/I70)</f>
        <v>5.1951547779272987E-2</v>
      </c>
      <c r="P70" s="89">
        <f>M70/M$72</f>
        <v>0.80992027185784088</v>
      </c>
      <c r="Q70" s="103">
        <f t="shared" ref="Q70" si="73">P70-J70</f>
        <v>1.146678352792474E-5</v>
      </c>
      <c r="R70" s="103"/>
      <c r="T70" s="4">
        <f>L70/H70-1</f>
        <v>5.1951547779273133E-2</v>
      </c>
    </row>
    <row r="71" spans="1:20" x14ac:dyDescent="0.2">
      <c r="A71" s="31">
        <f t="shared" si="1"/>
        <v>65</v>
      </c>
      <c r="D71" s="2" t="s">
        <v>48</v>
      </c>
      <c r="E71" s="129">
        <v>3302.0499519692603</v>
      </c>
      <c r="F71" s="121">
        <v>10.41</v>
      </c>
      <c r="G71" s="101">
        <f t="shared" ref="G71" si="74">F71*E71</f>
        <v>34374.339999999997</v>
      </c>
      <c r="H71" s="130">
        <v>10.41</v>
      </c>
      <c r="I71" s="136">
        <f t="shared" ref="I71" si="75">H71*E71</f>
        <v>34374.339999999997</v>
      </c>
      <c r="J71" s="89">
        <f>I71/I72</f>
        <v>0.19009119492568699</v>
      </c>
      <c r="K71" s="89"/>
      <c r="L71" s="130">
        <f>ROUND(H71*S72,2)</f>
        <v>10.95</v>
      </c>
      <c r="M71" s="101">
        <f t="shared" ref="M71" si="76">L71*E71</f>
        <v>36157.446974063401</v>
      </c>
      <c r="N71" s="101">
        <f t="shared" ref="N71" si="77">M71-I71</f>
        <v>1783.1069740634048</v>
      </c>
      <c r="O71" s="89">
        <f t="shared" ref="O71" si="78">IF(I71=0,0,N71/I71)</f>
        <v>5.1873198847262374E-2</v>
      </c>
      <c r="P71" s="89">
        <f>M71/M$72</f>
        <v>0.19007972814215907</v>
      </c>
      <c r="Q71" s="103">
        <f t="shared" ref="Q71" si="79">P71-J71</f>
        <v>-1.146678352792474E-5</v>
      </c>
      <c r="R71" s="103"/>
      <c r="T71" s="4">
        <f>L71/H71-1</f>
        <v>5.187319884726227E-2</v>
      </c>
    </row>
    <row r="72" spans="1:20" s="5" customFormat="1" ht="20.45" customHeight="1" x14ac:dyDescent="0.25">
      <c r="A72" s="31">
        <f t="shared" si="1"/>
        <v>66</v>
      </c>
      <c r="C72" s="15"/>
      <c r="D72" s="17" t="s">
        <v>6</v>
      </c>
      <c r="E72" s="17"/>
      <c r="F72" s="102"/>
      <c r="G72" s="18">
        <f>SUM(G69:G71)</f>
        <v>157610.63800000001</v>
      </c>
      <c r="H72" s="17"/>
      <c r="I72" s="137">
        <f>SUM(I69:I71)</f>
        <v>180830.785</v>
      </c>
      <c r="J72" s="104">
        <f>SUM(J69:J71)</f>
        <v>1</v>
      </c>
      <c r="K72" s="95">
        <f>I72+Summary!I13</f>
        <v>190227.19500000001</v>
      </c>
      <c r="L72" s="17"/>
      <c r="M72" s="18">
        <f>SUM(M69:M71)</f>
        <v>190222.53097406338</v>
      </c>
      <c r="N72" s="18">
        <f>SUM(N69:N71)</f>
        <v>9391.7459740633712</v>
      </c>
      <c r="O72" s="104">
        <f t="shared" ref="O72" si="80">N72/I72</f>
        <v>5.193665433716594E-2</v>
      </c>
      <c r="P72" s="104">
        <f>SUM(P69:P71)</f>
        <v>1</v>
      </c>
      <c r="Q72" s="105">
        <f t="shared" ref="Q72" si="81">P72-J72</f>
        <v>0</v>
      </c>
      <c r="R72" s="106">
        <f>M72-K72</f>
        <v>-4.6640259366249666</v>
      </c>
      <c r="S72" s="67">
        <f>K72/I72</f>
        <v>1.0519624465491315</v>
      </c>
    </row>
    <row r="73" spans="1:20" x14ac:dyDescent="0.2">
      <c r="A73" s="31">
        <f t="shared" ref="A73:A137" si="82">A72+1</f>
        <v>67</v>
      </c>
      <c r="D73" s="2" t="s">
        <v>25</v>
      </c>
      <c r="F73" s="88"/>
      <c r="G73" s="123">
        <v>26282.11</v>
      </c>
      <c r="I73" s="11">
        <f>G73-($H$139*E70)</f>
        <v>3061.9629999999997</v>
      </c>
      <c r="J73" s="88"/>
      <c r="K73" s="96"/>
      <c r="M73" s="101">
        <f>I73</f>
        <v>3061.9629999999997</v>
      </c>
      <c r="N73" s="101">
        <f t="shared" ref="N73:N75" si="83">M73-I73</f>
        <v>0</v>
      </c>
      <c r="O73" s="94">
        <v>0</v>
      </c>
      <c r="P73" s="88"/>
      <c r="Q73" s="88"/>
      <c r="R73" s="88"/>
    </row>
    <row r="74" spans="1:20" x14ac:dyDescent="0.2">
      <c r="A74" s="31">
        <f t="shared" si="82"/>
        <v>68</v>
      </c>
      <c r="D74" s="2" t="s">
        <v>26</v>
      </c>
      <c r="F74" s="88"/>
      <c r="G74" s="123">
        <v>19400.46</v>
      </c>
      <c r="I74" s="11">
        <f t="shared" ref="I74:I76" si="84">G74</f>
        <v>19400.46</v>
      </c>
      <c r="J74" s="88"/>
      <c r="K74" s="88"/>
      <c r="M74" s="101">
        <f t="shared" ref="M74:M76" si="85">I74</f>
        <v>19400.46</v>
      </c>
      <c r="N74" s="101">
        <f t="shared" si="83"/>
        <v>0</v>
      </c>
      <c r="O74" s="94">
        <v>0</v>
      </c>
      <c r="P74" s="88"/>
      <c r="Q74" s="88"/>
      <c r="R74" s="88"/>
    </row>
    <row r="75" spans="1:20" x14ac:dyDescent="0.2">
      <c r="A75" s="31">
        <f t="shared" si="82"/>
        <v>69</v>
      </c>
      <c r="D75" s="2" t="s">
        <v>28</v>
      </c>
      <c r="F75" s="88"/>
      <c r="G75" s="101">
        <v>0</v>
      </c>
      <c r="I75" s="11">
        <f t="shared" si="84"/>
        <v>0</v>
      </c>
      <c r="J75" s="88"/>
      <c r="K75" s="88"/>
      <c r="M75" s="101">
        <f t="shared" si="85"/>
        <v>0</v>
      </c>
      <c r="N75" s="101">
        <f t="shared" si="83"/>
        <v>0</v>
      </c>
      <c r="O75" s="94">
        <v>0</v>
      </c>
      <c r="P75" s="88"/>
      <c r="Q75" s="88"/>
      <c r="R75" s="88"/>
    </row>
    <row r="76" spans="1:20" x14ac:dyDescent="0.2">
      <c r="A76" s="31">
        <f t="shared" si="82"/>
        <v>70</v>
      </c>
      <c r="D76" s="2" t="s">
        <v>38</v>
      </c>
      <c r="F76" s="88"/>
      <c r="G76" s="101">
        <v>0</v>
      </c>
      <c r="I76" s="11">
        <f t="shared" si="84"/>
        <v>0</v>
      </c>
      <c r="J76" s="88"/>
      <c r="K76" s="88"/>
      <c r="M76" s="101">
        <f t="shared" si="85"/>
        <v>0</v>
      </c>
      <c r="N76" s="101"/>
      <c r="O76" s="94"/>
      <c r="P76" s="88"/>
      <c r="Q76" s="88"/>
      <c r="R76" s="88"/>
    </row>
    <row r="77" spans="1:20" x14ac:dyDescent="0.2">
      <c r="A77" s="31">
        <f t="shared" si="82"/>
        <v>71</v>
      </c>
      <c r="D77" s="13" t="s">
        <v>8</v>
      </c>
      <c r="E77" s="13"/>
      <c r="F77" s="97"/>
      <c r="G77" s="108">
        <f>SUM(G73:G76)</f>
        <v>45682.57</v>
      </c>
      <c r="H77" s="13"/>
      <c r="I77" s="138">
        <f>SUM(I73:I76)</f>
        <v>22462.422999999999</v>
      </c>
      <c r="J77" s="97"/>
      <c r="K77" s="97"/>
      <c r="L77" s="13"/>
      <c r="M77" s="108">
        <f>SUM(M73:M76)</f>
        <v>22462.422999999999</v>
      </c>
      <c r="N77" s="108">
        <f t="shared" ref="N77:N79" si="86">M77-I77</f>
        <v>0</v>
      </c>
      <c r="O77" s="109">
        <f t="shared" ref="O77" si="87">N77-J77</f>
        <v>0</v>
      </c>
      <c r="P77" s="88"/>
      <c r="Q77" s="88"/>
      <c r="R77" s="88"/>
    </row>
    <row r="78" spans="1:20" s="5" customFormat="1" ht="26.45" customHeight="1" thickBot="1" x14ac:dyDescent="0.25">
      <c r="A78" s="31">
        <f t="shared" si="82"/>
        <v>72</v>
      </c>
      <c r="C78" s="15"/>
      <c r="D78" s="6" t="s">
        <v>18</v>
      </c>
      <c r="E78" s="6"/>
      <c r="F78" s="98"/>
      <c r="G78" s="110">
        <f>G72+G77</f>
        <v>203293.20800000001</v>
      </c>
      <c r="H78" s="6"/>
      <c r="I78" s="135">
        <f>I77+I72</f>
        <v>203293.20800000001</v>
      </c>
      <c r="J78" s="98"/>
      <c r="K78" s="98"/>
      <c r="L78" s="6"/>
      <c r="M78" s="110">
        <f>M77+M72</f>
        <v>212684.95397406339</v>
      </c>
      <c r="N78" s="110">
        <f t="shared" si="86"/>
        <v>9391.7459740633785</v>
      </c>
      <c r="O78" s="112">
        <f>N78/I78</f>
        <v>4.6198031239997835E-2</v>
      </c>
      <c r="P78" s="88"/>
      <c r="Q78" s="88"/>
      <c r="R78" s="88"/>
    </row>
    <row r="79" spans="1:20" ht="13.5" thickTop="1" x14ac:dyDescent="0.2">
      <c r="A79" s="31">
        <f t="shared" si="82"/>
        <v>73</v>
      </c>
      <c r="D79" s="2" t="s">
        <v>17</v>
      </c>
      <c r="E79" s="130">
        <f>E71/E69</f>
        <v>275.17082933077171</v>
      </c>
      <c r="F79" s="88"/>
      <c r="G79" s="113">
        <f>G78/E69</f>
        <v>16941.100666666669</v>
      </c>
      <c r="I79" s="139">
        <f>I78/E69</f>
        <v>16941.100666666669</v>
      </c>
      <c r="J79" s="88"/>
      <c r="K79" s="88"/>
      <c r="M79" s="113">
        <f>M78/E69</f>
        <v>17723.746164505283</v>
      </c>
      <c r="N79" s="113">
        <f t="shared" si="86"/>
        <v>782.64549783861366</v>
      </c>
      <c r="O79" s="89">
        <f>N79/I79</f>
        <v>4.6198031239997758E-2</v>
      </c>
      <c r="P79" s="88"/>
      <c r="Q79" s="88"/>
      <c r="R79" s="88"/>
    </row>
    <row r="80" spans="1:20" ht="13.5" thickBot="1" x14ac:dyDescent="0.25">
      <c r="A80" s="31">
        <f t="shared" si="82"/>
        <v>74</v>
      </c>
      <c r="F80" s="88"/>
      <c r="G80" s="88"/>
      <c r="J80" s="88"/>
      <c r="K80" s="88"/>
      <c r="M80" s="88"/>
      <c r="N80" s="88"/>
      <c r="O80" s="88"/>
      <c r="P80" s="88"/>
      <c r="Q80" s="88"/>
      <c r="R80" s="88"/>
    </row>
    <row r="81" spans="1:20" x14ac:dyDescent="0.2">
      <c r="A81" s="31">
        <f t="shared" si="82"/>
        <v>75</v>
      </c>
      <c r="B81" s="24" t="s">
        <v>69</v>
      </c>
      <c r="C81" s="25" t="s">
        <v>71</v>
      </c>
      <c r="D81" s="24"/>
      <c r="E81" s="24"/>
      <c r="F81" s="99"/>
      <c r="G81" s="99"/>
      <c r="H81" s="24"/>
      <c r="I81" s="24"/>
      <c r="J81" s="99"/>
      <c r="K81" s="99"/>
      <c r="L81" s="24"/>
      <c r="M81" s="99"/>
      <c r="N81" s="99"/>
      <c r="O81" s="99"/>
      <c r="P81" s="99"/>
      <c r="Q81" s="99"/>
      <c r="R81" s="99"/>
    </row>
    <row r="82" spans="1:20" x14ac:dyDescent="0.2">
      <c r="A82" s="31">
        <f t="shared" si="82"/>
        <v>76</v>
      </c>
      <c r="C82" s="2"/>
      <c r="D82" s="2" t="s">
        <v>84</v>
      </c>
      <c r="E82" s="129">
        <v>91</v>
      </c>
      <c r="F82" s="121">
        <v>89.85</v>
      </c>
      <c r="G82" s="101">
        <f>F82*E82</f>
        <v>8176.3499999999995</v>
      </c>
      <c r="H82" s="130">
        <v>89.85</v>
      </c>
      <c r="I82" s="136">
        <f>H82*E82</f>
        <v>8176.3499999999995</v>
      </c>
      <c r="J82" s="89">
        <f>I82/I85</f>
        <v>6.629335600239007E-3</v>
      </c>
      <c r="K82" s="89"/>
      <c r="L82" s="130">
        <f>ROUND(H82*S85,2)</f>
        <v>94.52</v>
      </c>
      <c r="M82" s="101">
        <f>L82*E82</f>
        <v>8601.32</v>
      </c>
      <c r="N82" s="101">
        <f>M82-I82</f>
        <v>424.97000000000025</v>
      </c>
      <c r="O82" s="89">
        <f>IF(I82=0,0,N82/I82)</f>
        <v>5.1975514746800254E-2</v>
      </c>
      <c r="P82" s="89">
        <f>M82/M85</f>
        <v>6.6302587962255681E-3</v>
      </c>
      <c r="Q82" s="103">
        <f>P82-J82</f>
        <v>9.2319598656107754E-7</v>
      </c>
      <c r="R82" s="103"/>
      <c r="T82" s="4"/>
    </row>
    <row r="83" spans="1:20" x14ac:dyDescent="0.2">
      <c r="A83" s="31">
        <f t="shared" si="82"/>
        <v>77</v>
      </c>
      <c r="D83" s="2" t="s">
        <v>46</v>
      </c>
      <c r="E83" s="129">
        <v>12499180</v>
      </c>
      <c r="F83" s="122">
        <v>5.8999999999999997E-2</v>
      </c>
      <c r="G83" s="101">
        <f t="shared" ref="G83" si="88">F83*E83</f>
        <v>737451.62</v>
      </c>
      <c r="H83" s="132">
        <v>7.0779999999999996E-2</v>
      </c>
      <c r="I83" s="136">
        <f t="shared" ref="I83" si="89">H83*E83</f>
        <v>884691.96039999998</v>
      </c>
      <c r="J83" s="89">
        <f>I83/I85</f>
        <v>0.71730294181694254</v>
      </c>
      <c r="K83" s="89"/>
      <c r="L83" s="141">
        <f>ROUND(H83*S85,5)</f>
        <v>7.4459999999999998E-2</v>
      </c>
      <c r="M83" s="101">
        <f t="shared" ref="M83" si="90">L83*E83</f>
        <v>930688.94279999996</v>
      </c>
      <c r="N83" s="101">
        <f t="shared" ref="N83" si="91">M83-I83</f>
        <v>45996.982399999979</v>
      </c>
      <c r="O83" s="89">
        <f t="shared" ref="O83" si="92">IF(I83=0,0,N83/I83)</f>
        <v>5.1992088160497295E-2</v>
      </c>
      <c r="P83" s="89">
        <f>M83/M85</f>
        <v>0.7174141352198935</v>
      </c>
      <c r="Q83" s="103">
        <f t="shared" ref="Q83" si="93">P83-J83</f>
        <v>1.1119340295095981E-4</v>
      </c>
      <c r="R83" s="103"/>
      <c r="T83" s="4">
        <f>L83/H83-1</f>
        <v>5.1992088160497385E-2</v>
      </c>
    </row>
    <row r="84" spans="1:20" x14ac:dyDescent="0.2">
      <c r="A84" s="31">
        <f t="shared" si="82"/>
        <v>78</v>
      </c>
      <c r="D84" s="2" t="s">
        <v>48</v>
      </c>
      <c r="E84" s="129">
        <v>53035.91588785046</v>
      </c>
      <c r="F84" s="121">
        <v>6.42</v>
      </c>
      <c r="G84" s="101">
        <f t="shared" ref="G84" si="94">F84*E84</f>
        <v>340490.57999999996</v>
      </c>
      <c r="H84" s="130">
        <v>6.42</v>
      </c>
      <c r="I84" s="136">
        <f t="shared" ref="I84" si="95">H84*E84</f>
        <v>340490.57999999996</v>
      </c>
      <c r="J84" s="89">
        <f>I84/I85</f>
        <v>0.27606772258281842</v>
      </c>
      <c r="K84" s="89"/>
      <c r="L84" s="130">
        <f>ROUND(H84*S85,2)</f>
        <v>6.75</v>
      </c>
      <c r="M84" s="101">
        <f t="shared" ref="M84" si="96">L84*E84</f>
        <v>357992.43224299059</v>
      </c>
      <c r="N84" s="101">
        <f t="shared" ref="N84" si="97">M84-I84</f>
        <v>17501.85224299063</v>
      </c>
      <c r="O84" s="89">
        <f t="shared" ref="O84" si="98">IF(I84=0,0,N84/I84)</f>
        <v>5.1401869158878441E-2</v>
      </c>
      <c r="P84" s="89">
        <f>M84/M85</f>
        <v>0.27595560598388086</v>
      </c>
      <c r="Q84" s="103">
        <f t="shared" ref="Q84" si="99">P84-J84</f>
        <v>-1.1211659893756165E-4</v>
      </c>
      <c r="R84" s="103"/>
      <c r="T84" s="4">
        <f>L84/H84-1</f>
        <v>5.1401869158878455E-2</v>
      </c>
    </row>
    <row r="85" spans="1:20" s="5" customFormat="1" ht="20.45" customHeight="1" x14ac:dyDescent="0.25">
      <c r="A85" s="31">
        <f t="shared" si="82"/>
        <v>79</v>
      </c>
      <c r="C85" s="15"/>
      <c r="D85" s="17" t="s">
        <v>6</v>
      </c>
      <c r="E85" s="17"/>
      <c r="F85" s="102"/>
      <c r="G85" s="18">
        <f>SUM(G82:G84)</f>
        <v>1086118.5499999998</v>
      </c>
      <c r="H85" s="17"/>
      <c r="I85" s="137">
        <f>SUM(I82:I84)</f>
        <v>1233358.8903999999</v>
      </c>
      <c r="J85" s="104">
        <f>SUM(J82:J84)</f>
        <v>1</v>
      </c>
      <c r="K85" s="95">
        <f>I85+Summary!I14</f>
        <v>1297447.2204</v>
      </c>
      <c r="L85" s="17"/>
      <c r="M85" s="18">
        <f>SUM(M82:M84)</f>
        <v>1297282.6950429906</v>
      </c>
      <c r="N85" s="18">
        <f>SUM(N82:N84)</f>
        <v>63923.80464299061</v>
      </c>
      <c r="O85" s="104">
        <f>IF(I85=0,0,N85/I85)</f>
        <v>5.1829037874173832E-2</v>
      </c>
      <c r="P85" s="104">
        <f>SUM(P82:P84)</f>
        <v>1</v>
      </c>
      <c r="Q85" s="105">
        <f t="shared" ref="Q85" si="100">P85-J85</f>
        <v>0</v>
      </c>
      <c r="R85" s="106">
        <f>M85-K85</f>
        <v>-164.52535700937733</v>
      </c>
      <c r="S85" s="67">
        <f>IF(I85=0,0,K85/I85)</f>
        <v>1.0519624340480613</v>
      </c>
    </row>
    <row r="86" spans="1:20" x14ac:dyDescent="0.2">
      <c r="A86" s="31">
        <f t="shared" si="82"/>
        <v>80</v>
      </c>
      <c r="D86" s="2" t="s">
        <v>25</v>
      </c>
      <c r="F86" s="88"/>
      <c r="G86" s="123">
        <v>151506.91</v>
      </c>
      <c r="I86" s="11">
        <f>G86-($H$139*E83)</f>
        <v>4266.569599999988</v>
      </c>
      <c r="J86" s="88"/>
      <c r="K86" s="96"/>
      <c r="M86" s="101">
        <f>I86</f>
        <v>4266.569599999988</v>
      </c>
      <c r="N86" s="101">
        <f t="shared" ref="N86:N91" si="101">M86-I86</f>
        <v>0</v>
      </c>
      <c r="O86" s="94">
        <v>0</v>
      </c>
      <c r="P86" s="88"/>
      <c r="Q86" s="88"/>
      <c r="R86" s="88"/>
    </row>
    <row r="87" spans="1:20" x14ac:dyDescent="0.2">
      <c r="A87" s="31">
        <f t="shared" si="82"/>
        <v>81</v>
      </c>
      <c r="D87" s="2" t="s">
        <v>26</v>
      </c>
      <c r="F87" s="88"/>
      <c r="G87" s="123">
        <v>141121.75</v>
      </c>
      <c r="I87" s="11">
        <f t="shared" ref="I87:I89" si="102">G87</f>
        <v>141121.75</v>
      </c>
      <c r="J87" s="88"/>
      <c r="K87" s="88"/>
      <c r="M87" s="101">
        <f t="shared" ref="M87:M89" si="103">I87</f>
        <v>141121.75</v>
      </c>
      <c r="N87" s="101">
        <f t="shared" si="101"/>
        <v>0</v>
      </c>
      <c r="O87" s="94">
        <v>0</v>
      </c>
      <c r="P87" s="88"/>
      <c r="Q87" s="88"/>
      <c r="R87" s="88"/>
    </row>
    <row r="88" spans="1:20" x14ac:dyDescent="0.2">
      <c r="A88" s="31">
        <f t="shared" si="82"/>
        <v>82</v>
      </c>
      <c r="D88" s="88" t="s">
        <v>97</v>
      </c>
      <c r="F88" s="94"/>
      <c r="G88" s="123">
        <v>41965.489999999991</v>
      </c>
      <c r="I88" s="11">
        <f t="shared" si="102"/>
        <v>41965.489999999991</v>
      </c>
      <c r="J88" s="88"/>
      <c r="K88" s="88"/>
      <c r="M88" s="101">
        <f t="shared" si="103"/>
        <v>41965.489999999991</v>
      </c>
      <c r="N88" s="101">
        <f t="shared" si="101"/>
        <v>0</v>
      </c>
      <c r="O88" s="94">
        <v>0</v>
      </c>
      <c r="P88" s="88"/>
      <c r="Q88" s="88"/>
      <c r="R88" s="88"/>
    </row>
    <row r="89" spans="1:20" x14ac:dyDescent="0.2">
      <c r="A89" s="31">
        <f t="shared" si="82"/>
        <v>83</v>
      </c>
      <c r="D89" s="88" t="s">
        <v>98</v>
      </c>
      <c r="F89" s="88"/>
      <c r="G89" s="123">
        <v>34342.42</v>
      </c>
      <c r="I89" s="11">
        <f t="shared" si="102"/>
        <v>34342.42</v>
      </c>
      <c r="J89" s="88"/>
      <c r="K89" s="88"/>
      <c r="M89" s="101">
        <f t="shared" si="103"/>
        <v>34342.42</v>
      </c>
      <c r="N89" s="101">
        <f t="shared" ref="N89" si="104">M89-I89</f>
        <v>0</v>
      </c>
      <c r="O89" s="94">
        <v>0</v>
      </c>
      <c r="P89" s="88"/>
      <c r="Q89" s="88"/>
      <c r="R89" s="88"/>
    </row>
    <row r="90" spans="1:20" x14ac:dyDescent="0.2">
      <c r="A90" s="31">
        <f t="shared" si="82"/>
        <v>84</v>
      </c>
      <c r="D90" s="13" t="s">
        <v>8</v>
      </c>
      <c r="E90" s="13"/>
      <c r="F90" s="97"/>
      <c r="G90" s="108">
        <f>SUM(G86:G89)</f>
        <v>368936.57</v>
      </c>
      <c r="H90" s="13"/>
      <c r="I90" s="138">
        <f>SUM(I86:I89)</f>
        <v>221696.22959999996</v>
      </c>
      <c r="J90" s="97"/>
      <c r="K90" s="97"/>
      <c r="L90" s="13"/>
      <c r="M90" s="108">
        <f>SUM(M86:M89)</f>
        <v>221696.22959999996</v>
      </c>
      <c r="N90" s="108">
        <f t="shared" si="101"/>
        <v>0</v>
      </c>
      <c r="O90" s="109">
        <f t="shared" ref="O90" si="105">N90-J90</f>
        <v>0</v>
      </c>
      <c r="P90" s="88"/>
      <c r="Q90" s="88"/>
      <c r="R90" s="88"/>
    </row>
    <row r="91" spans="1:20" s="5" customFormat="1" ht="26.45" customHeight="1" thickBot="1" x14ac:dyDescent="0.25">
      <c r="A91" s="31">
        <f t="shared" si="82"/>
        <v>85</v>
      </c>
      <c r="C91" s="15"/>
      <c r="D91" s="6" t="s">
        <v>18</v>
      </c>
      <c r="E91" s="6"/>
      <c r="F91" s="98"/>
      <c r="G91" s="110">
        <f>G85+G90</f>
        <v>1455055.1199999999</v>
      </c>
      <c r="H91" s="6"/>
      <c r="I91" s="135">
        <f>I90+I85</f>
        <v>1455055.1199999999</v>
      </c>
      <c r="J91" s="98"/>
      <c r="K91" s="98"/>
      <c r="L91" s="6"/>
      <c r="M91" s="110">
        <f>M90+M85</f>
        <v>1518978.9246429906</v>
      </c>
      <c r="N91" s="110">
        <f t="shared" si="101"/>
        <v>63923.804642990697</v>
      </c>
      <c r="O91" s="112">
        <f>IF(I91=0,0,N91/I91)</f>
        <v>4.3932222061107008E-2</v>
      </c>
      <c r="P91" s="88"/>
      <c r="Q91" s="88"/>
      <c r="R91" s="88"/>
    </row>
    <row r="92" spans="1:20" ht="13.5" thickTop="1" x14ac:dyDescent="0.2">
      <c r="A92" s="31">
        <f t="shared" si="82"/>
        <v>86</v>
      </c>
      <c r="D92" s="2" t="s">
        <v>17</v>
      </c>
      <c r="E92" s="130">
        <f>E83/E82</f>
        <v>137353.62637362638</v>
      </c>
      <c r="F92" s="88"/>
      <c r="G92" s="113">
        <f>G91/E82</f>
        <v>15989.616703296702</v>
      </c>
      <c r="I92" s="139">
        <f>I91/E82</f>
        <v>15989.616703296702</v>
      </c>
      <c r="J92" s="88"/>
      <c r="K92" s="88"/>
      <c r="M92" s="113">
        <f>M91/E82</f>
        <v>16692.076094977918</v>
      </c>
      <c r="N92" s="113">
        <f>M92-I92</f>
        <v>702.45939168121549</v>
      </c>
      <c r="O92" s="89">
        <f>N92/I92</f>
        <v>4.3932222061106946E-2</v>
      </c>
      <c r="P92" s="88"/>
      <c r="Q92" s="88"/>
      <c r="R92" s="88"/>
    </row>
    <row r="93" spans="1:20" ht="13.5" thickBot="1" x14ac:dyDescent="0.25">
      <c r="A93" s="31">
        <f t="shared" si="82"/>
        <v>87</v>
      </c>
      <c r="F93" s="88"/>
      <c r="G93" s="88"/>
      <c r="J93" s="88"/>
      <c r="K93" s="88"/>
      <c r="M93" s="88"/>
      <c r="N93" s="88"/>
      <c r="O93" s="88"/>
      <c r="P93" s="88"/>
      <c r="Q93" s="88"/>
      <c r="R93" s="88"/>
    </row>
    <row r="94" spans="1:20" x14ac:dyDescent="0.2">
      <c r="A94" s="31">
        <f t="shared" si="82"/>
        <v>88</v>
      </c>
      <c r="B94" s="24" t="s">
        <v>105</v>
      </c>
      <c r="C94" s="25" t="s">
        <v>100</v>
      </c>
      <c r="D94" s="24"/>
      <c r="E94" s="24"/>
      <c r="F94" s="99"/>
      <c r="G94" s="99"/>
      <c r="H94" s="24"/>
      <c r="I94" s="24"/>
      <c r="J94" s="99"/>
      <c r="K94" s="99"/>
      <c r="L94" s="24"/>
      <c r="M94" s="99"/>
      <c r="N94" s="99"/>
      <c r="O94" s="99"/>
      <c r="P94" s="99"/>
      <c r="Q94" s="99"/>
      <c r="R94" s="99"/>
    </row>
    <row r="95" spans="1:20" x14ac:dyDescent="0.2">
      <c r="A95" s="31">
        <f t="shared" si="82"/>
        <v>89</v>
      </c>
      <c r="C95" s="2"/>
      <c r="D95" s="2" t="s">
        <v>84</v>
      </c>
      <c r="E95" s="129">
        <v>10</v>
      </c>
      <c r="F95" s="121">
        <v>868.72</v>
      </c>
      <c r="G95" s="101">
        <f>F95*E95</f>
        <v>8687.2000000000007</v>
      </c>
      <c r="H95" s="130">
        <v>868.72</v>
      </c>
      <c r="I95" s="136">
        <f>H95*E95</f>
        <v>8687.2000000000007</v>
      </c>
      <c r="J95" s="89">
        <f>I95/I99</f>
        <v>1.2842595290361804E-2</v>
      </c>
      <c r="K95" s="89"/>
      <c r="L95" s="130">
        <f>ROUND(H95*S99,2)</f>
        <v>913.86</v>
      </c>
      <c r="M95" s="101">
        <f>L95*E95</f>
        <v>9138.6</v>
      </c>
      <c r="N95" s="101">
        <f>M95-I95</f>
        <v>451.39999999999964</v>
      </c>
      <c r="O95" s="89">
        <f>IF(I95=0,0,N95/I95)</f>
        <v>5.1961506584399991E-2</v>
      </c>
      <c r="P95" s="89">
        <f>M95/M99</f>
        <v>1.2841272847674185E-2</v>
      </c>
      <c r="Q95" s="103">
        <f>P95-J95</f>
        <v>-1.3224426876189826E-6</v>
      </c>
      <c r="R95" s="103"/>
      <c r="T95" s="4"/>
    </row>
    <row r="96" spans="1:20" x14ac:dyDescent="0.2">
      <c r="A96" s="31">
        <f t="shared" si="82"/>
        <v>90</v>
      </c>
      <c r="D96" s="2" t="s">
        <v>46</v>
      </c>
      <c r="E96" s="129">
        <v>8457481</v>
      </c>
      <c r="F96" s="122">
        <v>5.0659999999999997E-2</v>
      </c>
      <c r="G96" s="101">
        <f t="shared" ref="G96:G98" si="106">F96*E96</f>
        <v>428455.98745999997</v>
      </c>
      <c r="H96" s="145">
        <v>6.2435999999999998E-2</v>
      </c>
      <c r="I96" s="136">
        <f t="shared" ref="I96:I98" si="107">H96*E96</f>
        <v>528051.28371600003</v>
      </c>
      <c r="J96" s="89">
        <f>I96/I99</f>
        <v>0.78063690594444779</v>
      </c>
      <c r="K96" s="89"/>
      <c r="L96" s="146">
        <f>ROUND(H96*S99,5)</f>
        <v>6.5680000000000002E-2</v>
      </c>
      <c r="M96" s="101">
        <f t="shared" ref="M96:M98" si="108">L96*E96</f>
        <v>555487.35207999998</v>
      </c>
      <c r="N96" s="101">
        <f t="shared" ref="N96:N98" si="109">M96-I96</f>
        <v>27436.068363999948</v>
      </c>
      <c r="O96" s="89">
        <f t="shared" ref="O96:O98" si="110">IF(I96=0,0,N96/I96)</f>
        <v>5.1957204177077228E-2</v>
      </c>
      <c r="P96" s="89">
        <f>M96/M99</f>
        <v>0.78055332890063389</v>
      </c>
      <c r="Q96" s="103">
        <f t="shared" ref="Q96:Q99" si="111">P96-J96</f>
        <v>-8.35770438138983E-5</v>
      </c>
      <c r="R96" s="103"/>
      <c r="T96" s="4">
        <f>L96/H96-1</f>
        <v>5.1957204177077498E-2</v>
      </c>
    </row>
    <row r="97" spans="1:20" x14ac:dyDescent="0.2">
      <c r="A97" s="31">
        <f>A95+1</f>
        <v>90</v>
      </c>
      <c r="D97" s="2" t="s">
        <v>101</v>
      </c>
      <c r="E97" s="129">
        <f>16607.435168691-E98</f>
        <v>10890.285546697984</v>
      </c>
      <c r="F97" s="125">
        <v>7.41</v>
      </c>
      <c r="G97" s="101">
        <f t="shared" ref="G97" si="112">F97*E97</f>
        <v>80697.015901032064</v>
      </c>
      <c r="H97" s="130">
        <v>7.41</v>
      </c>
      <c r="I97" s="136">
        <f t="shared" ref="I97" si="113">H97*E97</f>
        <v>80697.015901032064</v>
      </c>
      <c r="J97" s="89">
        <f>I97/I99</f>
        <v>0.11929725531320172</v>
      </c>
      <c r="K97" s="89"/>
      <c r="L97" s="130">
        <f>ROUND(H97*S99,2)</f>
        <v>7.8</v>
      </c>
      <c r="M97" s="101">
        <f t="shared" ref="M97" si="114">L97*E97</f>
        <v>84944.227264244269</v>
      </c>
      <c r="N97" s="101">
        <f t="shared" ref="N97" si="115">M97-I97</f>
        <v>4247.2113632122055</v>
      </c>
      <c r="O97" s="89">
        <f t="shared" ref="O97" si="116">IF(I97=0,0,N97/I97)</f>
        <v>5.2631578947368314E-2</v>
      </c>
      <c r="P97" s="89">
        <f>M97/M98</f>
        <v>1.3681209286574321</v>
      </c>
      <c r="Q97" s="103">
        <f t="shared" ref="Q97" si="117">P97-J97</f>
        <v>1.2488236733442304</v>
      </c>
      <c r="R97" s="103"/>
      <c r="T97" s="4">
        <f>L97/H97-1</f>
        <v>5.2631578947368363E-2</v>
      </c>
    </row>
    <row r="98" spans="1:20" x14ac:dyDescent="0.2">
      <c r="A98" s="31">
        <f>A96+1</f>
        <v>91</v>
      </c>
      <c r="D98" s="2" t="s">
        <v>102</v>
      </c>
      <c r="E98" s="129">
        <v>5717.1496219930177</v>
      </c>
      <c r="F98" s="125">
        <v>10.32</v>
      </c>
      <c r="G98" s="101">
        <f t="shared" si="106"/>
        <v>59000.984098967943</v>
      </c>
      <c r="H98" s="130">
        <v>10.32</v>
      </c>
      <c r="I98" s="136">
        <f t="shared" si="107"/>
        <v>59000.984098967943</v>
      </c>
      <c r="J98" s="89">
        <f>I98/I99</f>
        <v>8.7223243451988827E-2</v>
      </c>
      <c r="K98" s="89"/>
      <c r="L98" s="130">
        <f>ROUND(H98*S99,2)</f>
        <v>10.86</v>
      </c>
      <c r="M98" s="101">
        <f t="shared" si="108"/>
        <v>62088.244894844167</v>
      </c>
      <c r="N98" s="101">
        <f t="shared" si="109"/>
        <v>3087.2607958762237</v>
      </c>
      <c r="O98" s="89">
        <f t="shared" si="110"/>
        <v>5.2325581395348736E-2</v>
      </c>
      <c r="P98" s="89">
        <f>M98/M99</f>
        <v>8.7244445902863427E-2</v>
      </c>
      <c r="Q98" s="103">
        <f t="shared" si="111"/>
        <v>2.1202450874599488E-5</v>
      </c>
      <c r="R98" s="103"/>
      <c r="T98" s="4">
        <f>L98/H98-1</f>
        <v>5.2325581395348708E-2</v>
      </c>
    </row>
    <row r="99" spans="1:20" s="5" customFormat="1" ht="20.45" customHeight="1" x14ac:dyDescent="0.25">
      <c r="A99" s="31">
        <f t="shared" si="82"/>
        <v>92</v>
      </c>
      <c r="B99" s="126"/>
      <c r="C99" s="15"/>
      <c r="D99" s="17" t="s">
        <v>6</v>
      </c>
      <c r="E99" s="17"/>
      <c r="F99" s="102"/>
      <c r="G99" s="18">
        <f>SUM(G95:G98)</f>
        <v>576841.18746000004</v>
      </c>
      <c r="H99" s="17"/>
      <c r="I99" s="137">
        <f>SUM(I95:I98)</f>
        <v>676436.48371599999</v>
      </c>
      <c r="J99" s="104">
        <f>SUM(J95:J98)</f>
        <v>1</v>
      </c>
      <c r="K99" s="95">
        <f>I99+Summary!I15</f>
        <v>711585.76371600002</v>
      </c>
      <c r="L99" s="17"/>
      <c r="M99" s="18">
        <f>SUM(M95:M98)</f>
        <v>711658.42423908832</v>
      </c>
      <c r="N99" s="18">
        <f>SUM(N95:N98)</f>
        <v>35221.940523088379</v>
      </c>
      <c r="O99" s="104">
        <f>IF(I99=0,0,N99/I99)</f>
        <v>5.2069841546092913E-2</v>
      </c>
      <c r="P99" s="104">
        <f>SUM(P95:P98)</f>
        <v>2.2487599763086039</v>
      </c>
      <c r="Q99" s="105">
        <f t="shared" si="111"/>
        <v>1.2487599763086039</v>
      </c>
      <c r="R99" s="106">
        <f>M99-K99</f>
        <v>72.660523088299669</v>
      </c>
      <c r="S99" s="67">
        <f>IF(I99=0,0,K99/I99)</f>
        <v>1.0519624249225998</v>
      </c>
    </row>
    <row r="100" spans="1:20" x14ac:dyDescent="0.2">
      <c r="A100" s="31">
        <f t="shared" si="82"/>
        <v>93</v>
      </c>
      <c r="B100" s="127"/>
      <c r="D100" s="2" t="s">
        <v>25</v>
      </c>
      <c r="F100" s="88"/>
      <c r="G100" s="123">
        <v>97524.75</v>
      </c>
      <c r="I100" s="11">
        <f>G100-($H$139*E96)</f>
        <v>-2104.3761800000066</v>
      </c>
      <c r="J100" s="88"/>
      <c r="K100" s="96"/>
      <c r="M100" s="101">
        <f>I100</f>
        <v>-2104.3761800000066</v>
      </c>
      <c r="N100" s="101">
        <f t="shared" ref="N100:N102" si="118">M100-I100</f>
        <v>0</v>
      </c>
      <c r="O100" s="94">
        <v>0</v>
      </c>
      <c r="P100" s="88"/>
      <c r="Q100" s="88"/>
      <c r="R100" s="88"/>
    </row>
    <row r="101" spans="1:20" x14ac:dyDescent="0.2">
      <c r="A101" s="31">
        <f t="shared" si="82"/>
        <v>94</v>
      </c>
      <c r="D101" s="2" t="s">
        <v>26</v>
      </c>
      <c r="F101" s="88"/>
      <c r="G101" s="123">
        <v>72217.63</v>
      </c>
      <c r="I101" s="11">
        <f t="shared" ref="I101:I103" si="119">G101</f>
        <v>72217.63</v>
      </c>
      <c r="J101" s="88"/>
      <c r="K101" s="88"/>
      <c r="M101" s="101">
        <f t="shared" ref="M101:M103" si="120">I101</f>
        <v>72217.63</v>
      </c>
      <c r="N101" s="101">
        <f t="shared" si="118"/>
        <v>0</v>
      </c>
      <c r="O101" s="94">
        <v>0</v>
      </c>
      <c r="P101" s="88"/>
      <c r="Q101" s="88"/>
      <c r="R101" s="88"/>
    </row>
    <row r="102" spans="1:20" x14ac:dyDescent="0.2">
      <c r="A102" s="31">
        <f t="shared" si="82"/>
        <v>95</v>
      </c>
      <c r="D102" s="88" t="s">
        <v>103</v>
      </c>
      <c r="F102" s="94"/>
      <c r="G102" s="123">
        <v>8414.07</v>
      </c>
      <c r="I102" s="11">
        <f t="shared" si="119"/>
        <v>8414.07</v>
      </c>
      <c r="J102" s="88"/>
      <c r="K102" s="88"/>
      <c r="M102" s="101">
        <f t="shared" si="120"/>
        <v>8414.07</v>
      </c>
      <c r="N102" s="101">
        <f t="shared" si="118"/>
        <v>0</v>
      </c>
      <c r="O102" s="94">
        <v>0</v>
      </c>
      <c r="P102" s="88"/>
      <c r="Q102" s="88"/>
      <c r="R102" s="88"/>
    </row>
    <row r="103" spans="1:20" x14ac:dyDescent="0.2">
      <c r="A103" s="31">
        <f t="shared" si="82"/>
        <v>96</v>
      </c>
      <c r="D103" s="88" t="s">
        <v>104</v>
      </c>
      <c r="F103" s="88"/>
      <c r="G103" s="123">
        <v>0</v>
      </c>
      <c r="I103" s="11">
        <f t="shared" si="119"/>
        <v>0</v>
      </c>
      <c r="J103" s="88"/>
      <c r="K103" s="88"/>
      <c r="M103" s="101">
        <f t="shared" si="120"/>
        <v>0</v>
      </c>
      <c r="N103" s="101"/>
      <c r="O103" s="94"/>
      <c r="P103" s="88"/>
      <c r="Q103" s="88"/>
      <c r="R103" s="88"/>
    </row>
    <row r="104" spans="1:20" x14ac:dyDescent="0.2">
      <c r="A104" s="31">
        <f t="shared" si="82"/>
        <v>97</v>
      </c>
      <c r="D104" s="13" t="s">
        <v>8</v>
      </c>
      <c r="E104" s="13"/>
      <c r="F104" s="97"/>
      <c r="G104" s="108">
        <f>SUM(G100:G103)</f>
        <v>178156.45</v>
      </c>
      <c r="H104" s="13"/>
      <c r="I104" s="138">
        <f>SUM(I100:I103)</f>
        <v>78527.323819999991</v>
      </c>
      <c r="J104" s="97"/>
      <c r="K104" s="97"/>
      <c r="L104" s="13"/>
      <c r="M104" s="108">
        <f>SUM(M100:M103)</f>
        <v>78527.323819999991</v>
      </c>
      <c r="N104" s="108">
        <f t="shared" ref="N104:N105" si="121">M104-I104</f>
        <v>0</v>
      </c>
      <c r="O104" s="109">
        <f t="shared" ref="O104" si="122">N104-J104</f>
        <v>0</v>
      </c>
      <c r="P104" s="88"/>
      <c r="Q104" s="88"/>
      <c r="R104" s="88"/>
    </row>
    <row r="105" spans="1:20" s="5" customFormat="1" ht="26.45" customHeight="1" thickBot="1" x14ac:dyDescent="0.25">
      <c r="A105" s="31">
        <f t="shared" si="82"/>
        <v>98</v>
      </c>
      <c r="C105" s="15"/>
      <c r="D105" s="6" t="s">
        <v>18</v>
      </c>
      <c r="E105" s="6"/>
      <c r="F105" s="98"/>
      <c r="G105" s="110">
        <f>G99+G104</f>
        <v>754997.63746000011</v>
      </c>
      <c r="H105" s="6"/>
      <c r="I105" s="135">
        <f>I104+I99</f>
        <v>754963.80753599992</v>
      </c>
      <c r="J105" s="98"/>
      <c r="K105" s="98"/>
      <c r="L105" s="6"/>
      <c r="M105" s="110">
        <f>M104+M99</f>
        <v>790185.74805908836</v>
      </c>
      <c r="N105" s="110">
        <f t="shared" si="121"/>
        <v>35221.940523088444</v>
      </c>
      <c r="O105" s="112">
        <f>IF(I105=0,0,N105/I105)</f>
        <v>4.6653813297412819E-2</v>
      </c>
      <c r="P105" s="88"/>
      <c r="Q105" s="88"/>
      <c r="R105" s="88"/>
    </row>
    <row r="106" spans="1:20" ht="13.5" thickTop="1" x14ac:dyDescent="0.2">
      <c r="A106" s="31">
        <f t="shared" si="82"/>
        <v>99</v>
      </c>
      <c r="D106" s="2" t="s">
        <v>17</v>
      </c>
      <c r="E106" s="130">
        <f>E96/E95</f>
        <v>845748.1</v>
      </c>
      <c r="F106" s="88"/>
      <c r="G106" s="113">
        <f>G105/E95</f>
        <v>75499.763746000011</v>
      </c>
      <c r="I106" s="139">
        <f>I105/E95</f>
        <v>75496.380753599995</v>
      </c>
      <c r="J106" s="88"/>
      <c r="K106" s="88"/>
      <c r="M106" s="113">
        <f>M105/E95</f>
        <v>79018.574805908836</v>
      </c>
      <c r="N106" s="113">
        <f>M106-I106</f>
        <v>3522.1940523088415</v>
      </c>
      <c r="O106" s="89">
        <f>N106/I106</f>
        <v>4.6653813297412777E-2</v>
      </c>
      <c r="P106" s="88"/>
      <c r="Q106" s="88"/>
      <c r="R106" s="88"/>
    </row>
    <row r="107" spans="1:20" ht="13.5" thickBot="1" x14ac:dyDescent="0.25">
      <c r="A107" s="31">
        <f t="shared" si="82"/>
        <v>100</v>
      </c>
      <c r="F107" s="88"/>
      <c r="G107" s="88"/>
      <c r="J107" s="88"/>
      <c r="K107" s="88"/>
      <c r="M107" s="88"/>
      <c r="N107" s="88"/>
      <c r="O107" s="88"/>
      <c r="P107" s="88"/>
      <c r="Q107" s="88"/>
      <c r="R107" s="88"/>
    </row>
    <row r="108" spans="1:20" x14ac:dyDescent="0.2">
      <c r="A108" s="31">
        <f>A93+1</f>
        <v>88</v>
      </c>
      <c r="B108" s="24" t="s">
        <v>29</v>
      </c>
      <c r="C108" s="25" t="s">
        <v>72</v>
      </c>
      <c r="D108" s="24"/>
      <c r="E108" s="24"/>
      <c r="F108" s="99"/>
      <c r="G108" s="99"/>
      <c r="H108" s="24"/>
      <c r="I108" s="24"/>
      <c r="J108" s="99"/>
      <c r="K108" s="99"/>
      <c r="L108" s="24"/>
      <c r="M108" s="99"/>
      <c r="N108" s="99"/>
      <c r="O108" s="99"/>
      <c r="P108" s="99"/>
      <c r="Q108" s="99"/>
      <c r="R108" s="99"/>
    </row>
    <row r="109" spans="1:20" x14ac:dyDescent="0.2">
      <c r="A109" s="31">
        <f t="shared" si="82"/>
        <v>89</v>
      </c>
      <c r="B109" s="88" t="s">
        <v>73</v>
      </c>
      <c r="D109" s="88"/>
      <c r="E109" s="129"/>
      <c r="F109" s="94"/>
      <c r="G109" s="101"/>
      <c r="H109" s="130"/>
      <c r="I109" s="136"/>
      <c r="J109" s="89"/>
      <c r="K109" s="89"/>
      <c r="L109" s="130"/>
      <c r="M109" s="101"/>
      <c r="N109" s="101"/>
      <c r="O109" s="89"/>
      <c r="P109" s="89"/>
      <c r="Q109" s="103"/>
      <c r="R109" s="103"/>
      <c r="T109" s="4"/>
    </row>
    <row r="110" spans="1:20" x14ac:dyDescent="0.2">
      <c r="A110" s="31">
        <f t="shared" si="82"/>
        <v>90</v>
      </c>
      <c r="B110" s="28"/>
      <c r="C110" s="88"/>
      <c r="D110" s="88" t="s">
        <v>74</v>
      </c>
      <c r="E110" s="129">
        <v>2138</v>
      </c>
      <c r="F110" s="121">
        <v>17.61</v>
      </c>
      <c r="G110" s="101">
        <f t="shared" ref="G110:G112" si="123">F110*E110</f>
        <v>37650.18</v>
      </c>
      <c r="H110" s="130">
        <v>19.420000000000002</v>
      </c>
      <c r="I110" s="136">
        <f t="shared" ref="I110:I112" si="124">H110*E110</f>
        <v>41519.960000000006</v>
      </c>
      <c r="J110" s="89">
        <f>I110/I$119</f>
        <v>3.0873354408544603E-2</v>
      </c>
      <c r="K110" s="89"/>
      <c r="L110" s="130">
        <f>ROUND(H110*S$119,2)</f>
        <v>20.43</v>
      </c>
      <c r="M110" s="101">
        <f t="shared" ref="M110:M112" si="125">L110*E110</f>
        <v>43679.34</v>
      </c>
      <c r="N110" s="101">
        <f t="shared" ref="N110:N112" si="126">M110-I110</f>
        <v>2159.3799999999901</v>
      </c>
      <c r="O110" s="89">
        <f t="shared" ref="O110:O112" si="127">IF(I110=0,0,N110/I110)</f>
        <v>5.2008238928938993E-2</v>
      </c>
      <c r="P110" s="89">
        <f>M110/M$119</f>
        <v>3.0876922114715086E-2</v>
      </c>
      <c r="Q110" s="103">
        <f t="shared" ref="Q110:Q112" si="128">P110-J110</f>
        <v>3.5677061704826596E-6</v>
      </c>
      <c r="R110" s="103"/>
      <c r="T110" s="4">
        <f t="shared" ref="T110:T118" si="129">L110/H110-1</f>
        <v>5.2008238928939132E-2</v>
      </c>
    </row>
    <row r="111" spans="1:20" x14ac:dyDescent="0.2">
      <c r="A111" s="31">
        <f t="shared" si="82"/>
        <v>91</v>
      </c>
      <c r="B111" s="88" t="s">
        <v>75</v>
      </c>
      <c r="D111" s="88"/>
      <c r="E111" s="129"/>
      <c r="F111" s="94"/>
      <c r="G111" s="101"/>
      <c r="H111" s="130"/>
      <c r="I111" s="136"/>
      <c r="J111" s="89"/>
      <c r="K111" s="89"/>
      <c r="L111" s="130"/>
      <c r="M111" s="101"/>
      <c r="N111" s="101"/>
      <c r="O111" s="89"/>
      <c r="P111" s="89"/>
      <c r="Q111" s="103"/>
      <c r="R111" s="103"/>
      <c r="T111" s="4"/>
    </row>
    <row r="112" spans="1:20" x14ac:dyDescent="0.2">
      <c r="A112" s="31">
        <f t="shared" si="82"/>
        <v>92</v>
      </c>
      <c r="B112" s="28"/>
      <c r="D112" s="88" t="s">
        <v>76</v>
      </c>
      <c r="E112" s="129">
        <v>27819.939958592127</v>
      </c>
      <c r="F112" s="121">
        <v>9.66</v>
      </c>
      <c r="G112" s="101">
        <f t="shared" si="123"/>
        <v>268740.61999999994</v>
      </c>
      <c r="H112" s="130">
        <v>10.48</v>
      </c>
      <c r="I112" s="136">
        <f t="shared" si="124"/>
        <v>291552.9707660455</v>
      </c>
      <c r="J112" s="89">
        <f>I112/I$119</f>
        <v>0.2167925546008273</v>
      </c>
      <c r="K112" s="89"/>
      <c r="L112" s="130">
        <f>ROUND(H112*S$119,2)</f>
        <v>11.02</v>
      </c>
      <c r="M112" s="101">
        <f t="shared" si="125"/>
        <v>306575.73834368523</v>
      </c>
      <c r="N112" s="101">
        <f t="shared" si="126"/>
        <v>15022.767577639723</v>
      </c>
      <c r="O112" s="89">
        <f t="shared" si="127"/>
        <v>5.1526717557251821E-2</v>
      </c>
      <c r="P112" s="89">
        <f>M112/M$119</f>
        <v>0.21671836605359057</v>
      </c>
      <c r="Q112" s="103">
        <f t="shared" si="128"/>
        <v>-7.4188547236730962E-5</v>
      </c>
      <c r="R112" s="103"/>
      <c r="T112" s="4">
        <f t="shared" si="129"/>
        <v>5.15267175572518E-2</v>
      </c>
    </row>
    <row r="113" spans="1:24" x14ac:dyDescent="0.2">
      <c r="A113" s="31">
        <f t="shared" si="82"/>
        <v>93</v>
      </c>
      <c r="B113" s="88" t="s">
        <v>82</v>
      </c>
      <c r="D113" s="88"/>
      <c r="E113" s="129"/>
      <c r="F113" s="94"/>
      <c r="G113" s="101"/>
      <c r="H113" s="130"/>
      <c r="I113" s="136"/>
      <c r="J113" s="89"/>
      <c r="K113" s="89"/>
      <c r="L113" s="130"/>
      <c r="M113" s="101"/>
      <c r="N113" s="101"/>
      <c r="O113" s="89"/>
      <c r="P113" s="89"/>
      <c r="Q113" s="103"/>
      <c r="R113" s="103"/>
      <c r="T113" s="4"/>
    </row>
    <row r="114" spans="1:24" x14ac:dyDescent="0.2">
      <c r="A114" s="31">
        <f t="shared" si="82"/>
        <v>94</v>
      </c>
      <c r="B114" s="28"/>
      <c r="C114" s="88"/>
      <c r="D114" s="88" t="s">
        <v>77</v>
      </c>
      <c r="E114" s="129">
        <v>80110</v>
      </c>
      <c r="F114" s="121">
        <v>9.81</v>
      </c>
      <c r="G114" s="101">
        <f t="shared" ref="G114:G118" si="130">F114*E114</f>
        <v>785879.10000000009</v>
      </c>
      <c r="H114" s="130">
        <v>10.01</v>
      </c>
      <c r="I114" s="136">
        <f t="shared" ref="I114:I118" si="131">H114*E114</f>
        <v>801901.1</v>
      </c>
      <c r="J114" s="89">
        <f>I114/I$119</f>
        <v>0.59627651040371343</v>
      </c>
      <c r="K114" s="89"/>
      <c r="L114" s="130">
        <f>ROUND(H114*S$119,2)</f>
        <v>10.53</v>
      </c>
      <c r="M114" s="101">
        <f t="shared" ref="M114:M118" si="132">L114*E114</f>
        <v>843558.29999999993</v>
      </c>
      <c r="N114" s="101">
        <f t="shared" ref="N114:N118" si="133">M114-I114</f>
        <v>41657.199999999953</v>
      </c>
      <c r="O114" s="89">
        <f t="shared" ref="O114:O118" si="134">IF(I114=0,0,N114/I114)</f>
        <v>5.1948051948051889E-2</v>
      </c>
      <c r="P114" s="89">
        <f>M114/M$119</f>
        <v>0.59631129793448034</v>
      </c>
      <c r="Q114" s="103">
        <f t="shared" ref="Q114:Q118" si="135">P114-J114</f>
        <v>3.478753076691099E-5</v>
      </c>
      <c r="R114" s="103"/>
      <c r="T114" s="4">
        <f t="shared" si="129"/>
        <v>5.1948051948051965E-2</v>
      </c>
    </row>
    <row r="115" spans="1:24" x14ac:dyDescent="0.2">
      <c r="A115" s="31">
        <f t="shared" si="82"/>
        <v>95</v>
      </c>
      <c r="B115" s="28"/>
      <c r="C115" s="88"/>
      <c r="D115" s="88" t="s">
        <v>78</v>
      </c>
      <c r="E115" s="129">
        <v>3438</v>
      </c>
      <c r="F115" s="121">
        <v>15.1</v>
      </c>
      <c r="G115" s="101">
        <f t="shared" si="130"/>
        <v>51913.799999999996</v>
      </c>
      <c r="H115" s="130">
        <v>15.52</v>
      </c>
      <c r="I115" s="136">
        <f t="shared" si="131"/>
        <v>53357.760000000002</v>
      </c>
      <c r="J115" s="89">
        <f>I115/I$119</f>
        <v>3.9675689353411342E-2</v>
      </c>
      <c r="K115" s="89"/>
      <c r="L115" s="130">
        <f>ROUND(H115*S$119,2)</f>
        <v>16.329999999999998</v>
      </c>
      <c r="M115" s="101">
        <f t="shared" si="132"/>
        <v>56142.539999999994</v>
      </c>
      <c r="N115" s="101">
        <f t="shared" si="133"/>
        <v>2784.7799999999916</v>
      </c>
      <c r="O115" s="89">
        <f t="shared" si="134"/>
        <v>5.2190721649484378E-2</v>
      </c>
      <c r="P115" s="89">
        <f>M115/M$119</f>
        <v>3.9687157244186297E-2</v>
      </c>
      <c r="Q115" s="103">
        <f t="shared" si="135"/>
        <v>1.1467890774954914E-5</v>
      </c>
      <c r="R115" s="103"/>
      <c r="T115" s="4">
        <f t="shared" si="129"/>
        <v>5.2190721649484351E-2</v>
      </c>
    </row>
    <row r="116" spans="1:24" x14ac:dyDescent="0.2">
      <c r="A116" s="31">
        <f t="shared" si="82"/>
        <v>96</v>
      </c>
      <c r="B116" s="28"/>
      <c r="C116" s="88"/>
      <c r="D116" s="88" t="s">
        <v>79</v>
      </c>
      <c r="E116" s="129">
        <v>5503</v>
      </c>
      <c r="F116" s="121">
        <v>22.56</v>
      </c>
      <c r="G116" s="101">
        <f t="shared" si="130"/>
        <v>124147.68</v>
      </c>
      <c r="H116" s="130">
        <v>23.41</v>
      </c>
      <c r="I116" s="136">
        <f t="shared" si="131"/>
        <v>128825.23</v>
      </c>
      <c r="J116" s="89">
        <f>I116/I$119</f>
        <v>9.5791686276968283E-2</v>
      </c>
      <c r="K116" s="89"/>
      <c r="L116" s="130">
        <f>ROUND(H116*S$119,2)</f>
        <v>24.63</v>
      </c>
      <c r="M116" s="101">
        <f t="shared" si="132"/>
        <v>135538.88999999998</v>
      </c>
      <c r="N116" s="101">
        <f t="shared" si="133"/>
        <v>6713.6599999999889</v>
      </c>
      <c r="O116" s="89">
        <f t="shared" si="134"/>
        <v>5.2114480991029388E-2</v>
      </c>
      <c r="P116" s="89">
        <f>M116/M$119</f>
        <v>9.5812431003878151E-2</v>
      </c>
      <c r="Q116" s="103">
        <f t="shared" si="135"/>
        <v>2.0744726909868727E-5</v>
      </c>
      <c r="R116" s="103"/>
      <c r="T116" s="4">
        <f t="shared" si="129"/>
        <v>5.2114480991029444E-2</v>
      </c>
    </row>
    <row r="117" spans="1:24" x14ac:dyDescent="0.2">
      <c r="A117" s="31">
        <f t="shared" si="82"/>
        <v>97</v>
      </c>
      <c r="B117" s="28"/>
      <c r="C117" s="88"/>
      <c r="D117" s="88" t="s">
        <v>80</v>
      </c>
      <c r="E117" s="129">
        <v>752</v>
      </c>
      <c r="F117" s="121">
        <v>20.87</v>
      </c>
      <c r="G117" s="101">
        <f t="shared" si="130"/>
        <v>15694.240000000002</v>
      </c>
      <c r="H117" s="130">
        <v>21.21</v>
      </c>
      <c r="I117" s="136">
        <f t="shared" si="131"/>
        <v>15949.92</v>
      </c>
      <c r="J117" s="89">
        <f>I117/I$119</f>
        <v>1.1860019444814823E-2</v>
      </c>
      <c r="K117" s="89"/>
      <c r="L117" s="130">
        <f>ROUND(H117*S$119,2)</f>
        <v>22.31</v>
      </c>
      <c r="M117" s="101">
        <f t="shared" si="132"/>
        <v>16777.12</v>
      </c>
      <c r="N117" s="101">
        <f t="shared" si="133"/>
        <v>827.19999999999891</v>
      </c>
      <c r="O117" s="89">
        <f t="shared" si="134"/>
        <v>5.1862329090051791E-2</v>
      </c>
      <c r="P117" s="89">
        <f>M117/M$119</f>
        <v>1.1859744848462197E-2</v>
      </c>
      <c r="Q117" s="103">
        <f t="shared" si="135"/>
        <v>-2.7459635262676307E-7</v>
      </c>
      <c r="R117" s="103"/>
      <c r="T117" s="4">
        <f t="shared" si="129"/>
        <v>5.1862329090051729E-2</v>
      </c>
    </row>
    <row r="118" spans="1:24" x14ac:dyDescent="0.2">
      <c r="A118" s="31">
        <f t="shared" si="82"/>
        <v>98</v>
      </c>
      <c r="B118" s="28"/>
      <c r="C118" s="88"/>
      <c r="D118" s="88" t="s">
        <v>81</v>
      </c>
      <c r="E118" s="129">
        <f>1952+97</f>
        <v>2049</v>
      </c>
      <c r="F118" s="121">
        <v>5.73</v>
      </c>
      <c r="G118" s="101">
        <f t="shared" si="130"/>
        <v>11740.77</v>
      </c>
      <c r="H118" s="130">
        <v>5.73</v>
      </c>
      <c r="I118" s="136">
        <f t="shared" si="131"/>
        <v>11740.77</v>
      </c>
      <c r="J118" s="89">
        <f>I118/I$119</f>
        <v>8.7301855117203429E-3</v>
      </c>
      <c r="K118" s="89"/>
      <c r="L118" s="130">
        <f>ROUND(H118*S$119,2)</f>
        <v>6.03</v>
      </c>
      <c r="M118" s="101">
        <f t="shared" si="132"/>
        <v>12355.470000000001</v>
      </c>
      <c r="N118" s="101">
        <f t="shared" si="133"/>
        <v>614.70000000000073</v>
      </c>
      <c r="O118" s="89">
        <f t="shared" si="134"/>
        <v>5.2356020942408439E-2</v>
      </c>
      <c r="P118" s="89">
        <f>M118/M$119</f>
        <v>8.7340808006874382E-3</v>
      </c>
      <c r="Q118" s="103">
        <f t="shared" si="135"/>
        <v>3.8952889670953311E-6</v>
      </c>
      <c r="R118" s="103"/>
      <c r="T118" s="4">
        <f t="shared" si="129"/>
        <v>5.2356020942408321E-2</v>
      </c>
    </row>
    <row r="119" spans="1:24" s="5" customFormat="1" ht="24.6" customHeight="1" x14ac:dyDescent="0.25">
      <c r="A119" s="31">
        <f t="shared" si="82"/>
        <v>99</v>
      </c>
      <c r="C119" s="15"/>
      <c r="D119" s="17" t="s">
        <v>6</v>
      </c>
      <c r="E119" s="17"/>
      <c r="F119" s="102"/>
      <c r="G119" s="18">
        <f>SUM(G109:G118)</f>
        <v>1295766.3899999999</v>
      </c>
      <c r="H119" s="17"/>
      <c r="I119" s="137">
        <f>SUM(I109:I118)</f>
        <v>1344847.7107660454</v>
      </c>
      <c r="J119" s="104">
        <f>SUM(J109:J118)</f>
        <v>1.0000000000000002</v>
      </c>
      <c r="K119" s="95">
        <f>I119+Summary!I16</f>
        <v>1414729.2707660454</v>
      </c>
      <c r="L119" s="17"/>
      <c r="M119" s="18">
        <f>SUM(M109:M118)</f>
        <v>1414627.3983436851</v>
      </c>
      <c r="N119" s="18">
        <f>SUM(N109:N118)</f>
        <v>69779.687577639648</v>
      </c>
      <c r="O119" s="104">
        <f t="shared" ref="O119" si="136">N119/I119</f>
        <v>5.1886683539723685E-2</v>
      </c>
      <c r="P119" s="104">
        <f>SUM(P109:P118)</f>
        <v>1</v>
      </c>
      <c r="Q119" s="105">
        <f t="shared" ref="Q119" si="137">P119-J119</f>
        <v>0</v>
      </c>
      <c r="R119" s="106">
        <f>M119-K119</f>
        <v>-101.87242236034945</v>
      </c>
      <c r="S119" s="67">
        <f>K119/I119</f>
        <v>1.0519624336945887</v>
      </c>
    </row>
    <row r="120" spans="1:24" x14ac:dyDescent="0.2">
      <c r="A120" s="31">
        <f t="shared" si="82"/>
        <v>100</v>
      </c>
      <c r="D120" s="2" t="s">
        <v>25</v>
      </c>
      <c r="F120" s="88"/>
      <c r="G120" s="123">
        <f>23630.06+4064+16726+1515.58+4844+260</f>
        <v>51039.64</v>
      </c>
      <c r="I120" s="11">
        <f>G120</f>
        <v>51039.64</v>
      </c>
      <c r="J120" s="88"/>
      <c r="K120" s="96"/>
      <c r="M120" s="101">
        <f>I120</f>
        <v>51039.64</v>
      </c>
      <c r="N120" s="101">
        <f>M120-I120</f>
        <v>0</v>
      </c>
      <c r="O120" s="94">
        <v>0</v>
      </c>
      <c r="P120" s="88"/>
      <c r="Q120" s="88"/>
      <c r="R120" s="88"/>
    </row>
    <row r="121" spans="1:24" x14ac:dyDescent="0.2">
      <c r="A121" s="31">
        <f t="shared" si="82"/>
        <v>101</v>
      </c>
      <c r="D121" s="2" t="s">
        <v>26</v>
      </c>
      <c r="F121" s="88"/>
      <c r="G121" s="123">
        <f>13940.46+1324+1186+459+2828</f>
        <v>19737.46</v>
      </c>
      <c r="I121" s="11">
        <f>G121</f>
        <v>19737.46</v>
      </c>
      <c r="J121" s="88"/>
      <c r="K121" s="88"/>
      <c r="M121" s="101">
        <f t="shared" ref="M121:M122" si="138">I121</f>
        <v>19737.46</v>
      </c>
      <c r="N121" s="101">
        <f>M121-I121</f>
        <v>0</v>
      </c>
      <c r="O121" s="94">
        <v>0</v>
      </c>
      <c r="P121" s="88"/>
      <c r="Q121" s="88"/>
      <c r="R121" s="88"/>
    </row>
    <row r="122" spans="1:24" x14ac:dyDescent="0.2">
      <c r="A122" s="31">
        <f t="shared" si="82"/>
        <v>102</v>
      </c>
      <c r="D122" s="2" t="s">
        <v>28</v>
      </c>
      <c r="F122" s="88"/>
      <c r="G122" s="101">
        <v>0</v>
      </c>
      <c r="I122" s="11">
        <v>0</v>
      </c>
      <c r="J122" s="88"/>
      <c r="K122" s="88"/>
      <c r="M122" s="101">
        <f t="shared" si="138"/>
        <v>0</v>
      </c>
      <c r="N122" s="101">
        <f>M122-I122</f>
        <v>0</v>
      </c>
      <c r="O122" s="94">
        <v>0</v>
      </c>
      <c r="P122" s="88"/>
      <c r="Q122" s="88"/>
      <c r="R122" s="88"/>
    </row>
    <row r="123" spans="1:24" x14ac:dyDescent="0.2">
      <c r="A123" s="31">
        <f t="shared" si="82"/>
        <v>103</v>
      </c>
      <c r="D123" s="2" t="s">
        <v>38</v>
      </c>
      <c r="F123" s="88"/>
      <c r="G123" s="101"/>
      <c r="I123" s="11"/>
      <c r="J123" s="88"/>
      <c r="K123" s="88"/>
      <c r="M123" s="101"/>
      <c r="N123" s="101"/>
      <c r="O123" s="94"/>
      <c r="P123" s="88"/>
      <c r="Q123" s="88"/>
      <c r="R123" s="88"/>
    </row>
    <row r="124" spans="1:24" x14ac:dyDescent="0.2">
      <c r="A124" s="31">
        <f t="shared" si="82"/>
        <v>104</v>
      </c>
      <c r="D124" s="13" t="s">
        <v>8</v>
      </c>
      <c r="E124" s="13"/>
      <c r="F124" s="97"/>
      <c r="G124" s="108">
        <f>SUM(G120:G122)</f>
        <v>70777.100000000006</v>
      </c>
      <c r="H124" s="13"/>
      <c r="I124" s="138">
        <f>SUM(I120:I122)</f>
        <v>70777.100000000006</v>
      </c>
      <c r="J124" s="97"/>
      <c r="K124" s="97"/>
      <c r="L124" s="13"/>
      <c r="M124" s="108">
        <f>SUM(M120:M122)</f>
        <v>70777.100000000006</v>
      </c>
      <c r="N124" s="108">
        <f>M124-I124</f>
        <v>0</v>
      </c>
      <c r="O124" s="109">
        <f>N124-J124</f>
        <v>0</v>
      </c>
      <c r="P124" s="88"/>
      <c r="Q124" s="88"/>
      <c r="R124" s="88"/>
    </row>
    <row r="125" spans="1:24" s="5" customFormat="1" ht="26.45" customHeight="1" thickBot="1" x14ac:dyDescent="0.25">
      <c r="A125" s="31">
        <f t="shared" si="82"/>
        <v>105</v>
      </c>
      <c r="C125" s="15"/>
      <c r="D125" s="6" t="s">
        <v>18</v>
      </c>
      <c r="E125" s="6"/>
      <c r="F125" s="98"/>
      <c r="G125" s="110">
        <f>G119+G124</f>
        <v>1366543.49</v>
      </c>
      <c r="H125" s="6"/>
      <c r="I125" s="135">
        <f>I124+I119</f>
        <v>1415624.8107660455</v>
      </c>
      <c r="J125" s="98"/>
      <c r="K125" s="98"/>
      <c r="L125" s="6"/>
      <c r="M125" s="110">
        <f>M124+M119</f>
        <v>1485404.4983436852</v>
      </c>
      <c r="N125" s="110">
        <f>M125-I125</f>
        <v>69779.687577639706</v>
      </c>
      <c r="O125" s="112">
        <f>N125/I125</f>
        <v>4.929250112526596E-2</v>
      </c>
      <c r="P125" s="88"/>
      <c r="Q125" s="88"/>
      <c r="R125" s="88"/>
    </row>
    <row r="126" spans="1:24" ht="13.5" thickTop="1" x14ac:dyDescent="0.2">
      <c r="A126" s="31">
        <f t="shared" si="82"/>
        <v>106</v>
      </c>
      <c r="F126" s="88"/>
      <c r="G126" s="113"/>
      <c r="I126" s="139"/>
      <c r="J126" s="88"/>
      <c r="K126" s="88"/>
      <c r="M126" s="113"/>
      <c r="N126" s="113"/>
      <c r="O126" s="89"/>
      <c r="P126" s="88"/>
      <c r="Q126" s="88"/>
      <c r="R126" s="88"/>
      <c r="W126" s="5"/>
      <c r="X126" s="5"/>
    </row>
    <row r="127" spans="1:24" x14ac:dyDescent="0.2">
      <c r="A127" s="31">
        <f t="shared" si="82"/>
        <v>107</v>
      </c>
      <c r="B127" s="19"/>
      <c r="C127" s="20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88"/>
      <c r="Q127" s="88"/>
      <c r="R127" s="88"/>
    </row>
    <row r="128" spans="1:24" x14ac:dyDescent="0.2">
      <c r="A128" s="31">
        <f t="shared" si="82"/>
        <v>108</v>
      </c>
      <c r="F128" s="88"/>
      <c r="G128" s="88"/>
      <c r="J128" s="88"/>
      <c r="K128" s="88"/>
      <c r="M128" s="88"/>
      <c r="N128" s="88"/>
      <c r="O128" s="88"/>
      <c r="P128" s="88"/>
      <c r="Q128" s="88"/>
      <c r="R128" s="88"/>
    </row>
    <row r="129" spans="1:18" s="5" customFormat="1" ht="19.899999999999999" customHeight="1" x14ac:dyDescent="0.25">
      <c r="A129" s="31">
        <f t="shared" si="82"/>
        <v>109</v>
      </c>
      <c r="B129" s="5" t="s">
        <v>27</v>
      </c>
      <c r="C129" s="15"/>
      <c r="D129" s="17" t="s">
        <v>6</v>
      </c>
      <c r="E129" s="17"/>
      <c r="F129" s="102"/>
      <c r="G129" s="116">
        <f>G10+G21+G34+G46+G85+G59+G119+G72+G99</f>
        <v>44776709.481539994</v>
      </c>
      <c r="H129" s="133"/>
      <c r="I129" s="133">
        <f>I10+I21+I34+I46+I85+I59+I119+I72+I99</f>
        <v>49657182.317882046</v>
      </c>
      <c r="J129" s="102"/>
      <c r="K129" s="102"/>
      <c r="L129" s="17"/>
      <c r="M129" s="116">
        <f>M10+M21+M34+M46+M85+M59+M119+M72+M99</f>
        <v>52238061.007931679</v>
      </c>
      <c r="N129" s="116">
        <f>N10+N21+N34+N46+N85+N59+N119+N72+N99</f>
        <v>2580878.6900496338</v>
      </c>
      <c r="O129" s="104">
        <f>N129/I129</f>
        <v>5.1973925413811364E-2</v>
      </c>
      <c r="P129" s="117"/>
      <c r="Q129" s="117"/>
      <c r="R129" s="117"/>
    </row>
    <row r="130" spans="1:18" x14ac:dyDescent="0.2">
      <c r="A130" s="31">
        <f t="shared" si="82"/>
        <v>110</v>
      </c>
      <c r="D130" s="2" t="s">
        <v>25</v>
      </c>
      <c r="F130" s="88"/>
      <c r="G130" s="96">
        <f t="shared" ref="G130:I135" si="139">G11+G22+G35+G47+G86+G60+G120+G73+G100</f>
        <v>5107026.9700000007</v>
      </c>
      <c r="H130" s="11"/>
      <c r="I130" s="11">
        <f t="shared" si="139"/>
        <v>781695.7750599999</v>
      </c>
      <c r="J130" s="88"/>
      <c r="K130" s="88"/>
      <c r="M130" s="96">
        <f t="shared" ref="M130:N130" si="140">M11+M22+M35+M47+M86+M60+M120+M73+M100</f>
        <v>781695.7750599999</v>
      </c>
      <c r="N130" s="96">
        <f t="shared" si="140"/>
        <v>0</v>
      </c>
      <c r="O130" s="88"/>
      <c r="P130" s="88"/>
      <c r="Q130" s="88"/>
      <c r="R130" s="88"/>
    </row>
    <row r="131" spans="1:18" x14ac:dyDescent="0.2">
      <c r="A131" s="31">
        <f t="shared" si="82"/>
        <v>111</v>
      </c>
      <c r="D131" s="2" t="s">
        <v>26</v>
      </c>
      <c r="F131" s="88"/>
      <c r="G131" s="96">
        <f t="shared" si="139"/>
        <v>5341769.68</v>
      </c>
      <c r="H131" s="11"/>
      <c r="I131" s="11">
        <f t="shared" si="139"/>
        <v>5341769.68</v>
      </c>
      <c r="J131" s="88"/>
      <c r="K131" s="88"/>
      <c r="M131" s="96">
        <f t="shared" ref="M131:N131" si="141">M12+M23+M36+M48+M87+M61+M121+M74+M101</f>
        <v>5341769.68</v>
      </c>
      <c r="N131" s="96">
        <f t="shared" si="141"/>
        <v>0</v>
      </c>
      <c r="O131" s="88"/>
      <c r="P131" s="88"/>
      <c r="Q131" s="88"/>
      <c r="R131" s="88"/>
    </row>
    <row r="132" spans="1:18" x14ac:dyDescent="0.2">
      <c r="A132" s="31">
        <f t="shared" si="82"/>
        <v>112</v>
      </c>
      <c r="D132" s="2" t="s">
        <v>28</v>
      </c>
      <c r="F132" s="88"/>
      <c r="G132" s="96">
        <f t="shared" si="139"/>
        <v>120969.44</v>
      </c>
      <c r="H132" s="11"/>
      <c r="I132" s="11">
        <f t="shared" si="139"/>
        <v>120969.44</v>
      </c>
      <c r="J132" s="88"/>
      <c r="K132" s="88"/>
      <c r="M132" s="96">
        <f t="shared" ref="M132:N132" si="142">M13+M24+M37+M49+M88+M62+M122+M75+M102</f>
        <v>120969.44</v>
      </c>
      <c r="N132" s="96">
        <f t="shared" si="142"/>
        <v>0</v>
      </c>
      <c r="O132" s="88"/>
      <c r="P132" s="88"/>
      <c r="Q132" s="88"/>
      <c r="R132" s="88"/>
    </row>
    <row r="133" spans="1:18" x14ac:dyDescent="0.2">
      <c r="A133" s="31">
        <f t="shared" si="82"/>
        <v>113</v>
      </c>
      <c r="D133" s="2" t="s">
        <v>38</v>
      </c>
      <c r="F133" s="88"/>
      <c r="G133" s="96">
        <f t="shared" si="139"/>
        <v>82626.14</v>
      </c>
      <c r="I133" s="11">
        <f t="shared" si="139"/>
        <v>82626.14</v>
      </c>
      <c r="J133" s="88"/>
      <c r="K133" s="88"/>
      <c r="M133" s="96">
        <f t="shared" ref="M133:N133" si="143">M14+M25+M38+M50+M89+M63+M123+M76+M103</f>
        <v>82626.14</v>
      </c>
      <c r="N133" s="96">
        <f t="shared" si="143"/>
        <v>0</v>
      </c>
      <c r="O133" s="94"/>
      <c r="P133" s="88"/>
      <c r="Q133" s="88"/>
      <c r="R133" s="88"/>
    </row>
    <row r="134" spans="1:18" x14ac:dyDescent="0.2">
      <c r="A134" s="31">
        <f t="shared" si="82"/>
        <v>114</v>
      </c>
      <c r="D134" s="13" t="s">
        <v>8</v>
      </c>
      <c r="E134" s="13"/>
      <c r="F134" s="97"/>
      <c r="G134" s="118">
        <f t="shared" si="139"/>
        <v>10652392.229999999</v>
      </c>
      <c r="H134" s="134"/>
      <c r="I134" s="134">
        <f t="shared" si="139"/>
        <v>6327061.0350600006</v>
      </c>
      <c r="J134" s="97"/>
      <c r="K134" s="97"/>
      <c r="L134" s="13"/>
      <c r="M134" s="118">
        <f t="shared" ref="M134:N134" si="144">M15+M26+M39+M51+M90+M64+M124+M77+M104</f>
        <v>6327061.0350600006</v>
      </c>
      <c r="N134" s="118">
        <f t="shared" si="144"/>
        <v>0</v>
      </c>
      <c r="O134" s="97"/>
      <c r="P134" s="88"/>
      <c r="Q134" s="88"/>
      <c r="R134" s="88"/>
    </row>
    <row r="135" spans="1:18" s="5" customFormat="1" ht="21" customHeight="1" thickBot="1" x14ac:dyDescent="0.3">
      <c r="A135" s="31">
        <f t="shared" si="82"/>
        <v>115</v>
      </c>
      <c r="C135" s="15"/>
      <c r="D135" s="6" t="s">
        <v>18</v>
      </c>
      <c r="E135" s="6"/>
      <c r="F135" s="98"/>
      <c r="G135" s="111">
        <f t="shared" si="139"/>
        <v>55429101.711539991</v>
      </c>
      <c r="H135" s="135"/>
      <c r="I135" s="135">
        <f t="shared" si="139"/>
        <v>55984243.352942042</v>
      </c>
      <c r="J135" s="98"/>
      <c r="K135" s="98"/>
      <c r="L135" s="6"/>
      <c r="M135" s="111">
        <f t="shared" ref="M135:N135" si="145">M16+M27+M40+M52+M91+M65+M125+M78+M105</f>
        <v>58565122.042991661</v>
      </c>
      <c r="N135" s="111">
        <f t="shared" si="145"/>
        <v>2580878.690049632</v>
      </c>
      <c r="O135" s="112">
        <f>N135/I135</f>
        <v>4.6100090587613586E-2</v>
      </c>
      <c r="P135" s="117"/>
      <c r="Q135" s="117"/>
      <c r="R135" s="117"/>
    </row>
    <row r="136" spans="1:18" ht="13.5" thickTop="1" x14ac:dyDescent="0.2">
      <c r="A136" s="31">
        <f t="shared" si="82"/>
        <v>116</v>
      </c>
      <c r="F136" s="88"/>
      <c r="G136" s="88"/>
      <c r="J136" s="88"/>
      <c r="K136" s="88"/>
      <c r="M136" s="88"/>
      <c r="N136" s="88"/>
      <c r="O136" s="88"/>
      <c r="P136" s="88"/>
      <c r="Q136" s="88"/>
      <c r="R136" s="88"/>
    </row>
    <row r="137" spans="1:18" x14ac:dyDescent="0.2">
      <c r="A137" s="31">
        <f t="shared" si="82"/>
        <v>117</v>
      </c>
      <c r="D137" s="2" t="s">
        <v>36</v>
      </c>
      <c r="F137" s="88"/>
      <c r="G137" s="88"/>
      <c r="J137" s="88"/>
      <c r="K137" s="88"/>
      <c r="M137" s="88"/>
      <c r="N137" s="96">
        <f>N135-Summary!L4</f>
        <v>570.79262624541298</v>
      </c>
      <c r="O137" s="88"/>
      <c r="P137" s="88"/>
      <c r="Q137" s="88"/>
      <c r="R137" s="88"/>
    </row>
    <row r="138" spans="1:18" x14ac:dyDescent="0.2">
      <c r="A138" s="31"/>
      <c r="N138" s="11"/>
    </row>
    <row r="139" spans="1:18" x14ac:dyDescent="0.2">
      <c r="G139" s="120" t="s">
        <v>96</v>
      </c>
      <c r="H139" s="2">
        <v>1.1780000000000001E-2</v>
      </c>
      <c r="I139" s="2" t="s">
        <v>107</v>
      </c>
    </row>
  </sheetData>
  <phoneticPr fontId="8" type="noConversion"/>
  <printOptions horizontalCentered="1"/>
  <pageMargins left="0.7" right="0.7" top="0.75" bottom="0.75" header="0.3" footer="0.3"/>
  <pageSetup scale="50" fitToHeight="4" orientation="landscape" r:id="rId1"/>
  <headerFooter>
    <oddHeader>&amp;R&amp;"Arial,Bold"&amp;10Exhibit 4
Page &amp;P of &amp;N</oddHeader>
  </headerFooter>
  <rowBreaks count="2" manualBreakCount="2">
    <brk id="53" max="17" man="1"/>
    <brk id="107" max="17" man="1"/>
  </rowBreaks>
  <ignoredErrors>
    <ignoredError sqref="M10:O10 N119:O119 N34:O34 N59:O59 N85:O85 N21:O21 N46 N72 I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FD2D1-0261-4B16-940C-DD9AB8DBD482}">
  <sheetPr>
    <pageSetUpPr fitToPage="1"/>
  </sheetPr>
  <dimension ref="A1:J71"/>
  <sheetViews>
    <sheetView view="pageBreakPreview" topLeftCell="A49" zoomScaleNormal="85" zoomScaleSheetLayoutView="100" workbookViewId="0">
      <selection activeCell="F30" sqref="F30:G30"/>
    </sheetView>
  </sheetViews>
  <sheetFormatPr defaultColWidth="8.85546875" defaultRowHeight="12.75" x14ac:dyDescent="0.2"/>
  <cols>
    <col min="1" max="1" width="1.7109375" style="2" customWidth="1"/>
    <col min="2" max="2" width="1.28515625" style="2" customWidth="1"/>
    <col min="3" max="3" width="8" style="14" customWidth="1"/>
    <col min="4" max="4" width="25" style="14" customWidth="1"/>
    <col min="5" max="5" width="47.5703125" style="2" bestFit="1" customWidth="1"/>
    <col min="6" max="6" width="14.7109375" style="2" customWidth="1"/>
    <col min="7" max="7" width="12.5703125" style="2" customWidth="1"/>
    <col min="8" max="8" width="9.85546875" style="2" bestFit="1" customWidth="1"/>
    <col min="9" max="16384" width="8.85546875" style="2"/>
  </cols>
  <sheetData>
    <row r="1" spans="1:9" x14ac:dyDescent="0.2">
      <c r="A1" s="1" t="str">
        <f>Summary!A1</f>
        <v>CLARK ENERGY COOPERATIVE</v>
      </c>
    </row>
    <row r="2" spans="1:9" x14ac:dyDescent="0.2">
      <c r="A2" s="1" t="s">
        <v>91</v>
      </c>
    </row>
    <row r="4" spans="1:9" x14ac:dyDescent="0.2">
      <c r="C4" s="59" t="s">
        <v>59</v>
      </c>
      <c r="D4" s="58"/>
      <c r="E4" s="58" t="s">
        <v>2</v>
      </c>
      <c r="F4" s="62" t="s">
        <v>44</v>
      </c>
      <c r="G4" s="62" t="s">
        <v>45</v>
      </c>
      <c r="H4" s="62" t="s">
        <v>93</v>
      </c>
    </row>
    <row r="5" spans="1:9" x14ac:dyDescent="0.2">
      <c r="C5" s="14" t="str">
        <f>'Billing Detail'!C7</f>
        <v>R</v>
      </c>
      <c r="D5" s="82" t="str">
        <f>'Billing Detail'!B7</f>
        <v>Residential</v>
      </c>
    </row>
    <row r="6" spans="1:9" x14ac:dyDescent="0.2">
      <c r="D6" s="82"/>
      <c r="E6" s="2" t="str">
        <f>'Billing Detail'!D8</f>
        <v>Facility Charge per month</v>
      </c>
      <c r="F6" s="60">
        <f>'Billing Detail'!H8</f>
        <v>18.62</v>
      </c>
      <c r="G6" s="60">
        <f>'Billing Detail'!L8</f>
        <v>19.59</v>
      </c>
      <c r="H6" s="60">
        <f>G6-F6</f>
        <v>0.96999999999999886</v>
      </c>
      <c r="I6" s="4">
        <f>H6/F6</f>
        <v>5.2094522019333983E-2</v>
      </c>
    </row>
    <row r="7" spans="1:9" x14ac:dyDescent="0.2">
      <c r="D7" s="82"/>
      <c r="E7" s="2" t="str">
        <f>'Billing Detail'!D9</f>
        <v>Energy Charge per kWh</v>
      </c>
      <c r="F7" s="61">
        <f>'Billing Detail'!H9</f>
        <v>0.10123</v>
      </c>
      <c r="G7" s="61">
        <f>'Billing Detail'!L9</f>
        <v>0.10649</v>
      </c>
      <c r="H7" s="61">
        <f t="shared" ref="H7:H42" si="0">G7-F7</f>
        <v>5.2600000000000008E-3</v>
      </c>
      <c r="I7" s="4">
        <f t="shared" ref="I7:I42" si="1">H7/F7</f>
        <v>5.1960881161710964E-2</v>
      </c>
    </row>
    <row r="8" spans="1:9" x14ac:dyDescent="0.2">
      <c r="C8" s="14" t="str">
        <f>'Billing Detail'!C19</f>
        <v>D</v>
      </c>
      <c r="D8" s="82" t="str">
        <f>'Billing Detail'!B19</f>
        <v>Time of Use Marketing Service</v>
      </c>
      <c r="F8" s="60"/>
      <c r="G8" s="60"/>
      <c r="H8" s="60"/>
      <c r="I8" s="4"/>
    </row>
    <row r="9" spans="1:9" x14ac:dyDescent="0.2">
      <c r="D9" s="82"/>
      <c r="E9" s="2" t="str">
        <f>'Billing Detail'!D20</f>
        <v>Energy Charge per kWh</v>
      </c>
      <c r="F9" s="61">
        <f>'Billing Detail'!H20</f>
        <v>7.6560000000000003E-2</v>
      </c>
      <c r="G9" s="61">
        <f>'Billing Detail'!L20</f>
        <v>8.054E-2</v>
      </c>
      <c r="H9" s="61">
        <f t="shared" si="0"/>
        <v>3.9799999999999974E-3</v>
      </c>
      <c r="I9" s="4">
        <f t="shared" si="1"/>
        <v>5.1985370950888156E-2</v>
      </c>
    </row>
    <row r="10" spans="1:9" x14ac:dyDescent="0.2">
      <c r="C10" s="14" t="str">
        <f>'Billing Detail'!C30</f>
        <v>C</v>
      </c>
      <c r="D10" s="82" t="str">
        <f>'Billing Detail'!B30</f>
        <v>General Power Service &lt; 50kW</v>
      </c>
      <c r="F10" s="61"/>
      <c r="G10" s="61"/>
      <c r="H10" s="61"/>
      <c r="I10" s="4"/>
    </row>
    <row r="11" spans="1:9" x14ac:dyDescent="0.2">
      <c r="D11" s="82"/>
      <c r="E11" s="2" t="str">
        <f>'Billing Detail'!D31</f>
        <v xml:space="preserve">Facility Charge Single Phase per month </v>
      </c>
      <c r="F11" s="60">
        <f>'Billing Detail'!H31</f>
        <v>26.2</v>
      </c>
      <c r="G11" s="60">
        <f>'Billing Detail'!L31</f>
        <v>27.56</v>
      </c>
      <c r="H11" s="60">
        <f t="shared" si="0"/>
        <v>1.3599999999999994</v>
      </c>
      <c r="I11" s="4">
        <f t="shared" si="1"/>
        <v>5.1908396946564864E-2</v>
      </c>
    </row>
    <row r="12" spans="1:9" x14ac:dyDescent="0.2">
      <c r="D12" s="82"/>
      <c r="E12" s="2" t="str">
        <f>'Billing Detail'!D32</f>
        <v>Facility Charge Three Phase per month</v>
      </c>
      <c r="F12" s="60">
        <f>'Billing Detail'!H32</f>
        <v>51.85</v>
      </c>
      <c r="G12" s="60">
        <f>'Billing Detail'!L32</f>
        <v>54.54</v>
      </c>
      <c r="H12" s="60">
        <f t="shared" si="0"/>
        <v>2.6899999999999977</v>
      </c>
      <c r="I12" s="4">
        <f t="shared" si="1"/>
        <v>5.1880424300867846E-2</v>
      </c>
    </row>
    <row r="13" spans="1:9" x14ac:dyDescent="0.2">
      <c r="D13" s="82"/>
      <c r="E13" s="2" t="str">
        <f>'Billing Detail'!D33</f>
        <v>Energy Charge - Off Peak per kWh</v>
      </c>
      <c r="F13" s="61">
        <f>'Billing Detail'!H33</f>
        <v>0.10976</v>
      </c>
      <c r="G13" s="61">
        <f>'Billing Detail'!L33</f>
        <v>0.11545999999999999</v>
      </c>
      <c r="H13" s="61">
        <f t="shared" si="0"/>
        <v>5.6999999999999967E-3</v>
      </c>
      <c r="I13" s="4">
        <f t="shared" si="1"/>
        <v>5.1931486880466442E-2</v>
      </c>
    </row>
    <row r="14" spans="1:9" x14ac:dyDescent="0.2">
      <c r="C14" s="14" t="str">
        <f>'Billing Detail'!C43</f>
        <v>E</v>
      </c>
      <c r="D14" s="82" t="str">
        <f>'Billing Detail'!B43</f>
        <v>Public Facilities</v>
      </c>
      <c r="F14" s="60"/>
      <c r="G14" s="60"/>
      <c r="H14" s="60"/>
      <c r="I14" s="4"/>
    </row>
    <row r="15" spans="1:9" x14ac:dyDescent="0.2">
      <c r="D15" s="82"/>
      <c r="E15" s="2" t="str">
        <f>'Billing Detail'!D44</f>
        <v>Facility Charge per month</v>
      </c>
      <c r="F15" s="60">
        <f>'Billing Detail'!H44</f>
        <v>18.62</v>
      </c>
      <c r="G15" s="60">
        <f>'Billing Detail'!L44</f>
        <v>19.59</v>
      </c>
      <c r="H15" s="60">
        <f t="shared" si="0"/>
        <v>0.96999999999999886</v>
      </c>
      <c r="I15" s="4">
        <f t="shared" si="1"/>
        <v>5.2094522019333983E-2</v>
      </c>
    </row>
    <row r="16" spans="1:9" x14ac:dyDescent="0.2">
      <c r="D16" s="82"/>
      <c r="E16" s="2" t="str">
        <f>'Billing Detail'!D45</f>
        <v>Energy Charge per kWh</v>
      </c>
      <c r="F16" s="61">
        <f>'Billing Detail'!H45</f>
        <v>0.1103</v>
      </c>
      <c r="G16" s="61">
        <f>'Billing Detail'!L45</f>
        <v>0.11602999999999999</v>
      </c>
      <c r="H16" s="61">
        <f t="shared" si="0"/>
        <v>5.729999999999999E-3</v>
      </c>
      <c r="I16" s="4">
        <f t="shared" si="1"/>
        <v>5.1949229374433359E-2</v>
      </c>
    </row>
    <row r="17" spans="3:9" x14ac:dyDescent="0.2">
      <c r="C17" s="14" t="str">
        <f>'Billing Detail'!C55</f>
        <v>L</v>
      </c>
      <c r="D17" s="82" t="str">
        <f>'Billing Detail'!B55</f>
        <v>General Power Service 50-500kW</v>
      </c>
      <c r="F17" s="61"/>
      <c r="G17" s="61"/>
      <c r="H17" s="61"/>
      <c r="I17" s="4"/>
    </row>
    <row r="18" spans="3:9" x14ac:dyDescent="0.2">
      <c r="D18" s="82"/>
      <c r="E18" s="57" t="str">
        <f>'Billing Detail'!D56</f>
        <v>Facility Charge per month</v>
      </c>
      <c r="F18" s="60">
        <f>'Billing Detail'!H56</f>
        <v>65.989999999999995</v>
      </c>
      <c r="G18" s="60">
        <f>'Billing Detail'!L56</f>
        <v>69.42</v>
      </c>
      <c r="H18" s="60">
        <f t="shared" si="0"/>
        <v>3.4300000000000068</v>
      </c>
      <c r="I18" s="4">
        <f t="shared" si="1"/>
        <v>5.1977572359448505E-2</v>
      </c>
    </row>
    <row r="19" spans="3:9" x14ac:dyDescent="0.2">
      <c r="D19" s="82"/>
      <c r="E19" s="57" t="str">
        <f>'Billing Detail'!D57</f>
        <v>Energy Charge per kWh</v>
      </c>
      <c r="F19" s="61">
        <f>'Billing Detail'!H57</f>
        <v>8.1290000000000001E-2</v>
      </c>
      <c r="G19" s="61">
        <f>'Billing Detail'!L57</f>
        <v>8.5510000000000003E-2</v>
      </c>
      <c r="H19" s="61">
        <f t="shared" si="0"/>
        <v>4.2200000000000015E-3</v>
      </c>
      <c r="I19" s="4">
        <f t="shared" si="1"/>
        <v>5.1912904416287382E-2</v>
      </c>
    </row>
    <row r="20" spans="3:9" x14ac:dyDescent="0.2">
      <c r="D20" s="82"/>
      <c r="E20" s="57" t="str">
        <f>'Billing Detail'!D58</f>
        <v>Demand Charge per kW</v>
      </c>
      <c r="F20" s="60">
        <f>'Billing Detail'!H58</f>
        <v>6.69</v>
      </c>
      <c r="G20" s="60">
        <f>'Billing Detail'!L58</f>
        <v>7.04</v>
      </c>
      <c r="H20" s="60">
        <f t="shared" si="0"/>
        <v>0.34999999999999964</v>
      </c>
      <c r="I20" s="4">
        <f t="shared" si="1"/>
        <v>5.2316890881913249E-2</v>
      </c>
    </row>
    <row r="21" spans="3:9" x14ac:dyDescent="0.2">
      <c r="C21" s="14" t="str">
        <f>'Billing Detail'!C68</f>
        <v>M</v>
      </c>
      <c r="D21" s="82" t="str">
        <f>'Billing Detail'!B68</f>
        <v>General Power Service 1000-5000kW</v>
      </c>
      <c r="F21" s="60"/>
      <c r="G21" s="60"/>
      <c r="H21" s="60"/>
      <c r="I21" s="4"/>
    </row>
    <row r="22" spans="3:9" x14ac:dyDescent="0.2">
      <c r="D22" s="82"/>
      <c r="E22" s="2" t="str">
        <f>'Billing Detail'!D70</f>
        <v>Energy Charge per kWh</v>
      </c>
      <c r="F22" s="61">
        <f>'Billing Detail'!H70</f>
        <v>7.4300000000000005E-2</v>
      </c>
      <c r="G22" s="61">
        <f>'Billing Detail'!L70</f>
        <v>7.8159999999999993E-2</v>
      </c>
      <c r="H22" s="61">
        <f t="shared" si="0"/>
        <v>3.8599999999999884E-3</v>
      </c>
      <c r="I22" s="4">
        <f t="shared" si="1"/>
        <v>5.1951547779273057E-2</v>
      </c>
    </row>
    <row r="23" spans="3:9" x14ac:dyDescent="0.2">
      <c r="D23" s="82"/>
      <c r="E23" s="2" t="str">
        <f>'Billing Detail'!D71</f>
        <v>Demand Charge per kW</v>
      </c>
      <c r="F23" s="60">
        <f>'Billing Detail'!H71</f>
        <v>10.41</v>
      </c>
      <c r="G23" s="60">
        <f>'Billing Detail'!L71</f>
        <v>10.95</v>
      </c>
      <c r="H23" s="60">
        <f t="shared" si="0"/>
        <v>0.53999999999999915</v>
      </c>
      <c r="I23" s="4">
        <f t="shared" si="1"/>
        <v>5.1873198847262166E-2</v>
      </c>
    </row>
    <row r="24" spans="3:9" x14ac:dyDescent="0.2">
      <c r="C24" s="14" t="str">
        <f>'Billing Detail'!C81</f>
        <v>P</v>
      </c>
      <c r="D24" s="82" t="str">
        <f>'Billing Detail'!B81</f>
        <v>General Power Service 500+kW</v>
      </c>
      <c r="F24" s="61"/>
      <c r="G24" s="61"/>
      <c r="H24" s="61"/>
      <c r="I24" s="4"/>
    </row>
    <row r="25" spans="3:9" x14ac:dyDescent="0.2">
      <c r="D25" s="82"/>
      <c r="E25" s="2" t="str">
        <f>'Billing Detail'!D82</f>
        <v>Facility Charge per month</v>
      </c>
      <c r="F25" s="60">
        <f>'Billing Detail'!H82</f>
        <v>89.85</v>
      </c>
      <c r="G25" s="60">
        <f>'Billing Detail'!L82</f>
        <v>94.52</v>
      </c>
      <c r="H25" s="60">
        <f t="shared" si="0"/>
        <v>4.6700000000000017</v>
      </c>
      <c r="I25" s="4">
        <f t="shared" si="1"/>
        <v>5.1975514746800247E-2</v>
      </c>
    </row>
    <row r="26" spans="3:9" x14ac:dyDescent="0.2">
      <c r="D26" s="82"/>
      <c r="E26" s="2" t="str">
        <f>'Billing Detail'!D83</f>
        <v>Energy Charge per kWh</v>
      </c>
      <c r="F26" s="61">
        <f>'Billing Detail'!H83</f>
        <v>7.0779999999999996E-2</v>
      </c>
      <c r="G26" s="61">
        <f>'Billing Detail'!L83</f>
        <v>7.4459999999999998E-2</v>
      </c>
      <c r="H26" s="61">
        <f t="shared" si="0"/>
        <v>3.6800000000000027E-3</v>
      </c>
      <c r="I26" s="4">
        <f t="shared" si="1"/>
        <v>5.1992088160497357E-2</v>
      </c>
    </row>
    <row r="27" spans="3:9" x14ac:dyDescent="0.2">
      <c r="D27" s="82"/>
      <c r="E27" s="2" t="str">
        <f>'Billing Detail'!D84</f>
        <v>Demand Charge per kW</v>
      </c>
      <c r="F27" s="60">
        <f>'Billing Detail'!H84</f>
        <v>6.42</v>
      </c>
      <c r="G27" s="60">
        <f>'Billing Detail'!L84</f>
        <v>6.75</v>
      </c>
      <c r="H27" s="60">
        <f t="shared" si="0"/>
        <v>0.33000000000000007</v>
      </c>
      <c r="I27" s="4">
        <f t="shared" si="1"/>
        <v>5.1401869158878517E-2</v>
      </c>
    </row>
    <row r="28" spans="3:9" x14ac:dyDescent="0.2">
      <c r="C28" s="14" t="str">
        <f>'Billing Detail'!C94</f>
        <v>B-1</v>
      </c>
      <c r="D28" s="82" t="str">
        <f>'Billing Detail'!B94</f>
        <v>Large Industrial Rate</v>
      </c>
      <c r="F28" s="61"/>
      <c r="G28" s="61"/>
      <c r="H28" s="61"/>
      <c r="I28" s="4"/>
    </row>
    <row r="29" spans="3:9" x14ac:dyDescent="0.2">
      <c r="D29" s="82"/>
      <c r="E29" s="2" t="str">
        <f>'Billing Detail'!D95</f>
        <v>Facility Charge per month</v>
      </c>
      <c r="F29" s="60">
        <f>'Billing Detail'!H95</f>
        <v>868.72</v>
      </c>
      <c r="G29" s="60">
        <f>'Billing Detail'!L95</f>
        <v>913.86</v>
      </c>
      <c r="H29" s="60">
        <f t="shared" ref="H29:H32" si="2">G29-F29</f>
        <v>45.139999999999986</v>
      </c>
      <c r="I29" s="4">
        <f t="shared" ref="I29:I32" si="3">H29/F29</f>
        <v>5.1961506584400019E-2</v>
      </c>
    </row>
    <row r="30" spans="3:9" x14ac:dyDescent="0.2">
      <c r="D30" s="82"/>
      <c r="E30" s="2" t="str">
        <f>'Billing Detail'!D96</f>
        <v>Energy Charge per kWh</v>
      </c>
      <c r="F30" s="144">
        <f>'Billing Detail'!H96</f>
        <v>6.2435999999999998E-2</v>
      </c>
      <c r="G30" s="144">
        <f>'Billing Detail'!L96</f>
        <v>6.5680000000000002E-2</v>
      </c>
      <c r="H30" s="61">
        <f t="shared" si="2"/>
        <v>3.2440000000000038E-3</v>
      </c>
      <c r="I30" s="4">
        <f t="shared" si="3"/>
        <v>5.1957204177077387E-2</v>
      </c>
    </row>
    <row r="31" spans="3:9" x14ac:dyDescent="0.2">
      <c r="D31" s="82"/>
      <c r="E31" s="2" t="str">
        <f>'Billing Detail'!D97</f>
        <v>Demand Charge - Contract per kW</v>
      </c>
      <c r="F31" s="60">
        <f>'Billing Detail'!H97</f>
        <v>7.41</v>
      </c>
      <c r="G31" s="60">
        <f>'Billing Detail'!L97</f>
        <v>7.8</v>
      </c>
      <c r="H31" s="60">
        <f t="shared" ref="H31" si="4">G31-F31</f>
        <v>0.38999999999999968</v>
      </c>
      <c r="I31" s="4">
        <f t="shared" ref="I31" si="5">H31/F31</f>
        <v>5.2631578947368376E-2</v>
      </c>
    </row>
    <row r="32" spans="3:9" x14ac:dyDescent="0.2">
      <c r="D32" s="82"/>
      <c r="E32" s="2" t="str">
        <f>'Billing Detail'!D98</f>
        <v>Demand Charge - Excess per kW</v>
      </c>
      <c r="F32" s="60">
        <f>'Billing Detail'!H98</f>
        <v>10.32</v>
      </c>
      <c r="G32" s="60">
        <f>'Billing Detail'!L98</f>
        <v>10.86</v>
      </c>
      <c r="H32" s="60">
        <f t="shared" si="2"/>
        <v>0.53999999999999915</v>
      </c>
      <c r="I32" s="4">
        <f t="shared" si="3"/>
        <v>5.232558139534875E-2</v>
      </c>
    </row>
    <row r="33" spans="3:10" x14ac:dyDescent="0.2">
      <c r="C33" s="14" t="s">
        <v>88</v>
      </c>
      <c r="D33" s="82" t="str">
        <f>'Billing Detail'!B109</f>
        <v>Rate T - Outdoor Lights</v>
      </c>
      <c r="I33" s="4"/>
    </row>
    <row r="34" spans="3:10" x14ac:dyDescent="0.2">
      <c r="D34" s="2"/>
      <c r="E34" s="2" t="str">
        <f>'Billing Detail'!D110</f>
        <v>400 W</v>
      </c>
      <c r="F34" s="60">
        <f>'Billing Detail'!H110</f>
        <v>19.420000000000002</v>
      </c>
      <c r="G34" s="60">
        <f>'Billing Detail'!L110</f>
        <v>20.43</v>
      </c>
      <c r="H34" s="60">
        <f t="shared" si="0"/>
        <v>1.009999999999998</v>
      </c>
      <c r="I34" s="4">
        <f t="shared" si="1"/>
        <v>5.2008238928939132E-2</v>
      </c>
    </row>
    <row r="35" spans="3:10" x14ac:dyDescent="0.2">
      <c r="C35" s="14" t="s">
        <v>89</v>
      </c>
      <c r="D35" s="82" t="str">
        <f>'Billing Detail'!B111</f>
        <v>Rate S - Outdoor Lights</v>
      </c>
      <c r="F35" s="60"/>
      <c r="G35" s="60"/>
      <c r="H35" s="60"/>
      <c r="I35" s="4"/>
    </row>
    <row r="36" spans="3:10" x14ac:dyDescent="0.2">
      <c r="D36" s="2"/>
      <c r="E36" s="2" t="str">
        <f>'Billing Detail'!D112</f>
        <v>175 W</v>
      </c>
      <c r="F36" s="60">
        <f>'Billing Detail'!H112</f>
        <v>10.48</v>
      </c>
      <c r="G36" s="60">
        <f>'Billing Detail'!L112</f>
        <v>11.02</v>
      </c>
      <c r="H36" s="60">
        <f t="shared" si="0"/>
        <v>0.53999999999999915</v>
      </c>
      <c r="I36" s="4">
        <f t="shared" si="1"/>
        <v>5.1526717557251828E-2</v>
      </c>
    </row>
    <row r="37" spans="3:10" x14ac:dyDescent="0.2">
      <c r="C37" s="14" t="s">
        <v>90</v>
      </c>
      <c r="D37" s="82" t="str">
        <f>'Billing Detail'!B113</f>
        <v>Rate O - LED Outdoor Lighting</v>
      </c>
      <c r="F37" s="60"/>
      <c r="G37" s="60"/>
      <c r="H37" s="60"/>
      <c r="I37" s="4"/>
    </row>
    <row r="38" spans="3:10" x14ac:dyDescent="0.2">
      <c r="D38" s="2"/>
      <c r="E38" s="2" t="str">
        <f>'Billing Detail'!D114</f>
        <v>Open Bottom Light  (4,800-6,800 Lumens)</v>
      </c>
      <c r="F38" s="60">
        <f>'Billing Detail'!H114</f>
        <v>10.01</v>
      </c>
      <c r="G38" s="60">
        <f>'Billing Detail'!L114</f>
        <v>10.53</v>
      </c>
      <c r="H38" s="60">
        <f t="shared" si="0"/>
        <v>0.51999999999999957</v>
      </c>
      <c r="I38" s="4">
        <f t="shared" si="1"/>
        <v>5.194805194805191E-2</v>
      </c>
    </row>
    <row r="39" spans="3:10" x14ac:dyDescent="0.2">
      <c r="D39" s="2"/>
      <c r="E39" s="2" t="str">
        <f>'Billing Detail'!D115</f>
        <v>Cobra Head Light (7,200 - 10,000 Lumens)</v>
      </c>
      <c r="F39" s="60">
        <f>'Billing Detail'!H115</f>
        <v>15.52</v>
      </c>
      <c r="G39" s="60">
        <f>'Billing Detail'!L115</f>
        <v>16.329999999999998</v>
      </c>
      <c r="H39" s="60">
        <f t="shared" si="0"/>
        <v>0.80999999999999872</v>
      </c>
      <c r="I39" s="4">
        <f t="shared" si="1"/>
        <v>5.2190721649484455E-2</v>
      </c>
    </row>
    <row r="40" spans="3:10" x14ac:dyDescent="0.2">
      <c r="D40" s="2"/>
      <c r="E40" s="2" t="str">
        <f>'Billing Detail'!D116</f>
        <v>Directional Flood Light (15,00 - 18,000 Lumens)</v>
      </c>
      <c r="F40" s="60">
        <f>'Billing Detail'!H116</f>
        <v>23.41</v>
      </c>
      <c r="G40" s="60">
        <f>'Billing Detail'!L116</f>
        <v>24.63</v>
      </c>
      <c r="H40" s="60">
        <f t="shared" si="0"/>
        <v>1.2199999999999989</v>
      </c>
      <c r="I40" s="4">
        <f t="shared" si="1"/>
        <v>5.2114480991029423E-2</v>
      </c>
    </row>
    <row r="41" spans="3:10" x14ac:dyDescent="0.2">
      <c r="D41" s="2"/>
      <c r="E41" s="2" t="str">
        <f>'Billing Detail'!D117</f>
        <v>Ornamental Light w/Pole (4,80 - 6,800 Lumens)</v>
      </c>
      <c r="F41" s="60">
        <f>'Billing Detail'!H117</f>
        <v>21.21</v>
      </c>
      <c r="G41" s="60">
        <f>'Billing Detail'!L117</f>
        <v>22.31</v>
      </c>
      <c r="H41" s="60">
        <f t="shared" si="0"/>
        <v>1.0999999999999979</v>
      </c>
      <c r="I41" s="4">
        <f t="shared" si="1"/>
        <v>5.1862329090051756E-2</v>
      </c>
    </row>
    <row r="42" spans="3:10" x14ac:dyDescent="0.2">
      <c r="D42" s="2"/>
      <c r="E42" s="2" t="str">
        <f>'Billing Detail'!D118</f>
        <v>Additional Pole (30' Wood / if no existing pole available)</v>
      </c>
      <c r="F42" s="60">
        <f>'Billing Detail'!H118</f>
        <v>5.73</v>
      </c>
      <c r="G42" s="60">
        <f>'Billing Detail'!L118</f>
        <v>6.03</v>
      </c>
      <c r="H42" s="60">
        <f t="shared" si="0"/>
        <v>0.29999999999999982</v>
      </c>
      <c r="I42" s="4">
        <f t="shared" si="1"/>
        <v>5.2356020942408342E-2</v>
      </c>
    </row>
    <row r="43" spans="3:10" x14ac:dyDescent="0.2">
      <c r="D43" s="2"/>
      <c r="F43" s="60"/>
      <c r="G43" s="60"/>
      <c r="J43" s="4"/>
    </row>
    <row r="45" spans="3:10" ht="41.45" customHeight="1" x14ac:dyDescent="0.2">
      <c r="C45" s="142" t="s">
        <v>50</v>
      </c>
      <c r="D45" s="142"/>
      <c r="E45" s="142"/>
      <c r="F45" s="142"/>
      <c r="G45" s="142"/>
    </row>
    <row r="46" spans="3:10" x14ac:dyDescent="0.2">
      <c r="D46" s="2"/>
      <c r="F46" s="143" t="s">
        <v>51</v>
      </c>
      <c r="G46" s="143"/>
    </row>
    <row r="47" spans="3:10" x14ac:dyDescent="0.2">
      <c r="C47" s="68" t="s">
        <v>52</v>
      </c>
      <c r="D47" s="68"/>
      <c r="E47" s="69"/>
      <c r="F47" s="70" t="s">
        <v>53</v>
      </c>
      <c r="G47" s="70" t="s">
        <v>54</v>
      </c>
    </row>
    <row r="48" spans="3:10" x14ac:dyDescent="0.2">
      <c r="C48" s="79" t="str">
        <f>Summary!C8</f>
        <v>R</v>
      </c>
      <c r="D48" s="3" t="str">
        <f>Summary!B8</f>
        <v>Residential</v>
      </c>
      <c r="F48" s="71">
        <f>Summary!L8</f>
        <v>1926458.2615200011</v>
      </c>
      <c r="G48" s="72">
        <f>Summary!N8</f>
        <v>4.6585210071347381E-2</v>
      </c>
    </row>
    <row r="49" spans="3:8" x14ac:dyDescent="0.2">
      <c r="C49" s="79" t="str">
        <f>Summary!C9</f>
        <v>D</v>
      </c>
      <c r="D49" s="3" t="str">
        <f>Summary!B9</f>
        <v>Time of Use Marketing Service</v>
      </c>
      <c r="F49" s="71">
        <f>Summary!L9</f>
        <v>1415.6820199999966</v>
      </c>
      <c r="G49" s="72">
        <f>Summary!N9</f>
        <v>5.0204621237011769E-2</v>
      </c>
      <c r="H49" s="1"/>
    </row>
    <row r="50" spans="3:8" x14ac:dyDescent="0.2">
      <c r="C50" s="79" t="str">
        <f>Summary!C10</f>
        <v>C</v>
      </c>
      <c r="D50" s="3" t="str">
        <f>Summary!B10</f>
        <v>General Power Service &lt; 50kW</v>
      </c>
      <c r="F50" s="71">
        <f>Summary!L10</f>
        <v>207755.20504185112</v>
      </c>
      <c r="G50" s="72">
        <f>Summary!N10</f>
        <v>4.6691548554838959E-2</v>
      </c>
      <c r="H50" s="1"/>
    </row>
    <row r="51" spans="3:8" x14ac:dyDescent="0.2">
      <c r="C51" s="79" t="str">
        <f>Summary!C11</f>
        <v>E</v>
      </c>
      <c r="D51" s="3" t="str">
        <f>Summary!B11</f>
        <v>Public Facilities</v>
      </c>
      <c r="F51" s="71">
        <f>Summary!L11</f>
        <v>24102.287029999963</v>
      </c>
      <c r="G51" s="72">
        <f>Summary!N11</f>
        <v>4.6418000037779988E-2</v>
      </c>
      <c r="H51" s="1"/>
    </row>
    <row r="52" spans="3:8" x14ac:dyDescent="0.2">
      <c r="C52" s="79" t="str">
        <f>Summary!C12</f>
        <v>L</v>
      </c>
      <c r="D52" s="3" t="str">
        <f>Summary!B12</f>
        <v>General Power Service 50-500kW</v>
      </c>
      <c r="F52" s="71">
        <f>Summary!L12</f>
        <v>242830.07571999979</v>
      </c>
      <c r="G52" s="72">
        <f>Summary!N12</f>
        <v>4.1831855266845429E-2</v>
      </c>
      <c r="H52" s="1"/>
    </row>
    <row r="53" spans="3:8" x14ac:dyDescent="0.2">
      <c r="C53" s="79" t="str">
        <f>Summary!C13</f>
        <v>M</v>
      </c>
      <c r="D53" s="3" t="str">
        <f>Summary!B13</f>
        <v>General Power Service 1000-5000kW</v>
      </c>
      <c r="F53" s="71">
        <f>Summary!L13</f>
        <v>9391.7459740633712</v>
      </c>
      <c r="G53" s="72">
        <f>Summary!N13</f>
        <v>4.6198031239997835E-2</v>
      </c>
      <c r="H53" s="1"/>
    </row>
    <row r="54" spans="3:8" x14ac:dyDescent="0.2">
      <c r="C54" s="79" t="str">
        <f>Summary!C14</f>
        <v>P</v>
      </c>
      <c r="D54" s="3" t="str">
        <f>Summary!B14</f>
        <v>General Power Service 500+kW</v>
      </c>
      <c r="F54" s="71">
        <f>Summary!L14</f>
        <v>63923.80464299061</v>
      </c>
      <c r="G54" s="72">
        <f>Summary!N14</f>
        <v>4.3932222061107008E-2</v>
      </c>
      <c r="H54" s="1"/>
    </row>
    <row r="55" spans="3:8" x14ac:dyDescent="0.2">
      <c r="C55" s="79" t="str">
        <f>Summary!C15</f>
        <v>B-1</v>
      </c>
      <c r="D55" s="3" t="str">
        <f>Summary!B15</f>
        <v>Large Industrial Rate</v>
      </c>
      <c r="F55" s="71">
        <f>Summary!L15</f>
        <v>35221.940523088379</v>
      </c>
      <c r="G55" s="72">
        <f>Summary!N15</f>
        <v>4.6653813297412819E-2</v>
      </c>
      <c r="H55" s="1"/>
    </row>
    <row r="56" spans="3:8" x14ac:dyDescent="0.2">
      <c r="C56" s="79" t="str">
        <f>Summary!C16</f>
        <v>S,T,O</v>
      </c>
      <c r="D56" s="3" t="str">
        <f>Summary!B16</f>
        <v>Lighting</v>
      </c>
      <c r="F56" s="71">
        <f>Summary!L16</f>
        <v>69779.687577639706</v>
      </c>
      <c r="G56" s="72">
        <f>Summary!N16</f>
        <v>4.929250112526596E-2</v>
      </c>
      <c r="H56" s="1"/>
    </row>
    <row r="57" spans="3:8" x14ac:dyDescent="0.2">
      <c r="C57" s="83" t="s">
        <v>55</v>
      </c>
      <c r="D57" s="39"/>
      <c r="E57" s="39"/>
      <c r="F57" s="73">
        <f>Summary!L28</f>
        <v>2580878.6900496334</v>
      </c>
      <c r="G57" s="74">
        <f>Summary!N28</f>
        <v>4.6100090587613607E-2</v>
      </c>
    </row>
    <row r="58" spans="3:8" x14ac:dyDescent="0.2">
      <c r="C58" s="79"/>
      <c r="D58" s="2"/>
      <c r="F58" s="75"/>
      <c r="G58" s="76"/>
    </row>
    <row r="59" spans="3:8" x14ac:dyDescent="0.2">
      <c r="D59" s="2"/>
    </row>
    <row r="60" spans="3:8" ht="40.15" customHeight="1" x14ac:dyDescent="0.2">
      <c r="C60" s="142" t="s">
        <v>56</v>
      </c>
      <c r="D60" s="142"/>
      <c r="E60" s="142"/>
      <c r="F60" s="142"/>
      <c r="G60" s="142"/>
      <c r="H60" s="142"/>
    </row>
    <row r="61" spans="3:8" x14ac:dyDescent="0.2">
      <c r="D61" s="2"/>
      <c r="E61" s="77" t="s">
        <v>17</v>
      </c>
      <c r="F61" s="143" t="s">
        <v>51</v>
      </c>
      <c r="G61" s="143"/>
    </row>
    <row r="62" spans="3:8" x14ac:dyDescent="0.2">
      <c r="C62" s="68" t="s">
        <v>52</v>
      </c>
      <c r="D62" s="69"/>
      <c r="E62" s="78" t="s">
        <v>57</v>
      </c>
      <c r="F62" s="70" t="s">
        <v>53</v>
      </c>
      <c r="G62" s="70" t="s">
        <v>54</v>
      </c>
    </row>
    <row r="63" spans="3:8" x14ac:dyDescent="0.2">
      <c r="C63" s="14" t="str">
        <f>Summary!C8</f>
        <v>R</v>
      </c>
      <c r="D63" s="87" t="str">
        <f>Summary!B8</f>
        <v>Residential</v>
      </c>
      <c r="E63" s="80">
        <f>'Billing Detail'!E17</f>
        <v>1015.721796232944</v>
      </c>
      <c r="F63" s="60">
        <f>'Billing Detail'!N17</f>
        <v>6.3126966481852946</v>
      </c>
      <c r="G63" s="4">
        <f>Summary!N8</f>
        <v>4.6585210071347381E-2</v>
      </c>
    </row>
    <row r="64" spans="3:8" x14ac:dyDescent="0.2">
      <c r="C64" s="14" t="str">
        <f>Summary!C9</f>
        <v>D</v>
      </c>
      <c r="D64" s="87" t="str">
        <f>Summary!B9</f>
        <v>Time of Use Marketing Service</v>
      </c>
      <c r="E64" s="81" t="s">
        <v>58</v>
      </c>
      <c r="F64" s="60">
        <v>0</v>
      </c>
      <c r="G64" s="4">
        <f>Summary!N9</f>
        <v>5.0204621237011769E-2</v>
      </c>
    </row>
    <row r="65" spans="3:7" x14ac:dyDescent="0.2">
      <c r="C65" s="14" t="str">
        <f>Summary!C10</f>
        <v>C</v>
      </c>
      <c r="D65" s="87" t="str">
        <f>Summary!B10</f>
        <v>General Power Service &lt; 50kW</v>
      </c>
      <c r="E65" s="80">
        <f>'Billing Detail'!E41</f>
        <v>1458.1800875923752</v>
      </c>
      <c r="F65" s="60">
        <f>'Billing Detail'!N41</f>
        <v>10.035998504509479</v>
      </c>
      <c r="G65" s="4">
        <f>Summary!N10</f>
        <v>4.6691548554838959E-2</v>
      </c>
    </row>
    <row r="66" spans="3:7" x14ac:dyDescent="0.2">
      <c r="C66" s="14" t="str">
        <f>Summary!C11</f>
        <v>E</v>
      </c>
      <c r="D66" s="87" t="str">
        <f>Summary!B11</f>
        <v>Public Facilities</v>
      </c>
      <c r="E66" s="80">
        <f>'Billing Detail'!E53</f>
        <v>967.25506619832481</v>
      </c>
      <c r="F66" s="60">
        <f>'Billing Detail'!N53</f>
        <v>6.5123715293164253</v>
      </c>
      <c r="G66" s="4">
        <f>Summary!N11</f>
        <v>4.6418000037779988E-2</v>
      </c>
    </row>
    <row r="67" spans="3:7" x14ac:dyDescent="0.2">
      <c r="C67" s="14" t="str">
        <f>Summary!C12</f>
        <v>L</v>
      </c>
      <c r="D67" s="87" t="str">
        <f>Summary!B12</f>
        <v>General Power Service 50-500kW</v>
      </c>
      <c r="E67" s="80">
        <f>'Billing Detail'!E66</f>
        <v>110.1959972394755</v>
      </c>
      <c r="F67" s="60">
        <f>'Billing Detail'!N66</f>
        <v>167.584593319531</v>
      </c>
      <c r="G67" s="4">
        <f>Summary!N12</f>
        <v>4.1831855266845429E-2</v>
      </c>
    </row>
    <row r="68" spans="3:7" x14ac:dyDescent="0.2">
      <c r="C68" s="14" t="str">
        <f>Summary!C13</f>
        <v>M</v>
      </c>
      <c r="D68" s="87" t="str">
        <f>Summary!B13</f>
        <v>General Power Service 1000-5000kW</v>
      </c>
      <c r="E68" s="80">
        <f>'Billing Detail'!E79</f>
        <v>275.17082933077171</v>
      </c>
      <c r="F68" s="60">
        <f>'Billing Detail'!N79</f>
        <v>782.64549783861366</v>
      </c>
      <c r="G68" s="4">
        <f>Summary!N13</f>
        <v>4.6198031239997835E-2</v>
      </c>
    </row>
    <row r="69" spans="3:7" x14ac:dyDescent="0.2">
      <c r="C69" s="14" t="str">
        <f>Summary!C14</f>
        <v>P</v>
      </c>
      <c r="D69" s="87" t="str">
        <f>Summary!B14</f>
        <v>General Power Service 500+kW</v>
      </c>
      <c r="E69" s="80">
        <f>'Billing Detail'!E92</f>
        <v>137353.62637362638</v>
      </c>
      <c r="F69" s="60">
        <f>'Billing Detail'!N92</f>
        <v>702.45939168121549</v>
      </c>
      <c r="G69" s="4">
        <f>Summary!N14</f>
        <v>4.3932222061107008E-2</v>
      </c>
    </row>
    <row r="70" spans="3:7" x14ac:dyDescent="0.2">
      <c r="C70" s="14" t="str">
        <f>Summary!C15</f>
        <v>B-1</v>
      </c>
      <c r="D70" s="87" t="str">
        <f>Summary!B15</f>
        <v>Large Industrial Rate</v>
      </c>
      <c r="E70" s="80">
        <f>'Billing Detail'!E106</f>
        <v>845748.1</v>
      </c>
      <c r="F70" s="60">
        <f>'Billing Detail'!N106</f>
        <v>3522.1940523088415</v>
      </c>
      <c r="G70" s="4">
        <f>Summary!N15</f>
        <v>4.6653813297412819E-2</v>
      </c>
    </row>
    <row r="71" spans="3:7" x14ac:dyDescent="0.2">
      <c r="C71" s="14" t="str">
        <f>Summary!C16</f>
        <v>S,T,O</v>
      </c>
      <c r="D71" s="87" t="str">
        <f>Summary!B16</f>
        <v>Lighting</v>
      </c>
      <c r="E71" s="85" t="s">
        <v>58</v>
      </c>
      <c r="F71" s="84" t="s">
        <v>58</v>
      </c>
      <c r="G71" s="4">
        <f>Summary!N16</f>
        <v>4.929250112526596E-2</v>
      </c>
    </row>
  </sheetData>
  <mergeCells count="4">
    <mergeCell ref="C45:G45"/>
    <mergeCell ref="F46:G46"/>
    <mergeCell ref="C60:H60"/>
    <mergeCell ref="F61:G61"/>
  </mergeCells>
  <pageMargins left="0.7" right="0.7" top="0.75" bottom="0.75" header="0.3" footer="0.3"/>
  <pageSetup paperSize="9" scale="79" orientation="portrait" r:id="rId1"/>
  <headerFooter>
    <oddHeader>&amp;R&amp;"Arial,Bold"&amp;12Exhibit 3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Summary</vt:lpstr>
      <vt:lpstr>Billing Detail</vt:lpstr>
      <vt:lpstr>Notice Table</vt:lpstr>
      <vt:lpstr>'Billing Detail'!Print_Area</vt:lpstr>
      <vt:lpstr>'Notice Table'!Print_Area</vt:lpstr>
      <vt:lpstr>Summary!Print_Area</vt:lpstr>
      <vt:lpstr>'Billing Detail'!Print_Titles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Wolfram</dc:creator>
  <cp:lastModifiedBy>John Wolfram</cp:lastModifiedBy>
  <cp:lastPrinted>2025-07-29T20:28:04Z</cp:lastPrinted>
  <dcterms:created xsi:type="dcterms:W3CDTF">2021-02-09T02:13:44Z</dcterms:created>
  <dcterms:modified xsi:type="dcterms:W3CDTF">2025-09-19T20:17:07Z</dcterms:modified>
</cp:coreProperties>
</file>