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CVE/Analysis/"/>
    </mc:Choice>
  </mc:AlternateContent>
  <xr:revisionPtr revIDLastSave="26" documentId="8_{C797773B-E964-433B-B4CA-CE58C7C3F8A5}" xr6:coauthVersionLast="47" xr6:coauthVersionMax="47" xr10:uidLastSave="{67FBC3F0-BE64-4277-BC0E-95931E30BB3F}"/>
  <bookViews>
    <workbookView xWindow="-120" yWindow="-120" windowWidth="29040" windowHeight="15720" activeTab="2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Detail'!$A$1:$R$179</definedName>
    <definedName name="_xlnm.Print_Area" localSheetId="2">'Notice Table'!$A$1:$G$75</definedName>
    <definedName name="_xlnm.Print_Area" localSheetId="0">Summary!$A$1:$O$35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1" l="1"/>
  <c r="E131" i="1"/>
  <c r="E104" i="3"/>
  <c r="H73" i="3"/>
  <c r="I73" i="3" s="1"/>
  <c r="H72" i="3"/>
  <c r="I72" i="3" s="1"/>
  <c r="H71" i="3"/>
  <c r="I71" i="3" s="1"/>
  <c r="E72" i="3"/>
  <c r="F72" i="3"/>
  <c r="G72" i="3"/>
  <c r="E73" i="3"/>
  <c r="F73" i="3"/>
  <c r="G73" i="3"/>
  <c r="G71" i="3"/>
  <c r="F71" i="3"/>
  <c r="E71" i="3"/>
  <c r="D70" i="3"/>
  <c r="A174" i="1"/>
  <c r="A175" i="1" s="1"/>
  <c r="A176" i="1" s="1"/>
  <c r="A177" i="1" s="1"/>
  <c r="L177" i="1"/>
  <c r="L176" i="1"/>
  <c r="L175" i="1"/>
  <c r="E188" i="1"/>
  <c r="L3" i="2" l="1"/>
  <c r="I21" i="2" l="1"/>
  <c r="F47" i="3" l="1"/>
  <c r="F46" i="3"/>
  <c r="F45" i="3"/>
  <c r="F44" i="3"/>
  <c r="F43" i="3"/>
  <c r="F42" i="3"/>
  <c r="F41" i="3"/>
  <c r="F40" i="3"/>
  <c r="F39" i="3"/>
  <c r="F38" i="3"/>
  <c r="E183" i="1"/>
  <c r="E184" i="1" s="1"/>
  <c r="E185" i="1" s="1"/>
  <c r="I138" i="1"/>
  <c r="I125" i="1"/>
  <c r="N152" i="1"/>
  <c r="G149" i="1"/>
  <c r="G150" i="1"/>
  <c r="G152" i="1"/>
  <c r="L136" i="1"/>
  <c r="M136" i="1" s="1"/>
  <c r="M135" i="1"/>
  <c r="M134" i="1"/>
  <c r="M133" i="1"/>
  <c r="I136" i="1"/>
  <c r="I135" i="1"/>
  <c r="I134" i="1"/>
  <c r="I133" i="1"/>
  <c r="G122" i="1"/>
  <c r="I122" i="1"/>
  <c r="I20" i="2"/>
  <c r="C20" i="2"/>
  <c r="C105" i="3" s="1"/>
  <c r="B20" i="2"/>
  <c r="D89" i="3" s="1"/>
  <c r="C21" i="2"/>
  <c r="C104" i="3" s="1"/>
  <c r="B21" i="2"/>
  <c r="D88" i="3" s="1"/>
  <c r="N134" i="1" l="1"/>
  <c r="O134" i="1" s="1"/>
  <c r="N135" i="1"/>
  <c r="O135" i="1" s="1"/>
  <c r="C89" i="3"/>
  <c r="D104" i="3"/>
  <c r="D105" i="3"/>
  <c r="C88" i="3"/>
  <c r="N136" i="1"/>
  <c r="O136" i="1" s="1"/>
  <c r="N133" i="1"/>
  <c r="O133" i="1" s="1"/>
  <c r="E105" i="3" l="1"/>
  <c r="G135" i="1" l="1"/>
  <c r="I123" i="1"/>
  <c r="I121" i="1"/>
  <c r="I120" i="1"/>
  <c r="F123" i="1"/>
  <c r="G123" i="1" s="1"/>
  <c r="F121" i="1"/>
  <c r="G121" i="1" s="1"/>
  <c r="F120" i="1"/>
  <c r="G120" i="1" s="1"/>
  <c r="F136" i="1"/>
  <c r="G136" i="1" s="1"/>
  <c r="F134" i="1"/>
  <c r="G134" i="1" s="1"/>
  <c r="F133" i="1"/>
  <c r="G133" i="1" s="1"/>
  <c r="G129" i="1" l="1"/>
  <c r="I128" i="1"/>
  <c r="M128" i="1" s="1"/>
  <c r="I127" i="1"/>
  <c r="M127" i="1" s="1"/>
  <c r="N127" i="1" s="1"/>
  <c r="I126" i="1"/>
  <c r="I124" i="1"/>
  <c r="G124" i="1"/>
  <c r="D21" i="2" s="1"/>
  <c r="G142" i="1"/>
  <c r="I141" i="1"/>
  <c r="M141" i="1" s="1"/>
  <c r="I140" i="1"/>
  <c r="M140" i="1" s="1"/>
  <c r="N140" i="1" s="1"/>
  <c r="I139" i="1"/>
  <c r="I137" i="1"/>
  <c r="G137" i="1"/>
  <c r="F65" i="3"/>
  <c r="E65" i="3"/>
  <c r="F64" i="3"/>
  <c r="E64" i="3"/>
  <c r="F63" i="3"/>
  <c r="E63" i="3"/>
  <c r="D62" i="3"/>
  <c r="C62" i="3"/>
  <c r="F61" i="3"/>
  <c r="E61" i="3"/>
  <c r="F60" i="3"/>
  <c r="E60" i="3"/>
  <c r="F59" i="3"/>
  <c r="E59" i="3"/>
  <c r="D58" i="3"/>
  <c r="C58" i="3"/>
  <c r="H110" i="1"/>
  <c r="H104" i="1"/>
  <c r="F104" i="1"/>
  <c r="F106" i="1"/>
  <c r="F110" i="1" s="1"/>
  <c r="E21" i="2" l="1"/>
  <c r="G21" i="2" s="1"/>
  <c r="H21" i="2" s="1"/>
  <c r="K124" i="1"/>
  <c r="K137" i="1"/>
  <c r="D20" i="2"/>
  <c r="E20" i="2"/>
  <c r="J133" i="1"/>
  <c r="J120" i="1"/>
  <c r="M126" i="1"/>
  <c r="N126" i="1" s="1"/>
  <c r="G130" i="1"/>
  <c r="G131" i="1" s="1"/>
  <c r="M139" i="1"/>
  <c r="N139" i="1" s="1"/>
  <c r="I129" i="1"/>
  <c r="M125" i="1"/>
  <c r="I142" i="1"/>
  <c r="I143" i="1" s="1"/>
  <c r="I144" i="1" s="1"/>
  <c r="M138" i="1"/>
  <c r="G143" i="1"/>
  <c r="I112" i="1"/>
  <c r="I90" i="1"/>
  <c r="I77" i="1"/>
  <c r="I65" i="1"/>
  <c r="I51" i="1"/>
  <c r="I37" i="1"/>
  <c r="I24" i="1"/>
  <c r="I11" i="1"/>
  <c r="I149" i="1" l="1"/>
  <c r="G144" i="1"/>
  <c r="I130" i="1"/>
  <c r="M129" i="1"/>
  <c r="N129" i="1" s="1"/>
  <c r="N125" i="1"/>
  <c r="M142" i="1"/>
  <c r="N142" i="1" s="1"/>
  <c r="O142" i="1" s="1"/>
  <c r="S137" i="1"/>
  <c r="N138" i="1"/>
  <c r="E30" i="1"/>
  <c r="E97" i="3" s="1"/>
  <c r="E57" i="1"/>
  <c r="O129" i="1" l="1"/>
  <c r="I131" i="1"/>
  <c r="I100" i="1"/>
  <c r="O100" i="1" s="1"/>
  <c r="G100" i="1"/>
  <c r="E71" i="1"/>
  <c r="E100" i="3" s="1"/>
  <c r="I101" i="1"/>
  <c r="G101" i="1"/>
  <c r="M137" i="1" l="1"/>
  <c r="E27" i="3"/>
  <c r="F27" i="3"/>
  <c r="E28" i="3"/>
  <c r="F28" i="3"/>
  <c r="E29" i="3"/>
  <c r="F29" i="3"/>
  <c r="F26" i="3"/>
  <c r="E26" i="3"/>
  <c r="E22" i="3"/>
  <c r="F22" i="3"/>
  <c r="E23" i="3"/>
  <c r="F23" i="3"/>
  <c r="E24" i="3"/>
  <c r="F24" i="3"/>
  <c r="F21" i="3"/>
  <c r="E21" i="3"/>
  <c r="I113" i="1"/>
  <c r="G75" i="1"/>
  <c r="G74" i="1"/>
  <c r="I61" i="1"/>
  <c r="G61" i="1"/>
  <c r="I62" i="1"/>
  <c r="G62" i="1"/>
  <c r="I47" i="1"/>
  <c r="G47" i="1"/>
  <c r="I48" i="1"/>
  <c r="G48" i="1"/>
  <c r="G13" i="1"/>
  <c r="G151" i="1" s="1"/>
  <c r="J20" i="2" l="1"/>
  <c r="K20" i="2" s="1"/>
  <c r="P134" i="1"/>
  <c r="P136" i="1"/>
  <c r="P135" i="1"/>
  <c r="P133" i="1"/>
  <c r="Q133" i="1" s="1"/>
  <c r="R137" i="1"/>
  <c r="M143" i="1"/>
  <c r="M144" i="1" s="1"/>
  <c r="N144" i="1" s="1"/>
  <c r="N137" i="1"/>
  <c r="E68" i="3"/>
  <c r="F68" i="3"/>
  <c r="E69" i="3"/>
  <c r="F69" i="3"/>
  <c r="F67" i="3"/>
  <c r="E67" i="3"/>
  <c r="D66" i="3"/>
  <c r="C66" i="3"/>
  <c r="E55" i="3"/>
  <c r="F55" i="3"/>
  <c r="E56" i="3"/>
  <c r="F56" i="3"/>
  <c r="E57" i="3"/>
  <c r="F57" i="3"/>
  <c r="F54" i="3"/>
  <c r="E54" i="3"/>
  <c r="D53" i="3"/>
  <c r="C53" i="3"/>
  <c r="E50" i="3"/>
  <c r="F50" i="3"/>
  <c r="E51" i="3"/>
  <c r="F51" i="3"/>
  <c r="E52" i="3"/>
  <c r="F52" i="3"/>
  <c r="F49" i="3"/>
  <c r="E49" i="3"/>
  <c r="D48" i="3"/>
  <c r="C48" i="3"/>
  <c r="O144" i="1" l="1"/>
  <c r="G105" i="3" s="1"/>
  <c r="F105" i="3"/>
  <c r="O137" i="1"/>
  <c r="L20" i="2"/>
  <c r="N143" i="1"/>
  <c r="E96" i="1"/>
  <c r="E83" i="1"/>
  <c r="E101" i="3" s="1"/>
  <c r="E99" i="3"/>
  <c r="E43" i="1"/>
  <c r="E98" i="3" s="1"/>
  <c r="O143" i="1" l="1"/>
  <c r="N20" i="2" s="1"/>
  <c r="G89" i="3" s="1"/>
  <c r="F89" i="3"/>
  <c r="E102" i="3"/>
  <c r="E17" i="1"/>
  <c r="E96" i="3" s="1"/>
  <c r="C37" i="3" l="1"/>
  <c r="D37" i="3"/>
  <c r="E35" i="3"/>
  <c r="F35" i="3"/>
  <c r="E36" i="3"/>
  <c r="F36" i="3"/>
  <c r="F34" i="3"/>
  <c r="E34" i="3"/>
  <c r="C33" i="3"/>
  <c r="D33" i="3"/>
  <c r="E32" i="3"/>
  <c r="F32" i="3"/>
  <c r="F31" i="3"/>
  <c r="E31" i="3"/>
  <c r="C30" i="3"/>
  <c r="D30" i="3"/>
  <c r="C25" i="3"/>
  <c r="D25" i="3"/>
  <c r="C20" i="3"/>
  <c r="D20" i="3"/>
  <c r="E18" i="3"/>
  <c r="F18" i="3"/>
  <c r="E19" i="3"/>
  <c r="F19" i="3"/>
  <c r="F17" i="3"/>
  <c r="E17" i="3"/>
  <c r="C16" i="3"/>
  <c r="D16" i="3"/>
  <c r="E14" i="3"/>
  <c r="E15" i="3"/>
  <c r="F15" i="3"/>
  <c r="F13" i="3"/>
  <c r="E13" i="3"/>
  <c r="C12" i="3"/>
  <c r="D12" i="3"/>
  <c r="E7" i="3"/>
  <c r="F7" i="3"/>
  <c r="F10" i="3" s="1"/>
  <c r="F6" i="3"/>
  <c r="F9" i="3" s="1"/>
  <c r="E6" i="3"/>
  <c r="C5" i="3"/>
  <c r="D5" i="3"/>
  <c r="F14" i="3" l="1"/>
  <c r="A1" i="3" l="1"/>
  <c r="L33" i="2" l="1"/>
  <c r="C15" i="2" l="1"/>
  <c r="B15" i="2"/>
  <c r="C13" i="2"/>
  <c r="I75" i="1"/>
  <c r="D101" i="3" l="1"/>
  <c r="D85" i="3"/>
  <c r="C99" i="3"/>
  <c r="C83" i="3"/>
  <c r="C101" i="3"/>
  <c r="C85" i="3"/>
  <c r="I63" i="1"/>
  <c r="G63" i="1"/>
  <c r="I21" i="1"/>
  <c r="G21" i="1"/>
  <c r="I22" i="1"/>
  <c r="G22" i="1"/>
  <c r="G81" i="1" l="1"/>
  <c r="I80" i="1"/>
  <c r="M80" i="1" s="1"/>
  <c r="I79" i="1"/>
  <c r="M79" i="1" s="1"/>
  <c r="N79" i="1" s="1"/>
  <c r="I78" i="1"/>
  <c r="M78" i="1" s="1"/>
  <c r="N78" i="1" s="1"/>
  <c r="M77" i="1"/>
  <c r="I74" i="1"/>
  <c r="I49" i="1"/>
  <c r="G49" i="1"/>
  <c r="I34" i="1"/>
  <c r="G34" i="1"/>
  <c r="I76" i="1" l="1"/>
  <c r="G76" i="1"/>
  <c r="N77" i="1"/>
  <c r="M81" i="1"/>
  <c r="I81" i="1"/>
  <c r="G82" i="1" l="1"/>
  <c r="G83" i="1" s="1"/>
  <c r="D15" i="2"/>
  <c r="E15" i="2"/>
  <c r="J75" i="1"/>
  <c r="I82" i="1"/>
  <c r="I83" i="1" s="1"/>
  <c r="J74" i="1"/>
  <c r="N81" i="1"/>
  <c r="O8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47" i="1"/>
  <c r="G15" i="2"/>
  <c r="J76" i="1"/>
  <c r="I68" i="1"/>
  <c r="M68" i="1" s="1"/>
  <c r="I67" i="1"/>
  <c r="M67" i="1" s="1"/>
  <c r="I66" i="1"/>
  <c r="M66" i="1" s="1"/>
  <c r="I93" i="1"/>
  <c r="M93" i="1" s="1"/>
  <c r="I92" i="1"/>
  <c r="I91" i="1"/>
  <c r="I54" i="1"/>
  <c r="M54" i="1" s="1"/>
  <c r="I53" i="1"/>
  <c r="M53" i="1" s="1"/>
  <c r="I52" i="1"/>
  <c r="M52" i="1" s="1"/>
  <c r="I40" i="1"/>
  <c r="M40" i="1" s="1"/>
  <c r="I38" i="1"/>
  <c r="I27" i="1"/>
  <c r="M27" i="1" s="1"/>
  <c r="I26" i="1"/>
  <c r="M26" i="1" s="1"/>
  <c r="I25" i="1"/>
  <c r="M25" i="1" s="1"/>
  <c r="I14" i="1"/>
  <c r="I13" i="1"/>
  <c r="I12" i="1"/>
  <c r="B29" i="2"/>
  <c r="I152" i="1" l="1"/>
  <c r="I150" i="1"/>
  <c r="E29" i="2"/>
  <c r="A59" i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61" i="1"/>
  <c r="A48" i="1"/>
  <c r="M13" i="1"/>
  <c r="M12" i="1"/>
  <c r="M92" i="1"/>
  <c r="M14" i="1"/>
  <c r="M152" i="1" s="1"/>
  <c r="M91" i="1"/>
  <c r="I28" i="1"/>
  <c r="I55" i="1"/>
  <c r="M38" i="1"/>
  <c r="G41" i="1"/>
  <c r="I39" i="1"/>
  <c r="M39" i="1" s="1"/>
  <c r="G15" i="1"/>
  <c r="G69" i="1"/>
  <c r="D29" i="2"/>
  <c r="G94" i="1"/>
  <c r="G55" i="1"/>
  <c r="G28" i="1"/>
  <c r="I151" i="1" l="1"/>
  <c r="A99" i="1"/>
  <c r="A101" i="1" s="1"/>
  <c r="A100" i="1"/>
  <c r="A62" i="1"/>
  <c r="J29" i="2"/>
  <c r="I94" i="1"/>
  <c r="I15" i="1"/>
  <c r="I69" i="1"/>
  <c r="I4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G20" i="2" l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E28" i="2"/>
  <c r="E27" i="2"/>
  <c r="D28" i="2"/>
  <c r="D27" i="2"/>
  <c r="C12" i="2"/>
  <c r="C16" i="2"/>
  <c r="C14" i="2"/>
  <c r="C17" i="2"/>
  <c r="B17" i="2"/>
  <c r="B14" i="2"/>
  <c r="B16" i="2"/>
  <c r="B13" i="2"/>
  <c r="B12" i="2"/>
  <c r="C11" i="2"/>
  <c r="C10" i="2"/>
  <c r="B11" i="2"/>
  <c r="B10" i="2"/>
  <c r="I88" i="1"/>
  <c r="G88" i="1"/>
  <c r="N53" i="1"/>
  <c r="N52" i="1"/>
  <c r="M51" i="1"/>
  <c r="I46" i="1"/>
  <c r="G46" i="1"/>
  <c r="N26" i="1"/>
  <c r="N25" i="1"/>
  <c r="M24" i="1"/>
  <c r="I20" i="1"/>
  <c r="G20" i="1"/>
  <c r="N38" i="1"/>
  <c r="M37" i="1"/>
  <c r="I35" i="1"/>
  <c r="G35" i="1"/>
  <c r="I33" i="1"/>
  <c r="G33" i="1"/>
  <c r="N92" i="1"/>
  <c r="N91" i="1"/>
  <c r="M90" i="1"/>
  <c r="I87" i="1"/>
  <c r="G87" i="1"/>
  <c r="I86" i="1"/>
  <c r="G86" i="1"/>
  <c r="N67" i="1"/>
  <c r="N66" i="1"/>
  <c r="M65" i="1"/>
  <c r="I60" i="1"/>
  <c r="G60" i="1"/>
  <c r="G64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C96" i="3"/>
  <c r="C80" i="3"/>
  <c r="C100" i="3"/>
  <c r="C84" i="3"/>
  <c r="C97" i="3"/>
  <c r="C81" i="3"/>
  <c r="C86" i="3"/>
  <c r="C102" i="3"/>
  <c r="C103" i="3"/>
  <c r="C87" i="3"/>
  <c r="D98" i="3"/>
  <c r="D82" i="3"/>
  <c r="C98" i="3"/>
  <c r="C82" i="3"/>
  <c r="D99" i="3"/>
  <c r="D83" i="3"/>
  <c r="D86" i="3"/>
  <c r="D102" i="3"/>
  <c r="D97" i="3"/>
  <c r="D81" i="3"/>
  <c r="D100" i="3"/>
  <c r="D84" i="3"/>
  <c r="D96" i="3"/>
  <c r="D80" i="3"/>
  <c r="D103" i="3"/>
  <c r="D87" i="3"/>
  <c r="N24" i="1"/>
  <c r="M28" i="1"/>
  <c r="N65" i="1"/>
  <c r="M69" i="1"/>
  <c r="N90" i="1"/>
  <c r="M94" i="1"/>
  <c r="N51" i="1"/>
  <c r="M55" i="1"/>
  <c r="N37" i="1"/>
  <c r="M41" i="1"/>
  <c r="N41" i="1" s="1"/>
  <c r="O41" i="1" s="1"/>
  <c r="E26" i="2"/>
  <c r="E30" i="2" s="1"/>
  <c r="G50" i="1"/>
  <c r="D13" i="2" s="1"/>
  <c r="D26" i="2"/>
  <c r="D30" i="2" s="1"/>
  <c r="G23" i="1"/>
  <c r="D11" i="2" s="1"/>
  <c r="I50" i="1"/>
  <c r="I23" i="1"/>
  <c r="G36" i="1"/>
  <c r="N39" i="1"/>
  <c r="I36" i="1"/>
  <c r="J35" i="1" s="1"/>
  <c r="G89" i="1"/>
  <c r="I64" i="1"/>
  <c r="I89" i="1"/>
  <c r="G99" i="1"/>
  <c r="I99" i="1"/>
  <c r="G116" i="1"/>
  <c r="G153" i="1" s="1"/>
  <c r="M114" i="1"/>
  <c r="M151" i="1" s="1"/>
  <c r="M113" i="1"/>
  <c r="M150" i="1" s="1"/>
  <c r="M112" i="1"/>
  <c r="B27" i="2"/>
  <c r="B28" i="2"/>
  <c r="B26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M149" i="1" l="1"/>
  <c r="J134" i="1"/>
  <c r="Q134" i="1" s="1"/>
  <c r="J136" i="1"/>
  <c r="Q136" i="1" s="1"/>
  <c r="J135" i="1"/>
  <c r="Q135" i="1" s="1"/>
  <c r="J121" i="1"/>
  <c r="J122" i="1"/>
  <c r="J123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J86" i="1"/>
  <c r="J47" i="1"/>
  <c r="J48" i="1"/>
  <c r="J62" i="1"/>
  <c r="J61" i="1"/>
  <c r="J63" i="1"/>
  <c r="J60" i="1"/>
  <c r="J87" i="1"/>
  <c r="M15" i="1"/>
  <c r="J88" i="1"/>
  <c r="N112" i="1"/>
  <c r="J21" i="1"/>
  <c r="J22" i="1"/>
  <c r="E13" i="2"/>
  <c r="J49" i="1"/>
  <c r="N113" i="1"/>
  <c r="N114" i="1"/>
  <c r="J28" i="2"/>
  <c r="J34" i="1"/>
  <c r="J46" i="1"/>
  <c r="J33" i="1"/>
  <c r="J20" i="1"/>
  <c r="G56" i="1"/>
  <c r="G57" i="1" s="1"/>
  <c r="G29" i="1"/>
  <c r="G30" i="1" s="1"/>
  <c r="N12" i="1"/>
  <c r="J27" i="2"/>
  <c r="N13" i="1"/>
  <c r="G42" i="1"/>
  <c r="G43" i="1" s="1"/>
  <c r="D12" i="2"/>
  <c r="I56" i="1"/>
  <c r="I57" i="1" s="1"/>
  <c r="G70" i="1"/>
  <c r="G71" i="1" s="1"/>
  <c r="D14" i="2"/>
  <c r="I70" i="1"/>
  <c r="I71" i="1" s="1"/>
  <c r="E14" i="2"/>
  <c r="I42" i="1"/>
  <c r="I43" i="1" s="1"/>
  <c r="E12" i="2"/>
  <c r="I95" i="1"/>
  <c r="I96" i="1" s="1"/>
  <c r="E16" i="2"/>
  <c r="G95" i="1"/>
  <c r="G96" i="1" s="1"/>
  <c r="D16" i="2"/>
  <c r="I29" i="1"/>
  <c r="I30" i="1" s="1"/>
  <c r="E11" i="2"/>
  <c r="N55" i="1"/>
  <c r="O55" i="1" s="1"/>
  <c r="N28" i="1"/>
  <c r="O28" i="1" s="1"/>
  <c r="N94" i="1"/>
  <c r="N69" i="1"/>
  <c r="O69" i="1" s="1"/>
  <c r="G10" i="1"/>
  <c r="G148" i="1" s="1"/>
  <c r="I10" i="1"/>
  <c r="I116" i="1"/>
  <c r="I153" i="1" s="1"/>
  <c r="I111" i="1"/>
  <c r="G111" i="1"/>
  <c r="N11" i="1"/>
  <c r="N149" i="1" s="1"/>
  <c r="N150" i="1" l="1"/>
  <c r="N151" i="1"/>
  <c r="J137" i="1"/>
  <c r="I148" i="1"/>
  <c r="J124" i="1"/>
  <c r="O94" i="1"/>
  <c r="M20" i="2"/>
  <c r="J101" i="1"/>
  <c r="J100" i="1"/>
  <c r="G14" i="2"/>
  <c r="G13" i="2"/>
  <c r="G16" i="2"/>
  <c r="G11" i="2"/>
  <c r="G12" i="2"/>
  <c r="D17" i="2"/>
  <c r="J64" i="1"/>
  <c r="J50" i="1"/>
  <c r="J26" i="2"/>
  <c r="J30" i="2" s="1"/>
  <c r="J36" i="1"/>
  <c r="E17" i="2"/>
  <c r="J23" i="1"/>
  <c r="J89" i="1"/>
  <c r="J108" i="1"/>
  <c r="J109" i="1"/>
  <c r="J106" i="1"/>
  <c r="J107" i="1"/>
  <c r="J110" i="1"/>
  <c r="J105" i="1"/>
  <c r="J103" i="1"/>
  <c r="J104" i="1"/>
  <c r="J102" i="1"/>
  <c r="J9" i="1"/>
  <c r="J8" i="1"/>
  <c r="G117" i="1"/>
  <c r="E10" i="2"/>
  <c r="G16" i="1"/>
  <c r="G154" i="1" s="1"/>
  <c r="D10" i="2"/>
  <c r="J99" i="1"/>
  <c r="I117" i="1"/>
  <c r="M116" i="1"/>
  <c r="M153" i="1" s="1"/>
  <c r="I16" i="1"/>
  <c r="N15" i="1"/>
  <c r="I17" i="1" l="1"/>
  <c r="I154" i="1"/>
  <c r="G17" i="2"/>
  <c r="G10" i="2"/>
  <c r="G17" i="1"/>
  <c r="J111" i="1"/>
  <c r="N116" i="1"/>
  <c r="O116" i="1" s="1"/>
  <c r="J10" i="1"/>
  <c r="N153" i="1" l="1"/>
  <c r="O20" i="2"/>
  <c r="P137" i="1" l="1"/>
  <c r="Q137" i="1" s="1"/>
  <c r="T133" i="1" l="1"/>
  <c r="G59" i="3"/>
  <c r="H59" i="3" s="1"/>
  <c r="I59" i="3" s="1"/>
  <c r="T136" i="1"/>
  <c r="G61" i="3"/>
  <c r="H61" i="3" s="1"/>
  <c r="I61" i="3" s="1"/>
  <c r="T134" i="1"/>
  <c r="G60" i="3"/>
  <c r="H60" i="3" s="1"/>
  <c r="I60" i="3" s="1"/>
  <c r="O63" i="1" l="1"/>
  <c r="O101" i="1"/>
  <c r="E18" i="2"/>
  <c r="E23" i="2" s="1"/>
  <c r="G18" i="2"/>
  <c r="H10" i="2" l="1"/>
  <c r="I10" i="2" s="1"/>
  <c r="K10" i="1" s="1"/>
  <c r="S10" i="1" s="1"/>
  <c r="G23" i="2"/>
  <c r="H12" i="2"/>
  <c r="I12" i="2" s="1"/>
  <c r="K36" i="1" s="1"/>
  <c r="S36" i="1" s="1"/>
  <c r="L34" i="1" s="1"/>
  <c r="F12" i="2"/>
  <c r="H11" i="2"/>
  <c r="I11" i="2" s="1"/>
  <c r="K23" i="1" s="1"/>
  <c r="S23" i="1" s="1"/>
  <c r="L20" i="1" s="1"/>
  <c r="G13" i="3" s="1"/>
  <c r="H13" i="3" s="1"/>
  <c r="I13" i="3" s="1"/>
  <c r="F11" i="2"/>
  <c r="H16" i="2"/>
  <c r="I16" i="2" s="1"/>
  <c r="K89" i="1" s="1"/>
  <c r="S89" i="1" s="1"/>
  <c r="H17" i="2"/>
  <c r="I17" i="2" s="1"/>
  <c r="K111" i="1" s="1"/>
  <c r="S111" i="1" s="1"/>
  <c r="H13" i="2"/>
  <c r="I13" i="2" s="1"/>
  <c r="K50" i="1" s="1"/>
  <c r="S50" i="1" s="1"/>
  <c r="H15" i="2"/>
  <c r="I15" i="2" s="1"/>
  <c r="K76" i="1" s="1"/>
  <c r="S76" i="1" s="1"/>
  <c r="H14" i="2"/>
  <c r="I14" i="2" s="1"/>
  <c r="K64" i="1" s="1"/>
  <c r="S64" i="1" s="1"/>
  <c r="S124" i="1"/>
  <c r="F13" i="2"/>
  <c r="F10" i="2"/>
  <c r="F16" i="2"/>
  <c r="F15" i="2"/>
  <c r="F14" i="2"/>
  <c r="E32" i="2"/>
  <c r="F18" i="2"/>
  <c r="F17" i="2"/>
  <c r="M20" i="1" l="1"/>
  <c r="N20" i="1" s="1"/>
  <c r="L33" i="1"/>
  <c r="G17" i="3" s="1"/>
  <c r="H17" i="3" s="1"/>
  <c r="I17" i="3" s="1"/>
  <c r="L35" i="1"/>
  <c r="T35" i="1" s="1"/>
  <c r="L22" i="1"/>
  <c r="G15" i="3" s="1"/>
  <c r="H15" i="3" s="1"/>
  <c r="I15" i="3" s="1"/>
  <c r="L21" i="1"/>
  <c r="G14" i="3" s="1"/>
  <c r="H14" i="3" s="1"/>
  <c r="I14" i="3" s="1"/>
  <c r="I18" i="2"/>
  <c r="I23" i="2" s="1"/>
  <c r="L61" i="1"/>
  <c r="L60" i="1"/>
  <c r="L62" i="1"/>
  <c r="L63" i="1"/>
  <c r="L75" i="1"/>
  <c r="L74" i="1"/>
  <c r="L104" i="1"/>
  <c r="L106" i="1"/>
  <c r="L107" i="1"/>
  <c r="L103" i="1"/>
  <c r="L102" i="1"/>
  <c r="L108" i="1"/>
  <c r="L101" i="1"/>
  <c r="L110" i="1"/>
  <c r="L100" i="1"/>
  <c r="L105" i="1"/>
  <c r="L99" i="1"/>
  <c r="L109" i="1"/>
  <c r="G18" i="3"/>
  <c r="H18" i="3" s="1"/>
  <c r="I18" i="3" s="1"/>
  <c r="M34" i="1"/>
  <c r="T34" i="1"/>
  <c r="M35" i="1"/>
  <c r="L47" i="1"/>
  <c r="L48" i="1"/>
  <c r="L46" i="1"/>
  <c r="L49" i="1"/>
  <c r="L88" i="1"/>
  <c r="L87" i="1"/>
  <c r="L86" i="1"/>
  <c r="L122" i="1"/>
  <c r="L121" i="1"/>
  <c r="L123" i="1"/>
  <c r="L120" i="1"/>
  <c r="L9" i="1"/>
  <c r="L8" i="1"/>
  <c r="G19" i="3" l="1"/>
  <c r="H19" i="3" s="1"/>
  <c r="I19" i="3" s="1"/>
  <c r="M22" i="1"/>
  <c r="T22" i="1"/>
  <c r="M33" i="1"/>
  <c r="N33" i="1" s="1"/>
  <c r="T33" i="1"/>
  <c r="T21" i="1"/>
  <c r="M21" i="1"/>
  <c r="N21" i="1" s="1"/>
  <c r="O21" i="1" s="1"/>
  <c r="M46" i="1"/>
  <c r="G21" i="3"/>
  <c r="H21" i="3" s="1"/>
  <c r="I21" i="3" s="1"/>
  <c r="M109" i="1"/>
  <c r="G47" i="3"/>
  <c r="H47" i="3" s="1"/>
  <c r="I47" i="3" s="1"/>
  <c r="T109" i="1"/>
  <c r="O20" i="1"/>
  <c r="M121" i="1"/>
  <c r="G64" i="3"/>
  <c r="H64" i="3" s="1"/>
  <c r="I64" i="3" s="1"/>
  <c r="T121" i="1"/>
  <c r="G22" i="3"/>
  <c r="H22" i="3" s="1"/>
  <c r="I22" i="3" s="1"/>
  <c r="T47" i="1"/>
  <c r="M47" i="1"/>
  <c r="T99" i="1"/>
  <c r="G38" i="3"/>
  <c r="H38" i="3" s="1"/>
  <c r="I38" i="3" s="1"/>
  <c r="M99" i="1"/>
  <c r="M107" i="1"/>
  <c r="G45" i="3"/>
  <c r="H45" i="3" s="1"/>
  <c r="I45" i="3" s="1"/>
  <c r="T107" i="1"/>
  <c r="G29" i="3"/>
  <c r="H29" i="3" s="1"/>
  <c r="I29" i="3" s="1"/>
  <c r="T63" i="1"/>
  <c r="M63" i="1"/>
  <c r="G26" i="3"/>
  <c r="H26" i="3" s="1"/>
  <c r="I26" i="3" s="1"/>
  <c r="M60" i="1"/>
  <c r="N22" i="1"/>
  <c r="O22" i="1" s="1"/>
  <c r="M104" i="1"/>
  <c r="T104" i="1"/>
  <c r="N35" i="1"/>
  <c r="O35" i="1" s="1"/>
  <c r="G31" i="3"/>
  <c r="H31" i="3" s="1"/>
  <c r="I31" i="3" s="1"/>
  <c r="M74" i="1"/>
  <c r="T74" i="1"/>
  <c r="G27" i="3"/>
  <c r="H27" i="3" s="1"/>
  <c r="I27" i="3" s="1"/>
  <c r="T61" i="1"/>
  <c r="M61" i="1"/>
  <c r="T123" i="1"/>
  <c r="G65" i="3"/>
  <c r="H65" i="3" s="1"/>
  <c r="I65" i="3" s="1"/>
  <c r="M123" i="1"/>
  <c r="M103" i="1"/>
  <c r="G42" i="3"/>
  <c r="H42" i="3" s="1"/>
  <c r="I42" i="3" s="1"/>
  <c r="T103" i="1"/>
  <c r="T105" i="1"/>
  <c r="G44" i="3"/>
  <c r="H44" i="3" s="1"/>
  <c r="I44" i="3" s="1"/>
  <c r="M105" i="1"/>
  <c r="G28" i="3"/>
  <c r="H28" i="3" s="1"/>
  <c r="I28" i="3" s="1"/>
  <c r="T62" i="1"/>
  <c r="M62" i="1"/>
  <c r="G34" i="3"/>
  <c r="H34" i="3" s="1"/>
  <c r="I34" i="3" s="1"/>
  <c r="T86" i="1"/>
  <c r="M86" i="1"/>
  <c r="G39" i="3"/>
  <c r="H39" i="3" s="1"/>
  <c r="I39" i="3" s="1"/>
  <c r="T100" i="1"/>
  <c r="M100" i="1"/>
  <c r="G35" i="3"/>
  <c r="H35" i="3" s="1"/>
  <c r="I35" i="3" s="1"/>
  <c r="T87" i="1"/>
  <c r="M87" i="1"/>
  <c r="N87" i="1" s="1"/>
  <c r="O87" i="1" s="1"/>
  <c r="G6" i="3"/>
  <c r="T8" i="1"/>
  <c r="M8" i="1"/>
  <c r="M88" i="1"/>
  <c r="N88" i="1" s="1"/>
  <c r="O88" i="1" s="1"/>
  <c r="G36" i="3"/>
  <c r="H36" i="3" s="1"/>
  <c r="I36" i="3" s="1"/>
  <c r="T88" i="1"/>
  <c r="T101" i="1"/>
  <c r="G41" i="3"/>
  <c r="H41" i="3" s="1"/>
  <c r="I41" i="3" s="1"/>
  <c r="M101" i="1"/>
  <c r="M75" i="1"/>
  <c r="G32" i="3"/>
  <c r="H32" i="3" s="1"/>
  <c r="I32" i="3" s="1"/>
  <c r="T75" i="1"/>
  <c r="T120" i="1"/>
  <c r="M120" i="1"/>
  <c r="G63" i="3"/>
  <c r="H63" i="3" s="1"/>
  <c r="I63" i="3" s="1"/>
  <c r="M48" i="1"/>
  <c r="G23" i="3"/>
  <c r="H23" i="3" s="1"/>
  <c r="I23" i="3" s="1"/>
  <c r="T48" i="1"/>
  <c r="T122" i="1"/>
  <c r="M122" i="1"/>
  <c r="G43" i="3"/>
  <c r="H43" i="3" s="1"/>
  <c r="I43" i="3" s="1"/>
  <c r="T106" i="1"/>
  <c r="M106" i="1"/>
  <c r="T110" i="1"/>
  <c r="M110" i="1"/>
  <c r="M9" i="1"/>
  <c r="G7" i="3"/>
  <c r="T9" i="1"/>
  <c r="G24" i="3"/>
  <c r="H24" i="3" s="1"/>
  <c r="I24" i="3" s="1"/>
  <c r="T49" i="1"/>
  <c r="M49" i="1"/>
  <c r="N34" i="1"/>
  <c r="O34" i="1" s="1"/>
  <c r="G46" i="3"/>
  <c r="H46" i="3" s="1"/>
  <c r="I46" i="3" s="1"/>
  <c r="T108" i="1"/>
  <c r="M108" i="1"/>
  <c r="G40" i="3"/>
  <c r="H40" i="3" s="1"/>
  <c r="I40" i="3" s="1"/>
  <c r="T102" i="1"/>
  <c r="M102" i="1"/>
  <c r="M36" i="1" l="1"/>
  <c r="P35" i="1" s="1"/>
  <c r="Q35" i="1" s="1"/>
  <c r="M23" i="1"/>
  <c r="P21" i="1" s="1"/>
  <c r="Q21" i="1" s="1"/>
  <c r="N23" i="1"/>
  <c r="O23" i="1" s="1"/>
  <c r="N103" i="1"/>
  <c r="O103" i="1" s="1"/>
  <c r="M10" i="1"/>
  <c r="P9" i="1" s="1"/>
  <c r="Q9" i="1" s="1"/>
  <c r="N8" i="1"/>
  <c r="N123" i="1"/>
  <c r="O123" i="1" s="1"/>
  <c r="N75" i="1"/>
  <c r="O75" i="1" s="1"/>
  <c r="N63" i="1"/>
  <c r="N60" i="1"/>
  <c r="M64" i="1"/>
  <c r="P60" i="1" s="1"/>
  <c r="N110" i="1"/>
  <c r="O110" i="1" s="1"/>
  <c r="N48" i="1"/>
  <c r="O48" i="1" s="1"/>
  <c r="N86" i="1"/>
  <c r="M89" i="1"/>
  <c r="N102" i="1"/>
  <c r="O102" i="1" s="1"/>
  <c r="N49" i="1"/>
  <c r="O49" i="1" s="1"/>
  <c r="N106" i="1"/>
  <c r="O106" i="1" s="1"/>
  <c r="N101" i="1"/>
  <c r="G9" i="3"/>
  <c r="H9" i="3" s="1"/>
  <c r="I9" i="3" s="1"/>
  <c r="H6" i="3"/>
  <c r="I6" i="3" s="1"/>
  <c r="N47" i="1"/>
  <c r="O47" i="1" s="1"/>
  <c r="M76" i="1"/>
  <c r="N74" i="1"/>
  <c r="M111" i="1"/>
  <c r="P102" i="1" s="1"/>
  <c r="Q102" i="1" s="1"/>
  <c r="N99" i="1"/>
  <c r="N109" i="1"/>
  <c r="O109" i="1" s="1"/>
  <c r="N105" i="1"/>
  <c r="O105" i="1" s="1"/>
  <c r="N61" i="1"/>
  <c r="O61" i="1" s="1"/>
  <c r="N122" i="1"/>
  <c r="O122" i="1" s="1"/>
  <c r="N9" i="1"/>
  <c r="O9" i="1" s="1"/>
  <c r="N121" i="1"/>
  <c r="O121" i="1" s="1"/>
  <c r="N120" i="1"/>
  <c r="M124" i="1"/>
  <c r="J21" i="2" s="1"/>
  <c r="K21" i="2" s="1"/>
  <c r="N62" i="1"/>
  <c r="O62" i="1" s="1"/>
  <c r="O33" i="1"/>
  <c r="N36" i="1"/>
  <c r="N104" i="1"/>
  <c r="O104" i="1" s="1"/>
  <c r="N108" i="1"/>
  <c r="O108" i="1" s="1"/>
  <c r="H7" i="3"/>
  <c r="I7" i="3" s="1"/>
  <c r="G10" i="3"/>
  <c r="H10" i="3" s="1"/>
  <c r="I10" i="3" s="1"/>
  <c r="N100" i="1"/>
  <c r="N107" i="1"/>
  <c r="O107" i="1" s="1"/>
  <c r="N46" i="1"/>
  <c r="M50" i="1"/>
  <c r="P49" i="1" s="1"/>
  <c r="Q49" i="1" s="1"/>
  <c r="P33" i="1" l="1"/>
  <c r="Q33" i="1" s="1"/>
  <c r="J12" i="2"/>
  <c r="P34" i="1"/>
  <c r="Q34" i="1" s="1"/>
  <c r="R36" i="1"/>
  <c r="M42" i="1"/>
  <c r="N42" i="1" s="1"/>
  <c r="O42" i="1" s="1"/>
  <c r="N12" i="2" s="1"/>
  <c r="M29" i="1"/>
  <c r="N29" i="1" s="1"/>
  <c r="O29" i="1" s="1"/>
  <c r="N11" i="2" s="1"/>
  <c r="J11" i="2"/>
  <c r="O11" i="2" s="1"/>
  <c r="P22" i="1"/>
  <c r="Q22" i="1" s="1"/>
  <c r="P20" i="1"/>
  <c r="Q20" i="1" s="1"/>
  <c r="R23" i="1"/>
  <c r="P122" i="1"/>
  <c r="Q122" i="1" s="1"/>
  <c r="O21" i="2"/>
  <c r="P99" i="1"/>
  <c r="Q99" i="1" s="1"/>
  <c r="P123" i="1"/>
  <c r="Q123" i="1" s="1"/>
  <c r="P120" i="1"/>
  <c r="Q120" i="1" s="1"/>
  <c r="P108" i="1"/>
  <c r="Q108" i="1" s="1"/>
  <c r="P107" i="1"/>
  <c r="Q107" i="1" s="1"/>
  <c r="P104" i="1"/>
  <c r="Q104" i="1" s="1"/>
  <c r="P106" i="1"/>
  <c r="Q106" i="1" s="1"/>
  <c r="P48" i="1"/>
  <c r="Q48" i="1" s="1"/>
  <c r="P46" i="1"/>
  <c r="Q46" i="1" s="1"/>
  <c r="P100" i="1"/>
  <c r="Q100" i="1" s="1"/>
  <c r="L11" i="2"/>
  <c r="F81" i="3" s="1"/>
  <c r="P105" i="1"/>
  <c r="Q105" i="1" s="1"/>
  <c r="P47" i="1"/>
  <c r="Q47" i="1" s="1"/>
  <c r="P109" i="1"/>
  <c r="Q109" i="1" s="1"/>
  <c r="O12" i="2"/>
  <c r="M70" i="1"/>
  <c r="R64" i="1"/>
  <c r="J14" i="2"/>
  <c r="M82" i="1"/>
  <c r="R76" i="1"/>
  <c r="J15" i="2"/>
  <c r="O99" i="1"/>
  <c r="N111" i="1"/>
  <c r="O111" i="1" s="1"/>
  <c r="O8" i="1"/>
  <c r="N10" i="1"/>
  <c r="M148" i="1"/>
  <c r="M16" i="1"/>
  <c r="R10" i="1"/>
  <c r="J10" i="2"/>
  <c r="Q60" i="1"/>
  <c r="P8" i="1"/>
  <c r="O60" i="1"/>
  <c r="N64" i="1"/>
  <c r="P36" i="1"/>
  <c r="Q36" i="1" s="1"/>
  <c r="L12" i="2"/>
  <c r="O36" i="1"/>
  <c r="O120" i="1"/>
  <c r="N124" i="1"/>
  <c r="L21" i="2" s="1"/>
  <c r="M21" i="2" s="1"/>
  <c r="P61" i="1"/>
  <c r="Q61" i="1" s="1"/>
  <c r="M117" i="1"/>
  <c r="N117" i="1" s="1"/>
  <c r="O117" i="1" s="1"/>
  <c r="N17" i="2" s="1"/>
  <c r="J17" i="2"/>
  <c r="R111" i="1"/>
  <c r="M56" i="1"/>
  <c r="R50" i="1"/>
  <c r="J13" i="2"/>
  <c r="P62" i="1"/>
  <c r="Q62" i="1" s="1"/>
  <c r="P74" i="1"/>
  <c r="P101" i="1"/>
  <c r="Q101" i="1" s="1"/>
  <c r="P87" i="1"/>
  <c r="Q87" i="1" s="1"/>
  <c r="P86" i="1"/>
  <c r="M95" i="1"/>
  <c r="P88" i="1"/>
  <c r="Q88" i="1" s="1"/>
  <c r="R89" i="1"/>
  <c r="J16" i="2"/>
  <c r="P110" i="1"/>
  <c r="Q110" i="1" s="1"/>
  <c r="P63" i="1"/>
  <c r="Q63" i="1" s="1"/>
  <c r="P103" i="1"/>
  <c r="Q103" i="1" s="1"/>
  <c r="R124" i="1"/>
  <c r="M130" i="1"/>
  <c r="O46" i="1"/>
  <c r="N50" i="1"/>
  <c r="P121" i="1"/>
  <c r="Q121" i="1" s="1"/>
  <c r="O74" i="1"/>
  <c r="N76" i="1"/>
  <c r="N89" i="1"/>
  <c r="O86" i="1"/>
  <c r="P75" i="1"/>
  <c r="Q75" i="1" s="1"/>
  <c r="M43" i="1" l="1"/>
  <c r="N43" i="1" s="1"/>
  <c r="O43" i="1" s="1"/>
  <c r="M30" i="1"/>
  <c r="N30" i="1" s="1"/>
  <c r="F97" i="3" s="1"/>
  <c r="P23" i="1"/>
  <c r="Q23" i="1" s="1"/>
  <c r="M11" i="2"/>
  <c r="P50" i="1"/>
  <c r="Q50" i="1" s="1"/>
  <c r="M57" i="1"/>
  <c r="N57" i="1" s="1"/>
  <c r="N56" i="1"/>
  <c r="O56" i="1" s="1"/>
  <c r="N13" i="2" s="1"/>
  <c r="O10" i="1"/>
  <c r="L10" i="2"/>
  <c r="N148" i="1"/>
  <c r="O148" i="1" s="1"/>
  <c r="S171" i="1" s="1"/>
  <c r="O15" i="2"/>
  <c r="L16" i="2"/>
  <c r="O89" i="1"/>
  <c r="Q86" i="1"/>
  <c r="P89" i="1"/>
  <c r="Q89" i="1" s="1"/>
  <c r="Q8" i="1"/>
  <c r="P10" i="1"/>
  <c r="Q10" i="1" s="1"/>
  <c r="P64" i="1"/>
  <c r="Q64" i="1" s="1"/>
  <c r="L17" i="2"/>
  <c r="O17" i="2"/>
  <c r="O14" i="2"/>
  <c r="N95" i="1"/>
  <c r="O95" i="1" s="1"/>
  <c r="N16" i="2" s="1"/>
  <c r="M96" i="1"/>
  <c r="N96" i="1" s="1"/>
  <c r="G103" i="3"/>
  <c r="G87" i="3"/>
  <c r="G97" i="3"/>
  <c r="G81" i="3"/>
  <c r="F82" i="3"/>
  <c r="M12" i="2"/>
  <c r="O10" i="2"/>
  <c r="J18" i="2"/>
  <c r="M83" i="1"/>
  <c r="N83" i="1" s="1"/>
  <c r="N82" i="1"/>
  <c r="O82" i="1" s="1"/>
  <c r="N15" i="2" s="1"/>
  <c r="P124" i="1"/>
  <c r="Q124" i="1" s="1"/>
  <c r="M154" i="1"/>
  <c r="N16" i="1"/>
  <c r="M17" i="1"/>
  <c r="N17" i="1" s="1"/>
  <c r="O50" i="1"/>
  <c r="L13" i="2"/>
  <c r="O16" i="2"/>
  <c r="O124" i="1"/>
  <c r="O64" i="1"/>
  <c r="L14" i="2"/>
  <c r="N70" i="1"/>
  <c r="O70" i="1" s="1"/>
  <c r="N14" i="2" s="1"/>
  <c r="M71" i="1"/>
  <c r="N71" i="1" s="1"/>
  <c r="Q74" i="1"/>
  <c r="P76" i="1"/>
  <c r="Q76" i="1" s="1"/>
  <c r="G98" i="3"/>
  <c r="G82" i="3"/>
  <c r="O76" i="1"/>
  <c r="L15" i="2"/>
  <c r="P111" i="1"/>
  <c r="Q111" i="1" s="1"/>
  <c r="O13" i="2"/>
  <c r="M131" i="1"/>
  <c r="N131" i="1" s="1"/>
  <c r="N130" i="1"/>
  <c r="F98" i="3"/>
  <c r="O30" i="1" l="1"/>
  <c r="J23" i="2"/>
  <c r="K16" i="2"/>
  <c r="K15" i="2"/>
  <c r="G101" i="3"/>
  <c r="G85" i="3"/>
  <c r="K18" i="2"/>
  <c r="J32" i="2"/>
  <c r="L32" i="2" s="1"/>
  <c r="K11" i="2"/>
  <c r="K12" i="2"/>
  <c r="F100" i="3"/>
  <c r="O71" i="1"/>
  <c r="K10" i="2"/>
  <c r="F102" i="3"/>
  <c r="O96" i="1"/>
  <c r="S163" i="1"/>
  <c r="L163" i="1" s="1"/>
  <c r="S161" i="1"/>
  <c r="L161" i="1" s="1"/>
  <c r="S166" i="1"/>
  <c r="L166" i="1" s="1"/>
  <c r="S173" i="1"/>
  <c r="L173" i="1" s="1"/>
  <c r="S162" i="1"/>
  <c r="L162" i="1" s="1"/>
  <c r="S169" i="1"/>
  <c r="L169" i="1" s="1"/>
  <c r="S172" i="1"/>
  <c r="L172" i="1" s="1"/>
  <c r="L171" i="1"/>
  <c r="S164" i="1"/>
  <c r="L164" i="1" s="1"/>
  <c r="S168" i="1"/>
  <c r="L168" i="1" s="1"/>
  <c r="S167" i="1"/>
  <c r="L167" i="1" s="1"/>
  <c r="O83" i="1"/>
  <c r="F101" i="3"/>
  <c r="M17" i="2"/>
  <c r="F87" i="3"/>
  <c r="O131" i="1"/>
  <c r="F104" i="3"/>
  <c r="F80" i="3"/>
  <c r="M10" i="2"/>
  <c r="L18" i="2"/>
  <c r="L23" i="2" s="1"/>
  <c r="M13" i="2"/>
  <c r="F83" i="3"/>
  <c r="F84" i="3"/>
  <c r="M14" i="2"/>
  <c r="F96" i="3"/>
  <c r="O17" i="1"/>
  <c r="O18" i="2"/>
  <c r="O23" i="2" s="1"/>
  <c r="K13" i="2"/>
  <c r="N154" i="1"/>
  <c r="O16" i="1"/>
  <c r="N10" i="2" s="1"/>
  <c r="K14" i="2"/>
  <c r="M15" i="2"/>
  <c r="F85" i="3"/>
  <c r="G100" i="3"/>
  <c r="G84" i="3"/>
  <c r="G99" i="3"/>
  <c r="G83" i="3"/>
  <c r="F86" i="3"/>
  <c r="M16" i="2"/>
  <c r="O130" i="1"/>
  <c r="F88" i="3"/>
  <c r="G86" i="3"/>
  <c r="G102" i="3"/>
  <c r="K17" i="2"/>
  <c r="F99" i="3"/>
  <c r="O57" i="1"/>
  <c r="N21" i="2" l="1"/>
  <c r="M18" i="2"/>
  <c r="T173" i="1"/>
  <c r="G69" i="3"/>
  <c r="H69" i="3" s="1"/>
  <c r="I69" i="3" s="1"/>
  <c r="N156" i="1"/>
  <c r="O154" i="1"/>
  <c r="T167" i="1"/>
  <c r="G55" i="3"/>
  <c r="H55" i="3" s="1"/>
  <c r="I55" i="3" s="1"/>
  <c r="G54" i="3"/>
  <c r="H54" i="3" s="1"/>
  <c r="I54" i="3" s="1"/>
  <c r="T166" i="1"/>
  <c r="G56" i="3"/>
  <c r="H56" i="3" s="1"/>
  <c r="I56" i="3" s="1"/>
  <c r="T168" i="1"/>
  <c r="G51" i="3"/>
  <c r="H51" i="3" s="1"/>
  <c r="I51" i="3" s="1"/>
  <c r="T163" i="1"/>
  <c r="N32" i="2"/>
  <c r="G90" i="3" s="1"/>
  <c r="L34" i="2"/>
  <c r="L35" i="2" s="1"/>
  <c r="F90" i="3"/>
  <c r="T162" i="1"/>
  <c r="G50" i="3"/>
  <c r="H50" i="3" s="1"/>
  <c r="I50" i="3" s="1"/>
  <c r="G49" i="3"/>
  <c r="H49" i="3" s="1"/>
  <c r="I49" i="3" s="1"/>
  <c r="T161" i="1"/>
  <c r="G67" i="3"/>
  <c r="H67" i="3" s="1"/>
  <c r="I67" i="3" s="1"/>
  <c r="T171" i="1"/>
  <c r="G52" i="3"/>
  <c r="H52" i="3" s="1"/>
  <c r="I52" i="3" s="1"/>
  <c r="T164" i="1"/>
  <c r="T172" i="1"/>
  <c r="G68" i="3"/>
  <c r="H68" i="3" s="1"/>
  <c r="I68" i="3" s="1"/>
  <c r="G80" i="3"/>
  <c r="G96" i="3"/>
  <c r="T169" i="1"/>
  <c r="G57" i="3"/>
  <c r="H57" i="3" s="1"/>
  <c r="I57" i="3" s="1"/>
  <c r="D18" i="2"/>
  <c r="D23" i="2" s="1"/>
  <c r="D32" i="2" s="1"/>
  <c r="D34" i="2" s="1"/>
  <c r="D35" i="2" s="1"/>
  <c r="G88" i="3" l="1"/>
  <c r="G104" i="3"/>
</calcChain>
</file>

<file path=xl/sharedStrings.xml><?xml version="1.0" encoding="utf-8"?>
<sst xmlns="http://schemas.openxmlformats.org/spreadsheetml/2006/main" count="254" uniqueCount="136">
  <si>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</si>
  <si>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</si>
  <si>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</si>
  <si>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</si>
  <si>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</si>
  <si>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</si>
  <si>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</si>
  <si>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</si>
  <si>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</si>
  <si>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</si>
  <si>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</si>
  <si>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</si>
  <si>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</si>
  <si>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</si>
  <si>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</si>
  <si>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</si>
  <si>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</si>
  <si>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</si>
  <si>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</si>
  <si>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</si>
  <si>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</si>
  <si>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</si>
  <si>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</si>
  <si>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</si>
  <si>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</si>
  <si>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</si>
  <si>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</si>
  <si>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</si>
  <si>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</si>
  <si>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</si>
  <si>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</si>
  <si>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</si>
  <si>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</si>
  <si>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</si>
  <si>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</si>
  <si>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</si>
  <si>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</si>
  <si>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</si>
  <si>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</si>
  <si>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</si>
  <si>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</si>
  <si>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</si>
  <si>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</si>
  <si>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</si>
  <si>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</si>
  <si>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</si>
  <si>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</si>
  <si>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</si>
  <si>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</si>
  <si>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</si>
  <si>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</si>
  <si>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</si>
  <si>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</si>
  <si>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</si>
  <si>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</si>
  <si>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</si>
  <si>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</si>
  <si>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</si>
  <si>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</si>
  <si>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</si>
  <si>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</si>
  <si>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</si>
  <si>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</si>
  <si>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CUMBERLAND VALLEY ELECTRIC</t>
  </si>
  <si>
    <t>Sch I - Residential, Schools &amp; Churches</t>
  </si>
  <si>
    <t>Sch I - Res TOD</t>
  </si>
  <si>
    <t>TOD</t>
  </si>
  <si>
    <t>Sch II - Small Commercial  Small Power</t>
  </si>
  <si>
    <t>C1</t>
  </si>
  <si>
    <t>Energy Charge - First 3000 per kWh</t>
  </si>
  <si>
    <t>Energy Charge - Over 3000 per kWh</t>
  </si>
  <si>
    <t>C2</t>
  </si>
  <si>
    <t>Sch VII - Inclining Block Rate</t>
  </si>
  <si>
    <t>IB</t>
  </si>
  <si>
    <t>Energy Charge - First 200 per kWh</t>
  </si>
  <si>
    <t>Energy Charge - Next 300 per kWh</t>
  </si>
  <si>
    <t>Energy Charge - Over 500 per kWh</t>
  </si>
  <si>
    <t>Sch III - All 3Phase Schools &amp; Churches</t>
  </si>
  <si>
    <t>E1</t>
  </si>
  <si>
    <t>Sch IV-A - Large Power 50-2500 kW</t>
  </si>
  <si>
    <t>L1</t>
  </si>
  <si>
    <t>Sch V - Large Power 1000-2500 kW</t>
  </si>
  <si>
    <t>V</t>
  </si>
  <si>
    <t>Consumer Charge</t>
  </si>
  <si>
    <t>Demand Charge - Contract per kW</t>
  </si>
  <si>
    <t>Demand Charge - Excess per kW</t>
  </si>
  <si>
    <t>V-A</t>
  </si>
  <si>
    <t xml:space="preserve">Sch V-A - Large Power </t>
  </si>
  <si>
    <t>R1</t>
  </si>
  <si>
    <t>Sch IV - Large Power Industrial</t>
  </si>
  <si>
    <t>VI</t>
  </si>
  <si>
    <t>P1</t>
  </si>
  <si>
    <t>LED Open Bottom 6200 L</t>
  </si>
  <si>
    <t>LED Cobra Head 13,650 L</t>
  </si>
  <si>
    <t>400W MH Dir</t>
  </si>
  <si>
    <t>LED Directional 18,800 L</t>
  </si>
  <si>
    <t>175 Watt MV</t>
  </si>
  <si>
    <t>400 Watt MV</t>
  </si>
  <si>
    <t>100 Watt Open Bottom</t>
  </si>
  <si>
    <t>100 Watt Directional Flood</t>
  </si>
  <si>
    <t>400 Watt Directional Flood</t>
  </si>
  <si>
    <t>400 Watt Cobra Head</t>
  </si>
  <si>
    <t>Mercury Vapor 175 Watt</t>
  </si>
  <si>
    <t>Mercury Vapor 400 Watt</t>
  </si>
  <si>
    <t>100 Watt OPEN BOTTOM</t>
  </si>
  <si>
    <t>100 Watt COLONIAL POST</t>
  </si>
  <si>
    <t>100 Watt DIRECTIONAL FLOOD</t>
  </si>
  <si>
    <t>400 Watt DIRECTIONAL FLOOD</t>
  </si>
  <si>
    <t>400 Watt COBRA HEAD</t>
  </si>
  <si>
    <t>LED OPEN BOTTOM</t>
  </si>
  <si>
    <t>LED COBRA HEAD</t>
  </si>
  <si>
    <t>LED DIRECTIONAL</t>
  </si>
  <si>
    <t>100 Watt Colonial Post</t>
  </si>
  <si>
    <t>Prepay Service</t>
  </si>
  <si>
    <t>Consumer Facility Charge</t>
  </si>
  <si>
    <t>Prepay Service Fee</t>
  </si>
  <si>
    <t>Present &amp; Proposed Rates</t>
  </si>
  <si>
    <t>Var</t>
  </si>
  <si>
    <t>2023 Rate</t>
  </si>
  <si>
    <t xml:space="preserve">          2023 Revenue</t>
  </si>
  <si>
    <t>FAC Roll In &gt;</t>
  </si>
  <si>
    <t xml:space="preserve">Sch V-B- Large Power </t>
  </si>
  <si>
    <t>V-B</t>
  </si>
  <si>
    <t>Demand Charge -- per kW</t>
  </si>
  <si>
    <t>V-C</t>
  </si>
  <si>
    <t xml:space="preserve">Sch V-C- Large Power </t>
  </si>
  <si>
    <t>2023 Revenue</t>
  </si>
  <si>
    <t>Interruptible Credit - per kW</t>
  </si>
  <si>
    <t xml:space="preserve">Rate G Increase Allocated by East Kentucky Power Cooperative:   </t>
  </si>
  <si>
    <t xml:space="preserve">Remaining Revenue Increase Allocated by East Kentucky Power Cooperative:   </t>
  </si>
  <si>
    <t xml:space="preserve">Rate C Increase Allocated by East Kentucky Power Cooperative:   </t>
  </si>
  <si>
    <t>FAC Roll In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</si>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</sst>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0.0000"/>
    <numFmt numFmtId="174" formatCode="0.000000"/>
    <numFmt numFmtId="175" formatCode="_(&quot;$&quot;* #,##0.000000_);_(&quot;$&quot;* \(#,##0.00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169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 wrapText="1"/>
    </xf>
    <xf numFmtId="10" fontId="4" fillId="4" borderId="0" xfId="3" applyNumberFormat="1" applyFont="1" applyFill="1"/>
    <xf numFmtId="10" fontId="4" fillId="4" borderId="0" xfId="3" applyNumberFormat="1" applyFont="1" applyFill="1" applyAlignment="1">
      <alignment vertical="center"/>
    </xf>
    <xf numFmtId="44" fontId="3" fillId="0" borderId="0" xfId="2" applyFont="1" applyAlignment="1">
      <alignment horizontal="right"/>
    </xf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0" fontId="7" fillId="0" borderId="0" xfId="0" applyFont="1"/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7" fillId="0" borderId="6" xfId="0" applyFont="1" applyBorder="1"/>
    <xf numFmtId="43" fontId="7" fillId="0" borderId="0" xfId="1" applyFont="1" applyFill="1"/>
    <xf numFmtId="165" fontId="7" fillId="0" borderId="0" xfId="0" applyNumberFormat="1" applyFont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67" fontId="7" fillId="0" borderId="0" xfId="1" applyNumberFormat="1" applyFont="1" applyFill="1"/>
    <xf numFmtId="166" fontId="7" fillId="0" borderId="0" xfId="1" applyNumberFormat="1" applyFont="1" applyFill="1"/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165" fontId="7" fillId="0" borderId="0" xfId="2" applyNumberFormat="1" applyFont="1" applyFill="1"/>
    <xf numFmtId="172" fontId="7" fillId="0" borderId="0" xfId="0" applyNumberFormat="1" applyFont="1"/>
    <xf numFmtId="165" fontId="7" fillId="0" borderId="5" xfId="2" applyNumberFormat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43" fontId="7" fillId="0" borderId="0" xfId="1" applyFont="1" applyFill="1" applyAlignment="1">
      <alignment horizontal="center"/>
    </xf>
    <xf numFmtId="165" fontId="7" fillId="0" borderId="0" xfId="0" applyNumberFormat="1" applyFont="1" applyAlignment="1">
      <alignment horizontal="right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164" fontId="3" fillId="0" borderId="0" xfId="1" applyNumberFormat="1" applyFont="1"/>
    <xf numFmtId="165" fontId="7" fillId="0" borderId="0" xfId="2" applyNumberFormat="1" applyFont="1" applyAlignment="1"/>
    <xf numFmtId="10" fontId="7" fillId="0" borderId="0" xfId="3" applyNumberFormat="1" applyFont="1" applyAlignment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Fill="1" applyAlignment="1"/>
    <xf numFmtId="0" fontId="9" fillId="0" borderId="0" xfId="0" applyFont="1" applyAlignment="1">
      <alignment vertical="top" wrapText="1"/>
    </xf>
    <xf numFmtId="164" fontId="3" fillId="0" borderId="0" xfId="0" applyNumberFormat="1" applyFont="1"/>
    <xf numFmtId="10" fontId="3" fillId="0" borderId="0" xfId="3" applyNumberFormat="1" applyFont="1" applyBorder="1" applyAlignment="1">
      <alignment horizontal="right"/>
    </xf>
    <xf numFmtId="165" fontId="3" fillId="0" borderId="2" xfId="2" applyNumberFormat="1" applyFont="1" applyBorder="1"/>
    <xf numFmtId="175" fontId="3" fillId="0" borderId="0" xfId="2" applyNumberFormat="1" applyFont="1"/>
    <xf numFmtId="174" fontId="3" fillId="0" borderId="0" xfId="0" applyNumberFormat="1" applyFont="1" applyAlignment="1">
      <alignment vertical="center"/>
    </xf>
    <xf numFmtId="167" fontId="3" fillId="0" borderId="0" xfId="0" applyNumberFormat="1" applyFont="1"/>
    <xf numFmtId="0" fontId="3" fillId="0" borderId="0" xfId="0" applyFont="1" applyAlignment="1">
      <alignment horizontal="right"/>
    </xf>
    <xf numFmtId="6" fontId="3" fillId="0" borderId="1" xfId="0" applyNumberFormat="1" applyFont="1" applyBorder="1"/>
    <xf numFmtId="0" fontId="4" fillId="0" borderId="0" xfId="0" applyFont="1" applyAlignment="1">
      <alignment horizontal="center"/>
    </xf>
    <xf numFmtId="43" fontId="3" fillId="0" borderId="0" xfId="1" applyFont="1" applyFill="1"/>
    <xf numFmtId="172" fontId="3" fillId="0" borderId="0" xfId="0" applyNumberFormat="1" applyFont="1"/>
    <xf numFmtId="0" fontId="3" fillId="0" borderId="6" xfId="0" applyFont="1" applyBorder="1"/>
    <xf numFmtId="166" fontId="3" fillId="0" borderId="0" xfId="1" applyNumberFormat="1" applyFont="1" applyFill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7" fontId="3" fillId="0" borderId="0" xfId="1" applyNumberFormat="1" applyFont="1" applyFill="1"/>
    <xf numFmtId="43" fontId="3" fillId="0" borderId="0" xfId="1" applyFont="1" applyFill="1" applyAlignment="1">
      <alignment horizontal="center"/>
    </xf>
    <xf numFmtId="174" fontId="3" fillId="0" borderId="0" xfId="0" applyNumberFormat="1" applyFont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164" fontId="5" fillId="0" borderId="5" xfId="1" applyNumberFormat="1" applyFont="1" applyBorder="1" applyAlignment="1">
      <alignment vertical="center"/>
    </xf>
    <xf numFmtId="0" fontId="3" fillId="0" borderId="0" xfId="1" applyNumberFormat="1" applyFont="1" applyFill="1"/>
    <xf numFmtId="0" fontId="3" fillId="3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8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165" fontId="3" fillId="3" borderId="0" xfId="0" applyNumberFormat="1" applyFont="1" applyFill="1"/>
    <xf numFmtId="173" fontId="3" fillId="0" borderId="0" xfId="0" applyNumberFormat="1" applyFont="1"/>
    <xf numFmtId="2" fontId="7" fillId="0" borderId="0" xfId="0" applyNumberFormat="1" applyFont="1"/>
    <xf numFmtId="43" fontId="7" fillId="0" borderId="0" xfId="1" applyFont="1"/>
    <xf numFmtId="6" fontId="4" fillId="5" borderId="1" xfId="0" applyNumberFormat="1" applyFont="1" applyFill="1" applyBorder="1"/>
    <xf numFmtId="43" fontId="4" fillId="0" borderId="0" xfId="1" applyFont="1" applyFill="1"/>
    <xf numFmtId="43" fontId="4" fillId="0" borderId="0" xfId="1" applyFont="1"/>
    <xf numFmtId="166" fontId="12" fillId="0" borderId="0" xfId="1" applyNumberFormat="1" applyFont="1" applyFill="1"/>
    <xf numFmtId="43" fontId="3" fillId="0" borderId="0" xfId="1" applyFont="1"/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70" fontId="4" fillId="0" borderId="0" xfId="2" applyNumberFormat="1" applyFont="1"/>
    <xf numFmtId="43" fontId="3" fillId="0" borderId="0" xfId="0" applyNumberFormat="1" applyFont="1"/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6"/>
  <sheetViews>
    <sheetView view="pageBreakPreview" zoomScaleNormal="75" zoomScaleSheetLayoutView="100" workbookViewId="0">
      <selection activeCell="P9" sqref="P9:U19"/>
    </sheetView>
  </sheetViews>
  <sheetFormatPr defaultColWidth="8.85546875" defaultRowHeight="12.75" x14ac:dyDescent="0.2"/>
  <cols>
    <col min="1" max="1" width="9" style="2" bestFit="1" customWidth="1"/>
    <col min="2" max="2" width="40.140625" style="2" bestFit="1" customWidth="1"/>
    <col min="3" max="3" width="5.85546875" style="10" bestFit="1" customWidth="1"/>
    <col min="4" max="4" width="13.2851562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1.28515625" style="2" customWidth="1"/>
    <col min="12" max="12" width="11.7109375" style="2" bestFit="1" customWidth="1"/>
    <col min="13" max="13" width="7.7109375" style="2" bestFit="1" customWidth="1"/>
    <col min="14" max="14" width="11.42578125" style="2" customWidth="1"/>
    <col min="15" max="15" width="11.85546875" style="2" customWidth="1"/>
    <col min="16" max="16" width="31.7109375" style="2" customWidth="1"/>
    <col min="17" max="17" width="9" style="2" bestFit="1" customWidth="1"/>
    <col min="18" max="18" width="14.5703125" style="2" customWidth="1"/>
    <col min="19" max="19" width="13.5703125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63</v>
      </c>
    </row>
    <row r="2" spans="1:22" x14ac:dyDescent="0.2">
      <c r="A2" s="1" t="s">
        <v>0</v>
      </c>
      <c r="P2" s="120"/>
      <c r="Q2" s="108"/>
    </row>
    <row r="3" spans="1:22" x14ac:dyDescent="0.2">
      <c r="A3" s="1"/>
      <c r="K3" s="12" t="s">
        <v>36</v>
      </c>
      <c r="L3" s="121">
        <f>L6+L5+L4</f>
        <v>2145247.7292217137</v>
      </c>
      <c r="P3" s="120"/>
      <c r="Q3" s="108"/>
    </row>
    <row r="4" spans="1:22" x14ac:dyDescent="0.2">
      <c r="A4" s="1"/>
      <c r="K4" s="12" t="s">
        <v>128</v>
      </c>
      <c r="L4" s="160">
        <v>199524.13047999889</v>
      </c>
      <c r="M4" s="4"/>
      <c r="P4" s="120"/>
      <c r="Q4" s="108"/>
    </row>
    <row r="5" spans="1:22" x14ac:dyDescent="0.2">
      <c r="A5" s="1"/>
      <c r="K5" s="12" t="s">
        <v>130</v>
      </c>
      <c r="L5" s="160">
        <v>196993.21726571489</v>
      </c>
      <c r="M5" s="4"/>
      <c r="P5" s="120"/>
      <c r="Q5" s="108"/>
    </row>
    <row r="6" spans="1:22" x14ac:dyDescent="0.2">
      <c r="A6" s="1"/>
      <c r="K6" s="12" t="s">
        <v>129</v>
      </c>
      <c r="L6" s="160">
        <v>1748730.381476</v>
      </c>
      <c r="M6" s="4"/>
      <c r="P6" s="120"/>
      <c r="Q6" s="114"/>
    </row>
    <row r="7" spans="1:22" x14ac:dyDescent="0.2">
      <c r="M7" s="4"/>
      <c r="N7" s="108"/>
    </row>
    <row r="8" spans="1:22" s="8" customFormat="1" ht="31.9" customHeight="1" x14ac:dyDescent="0.2">
      <c r="A8" s="6" t="s">
        <v>1</v>
      </c>
      <c r="B8" s="6" t="s">
        <v>2</v>
      </c>
      <c r="C8" s="7" t="s">
        <v>11</v>
      </c>
      <c r="D8" s="9" t="s">
        <v>126</v>
      </c>
      <c r="E8" s="9" t="s">
        <v>3</v>
      </c>
      <c r="F8" s="9" t="s">
        <v>20</v>
      </c>
      <c r="G8" s="9" t="s">
        <v>31</v>
      </c>
      <c r="H8" s="9" t="s">
        <v>32</v>
      </c>
      <c r="I8" s="9" t="s">
        <v>33</v>
      </c>
      <c r="J8" s="9" t="s">
        <v>4</v>
      </c>
      <c r="K8" s="9" t="s">
        <v>22</v>
      </c>
      <c r="L8" s="9" t="s">
        <v>44</v>
      </c>
      <c r="M8" s="7" t="s">
        <v>42</v>
      </c>
      <c r="N8" s="7" t="s">
        <v>43</v>
      </c>
      <c r="O8" s="9" t="s">
        <v>35</v>
      </c>
      <c r="Q8" s="2"/>
      <c r="R8" s="2"/>
      <c r="S8" s="2"/>
      <c r="T8" s="2"/>
      <c r="U8" s="2"/>
      <c r="V8" s="2"/>
    </row>
    <row r="9" spans="1:22" x14ac:dyDescent="0.2">
      <c r="A9" s="3">
        <v>1</v>
      </c>
      <c r="B9" s="13" t="s">
        <v>5</v>
      </c>
      <c r="C9" s="43"/>
      <c r="D9" s="13"/>
      <c r="E9" s="14"/>
      <c r="F9" s="15"/>
      <c r="G9" s="15"/>
      <c r="H9" s="8"/>
      <c r="I9" s="8"/>
      <c r="J9" s="14"/>
      <c r="K9" s="15"/>
      <c r="L9" s="14"/>
      <c r="M9" s="16"/>
      <c r="N9" s="16"/>
    </row>
    <row r="10" spans="1:22" x14ac:dyDescent="0.2">
      <c r="A10" s="3">
        <f>A9+1</f>
        <v>2</v>
      </c>
      <c r="B10" s="2" t="str">
        <f>'Billing Detail'!B7</f>
        <v>Sch I - Residential, Schools &amp; Churches</v>
      </c>
      <c r="C10" s="10" t="str">
        <f>'Billing Detail'!C7</f>
        <v>R1</v>
      </c>
      <c r="D10" s="17">
        <f>'Billing Detail'!G10</f>
        <v>27598299.603750002</v>
      </c>
      <c r="E10" s="17">
        <f>'Billing Detail'!I10</f>
        <v>32300169.004499998</v>
      </c>
      <c r="F10" s="16">
        <f t="shared" ref="F10:F18" si="0">E10/E$18</f>
        <v>0.70920077326242947</v>
      </c>
      <c r="G10" s="71">
        <f>E10</f>
        <v>32300169.004499998</v>
      </c>
      <c r="H10" s="72">
        <f t="shared" ref="H10:H17" si="1">G10/G$18</f>
        <v>0.70920077326242947</v>
      </c>
      <c r="I10" s="73">
        <f>ROUND(L$6*H10,2)</f>
        <v>1240200.94</v>
      </c>
      <c r="J10" s="17">
        <f>'Billing Detail'!M10</f>
        <v>33538244.050500002</v>
      </c>
      <c r="K10" s="16">
        <f t="shared" ref="K10:K18" si="2">J10/J$18</f>
        <v>0.70918278250552391</v>
      </c>
      <c r="L10" s="17">
        <f>'Billing Detail'!N10</f>
        <v>1238075.0460000029</v>
      </c>
      <c r="M10" s="16">
        <f>IF(E10=0,0,L10/E10)</f>
        <v>3.8330296223141019E-2</v>
      </c>
      <c r="N10" s="16">
        <f>'Billing Detail'!O16</f>
        <v>3.4328912836251051E-2</v>
      </c>
      <c r="O10" s="18">
        <f>J10-I10-E10</f>
        <v>-2125.8939999975264</v>
      </c>
      <c r="R10" s="108"/>
      <c r="S10" s="108"/>
      <c r="T10" s="108"/>
      <c r="U10" s="4"/>
    </row>
    <row r="11" spans="1:22" x14ac:dyDescent="0.2">
      <c r="A11" s="3">
        <f t="shared" ref="A11:A35" si="3">A10+1</f>
        <v>3</v>
      </c>
      <c r="B11" s="2" t="str">
        <f>'Billing Detail'!B19</f>
        <v>Sch I - Res TOD</v>
      </c>
      <c r="C11" s="10" t="str">
        <f>'Billing Detail'!C19</f>
        <v>TOD</v>
      </c>
      <c r="D11" s="17">
        <f>'Billing Detail'!G23</f>
        <v>5961.3499699999993</v>
      </c>
      <c r="E11" s="17">
        <f>'Billing Detail'!I23</f>
        <v>6754.6261399999994</v>
      </c>
      <c r="F11" s="16">
        <f t="shared" si="0"/>
        <v>1.4830839061304079E-4</v>
      </c>
      <c r="G11" s="71">
        <f t="shared" ref="G11:G17" si="4">E11</f>
        <v>6754.6261399999994</v>
      </c>
      <c r="H11" s="72">
        <f t="shared" si="1"/>
        <v>1.4830839061304079E-4</v>
      </c>
      <c r="I11" s="73">
        <f t="shared" ref="I11:I17" si="5">ROUND(L$6*H11,2)</f>
        <v>259.35000000000002</v>
      </c>
      <c r="J11" s="17">
        <f>'Billing Detail'!M23</f>
        <v>7013.5951999999997</v>
      </c>
      <c r="K11" s="16">
        <f t="shared" si="2"/>
        <v>1.4830594445594517E-4</v>
      </c>
      <c r="L11" s="17">
        <f>'Billing Detail'!N23</f>
        <v>258.96906000000035</v>
      </c>
      <c r="M11" s="16">
        <f t="shared" ref="M11:M17" si="6">IF(E11=0,0,L11/E11)</f>
        <v>3.8339510526929084E-2</v>
      </c>
      <c r="N11" s="16">
        <f>'Billing Detail'!O29</f>
        <v>3.4148888414835189E-2</v>
      </c>
      <c r="O11" s="18">
        <f t="shared" ref="O11:O17" si="7">J11-I11-E11</f>
        <v>-0.3809400000000096</v>
      </c>
      <c r="R11" s="108"/>
      <c r="S11" s="108"/>
      <c r="T11" s="108"/>
      <c r="U11" s="4"/>
    </row>
    <row r="12" spans="1:22" x14ac:dyDescent="0.2">
      <c r="A12" s="3">
        <f t="shared" si="3"/>
        <v>4</v>
      </c>
      <c r="B12" s="2" t="str">
        <f>'Billing Detail'!B32</f>
        <v>Sch II - Small Commercial  Small Power</v>
      </c>
      <c r="C12" s="10" t="str">
        <f>'Billing Detail'!C32</f>
        <v>C1</v>
      </c>
      <c r="D12" s="17">
        <f>'Billing Detail'!G36</f>
        <v>1527856.9393500001</v>
      </c>
      <c r="E12" s="17">
        <f>'Billing Detail'!I36</f>
        <v>1783143.73566</v>
      </c>
      <c r="F12" s="16">
        <f t="shared" si="0"/>
        <v>3.9151712054260351E-2</v>
      </c>
      <c r="G12" s="71">
        <f t="shared" si="4"/>
        <v>1783143.73566</v>
      </c>
      <c r="H12" s="72">
        <f t="shared" si="1"/>
        <v>3.9151712054260351E-2</v>
      </c>
      <c r="I12" s="73">
        <f t="shared" si="5"/>
        <v>68465.789999999994</v>
      </c>
      <c r="J12" s="17">
        <f>'Billing Detail'!M36</f>
        <v>1851522.3572</v>
      </c>
      <c r="K12" s="16">
        <f t="shared" si="2"/>
        <v>3.9151357333232439E-2</v>
      </c>
      <c r="L12" s="17">
        <f>'Billing Detail'!N36</f>
        <v>68378.621539999847</v>
      </c>
      <c r="M12" s="16">
        <f t="shared" si="6"/>
        <v>3.8347229206786675E-2</v>
      </c>
      <c r="N12" s="16">
        <f>'Billing Detail'!O42</f>
        <v>3.4324830067913627E-2</v>
      </c>
      <c r="O12" s="18">
        <f t="shared" si="7"/>
        <v>-87.168460000073537</v>
      </c>
      <c r="R12" s="108"/>
      <c r="S12" s="108"/>
      <c r="T12" s="108"/>
      <c r="U12" s="4"/>
    </row>
    <row r="13" spans="1:22" x14ac:dyDescent="0.2">
      <c r="A13" s="3">
        <f t="shared" si="3"/>
        <v>5</v>
      </c>
      <c r="B13" s="2" t="str">
        <f>'Billing Detail'!B45</f>
        <v>Sch II - Small Commercial  Small Power</v>
      </c>
      <c r="C13" s="10" t="str">
        <f>'Billing Detail'!C45</f>
        <v>C2</v>
      </c>
      <c r="D13" s="17">
        <f>'Billing Detail'!G50</f>
        <v>1083550.7837100001</v>
      </c>
      <c r="E13" s="17">
        <f>'Billing Detail'!I50</f>
        <v>1198382.4176004909</v>
      </c>
      <c r="F13" s="16">
        <f t="shared" si="0"/>
        <v>2.6312361929374493E-2</v>
      </c>
      <c r="G13" s="71">
        <f t="shared" si="4"/>
        <v>1198382.4176004909</v>
      </c>
      <c r="H13" s="72">
        <f t="shared" si="1"/>
        <v>2.6312361929374493E-2</v>
      </c>
      <c r="I13" s="73">
        <f t="shared" si="5"/>
        <v>46013.23</v>
      </c>
      <c r="J13" s="17">
        <f>'Billing Detail'!M50</f>
        <v>1244500.33528</v>
      </c>
      <c r="K13" s="16">
        <f t="shared" si="2"/>
        <v>2.6315576011492765E-2</v>
      </c>
      <c r="L13" s="17">
        <f>'Billing Detail'!N50</f>
        <v>46117.917679509104</v>
      </c>
      <c r="M13" s="16">
        <f t="shared" si="6"/>
        <v>3.8483473223723148E-2</v>
      </c>
      <c r="N13" s="16">
        <f>'Billing Detail'!O56</f>
        <v>3.4054650203431569E-2</v>
      </c>
      <c r="O13" s="18">
        <f t="shared" si="7"/>
        <v>104.68767950916663</v>
      </c>
      <c r="R13" s="108"/>
      <c r="S13" s="108"/>
      <c r="T13" s="108"/>
      <c r="U13" s="4"/>
    </row>
    <row r="14" spans="1:22" x14ac:dyDescent="0.2">
      <c r="A14" s="3">
        <f t="shared" si="3"/>
        <v>6</v>
      </c>
      <c r="B14" s="2" t="str">
        <f>'Billing Detail'!B59</f>
        <v>Sch VII - Inclining Block Rate</v>
      </c>
      <c r="C14" s="10" t="str">
        <f>'Billing Detail'!C59</f>
        <v>IB</v>
      </c>
      <c r="D14" s="17">
        <f>'Billing Detail'!G64</f>
        <v>82151.63758000001</v>
      </c>
      <c r="E14" s="17">
        <f>'Billing Detail'!I64</f>
        <v>102231.58535000001</v>
      </c>
      <c r="F14" s="16">
        <f t="shared" si="0"/>
        <v>2.2446544899490501E-3</v>
      </c>
      <c r="G14" s="71">
        <f t="shared" si="4"/>
        <v>102231.58535000001</v>
      </c>
      <c r="H14" s="72">
        <f t="shared" si="1"/>
        <v>2.2446544899490501E-3</v>
      </c>
      <c r="I14" s="73">
        <f t="shared" si="5"/>
        <v>3925.3</v>
      </c>
      <c r="J14" s="17">
        <f>'Billing Detail'!M64</f>
        <v>106170.69452</v>
      </c>
      <c r="K14" s="16">
        <f t="shared" si="2"/>
        <v>2.2450319237603336E-3</v>
      </c>
      <c r="L14" s="17">
        <f>'Billing Detail'!N64</f>
        <v>3939.1091699999961</v>
      </c>
      <c r="M14" s="16">
        <f>IF(E14=0,0,L14/E14)</f>
        <v>3.8531234319746324E-2</v>
      </c>
      <c r="N14" s="16">
        <f>'Billing Detail'!O70</f>
        <v>3.4908449479770516E-2</v>
      </c>
      <c r="O14" s="18">
        <f>J14-I14-E14</f>
        <v>13.809169999993173</v>
      </c>
      <c r="R14" s="108"/>
      <c r="S14" s="108"/>
      <c r="T14" s="108"/>
      <c r="U14" s="4"/>
    </row>
    <row r="15" spans="1:22" x14ac:dyDescent="0.2">
      <c r="A15" s="3">
        <f t="shared" si="3"/>
        <v>7</v>
      </c>
      <c r="B15" s="2" t="str">
        <f>'Billing Detail'!B73</f>
        <v>Sch III - All 3Phase Schools &amp; Churches</v>
      </c>
      <c r="C15" s="10" t="str">
        <f>'Billing Detail'!C73</f>
        <v>E1</v>
      </c>
      <c r="D15" s="17">
        <f>'Billing Detail'!G76</f>
        <v>994230.72593999992</v>
      </c>
      <c r="E15" s="17">
        <f>'Billing Detail'!I76</f>
        <v>1139586.0282000001</v>
      </c>
      <c r="F15" s="16">
        <f t="shared" si="0"/>
        <v>2.5021395160065713E-2</v>
      </c>
      <c r="G15" s="71">
        <f t="shared" si="4"/>
        <v>1139586.0282000001</v>
      </c>
      <c r="H15" s="72">
        <f t="shared" si="1"/>
        <v>2.5021395160065713E-2</v>
      </c>
      <c r="I15" s="73">
        <f t="shared" si="5"/>
        <v>43755.67</v>
      </c>
      <c r="J15" s="17">
        <f>'Billing Detail'!M76</f>
        <v>1183376.1563800001</v>
      </c>
      <c r="K15" s="16">
        <f t="shared" si="2"/>
        <v>2.5023074972815963E-2</v>
      </c>
      <c r="L15" s="17">
        <f>'Billing Detail'!N76</f>
        <v>43790.128179999941</v>
      </c>
      <c r="M15" s="16">
        <f t="shared" ref="M15" si="8">IF(E15=0,0,L15/E15)</f>
        <v>3.8426347021090955E-2</v>
      </c>
      <c r="N15" s="16">
        <f>'Billing Detail'!O82</f>
        <v>3.4425519494242419E-2</v>
      </c>
      <c r="O15" s="18">
        <f t="shared" ref="O15" si="9">J15-I15-E15</f>
        <v>34.458180000074208</v>
      </c>
      <c r="R15" s="108"/>
      <c r="S15" s="108"/>
      <c r="T15" s="108"/>
      <c r="U15" s="4"/>
    </row>
    <row r="16" spans="1:22" x14ac:dyDescent="0.2">
      <c r="A16" s="3">
        <f t="shared" si="3"/>
        <v>8</v>
      </c>
      <c r="B16" s="2" t="str">
        <f>'Billing Detail'!B85</f>
        <v>Sch IV-A - Large Power 50-2500 kW</v>
      </c>
      <c r="C16" s="10" t="str">
        <f>'Billing Detail'!C85</f>
        <v>L1</v>
      </c>
      <c r="D16" s="17">
        <f>'Billing Detail'!G89</f>
        <v>5728290.4111700011</v>
      </c>
      <c r="E16" s="17">
        <f>'Billing Detail'!I89</f>
        <v>7234647.6167531349</v>
      </c>
      <c r="F16" s="16">
        <f t="shared" si="0"/>
        <v>0.15884801356202502</v>
      </c>
      <c r="G16" s="71">
        <f t="shared" si="4"/>
        <v>7234647.6167531349</v>
      </c>
      <c r="H16" s="72">
        <f t="shared" si="1"/>
        <v>0.15884801356202502</v>
      </c>
      <c r="I16" s="73">
        <f t="shared" si="5"/>
        <v>277782.34999999998</v>
      </c>
      <c r="J16" s="17">
        <f>'Billing Detail'!M89</f>
        <v>7512492.3987138439</v>
      </c>
      <c r="K16" s="16">
        <f t="shared" si="2"/>
        <v>0.15885537283494286</v>
      </c>
      <c r="L16" s="17">
        <f>'Billing Detail'!N89</f>
        <v>277844.78196071042</v>
      </c>
      <c r="M16" s="16">
        <f t="shared" ref="M16" si="10">IF(E16=0,0,L16/E16)</f>
        <v>3.8404742936934563E-2</v>
      </c>
      <c r="N16" s="37">
        <f>'Billing Detail'!O95</f>
        <v>3.4742885347498219E-2</v>
      </c>
      <c r="O16" s="18">
        <f t="shared" si="7"/>
        <v>62.431960709393024</v>
      </c>
      <c r="R16" s="108"/>
      <c r="S16" s="108"/>
      <c r="T16" s="108"/>
      <c r="U16" s="4"/>
    </row>
    <row r="17" spans="1:21" x14ac:dyDescent="0.2">
      <c r="A17" s="3">
        <f t="shared" si="3"/>
        <v>9</v>
      </c>
      <c r="B17" s="2" t="str">
        <f>'Billing Detail'!B98</f>
        <v>Lighting</v>
      </c>
      <c r="C17" s="10" t="str">
        <f>'Billing Detail'!C98</f>
        <v>VI</v>
      </c>
      <c r="D17" s="17">
        <f>'Billing Detail'!G111</f>
        <v>1678603.51</v>
      </c>
      <c r="E17" s="17">
        <f>'Billing Detail'!I111</f>
        <v>1779548.8699999999</v>
      </c>
      <c r="F17" s="16">
        <f t="shared" si="0"/>
        <v>3.9072781151282987E-2</v>
      </c>
      <c r="G17" s="71">
        <f t="shared" si="4"/>
        <v>1779548.8699999999</v>
      </c>
      <c r="H17" s="72">
        <f t="shared" si="1"/>
        <v>3.9072781151282987E-2</v>
      </c>
      <c r="I17" s="73">
        <f t="shared" si="5"/>
        <v>68327.759999999995</v>
      </c>
      <c r="J17" s="17">
        <f>'Billing Detail'!M111</f>
        <v>1848076.76</v>
      </c>
      <c r="K17" s="16">
        <f t="shared" si="2"/>
        <v>3.9078498473776063E-2</v>
      </c>
      <c r="L17" s="17">
        <f t="shared" ref="L17" si="11">J17-E17</f>
        <v>68527.89000000013</v>
      </c>
      <c r="M17" s="16">
        <f t="shared" si="6"/>
        <v>3.8508574366940614E-2</v>
      </c>
      <c r="N17" s="16">
        <f>'Billing Detail'!O117</f>
        <v>4.0789862152553029E-2</v>
      </c>
      <c r="O17" s="18">
        <f t="shared" si="7"/>
        <v>200.13000000012107</v>
      </c>
      <c r="R17" s="108"/>
      <c r="S17" s="108"/>
      <c r="T17" s="108"/>
      <c r="U17" s="4"/>
    </row>
    <row r="18" spans="1:21" ht="16.149999999999999" customHeight="1" x14ac:dyDescent="0.2">
      <c r="A18" s="3">
        <f t="shared" si="3"/>
        <v>10</v>
      </c>
      <c r="B18" s="19" t="s">
        <v>41</v>
      </c>
      <c r="C18" s="44"/>
      <c r="D18" s="20">
        <f>SUM(D10:D17)</f>
        <v>38698944.96147</v>
      </c>
      <c r="E18" s="20">
        <f>SUM(E10:E17)</f>
        <v>45544463.88420362</v>
      </c>
      <c r="F18" s="21">
        <f t="shared" si="0"/>
        <v>1</v>
      </c>
      <c r="G18" s="20">
        <f>SUM(G10:G17)</f>
        <v>45544463.88420362</v>
      </c>
      <c r="H18" s="21">
        <v>1</v>
      </c>
      <c r="I18" s="20">
        <f>SUM(I10:I17)</f>
        <v>1748730.39</v>
      </c>
      <c r="J18" s="20">
        <f>SUM(J10:J17)</f>
        <v>47291396.347793832</v>
      </c>
      <c r="K18" s="21">
        <f t="shared" si="2"/>
        <v>1</v>
      </c>
      <c r="L18" s="20">
        <f>SUM(L10:L17)</f>
        <v>1746932.4635902224</v>
      </c>
      <c r="M18" s="21">
        <f t="shared" ref="M18" si="12">L18/E18</f>
        <v>3.8356636890748828E-2</v>
      </c>
      <c r="N18" s="21"/>
      <c r="O18" s="20">
        <f>SUM(O10:O17)</f>
        <v>-1797.9264097788518</v>
      </c>
      <c r="R18" s="108"/>
      <c r="S18" s="108"/>
      <c r="T18" s="108"/>
      <c r="U18" s="4"/>
    </row>
    <row r="19" spans="1:21" ht="16.149999999999999" customHeight="1" x14ac:dyDescent="0.2">
      <c r="A19" s="3">
        <f t="shared" si="3"/>
        <v>11</v>
      </c>
      <c r="D19" s="22"/>
      <c r="E19" s="22"/>
      <c r="F19" s="23"/>
      <c r="G19" s="22"/>
      <c r="H19" s="23"/>
      <c r="I19" s="22"/>
      <c r="J19" s="22"/>
      <c r="K19" s="23"/>
      <c r="L19" s="22"/>
      <c r="M19" s="23"/>
      <c r="N19" s="23"/>
      <c r="O19" s="18"/>
    </row>
    <row r="20" spans="1:21" x14ac:dyDescent="0.2">
      <c r="A20" s="3">
        <f t="shared" si="3"/>
        <v>12</v>
      </c>
      <c r="B20" s="74" t="str">
        <f>'Billing Detail'!B132</f>
        <v xml:space="preserve">Sch V-B- Large Power </v>
      </c>
      <c r="C20" s="58" t="str">
        <f>'Billing Detail'!C132</f>
        <v>V-B</v>
      </c>
      <c r="D20" s="109">
        <f>'Billing Detail'!G137</f>
        <v>2906041.0855514565</v>
      </c>
      <c r="E20" s="109">
        <f>'Billing Detail'!I137</f>
        <v>2906041.0855514565</v>
      </c>
      <c r="F20" s="16">
        <v>1</v>
      </c>
      <c r="G20" s="111">
        <f t="shared" ref="G20" si="13">E20</f>
        <v>2906041.0855514565</v>
      </c>
      <c r="H20" s="37">
        <v>1</v>
      </c>
      <c r="I20" s="112">
        <f>L4</f>
        <v>199524.13047999889</v>
      </c>
      <c r="J20" s="17">
        <f>'Billing Detail'!M137</f>
        <v>3105565.2160314559</v>
      </c>
      <c r="K20" s="16">
        <f>J20/J$20</f>
        <v>1</v>
      </c>
      <c r="L20" s="17">
        <f>'Billing Detail'!N137</f>
        <v>199524.13047999926</v>
      </c>
      <c r="M20" s="16">
        <f t="shared" ref="M20" si="14">IF(E20=0,0,L20/E20)</f>
        <v>6.8658399728762656E-2</v>
      </c>
      <c r="N20" s="37">
        <f>'Billing Detail'!O143</f>
        <v>5.3514736630193703E-2</v>
      </c>
      <c r="O20" s="18">
        <f t="shared" ref="O20" si="15">J20-I20-E20</f>
        <v>0</v>
      </c>
    </row>
    <row r="21" spans="1:21" x14ac:dyDescent="0.2">
      <c r="A21" s="3">
        <f t="shared" si="3"/>
        <v>13</v>
      </c>
      <c r="B21" s="74" t="str">
        <f>'Billing Detail'!B119</f>
        <v xml:space="preserve">Sch V-C- Large Power </v>
      </c>
      <c r="C21" s="58" t="str">
        <f>'Billing Detail'!C119</f>
        <v>V-C</v>
      </c>
      <c r="D21" s="109">
        <f>'Billing Detail'!G124</f>
        <v>2653369.7765040002</v>
      </c>
      <c r="E21" s="109">
        <f>'Billing Detail'!I124</f>
        <v>2653369.7765040002</v>
      </c>
      <c r="F21" s="110">
        <v>1</v>
      </c>
      <c r="G21" s="71">
        <f>E21</f>
        <v>2653369.7765040002</v>
      </c>
      <c r="H21" s="72">
        <f>G21/G$21</f>
        <v>1</v>
      </c>
      <c r="I21" s="73">
        <f>L5</f>
        <v>196993.21726571489</v>
      </c>
      <c r="J21" s="109">
        <f>'Billing Detail'!M124</f>
        <v>2850227.1593200001</v>
      </c>
      <c r="K21" s="110">
        <f>J21/J$21</f>
        <v>1</v>
      </c>
      <c r="L21" s="109">
        <f>'Billing Detail'!N124</f>
        <v>196857.38281599976</v>
      </c>
      <c r="M21" s="110">
        <f>IF(E21=0,0,L21/E21)</f>
        <v>7.4191461951214774E-2</v>
      </c>
      <c r="N21" s="72">
        <f>'Billing Detail'!O130</f>
        <v>6.000103231315506E-2</v>
      </c>
      <c r="O21" s="79">
        <f>J21-I21-E21</f>
        <v>-135.83444971498102</v>
      </c>
    </row>
    <row r="22" spans="1:21" ht="16.149999999999999" customHeight="1" x14ac:dyDescent="0.2">
      <c r="A22" s="3">
        <f t="shared" si="3"/>
        <v>14</v>
      </c>
      <c r="D22" s="22"/>
      <c r="E22" s="22"/>
      <c r="F22" s="23"/>
      <c r="G22" s="22"/>
      <c r="H22" s="23"/>
      <c r="I22" s="22"/>
      <c r="J22" s="22"/>
      <c r="K22" s="23"/>
      <c r="L22" s="22"/>
      <c r="M22" s="23"/>
      <c r="N22" s="23"/>
      <c r="O22" s="18"/>
    </row>
    <row r="23" spans="1:21" ht="16.149999999999999" customHeight="1" x14ac:dyDescent="0.2">
      <c r="A23" s="3">
        <f t="shared" si="3"/>
        <v>15</v>
      </c>
      <c r="B23" s="24" t="s">
        <v>40</v>
      </c>
      <c r="C23" s="45"/>
      <c r="D23" s="25">
        <f>D18+D20+D21</f>
        <v>44258355.823525459</v>
      </c>
      <c r="E23" s="25">
        <f>E18+E20+E21</f>
        <v>51103874.746259078</v>
      </c>
      <c r="F23" s="64"/>
      <c r="G23" s="25">
        <f>G18+G20+G21</f>
        <v>51103874.746259078</v>
      </c>
      <c r="H23" s="64"/>
      <c r="I23" s="25">
        <f>I18+I20+I21</f>
        <v>2145247.7377457134</v>
      </c>
      <c r="J23" s="25">
        <f>J18+J20+J21</f>
        <v>53247188.723145284</v>
      </c>
      <c r="K23" s="64"/>
      <c r="L23" s="25">
        <f>L18+L20+L21</f>
        <v>2143313.9768862217</v>
      </c>
      <c r="M23" s="64"/>
      <c r="N23" s="25"/>
      <c r="O23" s="25">
        <f>O18+O20+O21</f>
        <v>-1933.7608594938329</v>
      </c>
    </row>
    <row r="24" spans="1:21" ht="12.6" customHeight="1" x14ac:dyDescent="0.2">
      <c r="A24" s="3">
        <f t="shared" si="3"/>
        <v>16</v>
      </c>
      <c r="S24" s="17"/>
    </row>
    <row r="25" spans="1:21" x14ac:dyDescent="0.2">
      <c r="A25" s="3">
        <f t="shared" si="3"/>
        <v>17</v>
      </c>
      <c r="B25" s="13" t="s">
        <v>7</v>
      </c>
      <c r="C25" s="43"/>
      <c r="D25" s="13"/>
    </row>
    <row r="26" spans="1:21" x14ac:dyDescent="0.2">
      <c r="A26" s="3">
        <f t="shared" si="3"/>
        <v>18</v>
      </c>
      <c r="B26" s="2" t="str">
        <f>'Billing Detail'!D11</f>
        <v xml:space="preserve">    FAC</v>
      </c>
      <c r="D26" s="17">
        <f>'Billing Detail'!G149</f>
        <v>5900110.5699999994</v>
      </c>
      <c r="E26" s="17">
        <f>'Billing Detail'!I149</f>
        <v>197408.59915757217</v>
      </c>
      <c r="F26" s="26"/>
      <c r="G26" s="27"/>
      <c r="H26" s="27"/>
      <c r="I26" s="27"/>
      <c r="J26" s="17">
        <f>'Billing Detail'!M149</f>
        <v>197408.59915757217</v>
      </c>
      <c r="K26" s="28"/>
      <c r="L26" s="28"/>
      <c r="M26" s="27"/>
      <c r="N26" s="27"/>
    </row>
    <row r="27" spans="1:21" x14ac:dyDescent="0.2">
      <c r="A27" s="3">
        <f t="shared" si="3"/>
        <v>19</v>
      </c>
      <c r="B27" s="2" t="str">
        <f>'Billing Detail'!D12</f>
        <v xml:space="preserve">    ES</v>
      </c>
      <c r="D27" s="17">
        <f>'Billing Detail'!G150</f>
        <v>5960795.5999999996</v>
      </c>
      <c r="E27" s="17">
        <f>'Billing Detail'!I150</f>
        <v>5960795.5999999996</v>
      </c>
      <c r="F27" s="27"/>
      <c r="G27" s="27"/>
      <c r="H27" s="27"/>
      <c r="I27" s="27"/>
      <c r="J27" s="17">
        <f>'Billing Detail'!M150</f>
        <v>5960795.5999999996</v>
      </c>
      <c r="K27" s="28"/>
      <c r="L27" s="28"/>
      <c r="M27" s="27"/>
      <c r="N27" s="27"/>
    </row>
    <row r="28" spans="1:21" x14ac:dyDescent="0.2">
      <c r="A28" s="3">
        <f t="shared" si="3"/>
        <v>20</v>
      </c>
      <c r="B28" s="2" t="str">
        <f>'Billing Detail'!D13</f>
        <v xml:space="preserve">    Other</v>
      </c>
      <c r="D28" s="17">
        <f>'Billing Detail'!G151</f>
        <v>228278.09</v>
      </c>
      <c r="E28" s="17">
        <f>'Billing Detail'!I151</f>
        <v>228278.09</v>
      </c>
      <c r="F28" s="27"/>
      <c r="G28" s="27"/>
      <c r="H28" s="27"/>
      <c r="I28" s="27"/>
      <c r="J28" s="17">
        <f>'Billing Detail'!M151</f>
        <v>228278.09</v>
      </c>
      <c r="K28" s="28"/>
      <c r="L28" s="28"/>
      <c r="M28" s="27"/>
      <c r="N28" s="27"/>
    </row>
    <row r="29" spans="1:21" x14ac:dyDescent="0.2">
      <c r="A29" s="3">
        <f t="shared" si="3"/>
        <v>21</v>
      </c>
      <c r="B29" s="2" t="str">
        <f>'Billing Detail'!D14</f>
        <v xml:space="preserve">    Other</v>
      </c>
      <c r="D29" s="17">
        <f>'Billing Detail'!G152</f>
        <v>0</v>
      </c>
      <c r="E29" s="17">
        <f>'Billing Detail'!I152</f>
        <v>0</v>
      </c>
      <c r="F29" s="27"/>
      <c r="G29" s="27"/>
      <c r="H29" s="27"/>
      <c r="I29" s="27"/>
      <c r="J29" s="17">
        <f>'Billing Detail'!M152</f>
        <v>0</v>
      </c>
      <c r="K29" s="28"/>
      <c r="L29" s="28"/>
      <c r="M29" s="27"/>
      <c r="N29" s="36"/>
    </row>
    <row r="30" spans="1:21" x14ac:dyDescent="0.2">
      <c r="A30" s="3">
        <f t="shared" si="3"/>
        <v>22</v>
      </c>
      <c r="B30" s="19" t="s">
        <v>8</v>
      </c>
      <c r="C30" s="44"/>
      <c r="D30" s="20">
        <f>SUM(D26:D29)</f>
        <v>12089184.259999998</v>
      </c>
      <c r="E30" s="20">
        <f>SUM(E26:E29)</f>
        <v>6386482.2891575713</v>
      </c>
      <c r="F30" s="29"/>
      <c r="G30" s="29"/>
      <c r="H30" s="29"/>
      <c r="I30" s="29"/>
      <c r="J30" s="20">
        <f>SUM(J26:J29)</f>
        <v>6386482.2891575713</v>
      </c>
      <c r="K30" s="30"/>
      <c r="L30" s="30"/>
      <c r="M30" s="29"/>
      <c r="N30" s="27"/>
    </row>
    <row r="31" spans="1:21" x14ac:dyDescent="0.2">
      <c r="A31" s="3">
        <f t="shared" si="3"/>
        <v>23</v>
      </c>
    </row>
    <row r="32" spans="1:21" ht="18" customHeight="1" thickBot="1" x14ac:dyDescent="0.25">
      <c r="A32" s="3">
        <f t="shared" si="3"/>
        <v>24</v>
      </c>
      <c r="B32" s="31" t="s">
        <v>9</v>
      </c>
      <c r="C32" s="46"/>
      <c r="D32" s="32">
        <f>D23+D30</f>
        <v>56347540.083525456</v>
      </c>
      <c r="E32" s="32">
        <f>E23+E30</f>
        <v>57490357.035416648</v>
      </c>
      <c r="F32" s="33"/>
      <c r="G32" s="33"/>
      <c r="H32" s="33"/>
      <c r="I32" s="33"/>
      <c r="J32" s="32">
        <f>J23+J30</f>
        <v>59633671.012302853</v>
      </c>
      <c r="K32" s="34"/>
      <c r="L32" s="33">
        <f t="shared" ref="L32" si="16">J32-E32</f>
        <v>2143313.9768862054</v>
      </c>
      <c r="M32" s="31"/>
      <c r="N32" s="35">
        <f>L32/E32</f>
        <v>3.7281277894409798E-2</v>
      </c>
    </row>
    <row r="33" spans="1:12" ht="18" customHeight="1" thickTop="1" x14ac:dyDescent="0.2">
      <c r="A33" s="3">
        <f t="shared" si="3"/>
        <v>25</v>
      </c>
      <c r="B33" s="2" t="s">
        <v>10</v>
      </c>
      <c r="D33" s="22">
        <v>56345655</v>
      </c>
      <c r="L33" s="22">
        <f>L3</f>
        <v>2145247.7292217137</v>
      </c>
    </row>
    <row r="34" spans="1:12" ht="15" customHeight="1" x14ac:dyDescent="0.2">
      <c r="A34" s="3">
        <f t="shared" si="3"/>
        <v>26</v>
      </c>
      <c r="B34" s="19" t="s">
        <v>37</v>
      </c>
      <c r="C34" s="44"/>
      <c r="D34" s="20">
        <f>D32-D33</f>
        <v>1885.0835254564881</v>
      </c>
      <c r="E34" s="19"/>
      <c r="F34" s="19"/>
      <c r="G34" s="19"/>
      <c r="H34" s="19"/>
      <c r="I34" s="19"/>
      <c r="J34" s="19"/>
      <c r="K34" s="19"/>
      <c r="L34" s="20">
        <f>L32-L33</f>
        <v>-1933.752335508354</v>
      </c>
    </row>
    <row r="35" spans="1:12" ht="15" customHeight="1" x14ac:dyDescent="0.2">
      <c r="A35" s="3">
        <f t="shared" si="3"/>
        <v>27</v>
      </c>
      <c r="B35" s="2" t="s">
        <v>37</v>
      </c>
      <c r="D35" s="16">
        <f>D34/D33</f>
        <v>3.3455703469175893E-5</v>
      </c>
      <c r="L35" s="16">
        <f>L34/L33</f>
        <v>-9.0141213490989715E-4</v>
      </c>
    </row>
    <row r="36" spans="1:12" x14ac:dyDescent="0.2">
      <c r="A36" s="3"/>
    </row>
  </sheetData>
  <pageMargins left="0.7" right="0.7" top="0.75" bottom="0.75" header="0.3" footer="0.3"/>
  <pageSetup scale="69" orientation="landscape" r:id="rId1"/>
  <headerFooter>
    <oddHeader>&amp;R&amp;"Arial,Bold"&amp;10Exhibit 4
Page &amp;P of &amp;N</oddHeader>
  </headerFooter>
  <ignoredErrors>
    <ignoredError sqref="F18 J16 J10:J13 G10:G15 G16 G17 K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188"/>
  <sheetViews>
    <sheetView view="pageBreakPreview" zoomScale="75" zoomScaleNormal="75" zoomScaleSheetLayoutView="75" workbookViewId="0">
      <pane xSplit="4" ySplit="5" topLeftCell="E113" activePane="bottomRight" state="frozen"/>
      <selection activeCell="Q23" sqref="Q23"/>
      <selection pane="topRight" activeCell="Q23" sqref="Q23"/>
      <selection pane="bottomLeft" activeCell="Q23" sqref="Q23"/>
      <selection pane="bottomRight" activeCell="E144" sqref="E144"/>
    </sheetView>
  </sheetViews>
  <sheetFormatPr defaultColWidth="8.85546875" defaultRowHeight="12.75" x14ac:dyDescent="0.2"/>
  <cols>
    <col min="1" max="1" width="5.85546875" style="88" customWidth="1"/>
    <col min="2" max="2" width="24.28515625" style="74" customWidth="1"/>
    <col min="3" max="3" width="5.85546875" style="58" bestFit="1" customWidth="1"/>
    <col min="4" max="4" width="32.7109375" style="74" bestFit="1" customWidth="1"/>
    <col min="5" max="5" width="18.7109375" style="2" customWidth="1"/>
    <col min="6" max="6" width="17.7109375" style="74" customWidth="1"/>
    <col min="7" max="7" width="16.7109375" style="74" customWidth="1"/>
    <col min="8" max="8" width="12.28515625" style="74" bestFit="1" customWidth="1"/>
    <col min="9" max="9" width="15.28515625" style="2" bestFit="1" customWidth="1"/>
    <col min="10" max="10" width="8.5703125" style="2" bestFit="1" customWidth="1"/>
    <col min="11" max="11" width="13.42578125" style="2" customWidth="1"/>
    <col min="12" max="12" width="12" style="2" customWidth="1"/>
    <col min="13" max="13" width="15.42578125" style="2" customWidth="1"/>
    <col min="14" max="14" width="13" style="2" customWidth="1"/>
    <col min="15" max="15" width="7.7109375" style="2" customWidth="1"/>
    <col min="16" max="16" width="11.5703125" style="2" customWidth="1"/>
    <col min="17" max="17" width="10.5703125" style="2" customWidth="1"/>
    <col min="18" max="18" width="14.140625" style="2" customWidth="1"/>
    <col min="19" max="19" width="12.7109375" style="2" customWidth="1"/>
    <col min="20" max="20" width="14.140625" style="2" customWidth="1"/>
    <col min="21" max="21" width="8.85546875" style="2" customWidth="1"/>
    <col min="22" max="22" width="9.42578125" style="2" customWidth="1"/>
    <col min="23" max="23" width="15.28515625" style="2" customWidth="1"/>
    <col min="24" max="24" width="11.7109375" style="2" customWidth="1"/>
    <col min="25" max="25" width="11" style="2" bestFit="1" customWidth="1"/>
    <col min="26" max="16384" width="8.85546875" style="2"/>
  </cols>
  <sheetData>
    <row r="1" spans="1:23" x14ac:dyDescent="0.2">
      <c r="A1" s="85" t="str">
        <f>Summary!A1</f>
        <v>CUMBERLAND VALLEY ELECTRIC</v>
      </c>
      <c r="F1" s="78"/>
    </row>
    <row r="2" spans="1:23" ht="14.45" customHeight="1" x14ac:dyDescent="0.2">
      <c r="A2" s="85" t="str">
        <f>Summary!A2</f>
        <v>Billing Analysis for Pass-Through Rate Increase</v>
      </c>
      <c r="F2" s="86"/>
      <c r="G2" s="87"/>
      <c r="H2" s="122"/>
      <c r="P2" s="140"/>
    </row>
    <row r="4" spans="1:23" x14ac:dyDescent="0.2">
      <c r="W4" s="66"/>
    </row>
    <row r="5" spans="1:23" ht="38.450000000000003" customHeight="1" x14ac:dyDescent="0.2">
      <c r="A5" s="89" t="s">
        <v>1</v>
      </c>
      <c r="B5" s="89" t="s">
        <v>12</v>
      </c>
      <c r="C5" s="90" t="s">
        <v>11</v>
      </c>
      <c r="D5" s="89" t="s">
        <v>13</v>
      </c>
      <c r="E5" s="9" t="s">
        <v>14</v>
      </c>
      <c r="F5" s="75" t="s">
        <v>118</v>
      </c>
      <c r="G5" s="75" t="s">
        <v>119</v>
      </c>
      <c r="H5" s="75" t="s">
        <v>23</v>
      </c>
      <c r="I5" s="9" t="s">
        <v>24</v>
      </c>
      <c r="J5" s="9" t="s">
        <v>51</v>
      </c>
      <c r="K5" s="9" t="s">
        <v>10</v>
      </c>
      <c r="L5" s="9" t="s">
        <v>21</v>
      </c>
      <c r="M5" s="9" t="s">
        <v>4</v>
      </c>
      <c r="N5" s="9" t="s">
        <v>15</v>
      </c>
      <c r="O5" s="7" t="s">
        <v>16</v>
      </c>
      <c r="P5" s="9" t="s">
        <v>22</v>
      </c>
      <c r="Q5" s="9" t="s">
        <v>25</v>
      </c>
      <c r="R5" s="9" t="s">
        <v>38</v>
      </c>
      <c r="T5" s="9" t="s">
        <v>34</v>
      </c>
      <c r="W5" s="67"/>
    </row>
    <row r="6" spans="1:23" ht="30.6" customHeight="1" thickBot="1" x14ac:dyDescent="0.25">
      <c r="A6" s="91"/>
      <c r="B6" s="92"/>
      <c r="C6" s="93"/>
      <c r="D6" s="92"/>
      <c r="E6" s="135"/>
      <c r="F6" s="76"/>
      <c r="G6" s="76"/>
      <c r="H6" s="76"/>
      <c r="I6" s="135"/>
      <c r="J6" s="135"/>
      <c r="K6" s="135"/>
      <c r="L6" s="135"/>
      <c r="M6" s="135"/>
      <c r="N6" s="135"/>
      <c r="O6" s="141"/>
      <c r="P6" s="135"/>
      <c r="Q6" s="135"/>
      <c r="R6" s="135"/>
    </row>
    <row r="7" spans="1:23" x14ac:dyDescent="0.2">
      <c r="A7" s="94">
        <v>1</v>
      </c>
      <c r="B7" s="170" t="s">
        <v>64</v>
      </c>
      <c r="C7" s="95" t="s">
        <v>88</v>
      </c>
      <c r="D7" s="77"/>
      <c r="E7" s="125"/>
      <c r="F7" s="77"/>
      <c r="G7" s="77"/>
      <c r="H7" s="77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23" x14ac:dyDescent="0.2">
      <c r="A8" s="94">
        <f>A7+1</f>
        <v>2</v>
      </c>
      <c r="B8" s="171"/>
      <c r="C8" s="74"/>
      <c r="D8" s="74" t="s">
        <v>17</v>
      </c>
      <c r="E8" s="136">
        <v>269736</v>
      </c>
      <c r="F8" s="78">
        <v>17.62</v>
      </c>
      <c r="G8" s="96">
        <f>F8*E8</f>
        <v>4752748.32</v>
      </c>
      <c r="H8" s="123">
        <v>22.25</v>
      </c>
      <c r="I8" s="142">
        <f>H8*E8</f>
        <v>6001626</v>
      </c>
      <c r="J8" s="143">
        <f>I8/I10</f>
        <v>0.18580788227962103</v>
      </c>
      <c r="K8" s="143"/>
      <c r="L8" s="123">
        <f>ROUND(H8*S10,2)</f>
        <v>23.1</v>
      </c>
      <c r="M8" s="142">
        <f>L8*E8</f>
        <v>6230901.6000000006</v>
      </c>
      <c r="N8" s="142">
        <f t="shared" ref="N8:N13" si="0">M8-I8</f>
        <v>229275.60000000056</v>
      </c>
      <c r="O8" s="143">
        <f>IF(I8=0,0,N8/I8)</f>
        <v>3.8202247191011326E-2</v>
      </c>
      <c r="P8" s="143">
        <f>M8/M10</f>
        <v>0.18578496806862815</v>
      </c>
      <c r="Q8" s="144">
        <f>P8-J8</f>
        <v>-2.2914210992874828E-5</v>
      </c>
      <c r="R8" s="144"/>
      <c r="T8" s="4">
        <f>L8/H8-1</f>
        <v>3.8202247191011285E-2</v>
      </c>
      <c r="W8" s="68"/>
    </row>
    <row r="9" spans="1:23" x14ac:dyDescent="0.2">
      <c r="A9" s="94">
        <f t="shared" ref="A9:A76" si="1">A8+1</f>
        <v>3</v>
      </c>
      <c r="B9" s="78"/>
      <c r="D9" s="74" t="s">
        <v>47</v>
      </c>
      <c r="E9" s="136">
        <v>268297725</v>
      </c>
      <c r="F9" s="87">
        <v>8.5150000000000003E-2</v>
      </c>
      <c r="G9" s="96">
        <f t="shared" ref="G9" si="2">F9*E9</f>
        <v>22845551.283750001</v>
      </c>
      <c r="H9" s="126">
        <v>9.8019999999999996E-2</v>
      </c>
      <c r="I9" s="142">
        <f t="shared" ref="I9" si="3">H9*E9</f>
        <v>26298543.004499998</v>
      </c>
      <c r="J9" s="143">
        <f>I9/I10</f>
        <v>0.81419211772037892</v>
      </c>
      <c r="K9" s="143"/>
      <c r="L9" s="124">
        <f>ROUND(H9*S10,5)</f>
        <v>0.10178</v>
      </c>
      <c r="M9" s="142">
        <f t="shared" ref="M9" si="4">L9*E9</f>
        <v>27307342.4505</v>
      </c>
      <c r="N9" s="142">
        <f t="shared" si="0"/>
        <v>1008799.4460000023</v>
      </c>
      <c r="O9" s="143">
        <f t="shared" ref="O9" si="5">IF(I9=0,0,N9/I9)</f>
        <v>3.8359518465619351E-2</v>
      </c>
      <c r="P9" s="143">
        <f>M9/M10</f>
        <v>0.81421503193137179</v>
      </c>
      <c r="Q9" s="144">
        <f t="shared" ref="Q9:Q10" si="6">P9-J9</f>
        <v>2.2914210992874828E-5</v>
      </c>
      <c r="R9" s="144"/>
      <c r="T9" s="4">
        <f>L9/H9-1</f>
        <v>3.8359518465619358E-2</v>
      </c>
      <c r="W9" s="68"/>
    </row>
    <row r="10" spans="1:23" s="5" customFormat="1" ht="20.45" customHeight="1" x14ac:dyDescent="0.25">
      <c r="A10" s="94">
        <f t="shared" si="1"/>
        <v>4</v>
      </c>
      <c r="B10" s="88"/>
      <c r="C10" s="83"/>
      <c r="D10" s="84" t="s">
        <v>6</v>
      </c>
      <c r="E10" s="127"/>
      <c r="F10" s="84"/>
      <c r="G10" s="11">
        <f>SUM(G8:G9)</f>
        <v>27598299.603750002</v>
      </c>
      <c r="H10" s="127"/>
      <c r="I10" s="145">
        <f>SUM(I8:I9)</f>
        <v>32300169.004499998</v>
      </c>
      <c r="J10" s="146">
        <f>SUM(J8:J9)</f>
        <v>1</v>
      </c>
      <c r="K10" s="147">
        <f>I10+Summary!I10</f>
        <v>33540369.944499999</v>
      </c>
      <c r="L10" s="127"/>
      <c r="M10" s="145">
        <f>SUM(M8:M9)</f>
        <v>33538244.050500002</v>
      </c>
      <c r="N10" s="145">
        <f>SUM(N8:N9)</f>
        <v>1238075.0460000029</v>
      </c>
      <c r="O10" s="146">
        <f t="shared" ref="O10" si="7">N10/I10</f>
        <v>3.8330296223141019E-2</v>
      </c>
      <c r="P10" s="146">
        <f>SUM(P8:P9)</f>
        <v>1</v>
      </c>
      <c r="Q10" s="148">
        <f t="shared" si="6"/>
        <v>0</v>
      </c>
      <c r="R10" s="149">
        <f>M10-K10</f>
        <v>-2125.8939999975264</v>
      </c>
      <c r="S10" s="47">
        <f>K10/I10</f>
        <v>1.038396113030468</v>
      </c>
    </row>
    <row r="11" spans="1:23" x14ac:dyDescent="0.2">
      <c r="A11" s="94">
        <f t="shared" si="1"/>
        <v>5</v>
      </c>
      <c r="D11" s="74" t="s">
        <v>26</v>
      </c>
      <c r="G11" s="96">
        <v>3269676.6399999997</v>
      </c>
      <c r="H11" s="2"/>
      <c r="I11" s="18">
        <f>G11-($H$179*E9)</f>
        <v>106446.4622499994</v>
      </c>
      <c r="K11" s="18"/>
      <c r="M11" s="142">
        <f>I11</f>
        <v>106446.4622499994</v>
      </c>
      <c r="N11" s="142">
        <f t="shared" si="0"/>
        <v>0</v>
      </c>
      <c r="O11" s="123">
        <v>0</v>
      </c>
      <c r="R11" s="150"/>
    </row>
    <row r="12" spans="1:23" x14ac:dyDescent="0.2">
      <c r="A12" s="94">
        <f t="shared" si="1"/>
        <v>6</v>
      </c>
      <c r="D12" s="74" t="s">
        <v>27</v>
      </c>
      <c r="G12" s="96">
        <v>3658466.23</v>
      </c>
      <c r="H12" s="2"/>
      <c r="I12" s="18">
        <f>G12</f>
        <v>3658466.23</v>
      </c>
      <c r="M12" s="142">
        <f t="shared" ref="M12:M14" si="8">I12</f>
        <v>3658466.23</v>
      </c>
      <c r="N12" s="142">
        <f t="shared" si="0"/>
        <v>0</v>
      </c>
      <c r="O12" s="123">
        <v>0</v>
      </c>
    </row>
    <row r="13" spans="1:23" x14ac:dyDescent="0.2">
      <c r="A13" s="94">
        <f t="shared" si="1"/>
        <v>7</v>
      </c>
      <c r="D13" s="74" t="s">
        <v>39</v>
      </c>
      <c r="E13" s="136"/>
      <c r="F13" s="78"/>
      <c r="G13" s="96">
        <f>F13*E13</f>
        <v>0</v>
      </c>
      <c r="H13" s="2"/>
      <c r="I13" s="18">
        <f>G13</f>
        <v>0</v>
      </c>
      <c r="M13" s="142">
        <f t="shared" si="8"/>
        <v>0</v>
      </c>
      <c r="N13" s="142">
        <f t="shared" si="0"/>
        <v>0</v>
      </c>
      <c r="O13" s="123">
        <v>0</v>
      </c>
    </row>
    <row r="14" spans="1:23" x14ac:dyDescent="0.2">
      <c r="A14" s="94">
        <f t="shared" si="1"/>
        <v>8</v>
      </c>
      <c r="D14" s="74" t="s">
        <v>39</v>
      </c>
      <c r="G14" s="96">
        <v>0</v>
      </c>
      <c r="H14" s="2"/>
      <c r="I14" s="18">
        <f>G14</f>
        <v>0</v>
      </c>
      <c r="M14" s="142">
        <f t="shared" si="8"/>
        <v>0</v>
      </c>
      <c r="N14" s="142"/>
      <c r="O14" s="123">
        <v>0</v>
      </c>
    </row>
    <row r="15" spans="1:23" x14ac:dyDescent="0.2">
      <c r="A15" s="94">
        <f t="shared" si="1"/>
        <v>9</v>
      </c>
      <c r="D15" s="80" t="s">
        <v>8</v>
      </c>
      <c r="E15" s="24"/>
      <c r="F15" s="80"/>
      <c r="G15" s="98">
        <f>SUM(G11:G14)</f>
        <v>6928142.8699999992</v>
      </c>
      <c r="H15" s="24"/>
      <c r="I15" s="151">
        <f>SUM(I11:I14)</f>
        <v>3764912.6922499994</v>
      </c>
      <c r="J15" s="24"/>
      <c r="K15" s="24"/>
      <c r="L15" s="24"/>
      <c r="M15" s="151">
        <f>SUM(M11:M14)</f>
        <v>3764912.6922499994</v>
      </c>
      <c r="N15" s="151">
        <f>M15-I15</f>
        <v>0</v>
      </c>
      <c r="O15" s="152">
        <v>0</v>
      </c>
    </row>
    <row r="16" spans="1:23" s="5" customFormat="1" ht="26.45" customHeight="1" thickBot="1" x14ac:dyDescent="0.25">
      <c r="A16" s="94">
        <f t="shared" si="1"/>
        <v>10</v>
      </c>
      <c r="B16" s="88"/>
      <c r="C16" s="83"/>
      <c r="D16" s="81" t="s">
        <v>19</v>
      </c>
      <c r="E16" s="128"/>
      <c r="F16" s="81"/>
      <c r="G16" s="99">
        <f>G10+G15</f>
        <v>34526442.473750003</v>
      </c>
      <c r="H16" s="128"/>
      <c r="I16" s="134">
        <f>I15+I10</f>
        <v>36065081.69675</v>
      </c>
      <c r="J16" s="128"/>
      <c r="K16" s="128"/>
      <c r="L16" s="128"/>
      <c r="M16" s="153">
        <f>M15+M10</f>
        <v>37303156.742750004</v>
      </c>
      <c r="N16" s="153">
        <f>M16-I16</f>
        <v>1238075.0460000038</v>
      </c>
      <c r="O16" s="154">
        <f>N16/I16</f>
        <v>3.4328912836251051E-2</v>
      </c>
      <c r="P16" s="2"/>
      <c r="Q16" s="2"/>
      <c r="R16" s="2"/>
      <c r="W16" s="2"/>
    </row>
    <row r="17" spans="1:23" ht="13.5" thickTop="1" x14ac:dyDescent="0.2">
      <c r="A17" s="94">
        <f t="shared" si="1"/>
        <v>11</v>
      </c>
      <c r="D17" s="74" t="s">
        <v>18</v>
      </c>
      <c r="E17" s="123">
        <f>E9/E8</f>
        <v>994.66784188984786</v>
      </c>
      <c r="G17" s="101">
        <f>G16/E8</f>
        <v>128.00086927125042</v>
      </c>
      <c r="H17" s="2"/>
      <c r="I17" s="155">
        <f>I16/E8</f>
        <v>133.70511054049143</v>
      </c>
      <c r="M17" s="155">
        <f>M16/E8</f>
        <v>138.29506162599728</v>
      </c>
      <c r="N17" s="155">
        <f>M17-I17</f>
        <v>4.5899510855058452</v>
      </c>
      <c r="O17" s="143">
        <f>N17/I17</f>
        <v>3.4328912836251071E-2</v>
      </c>
    </row>
    <row r="18" spans="1:23" ht="13.5" thickBot="1" x14ac:dyDescent="0.25">
      <c r="A18" s="94">
        <f t="shared" si="1"/>
        <v>12</v>
      </c>
      <c r="H18" s="2"/>
    </row>
    <row r="19" spans="1:23" x14ac:dyDescent="0.2">
      <c r="A19" s="94">
        <f t="shared" si="1"/>
        <v>13</v>
      </c>
      <c r="B19" s="77" t="s">
        <v>65</v>
      </c>
      <c r="C19" s="95" t="s">
        <v>66</v>
      </c>
      <c r="D19" s="77"/>
      <c r="E19" s="125"/>
      <c r="F19" s="77"/>
      <c r="G19" s="77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1:23" x14ac:dyDescent="0.2">
      <c r="A20" s="94">
        <f t="shared" si="1"/>
        <v>14</v>
      </c>
      <c r="C20" s="74"/>
      <c r="D20" s="74" t="s">
        <v>17</v>
      </c>
      <c r="E20" s="136">
        <v>102</v>
      </c>
      <c r="F20" s="78">
        <v>20.73</v>
      </c>
      <c r="G20" s="96">
        <f>F20*E20</f>
        <v>2114.46</v>
      </c>
      <c r="H20" s="123">
        <v>22.25</v>
      </c>
      <c r="I20" s="142">
        <f>H20*E20</f>
        <v>2269.5</v>
      </c>
      <c r="J20" s="143">
        <f>I20/I23</f>
        <v>0.33599194877127575</v>
      </c>
      <c r="K20" s="143"/>
      <c r="L20" s="123">
        <f>ROUND(H20*S23,2)</f>
        <v>23.1</v>
      </c>
      <c r="M20" s="142">
        <f>L20*E20</f>
        <v>2356.2000000000003</v>
      </c>
      <c r="N20" s="142">
        <f>M20-I20</f>
        <v>86.700000000000273</v>
      </c>
      <c r="O20" s="143">
        <f>IF(I20=0,0,N20/I20)</f>
        <v>3.8202247191011354E-2</v>
      </c>
      <c r="P20" s="143">
        <f>M20/M$23</f>
        <v>0.33594753230126545</v>
      </c>
      <c r="Q20" s="144">
        <f>P20-J20</f>
        <v>-4.4416470010300024E-5</v>
      </c>
      <c r="R20" s="144"/>
      <c r="W20" s="68"/>
    </row>
    <row r="21" spans="1:23" x14ac:dyDescent="0.2">
      <c r="A21" s="94">
        <f t="shared" si="1"/>
        <v>15</v>
      </c>
      <c r="D21" s="74" t="s">
        <v>48</v>
      </c>
      <c r="E21" s="136">
        <v>22519</v>
      </c>
      <c r="F21" s="87">
        <v>0.10115</v>
      </c>
      <c r="G21" s="96">
        <f t="shared" ref="G21" si="9">F21*E21</f>
        <v>2277.7968500000002</v>
      </c>
      <c r="H21" s="126">
        <v>0.11402</v>
      </c>
      <c r="I21" s="142">
        <f t="shared" ref="I21" si="10">H21*E21</f>
        <v>2567.6163799999999</v>
      </c>
      <c r="J21" s="143">
        <f>I21/I23</f>
        <v>0.3801270902019161</v>
      </c>
      <c r="K21" s="143"/>
      <c r="L21" s="126">
        <f>ROUND(H21*S23,5)</f>
        <v>0.11840000000000001</v>
      </c>
      <c r="M21" s="142">
        <f t="shared" ref="M21" si="11">L21*E21</f>
        <v>2666.2496000000001</v>
      </c>
      <c r="N21" s="142">
        <f t="shared" ref="N21" si="12">M21-I21</f>
        <v>98.633220000000165</v>
      </c>
      <c r="O21" s="143">
        <f t="shared" ref="O21" si="13">IF(I21=0,0,N21/I21)</f>
        <v>3.8414313278372282E-2</v>
      </c>
      <c r="P21" s="143">
        <f>M21/M$23</f>
        <v>0.38015447484052117</v>
      </c>
      <c r="Q21" s="144">
        <f t="shared" ref="Q21" si="14">P21-J21</f>
        <v>2.7384638605076894E-5</v>
      </c>
      <c r="R21" s="144"/>
      <c r="T21" s="4">
        <f>L21/H21-1</f>
        <v>3.8414313278372303E-2</v>
      </c>
      <c r="W21" s="68"/>
    </row>
    <row r="22" spans="1:23" x14ac:dyDescent="0.2">
      <c r="A22" s="94">
        <f t="shared" si="1"/>
        <v>16</v>
      </c>
      <c r="D22" s="74" t="s">
        <v>49</v>
      </c>
      <c r="E22" s="136">
        <v>27072</v>
      </c>
      <c r="F22" s="87">
        <v>5.7959999999999998E-2</v>
      </c>
      <c r="G22" s="96">
        <f t="shared" ref="G22" si="15">F22*E22</f>
        <v>1569.09312</v>
      </c>
      <c r="H22" s="126">
        <v>7.0830000000000004E-2</v>
      </c>
      <c r="I22" s="142">
        <f t="shared" ref="I22" si="16">H22*E22</f>
        <v>1917.5097600000001</v>
      </c>
      <c r="J22" s="143">
        <f>I22/I23</f>
        <v>0.28388096102680827</v>
      </c>
      <c r="K22" s="143"/>
      <c r="L22" s="126">
        <f>ROUND(H22*S23,5)</f>
        <v>7.3550000000000004E-2</v>
      </c>
      <c r="M22" s="142">
        <f t="shared" ref="M22" si="17">L22*E22</f>
        <v>1991.1456000000001</v>
      </c>
      <c r="N22" s="142">
        <f t="shared" ref="N22" si="18">M22-I22</f>
        <v>73.635839999999916</v>
      </c>
      <c r="O22" s="143">
        <f t="shared" ref="O22" si="19">IF(I22=0,0,N22/I22)</f>
        <v>3.8401807143865548E-2</v>
      </c>
      <c r="P22" s="143">
        <f>M22/M$23</f>
        <v>0.28389799285821343</v>
      </c>
      <c r="Q22" s="144">
        <f t="shared" ref="Q22" si="20">P22-J22</f>
        <v>1.7031831405167619E-5</v>
      </c>
      <c r="R22" s="144"/>
      <c r="T22" s="4">
        <f>L22/H22-1</f>
        <v>3.8401807143865652E-2</v>
      </c>
      <c r="W22" s="68"/>
    </row>
    <row r="23" spans="1:23" s="5" customFormat="1" ht="20.45" customHeight="1" x14ac:dyDescent="0.2">
      <c r="A23" s="94">
        <f t="shared" si="1"/>
        <v>17</v>
      </c>
      <c r="B23" s="88"/>
      <c r="C23" s="83"/>
      <c r="D23" s="84" t="s">
        <v>6</v>
      </c>
      <c r="E23" s="127"/>
      <c r="F23" s="84"/>
      <c r="G23" s="11">
        <f>SUM(G20:G22)</f>
        <v>5961.3499699999993</v>
      </c>
      <c r="H23" s="127"/>
      <c r="I23" s="145">
        <f>SUM(I20:I22)</f>
        <v>6754.6261399999994</v>
      </c>
      <c r="J23" s="146">
        <f>SUM(J20:J22)</f>
        <v>1</v>
      </c>
      <c r="K23" s="147">
        <f>I23+Summary!I11</f>
        <v>7013.9761399999998</v>
      </c>
      <c r="L23" s="127"/>
      <c r="M23" s="145">
        <f>SUM(M20:M22)</f>
        <v>7013.5951999999997</v>
      </c>
      <c r="N23" s="145">
        <f>SUM(N20:N22)</f>
        <v>258.96906000000035</v>
      </c>
      <c r="O23" s="146">
        <f t="shared" ref="O23" si="21">N23/I23</f>
        <v>3.8339510526929084E-2</v>
      </c>
      <c r="P23" s="146">
        <f>SUM(P20:P22)</f>
        <v>1</v>
      </c>
      <c r="Q23" s="148">
        <f t="shared" ref="Q23" si="22">P23-J23</f>
        <v>0</v>
      </c>
      <c r="R23" s="149">
        <f>M23-K23</f>
        <v>-0.3809400000000096</v>
      </c>
      <c r="S23" s="47">
        <f>K23/I23</f>
        <v>1.0383959074306368</v>
      </c>
      <c r="W23" s="2"/>
    </row>
    <row r="24" spans="1:23" x14ac:dyDescent="0.2">
      <c r="A24" s="94">
        <f t="shared" si="1"/>
        <v>18</v>
      </c>
      <c r="D24" s="74" t="s">
        <v>26</v>
      </c>
      <c r="G24" s="96">
        <v>711.32</v>
      </c>
      <c r="H24" s="2"/>
      <c r="I24" s="18">
        <f>G24-($H$179*(E21+E22))</f>
        <v>126.64211</v>
      </c>
      <c r="K24" s="18"/>
      <c r="M24" s="142">
        <f>I24</f>
        <v>126.64211</v>
      </c>
      <c r="N24" s="142">
        <f t="shared" ref="N24:N29" si="23">M24-I24</f>
        <v>0</v>
      </c>
      <c r="O24" s="123">
        <v>0</v>
      </c>
    </row>
    <row r="25" spans="1:23" x14ac:dyDescent="0.2">
      <c r="A25" s="94">
        <f t="shared" si="1"/>
        <v>19</v>
      </c>
      <c r="D25" s="74" t="s">
        <v>27</v>
      </c>
      <c r="G25" s="96">
        <v>702.2600000000001</v>
      </c>
      <c r="H25" s="2"/>
      <c r="I25" s="18">
        <f t="shared" ref="I25:I27" si="24">G25</f>
        <v>702.2600000000001</v>
      </c>
      <c r="M25" s="142">
        <f t="shared" ref="M25:M27" si="25">I25</f>
        <v>702.2600000000001</v>
      </c>
      <c r="N25" s="142">
        <f t="shared" si="23"/>
        <v>0</v>
      </c>
      <c r="O25" s="123">
        <v>0</v>
      </c>
    </row>
    <row r="26" spans="1:23" x14ac:dyDescent="0.2">
      <c r="A26" s="94">
        <f t="shared" si="1"/>
        <v>20</v>
      </c>
      <c r="D26" s="74" t="s">
        <v>29</v>
      </c>
      <c r="G26" s="96">
        <v>0</v>
      </c>
      <c r="H26" s="2"/>
      <c r="I26" s="18">
        <f t="shared" si="24"/>
        <v>0</v>
      </c>
      <c r="M26" s="142">
        <f t="shared" si="25"/>
        <v>0</v>
      </c>
      <c r="N26" s="142">
        <f t="shared" si="23"/>
        <v>0</v>
      </c>
      <c r="O26" s="123">
        <v>0</v>
      </c>
    </row>
    <row r="27" spans="1:23" x14ac:dyDescent="0.2">
      <c r="A27" s="94">
        <f t="shared" si="1"/>
        <v>21</v>
      </c>
      <c r="D27" s="74" t="s">
        <v>39</v>
      </c>
      <c r="G27" s="96">
        <v>0</v>
      </c>
      <c r="H27" s="2"/>
      <c r="I27" s="18">
        <f t="shared" si="24"/>
        <v>0</v>
      </c>
      <c r="M27" s="142">
        <f t="shared" si="25"/>
        <v>0</v>
      </c>
      <c r="N27" s="142"/>
      <c r="O27" s="123"/>
    </row>
    <row r="28" spans="1:23" x14ac:dyDescent="0.2">
      <c r="A28" s="94">
        <f t="shared" si="1"/>
        <v>22</v>
      </c>
      <c r="D28" s="80" t="s">
        <v>8</v>
      </c>
      <c r="E28" s="24"/>
      <c r="F28" s="80"/>
      <c r="G28" s="98">
        <f>SUM(G24:G27)</f>
        <v>1413.5800000000002</v>
      </c>
      <c r="H28" s="24"/>
      <c r="I28" s="151">
        <f>SUM(I24:I27)</f>
        <v>828.90211000000011</v>
      </c>
      <c r="J28" s="24"/>
      <c r="K28" s="24"/>
      <c r="L28" s="24"/>
      <c r="M28" s="151">
        <f>SUM(M24:M27)</f>
        <v>828.90211000000011</v>
      </c>
      <c r="N28" s="151">
        <f t="shared" si="23"/>
        <v>0</v>
      </c>
      <c r="O28" s="152">
        <f t="shared" ref="O28" si="26">N28-J28</f>
        <v>0</v>
      </c>
    </row>
    <row r="29" spans="1:23" s="5" customFormat="1" ht="26.45" customHeight="1" thickBot="1" x14ac:dyDescent="0.25">
      <c r="A29" s="94">
        <f t="shared" si="1"/>
        <v>23</v>
      </c>
      <c r="B29" s="88"/>
      <c r="C29" s="83"/>
      <c r="D29" s="81" t="s">
        <v>19</v>
      </c>
      <c r="E29" s="128"/>
      <c r="F29" s="81"/>
      <c r="G29" s="99">
        <f>G23+G28</f>
        <v>7374.9299699999992</v>
      </c>
      <c r="H29" s="128"/>
      <c r="I29" s="134">
        <f>I28+I23</f>
        <v>7583.5282499999994</v>
      </c>
      <c r="J29" s="128"/>
      <c r="K29" s="128"/>
      <c r="L29" s="128"/>
      <c r="M29" s="153">
        <f>M28+M23</f>
        <v>7842.4973099999997</v>
      </c>
      <c r="N29" s="153">
        <f t="shared" si="23"/>
        <v>258.96906000000035</v>
      </c>
      <c r="O29" s="154">
        <f>N29/I29</f>
        <v>3.4148888414835189E-2</v>
      </c>
      <c r="P29" s="2"/>
      <c r="Q29" s="2"/>
      <c r="R29" s="2"/>
    </row>
    <row r="30" spans="1:23" ht="13.5" thickTop="1" x14ac:dyDescent="0.2">
      <c r="A30" s="94">
        <f t="shared" si="1"/>
        <v>24</v>
      </c>
      <c r="D30" s="74" t="s">
        <v>18</v>
      </c>
      <c r="E30" s="123">
        <f>(E21+E22)/E20</f>
        <v>486.18627450980392</v>
      </c>
      <c r="G30" s="101">
        <f>G29/E20</f>
        <v>72.303234999999987</v>
      </c>
      <c r="H30" s="2"/>
      <c r="I30" s="155">
        <f>I29/E20</f>
        <v>74.348316176470576</v>
      </c>
      <c r="M30" s="155">
        <f>M29/E20</f>
        <v>76.887228529411757</v>
      </c>
      <c r="N30" s="155">
        <f>M30-I30</f>
        <v>2.5389123529411819</v>
      </c>
      <c r="O30" s="143">
        <f>N30/I30</f>
        <v>3.4148888414835217E-2</v>
      </c>
    </row>
    <row r="31" spans="1:23" ht="13.5" thickBot="1" x14ac:dyDescent="0.25">
      <c r="A31" s="94">
        <f t="shared" si="1"/>
        <v>25</v>
      </c>
      <c r="H31" s="2"/>
    </row>
    <row r="32" spans="1:23" x14ac:dyDescent="0.2">
      <c r="A32" s="94">
        <f t="shared" si="1"/>
        <v>26</v>
      </c>
      <c r="B32" s="170" t="s">
        <v>67</v>
      </c>
      <c r="C32" s="95" t="s">
        <v>68</v>
      </c>
      <c r="D32" s="77"/>
      <c r="E32" s="125"/>
      <c r="F32" s="77"/>
      <c r="G32" s="77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23" x14ac:dyDescent="0.2">
      <c r="A33" s="94">
        <f t="shared" si="1"/>
        <v>27</v>
      </c>
      <c r="B33" s="171"/>
      <c r="C33" s="74"/>
      <c r="D33" s="74" t="s">
        <v>17</v>
      </c>
      <c r="E33" s="136">
        <v>15343</v>
      </c>
      <c r="F33" s="78">
        <v>19.690000000000001</v>
      </c>
      <c r="G33" s="96">
        <f>F33*E33</f>
        <v>302103.67000000004</v>
      </c>
      <c r="H33" s="123">
        <v>24.32</v>
      </c>
      <c r="I33" s="142">
        <f>H33*E33</f>
        <v>373141.76000000001</v>
      </c>
      <c r="J33" s="143">
        <f>I33/I36</f>
        <v>0.20926061793997106</v>
      </c>
      <c r="K33" s="143"/>
      <c r="L33" s="123">
        <f>ROUND(H33*S36,2)</f>
        <v>25.25</v>
      </c>
      <c r="M33" s="142">
        <f>L33*E33</f>
        <v>387410.75</v>
      </c>
      <c r="N33" s="142">
        <f>M33-I33</f>
        <v>14268.989999999991</v>
      </c>
      <c r="O33" s="143">
        <f>IF(I33=0,0,N33/I33)</f>
        <v>3.8240131578947345E-2</v>
      </c>
      <c r="P33" s="143">
        <f>M33/M$36</f>
        <v>0.20923903429709015</v>
      </c>
      <c r="Q33" s="144">
        <f>P33-J33</f>
        <v>-2.1583642880906861E-5</v>
      </c>
      <c r="R33" s="144"/>
      <c r="T33" s="4">
        <f>L33/H33-1</f>
        <v>3.8240131578947345E-2</v>
      </c>
      <c r="W33" s="68"/>
    </row>
    <row r="34" spans="1:23" x14ac:dyDescent="0.2">
      <c r="A34" s="94">
        <f t="shared" si="1"/>
        <v>28</v>
      </c>
      <c r="D34" s="74" t="s">
        <v>69</v>
      </c>
      <c r="E34" s="136">
        <v>10819343</v>
      </c>
      <c r="F34" s="87">
        <v>8.5330000000000003E-2</v>
      </c>
      <c r="G34" s="96">
        <f t="shared" ref="G34" si="27">F34*E34</f>
        <v>923214.53818999999</v>
      </c>
      <c r="H34" s="126">
        <v>9.8000000000000004E-2</v>
      </c>
      <c r="I34" s="142">
        <f t="shared" ref="I34" si="28">H34*E34</f>
        <v>1060295.6140000001</v>
      </c>
      <c r="J34" s="143">
        <f>I34/I36</f>
        <v>0.59462150627332899</v>
      </c>
      <c r="K34" s="143"/>
      <c r="L34" s="124">
        <f>ROUND(H34*S36,5)</f>
        <v>0.10176</v>
      </c>
      <c r="M34" s="142">
        <f t="shared" ref="M34" si="29">L34*E34</f>
        <v>1100976.3436799999</v>
      </c>
      <c r="N34" s="142">
        <f t="shared" ref="N34" si="30">M34-I34</f>
        <v>40680.729679999873</v>
      </c>
      <c r="O34" s="143">
        <f t="shared" ref="O34" si="31">IF(I34=0,0,N34/I34)</f>
        <v>3.8367346938775387E-2</v>
      </c>
      <c r="P34" s="143">
        <f t="shared" ref="P34:P35" si="32">M34/M$36</f>
        <v>0.59463302692438047</v>
      </c>
      <c r="Q34" s="144">
        <f t="shared" ref="Q34" si="33">P34-J34</f>
        <v>1.1520651051477593E-5</v>
      </c>
      <c r="R34" s="144"/>
      <c r="T34" s="4">
        <f>L34/H34-1</f>
        <v>3.8367346938775526E-2</v>
      </c>
      <c r="W34" s="68"/>
    </row>
    <row r="35" spans="1:23" x14ac:dyDescent="0.2">
      <c r="A35" s="94">
        <f t="shared" si="1"/>
        <v>29</v>
      </c>
      <c r="D35" s="74" t="s">
        <v>70</v>
      </c>
      <c r="E35" s="136">
        <v>3699422</v>
      </c>
      <c r="F35" s="87">
        <v>8.1780000000000005E-2</v>
      </c>
      <c r="G35" s="96">
        <f t="shared" ref="G35" si="34">F35*E35</f>
        <v>302538.73116000002</v>
      </c>
      <c r="H35" s="126">
        <v>9.4530000000000003E-2</v>
      </c>
      <c r="I35" s="142">
        <f t="shared" ref="I35" si="35">H35*E35</f>
        <v>349706.36166</v>
      </c>
      <c r="J35" s="143">
        <f>I35/I36</f>
        <v>0.19611787578669995</v>
      </c>
      <c r="K35" s="143"/>
      <c r="L35" s="124">
        <f>ROUND(H35*S36,5)</f>
        <v>9.8159999999999997E-2</v>
      </c>
      <c r="M35" s="142">
        <f t="shared" ref="M35" si="36">L35*E35</f>
        <v>363135.26351999998</v>
      </c>
      <c r="N35" s="142">
        <f t="shared" ref="N35:N43" si="37">M35-I35</f>
        <v>13428.901859999984</v>
      </c>
      <c r="O35" s="143">
        <f t="shared" ref="O35" si="38">IF(I35=0,0,N35/I35)</f>
        <v>3.840050777530938E-2</v>
      </c>
      <c r="P35" s="143">
        <f t="shared" si="32"/>
        <v>0.19612793877852938</v>
      </c>
      <c r="Q35" s="144">
        <f t="shared" ref="Q35:Q36" si="39">P35-J35</f>
        <v>1.0062991829429269E-5</v>
      </c>
      <c r="R35" s="144"/>
      <c r="T35" s="4">
        <f>L35/H35-1</f>
        <v>3.8400507775309345E-2</v>
      </c>
      <c r="W35" s="68"/>
    </row>
    <row r="36" spans="1:23" s="5" customFormat="1" ht="20.45" customHeight="1" x14ac:dyDescent="0.2">
      <c r="A36" s="94">
        <f t="shared" si="1"/>
        <v>30</v>
      </c>
      <c r="B36" s="88"/>
      <c r="C36" s="83"/>
      <c r="D36" s="84" t="s">
        <v>6</v>
      </c>
      <c r="E36" s="127"/>
      <c r="F36" s="84"/>
      <c r="G36" s="11">
        <f>SUM(G33:G35)</f>
        <v>1527856.9393500001</v>
      </c>
      <c r="H36" s="127"/>
      <c r="I36" s="145">
        <f>SUM(I33:I35)</f>
        <v>1783143.73566</v>
      </c>
      <c r="J36" s="146">
        <f>SUM(J33:J35)</f>
        <v>1</v>
      </c>
      <c r="K36" s="147">
        <f>I36+Summary!I12</f>
        <v>1851609.52566</v>
      </c>
      <c r="L36" s="127"/>
      <c r="M36" s="145">
        <f>SUM(M33:M35)</f>
        <v>1851522.3572</v>
      </c>
      <c r="N36" s="145">
        <f>SUM(N33:N35)</f>
        <v>68378.621539999847</v>
      </c>
      <c r="O36" s="146">
        <f t="shared" ref="O36" si="40">N36/I36</f>
        <v>3.8347229206786675E-2</v>
      </c>
      <c r="P36" s="146">
        <f>SUM(P33:P35)</f>
        <v>1</v>
      </c>
      <c r="Q36" s="148">
        <f t="shared" si="39"/>
        <v>0</v>
      </c>
      <c r="R36" s="149">
        <f>M36-K36</f>
        <v>-87.168460000073537</v>
      </c>
      <c r="S36" s="47">
        <f>K36/I36</f>
        <v>1.0383961139143159</v>
      </c>
      <c r="W36" s="2"/>
    </row>
    <row r="37" spans="1:23" x14ac:dyDescent="0.2">
      <c r="A37" s="94">
        <f t="shared" si="1"/>
        <v>31</v>
      </c>
      <c r="D37" s="74" t="s">
        <v>26</v>
      </c>
      <c r="G37" s="96">
        <v>175771.94000000003</v>
      </c>
      <c r="H37" s="2"/>
      <c r="I37" s="18">
        <f>G37-($H$179*(E34+E35))</f>
        <v>4595.7006500000425</v>
      </c>
      <c r="K37" s="18"/>
      <c r="M37" s="142">
        <f>I37</f>
        <v>4595.7006500000425</v>
      </c>
      <c r="N37" s="142">
        <f t="shared" si="37"/>
        <v>0</v>
      </c>
      <c r="O37" s="123">
        <v>0</v>
      </c>
    </row>
    <row r="38" spans="1:23" x14ac:dyDescent="0.2">
      <c r="A38" s="94">
        <f t="shared" si="1"/>
        <v>32</v>
      </c>
      <c r="D38" s="74" t="s">
        <v>27</v>
      </c>
      <c r="G38" s="96">
        <v>203834.25999999998</v>
      </c>
      <c r="H38" s="2"/>
      <c r="I38" s="18">
        <f t="shared" ref="I38:I40" si="41">G38</f>
        <v>203834.25999999998</v>
      </c>
      <c r="M38" s="142">
        <f t="shared" ref="M38:M40" si="42">I38</f>
        <v>203834.25999999998</v>
      </c>
      <c r="N38" s="142">
        <f t="shared" si="37"/>
        <v>0</v>
      </c>
      <c r="O38" s="123">
        <v>0</v>
      </c>
    </row>
    <row r="39" spans="1:23" x14ac:dyDescent="0.2">
      <c r="A39" s="94">
        <f t="shared" si="1"/>
        <v>33</v>
      </c>
      <c r="D39" s="74" t="s">
        <v>29</v>
      </c>
      <c r="G39" s="96">
        <v>530.02</v>
      </c>
      <c r="H39" s="2"/>
      <c r="I39" s="18">
        <f t="shared" si="41"/>
        <v>530.02</v>
      </c>
      <c r="M39" s="142">
        <f t="shared" si="42"/>
        <v>530.02</v>
      </c>
      <c r="N39" s="142">
        <f t="shared" si="37"/>
        <v>0</v>
      </c>
      <c r="O39" s="123">
        <v>0</v>
      </c>
    </row>
    <row r="40" spans="1:23" x14ac:dyDescent="0.2">
      <c r="A40" s="94">
        <f t="shared" si="1"/>
        <v>34</v>
      </c>
      <c r="D40" s="74" t="s">
        <v>39</v>
      </c>
      <c r="G40" s="96">
        <v>0</v>
      </c>
      <c r="H40" s="2"/>
      <c r="I40" s="18">
        <f t="shared" si="41"/>
        <v>0</v>
      </c>
      <c r="M40" s="142">
        <f t="shared" si="42"/>
        <v>0</v>
      </c>
      <c r="N40" s="142"/>
      <c r="O40" s="123"/>
    </row>
    <row r="41" spans="1:23" x14ac:dyDescent="0.2">
      <c r="A41" s="94">
        <f t="shared" si="1"/>
        <v>35</v>
      </c>
      <c r="D41" s="80" t="s">
        <v>8</v>
      </c>
      <c r="E41" s="24"/>
      <c r="F41" s="80"/>
      <c r="G41" s="98">
        <f>SUM(G37:G40)</f>
        <v>380136.22000000003</v>
      </c>
      <c r="H41" s="24"/>
      <c r="I41" s="151">
        <f>SUM(I37:I40)</f>
        <v>208959.98065000001</v>
      </c>
      <c r="J41" s="24"/>
      <c r="K41" s="24"/>
      <c r="L41" s="24"/>
      <c r="M41" s="151">
        <f>SUM(M37:M40)</f>
        <v>208959.98065000001</v>
      </c>
      <c r="N41" s="151">
        <f t="shared" si="37"/>
        <v>0</v>
      </c>
      <c r="O41" s="152">
        <f t="shared" ref="O41" si="43">N41-J41</f>
        <v>0</v>
      </c>
    </row>
    <row r="42" spans="1:23" s="5" customFormat="1" ht="26.45" customHeight="1" thickBot="1" x14ac:dyDescent="0.25">
      <c r="A42" s="94">
        <f t="shared" si="1"/>
        <v>36</v>
      </c>
      <c r="B42" s="88"/>
      <c r="C42" s="83"/>
      <c r="D42" s="81" t="s">
        <v>19</v>
      </c>
      <c r="E42" s="128"/>
      <c r="F42" s="81"/>
      <c r="G42" s="99">
        <f>G36+G41</f>
        <v>1907993.1593500001</v>
      </c>
      <c r="H42" s="128"/>
      <c r="I42" s="134">
        <f>I41+I36</f>
        <v>1992103.71631</v>
      </c>
      <c r="J42" s="128"/>
      <c r="K42" s="128"/>
      <c r="L42" s="128"/>
      <c r="M42" s="153">
        <f>M41+M36</f>
        <v>2060482.33785</v>
      </c>
      <c r="N42" s="153">
        <f t="shared" si="37"/>
        <v>68378.621539999964</v>
      </c>
      <c r="O42" s="154">
        <f>N42/I42</f>
        <v>3.4324830067913627E-2</v>
      </c>
      <c r="P42" s="2"/>
      <c r="Q42" s="2"/>
      <c r="R42" s="2"/>
      <c r="W42" s="2"/>
    </row>
    <row r="43" spans="1:23" ht="13.5" thickTop="1" x14ac:dyDescent="0.2">
      <c r="A43" s="94">
        <f t="shared" si="1"/>
        <v>37</v>
      </c>
      <c r="D43" s="74" t="s">
        <v>18</v>
      </c>
      <c r="E43" s="123">
        <f>(E34+E35)/E33</f>
        <v>946.27941080623089</v>
      </c>
      <c r="G43" s="101">
        <f>G42/E33</f>
        <v>124.35593817050122</v>
      </c>
      <c r="H43" s="2"/>
      <c r="I43" s="155">
        <f>I42/E33</f>
        <v>129.83795322361991</v>
      </c>
      <c r="M43" s="155">
        <f>M42/E33</f>
        <v>134.29461890438637</v>
      </c>
      <c r="N43" s="155">
        <f t="shared" si="37"/>
        <v>4.4566656807664629</v>
      </c>
      <c r="O43" s="143">
        <f>N43/I43</f>
        <v>3.4324830067913557E-2</v>
      </c>
    </row>
    <row r="44" spans="1:23" ht="13.5" thickBot="1" x14ac:dyDescent="0.25">
      <c r="A44" s="94">
        <f t="shared" si="1"/>
        <v>38</v>
      </c>
      <c r="H44" s="2"/>
    </row>
    <row r="45" spans="1:23" x14ac:dyDescent="0.2">
      <c r="A45" s="94">
        <f t="shared" si="1"/>
        <v>39</v>
      </c>
      <c r="B45" s="170" t="s">
        <v>67</v>
      </c>
      <c r="C45" s="95" t="s">
        <v>71</v>
      </c>
      <c r="D45" s="77"/>
      <c r="E45" s="125"/>
      <c r="F45" s="77"/>
      <c r="G45" s="77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</row>
    <row r="46" spans="1:23" x14ac:dyDescent="0.2">
      <c r="A46" s="94">
        <f t="shared" si="1"/>
        <v>40</v>
      </c>
      <c r="B46" s="171"/>
      <c r="C46" s="74"/>
      <c r="D46" s="74" t="s">
        <v>17</v>
      </c>
      <c r="E46" s="136">
        <v>2051</v>
      </c>
      <c r="F46" s="78">
        <v>26.17</v>
      </c>
      <c r="G46" s="96">
        <f>F46*E46</f>
        <v>53674.670000000006</v>
      </c>
      <c r="H46" s="123">
        <v>33</v>
      </c>
      <c r="I46" s="142">
        <f>H46*E46</f>
        <v>67683</v>
      </c>
      <c r="J46" s="143">
        <f>I46/I50</f>
        <v>5.647863236805576E-2</v>
      </c>
      <c r="K46" s="143"/>
      <c r="L46" s="123">
        <f>ROUND(H46*S50,2)</f>
        <v>34.270000000000003</v>
      </c>
      <c r="M46" s="142">
        <f>L46*E46</f>
        <v>70287.77</v>
      </c>
      <c r="N46" s="142">
        <f>M46-I46</f>
        <v>2604.7700000000041</v>
      </c>
      <c r="O46" s="143">
        <f>IF(I46=0,0,N46/I46)</f>
        <v>3.8484848484848545E-2</v>
      </c>
      <c r="P46" s="143">
        <f>M46/M$50</f>
        <v>5.6478707162570564E-2</v>
      </c>
      <c r="Q46" s="144">
        <f>P46-J46</f>
        <v>7.479451480385535E-8</v>
      </c>
      <c r="R46" s="144"/>
      <c r="W46" s="68"/>
    </row>
    <row r="47" spans="1:23" x14ac:dyDescent="0.2">
      <c r="A47" s="94">
        <f>A44+1</f>
        <v>39</v>
      </c>
      <c r="D47" s="74" t="s">
        <v>69</v>
      </c>
      <c r="E47" s="136">
        <v>3637124</v>
      </c>
      <c r="F47" s="87">
        <v>9.1130000000000003E-2</v>
      </c>
      <c r="G47" s="96">
        <f t="shared" ref="G47" si="44">F47*E47</f>
        <v>331451.11012000003</v>
      </c>
      <c r="H47" s="126">
        <v>0.10144827268008384</v>
      </c>
      <c r="I47" s="142">
        <f t="shared" ref="I47" si="45">H47*E47</f>
        <v>368979.94732327724</v>
      </c>
      <c r="J47" s="143">
        <f>I47/I50</f>
        <v>0.30789833187145893</v>
      </c>
      <c r="K47" s="143"/>
      <c r="L47" s="124">
        <f>ROUND(H47*S50,5)</f>
        <v>0.10534</v>
      </c>
      <c r="M47" s="142">
        <f t="shared" ref="M47" si="46">L47*E47</f>
        <v>383134.64215999999</v>
      </c>
      <c r="N47" s="142">
        <f t="shared" ref="N47" si="47">M47-I47</f>
        <v>14154.694836722745</v>
      </c>
      <c r="O47" s="143">
        <f t="shared" ref="O47" si="48">IF(I47=0,0,N47/I47)</f>
        <v>3.8361691304382141E-2</v>
      </c>
      <c r="P47" s="143">
        <f>M47/M$50</f>
        <v>0.30786222494170606</v>
      </c>
      <c r="Q47" s="144">
        <f t="shared" ref="Q47" si="49">P47-J47</f>
        <v>-3.6106929752866002E-5</v>
      </c>
      <c r="R47" s="144"/>
      <c r="T47" s="4">
        <f>L47/H47-1</f>
        <v>3.8361691304382051E-2</v>
      </c>
      <c r="W47" s="68"/>
    </row>
    <row r="48" spans="1:23" x14ac:dyDescent="0.2">
      <c r="A48" s="94">
        <f>A45+1</f>
        <v>40</v>
      </c>
      <c r="D48" s="74" t="s">
        <v>70</v>
      </c>
      <c r="E48" s="136">
        <v>6102581</v>
      </c>
      <c r="F48" s="87">
        <v>8.7389999999999995E-2</v>
      </c>
      <c r="G48" s="96">
        <f t="shared" ref="G48" si="50">F48*E48</f>
        <v>533304.55359000002</v>
      </c>
      <c r="H48" s="126">
        <v>9.7761753637881033E-2</v>
      </c>
      <c r="I48" s="142">
        <f t="shared" ref="I48" si="51">H48*E48</f>
        <v>596599.02027721365</v>
      </c>
      <c r="J48" s="143">
        <f>I48/I50</f>
        <v>0.49783692710693961</v>
      </c>
      <c r="K48" s="143"/>
      <c r="L48" s="124">
        <f>ROUND(H48*S50,5)</f>
        <v>0.10152</v>
      </c>
      <c r="M48" s="142">
        <f t="shared" ref="M48" si="52">L48*E48</f>
        <v>619534.02312000003</v>
      </c>
      <c r="N48" s="142">
        <f t="shared" ref="N48" si="53">M48-I48</f>
        <v>22935.002842786373</v>
      </c>
      <c r="O48" s="143">
        <f t="shared" ref="O48" si="54">IF(I48=0,0,N48/I48)</f>
        <v>3.8442910670770922E-2</v>
      </c>
      <c r="P48" s="143">
        <f>M48/M$50</f>
        <v>0.49781748188971853</v>
      </c>
      <c r="Q48" s="144">
        <f t="shared" ref="Q48" si="55">P48-J48</f>
        <v>-1.9445217221081279E-5</v>
      </c>
      <c r="R48" s="144"/>
      <c r="T48" s="4">
        <f>L48/H48-1</f>
        <v>3.844291067077088E-2</v>
      </c>
      <c r="W48" s="68"/>
    </row>
    <row r="49" spans="1:23" x14ac:dyDescent="0.2">
      <c r="A49" s="94">
        <f>A46+1</f>
        <v>41</v>
      </c>
      <c r="D49" s="74" t="s">
        <v>50</v>
      </c>
      <c r="E49" s="136">
        <v>37785</v>
      </c>
      <c r="F49" s="78">
        <v>4.37</v>
      </c>
      <c r="G49" s="96">
        <f t="shared" ref="G49" si="56">F49*E49</f>
        <v>165120.45000000001</v>
      </c>
      <c r="H49" s="123">
        <v>4.37</v>
      </c>
      <c r="I49" s="142">
        <f t="shared" ref="I49" si="57">H49*E49</f>
        <v>165120.45000000001</v>
      </c>
      <c r="J49" s="143">
        <f>I49/I50</f>
        <v>0.13778610865354571</v>
      </c>
      <c r="K49" s="143"/>
      <c r="L49" s="123">
        <f>ROUND(H49*S50,2)</f>
        <v>4.54</v>
      </c>
      <c r="M49" s="142">
        <f t="shared" ref="M49" si="58">L49*E49</f>
        <v>171543.9</v>
      </c>
      <c r="N49" s="142">
        <f t="shared" ref="N49" si="59">M49-I49</f>
        <v>6423.4499999999825</v>
      </c>
      <c r="O49" s="143">
        <f t="shared" ref="O49" si="60">IF(I49=0,0,N49/I49)</f>
        <v>3.8901601830663504E-2</v>
      </c>
      <c r="P49" s="143">
        <f>M49/M$50</f>
        <v>0.13784158600600485</v>
      </c>
      <c r="Q49" s="144">
        <f t="shared" ref="Q49" si="61">P49-J49</f>
        <v>5.5477352459143425E-5</v>
      </c>
      <c r="R49" s="144"/>
      <c r="T49" s="4">
        <f>L49/H49-1</f>
        <v>3.8901601830663601E-2</v>
      </c>
      <c r="W49" s="68"/>
    </row>
    <row r="50" spans="1:23" s="5" customFormat="1" ht="20.45" customHeight="1" x14ac:dyDescent="0.2">
      <c r="A50" s="94">
        <f t="shared" si="1"/>
        <v>42</v>
      </c>
      <c r="B50" s="88"/>
      <c r="C50" s="83"/>
      <c r="D50" s="84" t="s">
        <v>6</v>
      </c>
      <c r="E50" s="127"/>
      <c r="F50" s="84"/>
      <c r="G50" s="11">
        <f>SUM(G46:G49)</f>
        <v>1083550.7837100001</v>
      </c>
      <c r="H50" s="127"/>
      <c r="I50" s="145">
        <f>SUM(I46:I49)</f>
        <v>1198382.4176004909</v>
      </c>
      <c r="J50" s="146">
        <f>SUM(J46:J49)</f>
        <v>1</v>
      </c>
      <c r="K50" s="147">
        <f>I50+Summary!I13</f>
        <v>1244395.6476004908</v>
      </c>
      <c r="L50" s="127"/>
      <c r="M50" s="145">
        <f>SUM(M46:M49)</f>
        <v>1244500.33528</v>
      </c>
      <c r="N50" s="145">
        <f>SUM(N46:N49)</f>
        <v>46117.917679509104</v>
      </c>
      <c r="O50" s="146">
        <f t="shared" ref="O50" si="62">N50/I50</f>
        <v>3.8483473223723148E-2</v>
      </c>
      <c r="P50" s="146">
        <f>SUM(P46:P49)</f>
        <v>1</v>
      </c>
      <c r="Q50" s="148">
        <f t="shared" ref="Q50" si="63">P50-J50</f>
        <v>0</v>
      </c>
      <c r="R50" s="149">
        <f>M50-K50</f>
        <v>104.68767950916663</v>
      </c>
      <c r="S50" s="47">
        <f>K50/I50</f>
        <v>1.0383961157341843</v>
      </c>
      <c r="W50" s="2"/>
    </row>
    <row r="51" spans="1:23" x14ac:dyDescent="0.2">
      <c r="A51" s="94">
        <f t="shared" si="1"/>
        <v>43</v>
      </c>
      <c r="D51" s="74" t="s">
        <v>26</v>
      </c>
      <c r="G51" s="96">
        <v>112603.20000000001</v>
      </c>
      <c r="H51" s="2"/>
      <c r="I51" s="18">
        <f>G51-($H$179*(E47+E48))</f>
        <v>-2227.921949999989</v>
      </c>
      <c r="K51" s="18"/>
      <c r="M51" s="142">
        <f>I51</f>
        <v>-2227.921949999989</v>
      </c>
      <c r="N51" s="142">
        <f t="shared" ref="N51:N57" si="64">M51-I51</f>
        <v>0</v>
      </c>
      <c r="O51" s="123">
        <v>0</v>
      </c>
    </row>
    <row r="52" spans="1:23" x14ac:dyDescent="0.2">
      <c r="A52" s="94">
        <f t="shared" si="1"/>
        <v>44</v>
      </c>
      <c r="D52" s="74" t="s">
        <v>27</v>
      </c>
      <c r="G52" s="96">
        <v>139601.16</v>
      </c>
      <c r="H52" s="2"/>
      <c r="I52" s="18">
        <f t="shared" ref="I52:I54" si="65">G52</f>
        <v>139601.16</v>
      </c>
      <c r="M52" s="142">
        <f t="shared" ref="M52:M54" si="66">I52</f>
        <v>139601.16</v>
      </c>
      <c r="N52" s="142">
        <f t="shared" si="64"/>
        <v>0</v>
      </c>
      <c r="O52" s="123">
        <v>0</v>
      </c>
    </row>
    <row r="53" spans="1:23" x14ac:dyDescent="0.2">
      <c r="A53" s="94">
        <f t="shared" si="1"/>
        <v>45</v>
      </c>
      <c r="D53" s="74" t="s">
        <v>29</v>
      </c>
      <c r="G53" s="96">
        <v>18476.95</v>
      </c>
      <c r="H53" s="2"/>
      <c r="I53" s="18">
        <f t="shared" si="65"/>
        <v>18476.95</v>
      </c>
      <c r="M53" s="142">
        <f t="shared" si="66"/>
        <v>18476.95</v>
      </c>
      <c r="N53" s="142">
        <f t="shared" si="64"/>
        <v>0</v>
      </c>
      <c r="O53" s="123">
        <v>0</v>
      </c>
    </row>
    <row r="54" spans="1:23" x14ac:dyDescent="0.2">
      <c r="A54" s="94">
        <f t="shared" si="1"/>
        <v>46</v>
      </c>
      <c r="D54" s="74" t="s">
        <v>39</v>
      </c>
      <c r="G54" s="96">
        <v>0</v>
      </c>
      <c r="H54" s="2"/>
      <c r="I54" s="18">
        <f t="shared" si="65"/>
        <v>0</v>
      </c>
      <c r="M54" s="142">
        <f t="shared" si="66"/>
        <v>0</v>
      </c>
      <c r="N54" s="142"/>
      <c r="O54" s="123"/>
    </row>
    <row r="55" spans="1:23" x14ac:dyDescent="0.2">
      <c r="A55" s="94">
        <f t="shared" si="1"/>
        <v>47</v>
      </c>
      <c r="D55" s="80" t="s">
        <v>8</v>
      </c>
      <c r="E55" s="24"/>
      <c r="F55" s="80"/>
      <c r="G55" s="98">
        <f>SUM(G51:G54)</f>
        <v>270681.31</v>
      </c>
      <c r="H55" s="24"/>
      <c r="I55" s="151">
        <f>SUM(I51:I54)</f>
        <v>155850.18805000003</v>
      </c>
      <c r="J55" s="24"/>
      <c r="K55" s="24"/>
      <c r="L55" s="24"/>
      <c r="M55" s="151">
        <f>SUM(M51:M54)</f>
        <v>155850.18805000003</v>
      </c>
      <c r="N55" s="151">
        <f t="shared" si="64"/>
        <v>0</v>
      </c>
      <c r="O55" s="152">
        <f t="shared" ref="O55" si="67">N55-J55</f>
        <v>0</v>
      </c>
    </row>
    <row r="56" spans="1:23" s="5" customFormat="1" ht="26.45" customHeight="1" thickBot="1" x14ac:dyDescent="0.25">
      <c r="A56" s="94">
        <f t="shared" si="1"/>
        <v>48</v>
      </c>
      <c r="B56" s="88"/>
      <c r="C56" s="83"/>
      <c r="D56" s="81" t="s">
        <v>19</v>
      </c>
      <c r="E56" s="128"/>
      <c r="F56" s="81"/>
      <c r="G56" s="99">
        <f>G50+G55</f>
        <v>1354232.0937100002</v>
      </c>
      <c r="H56" s="128"/>
      <c r="I56" s="134">
        <f>I55+I50</f>
        <v>1354232.6056504908</v>
      </c>
      <c r="J56" s="128"/>
      <c r="K56" s="128"/>
      <c r="L56" s="128"/>
      <c r="M56" s="153">
        <f>M55+M50</f>
        <v>1400350.52333</v>
      </c>
      <c r="N56" s="153">
        <f t="shared" si="64"/>
        <v>46117.917679509148</v>
      </c>
      <c r="O56" s="154">
        <f>N56/I56</f>
        <v>3.4054650203431569E-2</v>
      </c>
      <c r="P56" s="2"/>
      <c r="Q56" s="2"/>
      <c r="R56" s="2"/>
    </row>
    <row r="57" spans="1:23" ht="13.5" thickTop="1" x14ac:dyDescent="0.2">
      <c r="A57" s="94">
        <f t="shared" si="1"/>
        <v>49</v>
      </c>
      <c r="D57" s="74" t="s">
        <v>18</v>
      </c>
      <c r="E57" s="123">
        <f>(E47+E48)/E46</f>
        <v>4748.7591418820084</v>
      </c>
      <c r="G57" s="101">
        <f>G56/E46</f>
        <v>660.27893403705514</v>
      </c>
      <c r="H57" s="2"/>
      <c r="I57" s="155">
        <f>I56/E46</f>
        <v>660.27918364236507</v>
      </c>
      <c r="M57" s="155">
        <f>M56/E46</f>
        <v>682.76476027791318</v>
      </c>
      <c r="N57" s="155">
        <f t="shared" si="64"/>
        <v>22.485576635548114</v>
      </c>
      <c r="O57" s="143">
        <f>N57/I57</f>
        <v>3.405465020343159E-2</v>
      </c>
    </row>
    <row r="58" spans="1:23" ht="13.5" thickBot="1" x14ac:dyDescent="0.25">
      <c r="A58" s="94">
        <f t="shared" si="1"/>
        <v>50</v>
      </c>
      <c r="H58" s="2"/>
    </row>
    <row r="59" spans="1:23" x14ac:dyDescent="0.2">
      <c r="A59" s="94">
        <f t="shared" si="1"/>
        <v>51</v>
      </c>
      <c r="B59" s="170" t="s">
        <v>72</v>
      </c>
      <c r="C59" s="95" t="s">
        <v>73</v>
      </c>
      <c r="D59" s="77"/>
      <c r="E59" s="125"/>
      <c r="F59" s="77"/>
      <c r="G59" s="77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</row>
    <row r="60" spans="1:23" x14ac:dyDescent="0.2">
      <c r="A60" s="94">
        <f t="shared" si="1"/>
        <v>52</v>
      </c>
      <c r="B60" s="171"/>
      <c r="C60" s="74"/>
      <c r="D60" s="74" t="s">
        <v>17</v>
      </c>
      <c r="E60" s="136">
        <v>2309</v>
      </c>
      <c r="F60" s="78">
        <v>10.26</v>
      </c>
      <c r="G60" s="96">
        <f>F60*E60</f>
        <v>23690.34</v>
      </c>
      <c r="H60" s="123">
        <v>15.5</v>
      </c>
      <c r="I60" s="142">
        <f>H60*E60</f>
        <v>35789.5</v>
      </c>
      <c r="J60" s="143">
        <f>I60/I64</f>
        <v>0.35008260781118755</v>
      </c>
      <c r="K60" s="143"/>
      <c r="L60" s="123">
        <f>ROUND(H60*S64,2)</f>
        <v>16.100000000000001</v>
      </c>
      <c r="M60" s="142">
        <f>L60*E60</f>
        <v>37174.9</v>
      </c>
      <c r="N60" s="142">
        <f>M60-I60</f>
        <v>1385.4000000000015</v>
      </c>
      <c r="O60" s="143">
        <f>IF(I60=0,0,N60/I60)</f>
        <v>3.8709677419354882E-2</v>
      </c>
      <c r="P60" s="143">
        <f>M60/M64</f>
        <v>0.35014275990251853</v>
      </c>
      <c r="Q60" s="144">
        <f>P60-J60</f>
        <v>6.0152091330978319E-5</v>
      </c>
      <c r="R60" s="144"/>
      <c r="T60" s="4"/>
      <c r="W60" s="68"/>
    </row>
    <row r="61" spans="1:23" x14ac:dyDescent="0.2">
      <c r="A61" s="94">
        <f>A58+1</f>
        <v>51</v>
      </c>
      <c r="D61" s="74" t="s">
        <v>74</v>
      </c>
      <c r="E61" s="136">
        <v>371249</v>
      </c>
      <c r="F61" s="87">
        <v>8.7419999999999998E-2</v>
      </c>
      <c r="G61" s="96">
        <f t="shared" ref="G61" si="68">F61*E61</f>
        <v>32454.587579999999</v>
      </c>
      <c r="H61" s="126">
        <v>9.9650000000000002E-2</v>
      </c>
      <c r="I61" s="142">
        <f t="shared" ref="I61" si="69">H61*E61</f>
        <v>36994.962850000004</v>
      </c>
      <c r="J61" s="143">
        <f>I61/I64</f>
        <v>0.36187409911862428</v>
      </c>
      <c r="K61" s="143"/>
      <c r="L61" s="124">
        <f>ROUND(H61*S64,5)</f>
        <v>0.10348</v>
      </c>
      <c r="M61" s="142">
        <f t="shared" ref="M61" si="70">L61*E61</f>
        <v>38416.846519999999</v>
      </c>
      <c r="N61" s="142">
        <f t="shared" ref="N61" si="71">M61-I61</f>
        <v>1421.8836699999956</v>
      </c>
      <c r="O61" s="143">
        <f t="shared" ref="O61" si="72">IF(I61=0,0,N61/I61)</f>
        <v>3.8434520822879958E-2</v>
      </c>
      <c r="P61" s="143">
        <f>M61/M64</f>
        <v>0.36184039949708713</v>
      </c>
      <c r="Q61" s="144">
        <f t="shared" ref="Q61" si="73">P61-J61</f>
        <v>-3.3699621537153224E-5</v>
      </c>
      <c r="R61" s="144"/>
      <c r="T61" s="4">
        <f>L61/H61-1</f>
        <v>3.8434520822880014E-2</v>
      </c>
      <c r="W61" s="68"/>
    </row>
    <row r="62" spans="1:23" x14ac:dyDescent="0.2">
      <c r="A62" s="94">
        <f>A59+1</f>
        <v>52</v>
      </c>
      <c r="D62" s="74" t="s">
        <v>75</v>
      </c>
      <c r="E62" s="136">
        <v>280850</v>
      </c>
      <c r="F62" s="87">
        <v>9.2600000000000002E-2</v>
      </c>
      <c r="G62" s="96">
        <f t="shared" ref="G62" si="74">F62*E62</f>
        <v>26006.71</v>
      </c>
      <c r="H62" s="126">
        <v>0.10485</v>
      </c>
      <c r="I62" s="142">
        <f t="shared" ref="I62" si="75">H62*E62</f>
        <v>29447.122500000001</v>
      </c>
      <c r="J62" s="143">
        <f>I62/I64</f>
        <v>0.28804329307018811</v>
      </c>
      <c r="K62" s="143"/>
      <c r="L62" s="124">
        <f>ROUND(H62*S64,5)</f>
        <v>0.10888</v>
      </c>
      <c r="M62" s="142">
        <f t="shared" ref="M62" si="76">L62*E62</f>
        <v>30578.948</v>
      </c>
      <c r="N62" s="142">
        <f t="shared" ref="N62" si="77">M62-I62</f>
        <v>1131.825499999999</v>
      </c>
      <c r="O62" s="143">
        <f t="shared" ref="O62" si="78">IF(I62=0,0,N62/I62)</f>
        <v>3.8435860753457285E-2</v>
      </c>
      <c r="P62" s="143">
        <f>M62/M64</f>
        <v>0.28801684060039434</v>
      </c>
      <c r="Q62" s="144">
        <f t="shared" ref="Q62" si="79">P62-J62</f>
        <v>-2.6452469793769584E-5</v>
      </c>
      <c r="R62" s="144"/>
      <c r="T62" s="4">
        <f>L62/H62-1</f>
        <v>3.8435860753457396E-2</v>
      </c>
      <c r="W62" s="68"/>
    </row>
    <row r="63" spans="1:23" x14ac:dyDescent="0.2">
      <c r="A63" s="94">
        <f>A60+1</f>
        <v>53</v>
      </c>
      <c r="D63" s="74" t="s">
        <v>76</v>
      </c>
      <c r="E63" s="136">
        <v>0</v>
      </c>
      <c r="F63" s="87">
        <v>9.7790000000000002E-2</v>
      </c>
      <c r="G63" s="96">
        <f t="shared" ref="G63" si="80">F63*E63</f>
        <v>0</v>
      </c>
      <c r="H63" s="126">
        <v>0.11005</v>
      </c>
      <c r="I63" s="142">
        <f t="shared" ref="I63" si="81">H63*E63</f>
        <v>0</v>
      </c>
      <c r="J63" s="143">
        <f>I63/I64</f>
        <v>0</v>
      </c>
      <c r="K63" s="143"/>
      <c r="L63" s="124">
        <f>ROUND(H63*S64,5)</f>
        <v>0.11428000000000001</v>
      </c>
      <c r="M63" s="142">
        <f t="shared" ref="M63" si="82">L63*E63</f>
        <v>0</v>
      </c>
      <c r="N63" s="142">
        <f t="shared" ref="N63" si="83">M63-I63</f>
        <v>0</v>
      </c>
      <c r="O63" s="143">
        <f t="shared" ref="O63" si="84">IF(I63=0,0,N63/I63)</f>
        <v>0</v>
      </c>
      <c r="P63" s="143">
        <f>M63/M64</f>
        <v>0</v>
      </c>
      <c r="Q63" s="144">
        <f t="shared" ref="Q63" si="85">P63-J63</f>
        <v>0</v>
      </c>
      <c r="R63" s="144"/>
      <c r="T63" s="4">
        <f>L63/H63-1</f>
        <v>3.8437074057246834E-2</v>
      </c>
      <c r="W63" s="68"/>
    </row>
    <row r="64" spans="1:23" s="5" customFormat="1" ht="20.45" customHeight="1" x14ac:dyDescent="0.25">
      <c r="A64" s="94">
        <f t="shared" si="1"/>
        <v>54</v>
      </c>
      <c r="B64" s="88"/>
      <c r="C64" s="83"/>
      <c r="D64" s="84" t="s">
        <v>6</v>
      </c>
      <c r="E64" s="127"/>
      <c r="F64" s="84"/>
      <c r="G64" s="11">
        <f>SUM(G60:G63)</f>
        <v>82151.63758000001</v>
      </c>
      <c r="H64" s="127"/>
      <c r="I64" s="145">
        <f>SUM(I60:I63)</f>
        <v>102231.58535000001</v>
      </c>
      <c r="J64" s="146">
        <f>SUM(J60:J63)</f>
        <v>1</v>
      </c>
      <c r="K64" s="147">
        <f>I64+Summary!I14</f>
        <v>106156.88535000001</v>
      </c>
      <c r="L64" s="127"/>
      <c r="M64" s="145">
        <f>SUM(M60:M63)</f>
        <v>106170.69452</v>
      </c>
      <c r="N64" s="145">
        <f>SUM(N60:N63)</f>
        <v>3939.1091699999961</v>
      </c>
      <c r="O64" s="146">
        <f t="shared" ref="O64" si="86">N64/I64</f>
        <v>3.8531234319746324E-2</v>
      </c>
      <c r="P64" s="146">
        <f>SUM(P60:P63)</f>
        <v>1</v>
      </c>
      <c r="Q64" s="148">
        <f t="shared" ref="Q64" si="87">P64-J64</f>
        <v>0</v>
      </c>
      <c r="R64" s="149">
        <f>M64-K64</f>
        <v>13.809169999993173</v>
      </c>
      <c r="S64" s="47">
        <f>K64/I64</f>
        <v>1.0383961569857432</v>
      </c>
    </row>
    <row r="65" spans="1:23" x14ac:dyDescent="0.2">
      <c r="A65" s="94">
        <f t="shared" si="1"/>
        <v>55</v>
      </c>
      <c r="D65" s="74" t="s">
        <v>26</v>
      </c>
      <c r="G65" s="96">
        <v>8017.0499999999984</v>
      </c>
      <c r="H65" s="2"/>
      <c r="I65" s="18">
        <f>G65-($H$179*(E61+E62+E63))</f>
        <v>328.80278999999791</v>
      </c>
      <c r="K65" s="18"/>
      <c r="M65" s="142">
        <f>I65</f>
        <v>328.80278999999791</v>
      </c>
      <c r="N65" s="142">
        <f t="shared" ref="N65:N71" si="88">M65-I65</f>
        <v>0</v>
      </c>
      <c r="O65" s="123">
        <v>0</v>
      </c>
    </row>
    <row r="66" spans="1:23" x14ac:dyDescent="0.2">
      <c r="A66" s="94">
        <f t="shared" si="1"/>
        <v>56</v>
      </c>
      <c r="D66" s="74" t="s">
        <v>27</v>
      </c>
      <c r="G66" s="96">
        <v>10280.749999999998</v>
      </c>
      <c r="H66" s="2"/>
      <c r="I66" s="18">
        <f t="shared" ref="I66:I68" si="89">G66</f>
        <v>10280.749999999998</v>
      </c>
      <c r="M66" s="142">
        <f t="shared" ref="M66:M68" si="90">I66</f>
        <v>10280.749999999998</v>
      </c>
      <c r="N66" s="142">
        <f t="shared" si="88"/>
        <v>0</v>
      </c>
      <c r="O66" s="123">
        <v>0</v>
      </c>
    </row>
    <row r="67" spans="1:23" x14ac:dyDescent="0.2">
      <c r="A67" s="94">
        <f t="shared" si="1"/>
        <v>57</v>
      </c>
      <c r="D67" s="74" t="s">
        <v>29</v>
      </c>
      <c r="G67" s="96">
        <v>0</v>
      </c>
      <c r="H67" s="2"/>
      <c r="I67" s="18">
        <f t="shared" si="89"/>
        <v>0</v>
      </c>
      <c r="M67" s="142">
        <f t="shared" si="90"/>
        <v>0</v>
      </c>
      <c r="N67" s="142">
        <f t="shared" si="88"/>
        <v>0</v>
      </c>
      <c r="O67" s="123">
        <v>0</v>
      </c>
    </row>
    <row r="68" spans="1:23" x14ac:dyDescent="0.2">
      <c r="A68" s="94">
        <f t="shared" si="1"/>
        <v>58</v>
      </c>
      <c r="D68" s="74" t="s">
        <v>39</v>
      </c>
      <c r="G68" s="96">
        <v>0</v>
      </c>
      <c r="H68" s="2"/>
      <c r="I68" s="18">
        <f t="shared" si="89"/>
        <v>0</v>
      </c>
      <c r="M68" s="142">
        <f t="shared" si="90"/>
        <v>0</v>
      </c>
      <c r="N68" s="142"/>
      <c r="O68" s="123"/>
    </row>
    <row r="69" spans="1:23" x14ac:dyDescent="0.2">
      <c r="A69" s="94">
        <f t="shared" si="1"/>
        <v>59</v>
      </c>
      <c r="D69" s="80" t="s">
        <v>8</v>
      </c>
      <c r="E69" s="24"/>
      <c r="F69" s="80"/>
      <c r="G69" s="98">
        <f>SUM(G65:G68)</f>
        <v>18297.799999999996</v>
      </c>
      <c r="H69" s="24"/>
      <c r="I69" s="151">
        <f>SUM(I65:I68)</f>
        <v>10609.552789999996</v>
      </c>
      <c r="J69" s="24"/>
      <c r="K69" s="24"/>
      <c r="L69" s="24"/>
      <c r="M69" s="151">
        <f>SUM(M65:M68)</f>
        <v>10609.552789999996</v>
      </c>
      <c r="N69" s="151">
        <f t="shared" si="88"/>
        <v>0</v>
      </c>
      <c r="O69" s="152">
        <f t="shared" ref="O69" si="91">N69-J69</f>
        <v>0</v>
      </c>
    </row>
    <row r="70" spans="1:23" s="5" customFormat="1" ht="26.45" customHeight="1" thickBot="1" x14ac:dyDescent="0.25">
      <c r="A70" s="94">
        <f t="shared" si="1"/>
        <v>60</v>
      </c>
      <c r="B70" s="88"/>
      <c r="C70" s="83"/>
      <c r="D70" s="81" t="s">
        <v>19</v>
      </c>
      <c r="E70" s="128"/>
      <c r="F70" s="81"/>
      <c r="G70" s="99">
        <f>G64+G69</f>
        <v>100449.43758</v>
      </c>
      <c r="H70" s="128"/>
      <c r="I70" s="134">
        <f>I69+I64</f>
        <v>112841.13814000001</v>
      </c>
      <c r="J70" s="128"/>
      <c r="K70" s="128"/>
      <c r="L70" s="128"/>
      <c r="M70" s="153">
        <f>M69+M64</f>
        <v>116780.24731000001</v>
      </c>
      <c r="N70" s="153">
        <f t="shared" si="88"/>
        <v>3939.1091699999961</v>
      </c>
      <c r="O70" s="154">
        <f>N70/I70</f>
        <v>3.4908449479770516E-2</v>
      </c>
      <c r="P70" s="2"/>
      <c r="Q70" s="2"/>
      <c r="R70" s="2"/>
    </row>
    <row r="71" spans="1:23" ht="13.5" thickTop="1" x14ac:dyDescent="0.2">
      <c r="A71" s="94">
        <f t="shared" si="1"/>
        <v>61</v>
      </c>
      <c r="D71" s="74" t="s">
        <v>18</v>
      </c>
      <c r="E71" s="123">
        <f>(E61+E62+E63)/E60</f>
        <v>282.41619748809006</v>
      </c>
      <c r="G71" s="101">
        <f>G70/E60</f>
        <v>43.503437669987008</v>
      </c>
      <c r="H71" s="2"/>
      <c r="I71" s="155">
        <f>I70/E60</f>
        <v>48.8701334517107</v>
      </c>
      <c r="M71" s="155">
        <f>M70/E60</f>
        <v>50.576114036379387</v>
      </c>
      <c r="N71" s="155">
        <f t="shared" si="88"/>
        <v>1.7059805846686871</v>
      </c>
      <c r="O71" s="143">
        <f>N71/I71</f>
        <v>3.4908449479770537E-2</v>
      </c>
    </row>
    <row r="72" spans="1:23" ht="13.5" thickBot="1" x14ac:dyDescent="0.25">
      <c r="A72" s="94">
        <f t="shared" si="1"/>
        <v>62</v>
      </c>
      <c r="H72" s="2"/>
    </row>
    <row r="73" spans="1:23" x14ac:dyDescent="0.2">
      <c r="A73" s="94">
        <f t="shared" si="1"/>
        <v>63</v>
      </c>
      <c r="B73" s="170" t="s">
        <v>77</v>
      </c>
      <c r="C73" s="95" t="s">
        <v>78</v>
      </c>
      <c r="D73" s="77"/>
      <c r="E73" s="125"/>
      <c r="F73" s="77"/>
      <c r="G73" s="77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</row>
    <row r="74" spans="1:23" x14ac:dyDescent="0.2">
      <c r="A74" s="94">
        <f t="shared" si="1"/>
        <v>64</v>
      </c>
      <c r="B74" s="171"/>
      <c r="C74" s="74"/>
      <c r="D74" s="74" t="s">
        <v>17</v>
      </c>
      <c r="E74" s="136">
        <v>564</v>
      </c>
      <c r="F74" s="78">
        <v>46.64</v>
      </c>
      <c r="G74" s="96">
        <f>F74*E74</f>
        <v>26304.959999999999</v>
      </c>
      <c r="H74" s="123">
        <v>46.64</v>
      </c>
      <c r="I74" s="142">
        <f>H74*E74</f>
        <v>26304.959999999999</v>
      </c>
      <c r="J74" s="143">
        <f>I74/I76</f>
        <v>2.3082908485241114E-2</v>
      </c>
      <c r="K74" s="143"/>
      <c r="L74" s="123">
        <f>ROUND(H74*S76,2)</f>
        <v>48.43</v>
      </c>
      <c r="M74" s="142">
        <f>L74*E74</f>
        <v>27314.52</v>
      </c>
      <c r="N74" s="142">
        <f>M74-I74</f>
        <v>1009.5600000000013</v>
      </c>
      <c r="O74" s="143">
        <f>IF(I74=0,0,N74/I74)</f>
        <v>3.8379073756432298E-2</v>
      </c>
      <c r="P74" s="143">
        <f>M74/M$76</f>
        <v>2.3081857660168112E-2</v>
      </c>
      <c r="Q74" s="144">
        <f>P74-J74</f>
        <v>-1.0508250730019431E-6</v>
      </c>
      <c r="R74" s="144"/>
      <c r="T74" s="4">
        <f>L74/H74-1</f>
        <v>3.8379073756432236E-2</v>
      </c>
      <c r="W74" s="68"/>
    </row>
    <row r="75" spans="1:23" x14ac:dyDescent="0.2">
      <c r="A75" s="94">
        <f t="shared" si="1"/>
        <v>65</v>
      </c>
      <c r="D75" s="74" t="s">
        <v>47</v>
      </c>
      <c r="E75" s="136">
        <v>12328694</v>
      </c>
      <c r="F75" s="87">
        <v>7.8509999999999996E-2</v>
      </c>
      <c r="G75" s="96">
        <f t="shared" ref="G75" si="92">F75*E75</f>
        <v>967925.76593999995</v>
      </c>
      <c r="H75" s="126">
        <v>9.0300000000000005E-2</v>
      </c>
      <c r="I75" s="142">
        <f t="shared" ref="I75" si="93">H75*E75</f>
        <v>1113281.0682000001</v>
      </c>
      <c r="J75" s="143">
        <f>I75/I76</f>
        <v>0.97691709151475892</v>
      </c>
      <c r="K75" s="143"/>
      <c r="L75" s="124">
        <f>ROUND(H75*S76,5)</f>
        <v>9.3770000000000006E-2</v>
      </c>
      <c r="M75" s="142">
        <f t="shared" ref="M75" si="94">L75*E75</f>
        <v>1156061.63638</v>
      </c>
      <c r="N75" s="142">
        <f t="shared" ref="N75" si="95">M75-I75</f>
        <v>42780.568179999944</v>
      </c>
      <c r="O75" s="143">
        <f t="shared" ref="O75" si="96">IF(I75=0,0,N75/I75)</f>
        <v>3.8427464008859304E-2</v>
      </c>
      <c r="P75" s="143">
        <f>M75/M$76</f>
        <v>0.97691814233983187</v>
      </c>
      <c r="Q75" s="144">
        <f t="shared" ref="Q75" si="97">P75-J75</f>
        <v>1.0508250729568402E-6</v>
      </c>
      <c r="R75" s="144"/>
      <c r="T75" s="4">
        <f>L75/H75-1</f>
        <v>3.8427464008859324E-2</v>
      </c>
      <c r="W75" s="68"/>
    </row>
    <row r="76" spans="1:23" s="5" customFormat="1" ht="20.45" customHeight="1" x14ac:dyDescent="0.25">
      <c r="A76" s="94">
        <f t="shared" si="1"/>
        <v>66</v>
      </c>
      <c r="B76" s="88"/>
      <c r="C76" s="83"/>
      <c r="D76" s="84" t="s">
        <v>6</v>
      </c>
      <c r="E76" s="127"/>
      <c r="F76" s="84"/>
      <c r="G76" s="11">
        <f>SUM(G74:G75)</f>
        <v>994230.72593999992</v>
      </c>
      <c r="H76" s="127"/>
      <c r="I76" s="145">
        <f>SUM(I74:I75)</f>
        <v>1139586.0282000001</v>
      </c>
      <c r="J76" s="146">
        <f>SUM(J74:J75)</f>
        <v>1</v>
      </c>
      <c r="K76" s="147">
        <f>I76+Summary!I15</f>
        <v>1183341.6982</v>
      </c>
      <c r="L76" s="127"/>
      <c r="M76" s="145">
        <f>SUM(M74:M75)</f>
        <v>1183376.1563800001</v>
      </c>
      <c r="N76" s="145">
        <f>SUM(N74:N75)</f>
        <v>43790.128179999941</v>
      </c>
      <c r="O76" s="146">
        <f t="shared" ref="O76" si="98">N76/I76</f>
        <v>3.8426347021090955E-2</v>
      </c>
      <c r="P76" s="146">
        <f>SUM(P74:P75)</f>
        <v>1</v>
      </c>
      <c r="Q76" s="148">
        <f t="shared" ref="Q76" si="99">P76-J76</f>
        <v>0</v>
      </c>
      <c r="R76" s="149">
        <f>M76-K76</f>
        <v>34.458180000074208</v>
      </c>
      <c r="S76" s="47">
        <f>K76/I76</f>
        <v>1.0383961095671845</v>
      </c>
    </row>
    <row r="77" spans="1:23" x14ac:dyDescent="0.2">
      <c r="A77" s="94">
        <f t="shared" ref="A77:A169" si="100">A76+1</f>
        <v>67</v>
      </c>
      <c r="D77" s="74" t="s">
        <v>26</v>
      </c>
      <c r="G77" s="96">
        <v>146346.69</v>
      </c>
      <c r="H77" s="2"/>
      <c r="I77" s="18">
        <f>G77-($H$179*E75)</f>
        <v>991.38774000000558</v>
      </c>
      <c r="K77" s="18"/>
      <c r="M77" s="142">
        <f>I77</f>
        <v>991.38774000000558</v>
      </c>
      <c r="N77" s="142">
        <f t="shared" ref="N77:N79" si="101">M77-I77</f>
        <v>0</v>
      </c>
      <c r="O77" s="123">
        <v>0</v>
      </c>
    </row>
    <row r="78" spans="1:23" x14ac:dyDescent="0.2">
      <c r="A78" s="94">
        <f t="shared" si="100"/>
        <v>68</v>
      </c>
      <c r="D78" s="74" t="s">
        <v>27</v>
      </c>
      <c r="G78" s="96">
        <v>131191.41999999998</v>
      </c>
      <c r="H78" s="2"/>
      <c r="I78" s="18">
        <f t="shared" ref="I78:I80" si="102">G78</f>
        <v>131191.41999999998</v>
      </c>
      <c r="M78" s="142">
        <f t="shared" ref="M78:M80" si="103">I78</f>
        <v>131191.41999999998</v>
      </c>
      <c r="N78" s="142">
        <f t="shared" si="101"/>
        <v>0</v>
      </c>
      <c r="O78" s="123">
        <v>0</v>
      </c>
    </row>
    <row r="79" spans="1:23" x14ac:dyDescent="0.2">
      <c r="A79" s="94">
        <f t="shared" si="100"/>
        <v>69</v>
      </c>
      <c r="D79" s="74" t="s">
        <v>29</v>
      </c>
      <c r="G79" s="96">
        <v>256.36</v>
      </c>
      <c r="H79" s="2"/>
      <c r="I79" s="18">
        <f t="shared" si="102"/>
        <v>256.36</v>
      </c>
      <c r="M79" s="142">
        <f t="shared" si="103"/>
        <v>256.36</v>
      </c>
      <c r="N79" s="142">
        <f t="shared" si="101"/>
        <v>0</v>
      </c>
      <c r="O79" s="123">
        <v>0</v>
      </c>
    </row>
    <row r="80" spans="1:23" x14ac:dyDescent="0.2">
      <c r="A80" s="94">
        <f t="shared" si="100"/>
        <v>70</v>
      </c>
      <c r="D80" s="74" t="s">
        <v>39</v>
      </c>
      <c r="G80" s="96">
        <v>0</v>
      </c>
      <c r="H80" s="2"/>
      <c r="I80" s="18">
        <f t="shared" si="102"/>
        <v>0</v>
      </c>
      <c r="M80" s="142">
        <f t="shared" si="103"/>
        <v>0</v>
      </c>
      <c r="N80" s="142"/>
      <c r="O80" s="123"/>
    </row>
    <row r="81" spans="1:23" x14ac:dyDescent="0.2">
      <c r="A81" s="94">
        <f t="shared" si="100"/>
        <v>71</v>
      </c>
      <c r="D81" s="80" t="s">
        <v>8</v>
      </c>
      <c r="E81" s="24"/>
      <c r="F81" s="80"/>
      <c r="G81" s="98">
        <f>SUM(G77:G80)</f>
        <v>277794.46999999997</v>
      </c>
      <c r="H81" s="24"/>
      <c r="I81" s="151">
        <f>SUM(I77:I80)</f>
        <v>132439.16773999998</v>
      </c>
      <c r="J81" s="24"/>
      <c r="K81" s="24"/>
      <c r="L81" s="24"/>
      <c r="M81" s="151">
        <f>SUM(M77:M80)</f>
        <v>132439.16773999998</v>
      </c>
      <c r="N81" s="151">
        <f t="shared" ref="N81:N83" si="104">M81-I81</f>
        <v>0</v>
      </c>
      <c r="O81" s="152">
        <f t="shared" ref="O81" si="105">N81-J81</f>
        <v>0</v>
      </c>
    </row>
    <row r="82" spans="1:23" s="5" customFormat="1" ht="26.45" customHeight="1" thickBot="1" x14ac:dyDescent="0.25">
      <c r="A82" s="94">
        <f t="shared" si="100"/>
        <v>72</v>
      </c>
      <c r="B82" s="88"/>
      <c r="C82" s="83"/>
      <c r="D82" s="81" t="s">
        <v>19</v>
      </c>
      <c r="E82" s="128"/>
      <c r="F82" s="81"/>
      <c r="G82" s="99">
        <f>G76+G81</f>
        <v>1272025.19594</v>
      </c>
      <c r="H82" s="128"/>
      <c r="I82" s="134">
        <f>I81+I76</f>
        <v>1272025.19594</v>
      </c>
      <c r="J82" s="128"/>
      <c r="K82" s="128"/>
      <c r="L82" s="128"/>
      <c r="M82" s="153">
        <f>M81+M76</f>
        <v>1315815.32412</v>
      </c>
      <c r="N82" s="153">
        <f t="shared" si="104"/>
        <v>43790.12818</v>
      </c>
      <c r="O82" s="154">
        <f>N82/I82</f>
        <v>3.4425519494242419E-2</v>
      </c>
      <c r="P82" s="2"/>
      <c r="Q82" s="2"/>
      <c r="R82" s="2"/>
    </row>
    <row r="83" spans="1:23" ht="13.5" thickTop="1" x14ac:dyDescent="0.2">
      <c r="A83" s="94">
        <f t="shared" si="100"/>
        <v>73</v>
      </c>
      <c r="D83" s="74" t="s">
        <v>18</v>
      </c>
      <c r="E83" s="123">
        <f>E75/E74</f>
        <v>21859.386524822694</v>
      </c>
      <c r="G83" s="101">
        <f>G82/E74</f>
        <v>2255.3638225886525</v>
      </c>
      <c r="H83" s="2"/>
      <c r="I83" s="155">
        <f>I82/E74</f>
        <v>2255.3638225886525</v>
      </c>
      <c r="M83" s="155">
        <f>M82/E74</f>
        <v>2333.0058938297871</v>
      </c>
      <c r="N83" s="155">
        <f t="shared" si="104"/>
        <v>77.642071241134545</v>
      </c>
      <c r="O83" s="143">
        <f>N83/I83</f>
        <v>3.4425519494242322E-2</v>
      </c>
    </row>
    <row r="84" spans="1:23" ht="13.5" thickBot="1" x14ac:dyDescent="0.25">
      <c r="A84" s="94">
        <f t="shared" si="100"/>
        <v>74</v>
      </c>
      <c r="H84" s="2"/>
    </row>
    <row r="85" spans="1:23" x14ac:dyDescent="0.2">
      <c r="A85" s="94">
        <f t="shared" si="100"/>
        <v>75</v>
      </c>
      <c r="B85" s="170" t="s">
        <v>79</v>
      </c>
      <c r="C85" s="95" t="s">
        <v>80</v>
      </c>
      <c r="D85" s="77"/>
      <c r="E85" s="125"/>
      <c r="F85" s="77"/>
      <c r="G85" s="77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W85" s="5"/>
    </row>
    <row r="86" spans="1:23" x14ac:dyDescent="0.2">
      <c r="A86" s="94">
        <f t="shared" si="100"/>
        <v>76</v>
      </c>
      <c r="B86" s="171"/>
      <c r="C86" s="74"/>
      <c r="D86" s="74" t="s">
        <v>17</v>
      </c>
      <c r="E86" s="136">
        <v>736</v>
      </c>
      <c r="F86" s="78">
        <v>67.37</v>
      </c>
      <c r="G86" s="96">
        <f>F86*E86</f>
        <v>49584.320000000007</v>
      </c>
      <c r="H86" s="123">
        <v>67.37</v>
      </c>
      <c r="I86" s="142">
        <f>H86*E86</f>
        <v>49584.320000000007</v>
      </c>
      <c r="J86" s="143">
        <f>IF(I89=0,0,I86/I89)</f>
        <v>6.8537298050534686E-3</v>
      </c>
      <c r="K86" s="143"/>
      <c r="L86" s="123">
        <f>ROUND(H86*S89,2)</f>
        <v>69.959999999999994</v>
      </c>
      <c r="M86" s="142">
        <f>L86*E86</f>
        <v>51490.559999999998</v>
      </c>
      <c r="N86" s="142">
        <f>M86-I86</f>
        <v>1906.2399999999907</v>
      </c>
      <c r="O86" s="143">
        <f>IF(I86=0,0,N86/I86)</f>
        <v>3.8444411459106237E-2</v>
      </c>
      <c r="P86" s="143">
        <f>IF(M$89=0,0,M86/M$89)</f>
        <v>6.8539916271749312E-3</v>
      </c>
      <c r="Q86" s="144">
        <f>P86-J86</f>
        <v>2.6182212146258488E-7</v>
      </c>
      <c r="R86" s="144"/>
      <c r="T86" s="4">
        <f t="shared" ref="T86:T88" si="106">L86/H86-1</f>
        <v>3.8444411459106265E-2</v>
      </c>
      <c r="W86" s="69"/>
    </row>
    <row r="87" spans="1:23" x14ac:dyDescent="0.2">
      <c r="A87" s="94">
        <f t="shared" si="100"/>
        <v>77</v>
      </c>
      <c r="D87" s="74" t="s">
        <v>47</v>
      </c>
      <c r="E87" s="136">
        <v>77310121</v>
      </c>
      <c r="F87" s="87">
        <v>5.8770000000000003E-2</v>
      </c>
      <c r="G87" s="96">
        <f t="shared" ref="G87" si="107">F87*E87</f>
        <v>4543515.8111700006</v>
      </c>
      <c r="H87" s="129">
        <v>7.0559999999999998E-2</v>
      </c>
      <c r="I87" s="142">
        <f t="shared" ref="I87" si="108">H87*E87</f>
        <v>5455002.1377599994</v>
      </c>
      <c r="J87" s="143">
        <f>IF(I90=0,0,I87/I$89)</f>
        <v>0.75401075860667433</v>
      </c>
      <c r="K87" s="143"/>
      <c r="L87" s="124">
        <f>ROUND(H87*S89,5)</f>
        <v>7.3270000000000002E-2</v>
      </c>
      <c r="M87" s="142">
        <f t="shared" ref="M87" si="109">L87*E87</f>
        <v>5664512.5656700004</v>
      </c>
      <c r="N87" s="142">
        <f t="shared" ref="N87:N95" si="110">M87-I87</f>
        <v>209510.42791000102</v>
      </c>
      <c r="O87" s="143">
        <f t="shared" ref="O87" si="111">IF(I87=0,0,N87/I87)</f>
        <v>3.8407029478458241E-2</v>
      </c>
      <c r="P87" s="143">
        <f>IF(M$89=0,0,M87/M$89)</f>
        <v>0.75401241891968873</v>
      </c>
      <c r="Q87" s="144">
        <f t="shared" ref="Q87:Q89" si="112">P87-J87</f>
        <v>1.6603130144066114E-6</v>
      </c>
      <c r="R87" s="144"/>
      <c r="T87" s="4">
        <f t="shared" si="106"/>
        <v>3.8407029478458199E-2</v>
      </c>
      <c r="W87" s="69"/>
    </row>
    <row r="88" spans="1:23" x14ac:dyDescent="0.2">
      <c r="A88" s="94">
        <f t="shared" si="100"/>
        <v>78</v>
      </c>
      <c r="D88" s="74" t="s">
        <v>50</v>
      </c>
      <c r="E88" s="136">
        <v>259768.94279176201</v>
      </c>
      <c r="F88" s="78">
        <v>4.37</v>
      </c>
      <c r="G88" s="96">
        <f t="shared" ref="G88" si="113">F88*E88</f>
        <v>1135190.28</v>
      </c>
      <c r="H88" s="123">
        <v>6.66</v>
      </c>
      <c r="I88" s="142">
        <f t="shared" ref="I88" si="114">H88*E88</f>
        <v>1730061.158993135</v>
      </c>
      <c r="J88" s="143">
        <f>IF(I91=0,0,I88/I$89)</f>
        <v>0.23913551158827218</v>
      </c>
      <c r="K88" s="143"/>
      <c r="L88" s="123">
        <f>ROUND(H88*S89,5)</f>
        <v>6.9157200000000003</v>
      </c>
      <c r="M88" s="142">
        <f t="shared" ref="M88" si="115">L88*E88</f>
        <v>1796489.2730438444</v>
      </c>
      <c r="N88" s="142">
        <f t="shared" ref="N88" si="116">M88-I88</f>
        <v>66428.11405070941</v>
      </c>
      <c r="O88" s="143">
        <f t="shared" ref="O88" si="117">IF(I88=0,0,N88/I88)</f>
        <v>3.8396396396396415E-2</v>
      </c>
      <c r="P88" s="143">
        <f>IF(M$89=0,0,M88/M$89)</f>
        <v>0.23913358945313642</v>
      </c>
      <c r="Q88" s="144">
        <f t="shared" ref="Q88" si="118">P88-J88</f>
        <v>-1.9221351357512351E-6</v>
      </c>
      <c r="R88" s="144"/>
      <c r="T88" s="4">
        <f t="shared" si="106"/>
        <v>3.8396396396396471E-2</v>
      </c>
      <c r="W88" s="69"/>
    </row>
    <row r="89" spans="1:23" s="5" customFormat="1" ht="20.45" customHeight="1" x14ac:dyDescent="0.25">
      <c r="A89" s="94">
        <f t="shared" si="100"/>
        <v>79</v>
      </c>
      <c r="B89" s="88"/>
      <c r="C89" s="83"/>
      <c r="D89" s="84" t="s">
        <v>6</v>
      </c>
      <c r="E89" s="127"/>
      <c r="F89" s="84"/>
      <c r="G89" s="11">
        <f>SUM(G86:G88)</f>
        <v>5728290.4111700011</v>
      </c>
      <c r="H89" s="127"/>
      <c r="I89" s="145">
        <f>SUM(I86:I88)</f>
        <v>7234647.6167531349</v>
      </c>
      <c r="J89" s="146">
        <f>SUM(J86:J88)</f>
        <v>1</v>
      </c>
      <c r="K89" s="147">
        <f>I89+Summary!I16</f>
        <v>7512429.9667531345</v>
      </c>
      <c r="L89" s="127"/>
      <c r="M89" s="145">
        <f>SUM(M86:M88)</f>
        <v>7512492.3987138439</v>
      </c>
      <c r="N89" s="145">
        <f>SUM(N86:N88)</f>
        <v>277844.78196071042</v>
      </c>
      <c r="O89" s="146">
        <f>IF(I89=0,0,N89/I89)</f>
        <v>3.8404742936934563E-2</v>
      </c>
      <c r="P89" s="146">
        <f>SUM(P86:P88)</f>
        <v>1</v>
      </c>
      <c r="Q89" s="148">
        <f t="shared" si="112"/>
        <v>0</v>
      </c>
      <c r="R89" s="149">
        <f>M89-K89</f>
        <v>62.431960709393024</v>
      </c>
      <c r="S89" s="47">
        <f>IF(I89=0,0,K89/I89)</f>
        <v>1.0383961133582711</v>
      </c>
    </row>
    <row r="90" spans="1:23" x14ac:dyDescent="0.2">
      <c r="A90" s="94">
        <f t="shared" si="100"/>
        <v>80</v>
      </c>
      <c r="D90" s="74" t="s">
        <v>26</v>
      </c>
      <c r="G90" s="96">
        <v>908212.01</v>
      </c>
      <c r="H90" s="2"/>
      <c r="I90" s="18">
        <f>G90-($H$179*E87)</f>
        <v>-3274.316589999944</v>
      </c>
      <c r="K90" s="18"/>
      <c r="M90" s="142">
        <f>I90</f>
        <v>-3274.316589999944</v>
      </c>
      <c r="N90" s="142">
        <f t="shared" si="110"/>
        <v>0</v>
      </c>
      <c r="O90" s="123">
        <v>0</v>
      </c>
      <c r="W90" s="5"/>
    </row>
    <row r="91" spans="1:23" x14ac:dyDescent="0.2">
      <c r="A91" s="94">
        <f t="shared" si="100"/>
        <v>81</v>
      </c>
      <c r="D91" s="74" t="s">
        <v>27</v>
      </c>
      <c r="G91" s="96">
        <v>766669.56</v>
      </c>
      <c r="H91" s="2"/>
      <c r="I91" s="18">
        <f t="shared" ref="I91:I93" si="119">G91</f>
        <v>766669.56</v>
      </c>
      <c r="M91" s="142">
        <f t="shared" ref="M91:M93" si="120">I91</f>
        <v>766669.56</v>
      </c>
      <c r="N91" s="142">
        <f t="shared" si="110"/>
        <v>0</v>
      </c>
      <c r="O91" s="123">
        <v>0</v>
      </c>
    </row>
    <row r="92" spans="1:23" x14ac:dyDescent="0.2">
      <c r="A92" s="94">
        <f t="shared" si="100"/>
        <v>82</v>
      </c>
      <c r="D92" s="74" t="s">
        <v>29</v>
      </c>
      <c r="G92" s="96">
        <v>-872.23999999999978</v>
      </c>
      <c r="H92" s="2"/>
      <c r="I92" s="18">
        <f t="shared" si="119"/>
        <v>-872.23999999999978</v>
      </c>
      <c r="M92" s="142">
        <f t="shared" si="120"/>
        <v>-872.23999999999978</v>
      </c>
      <c r="N92" s="142">
        <f t="shared" si="110"/>
        <v>0</v>
      </c>
      <c r="O92" s="123">
        <v>0</v>
      </c>
    </row>
    <row r="93" spans="1:23" x14ac:dyDescent="0.2">
      <c r="A93" s="94">
        <f t="shared" si="100"/>
        <v>83</v>
      </c>
      <c r="D93" s="74" t="s">
        <v>39</v>
      </c>
      <c r="G93" s="96">
        <v>0</v>
      </c>
      <c r="H93" s="2"/>
      <c r="I93" s="18">
        <f t="shared" si="119"/>
        <v>0</v>
      </c>
      <c r="M93" s="142">
        <f t="shared" si="120"/>
        <v>0</v>
      </c>
      <c r="N93" s="142"/>
      <c r="O93" s="123"/>
    </row>
    <row r="94" spans="1:23" x14ac:dyDescent="0.2">
      <c r="A94" s="94">
        <f t="shared" si="100"/>
        <v>84</v>
      </c>
      <c r="D94" s="80" t="s">
        <v>8</v>
      </c>
      <c r="E94" s="24"/>
      <c r="F94" s="80"/>
      <c r="G94" s="98">
        <f>SUM(G90:G93)</f>
        <v>1674009.33</v>
      </c>
      <c r="H94" s="24"/>
      <c r="I94" s="151">
        <f>SUM(I90:I93)</f>
        <v>762523.00341000012</v>
      </c>
      <c r="J94" s="24"/>
      <c r="K94" s="24"/>
      <c r="L94" s="24"/>
      <c r="M94" s="151">
        <f>SUM(M90:M93)</f>
        <v>762523.00341000012</v>
      </c>
      <c r="N94" s="151">
        <f t="shared" si="110"/>
        <v>0</v>
      </c>
      <c r="O94" s="152">
        <f t="shared" ref="O94" si="121">N94-J94</f>
        <v>0</v>
      </c>
    </row>
    <row r="95" spans="1:23" s="5" customFormat="1" ht="26.45" customHeight="1" thickBot="1" x14ac:dyDescent="0.25">
      <c r="A95" s="94">
        <f t="shared" si="100"/>
        <v>85</v>
      </c>
      <c r="B95" s="88"/>
      <c r="C95" s="83"/>
      <c r="D95" s="81" t="s">
        <v>19</v>
      </c>
      <c r="E95" s="128"/>
      <c r="F95" s="81"/>
      <c r="G95" s="99">
        <f>G89+G94</f>
        <v>7402299.7411700012</v>
      </c>
      <c r="H95" s="128"/>
      <c r="I95" s="134">
        <f>I94+I89</f>
        <v>7997170.6201631352</v>
      </c>
      <c r="J95" s="128"/>
      <c r="K95" s="128"/>
      <c r="L95" s="128"/>
      <c r="M95" s="153">
        <f>M94+M89</f>
        <v>8275015.4021238443</v>
      </c>
      <c r="N95" s="153">
        <f t="shared" si="110"/>
        <v>277844.78196070902</v>
      </c>
      <c r="O95" s="154">
        <f>IF(I95=0,0,N95/I95)</f>
        <v>3.4742885347498219E-2</v>
      </c>
      <c r="P95" s="2"/>
      <c r="Q95" s="2"/>
      <c r="R95" s="2"/>
    </row>
    <row r="96" spans="1:23" ht="13.5" thickTop="1" x14ac:dyDescent="0.2">
      <c r="A96" s="94">
        <f t="shared" si="100"/>
        <v>86</v>
      </c>
      <c r="D96" s="58"/>
      <c r="E96" s="130">
        <f>E87/E86</f>
        <v>105040.92527173914</v>
      </c>
      <c r="F96" s="102"/>
      <c r="G96" s="102">
        <f>G95/E86</f>
        <v>10057.472474415763</v>
      </c>
      <c r="H96" s="130"/>
      <c r="I96" s="130">
        <f>I95/E86</f>
        <v>10865.720951308607</v>
      </c>
      <c r="J96" s="130"/>
      <c r="K96" s="130"/>
      <c r="L96" s="130"/>
      <c r="M96" s="130">
        <f>M95/E86</f>
        <v>11243.227448537831</v>
      </c>
      <c r="N96" s="130">
        <f>M96-I96</f>
        <v>377.5064972292239</v>
      </c>
      <c r="O96" s="143">
        <f>N96/I96</f>
        <v>3.4742885347498191E-2</v>
      </c>
      <c r="P96" s="10"/>
      <c r="Q96" s="10"/>
    </row>
    <row r="97" spans="1:20" ht="13.5" thickBot="1" x14ac:dyDescent="0.25">
      <c r="A97" s="94">
        <f t="shared" si="100"/>
        <v>87</v>
      </c>
      <c r="H97" s="2"/>
    </row>
    <row r="98" spans="1:20" x14ac:dyDescent="0.2">
      <c r="A98" s="94">
        <f t="shared" si="100"/>
        <v>88</v>
      </c>
      <c r="B98" s="77" t="s">
        <v>30</v>
      </c>
      <c r="C98" s="95" t="s">
        <v>90</v>
      </c>
      <c r="D98" s="77"/>
      <c r="E98" s="125"/>
      <c r="F98" s="77"/>
      <c r="G98" s="77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0" x14ac:dyDescent="0.2">
      <c r="A99" s="94">
        <f t="shared" si="100"/>
        <v>89</v>
      </c>
      <c r="B99" s="103"/>
      <c r="C99" s="79"/>
      <c r="D99" s="74" t="s">
        <v>96</v>
      </c>
      <c r="E99" s="136">
        <v>37804</v>
      </c>
      <c r="F99" s="78">
        <v>9.36</v>
      </c>
      <c r="G99" s="96">
        <f t="shared" ref="G99:G100" si="122">F99*E99</f>
        <v>353845.44</v>
      </c>
      <c r="H99" s="123">
        <v>10.19</v>
      </c>
      <c r="I99" s="142">
        <f t="shared" ref="I99:I100" si="123">H99*E99</f>
        <v>385222.76</v>
      </c>
      <c r="J99" s="143">
        <f t="shared" ref="J99:J110" si="124">I99/I$111</f>
        <v>0.21647214442613202</v>
      </c>
      <c r="K99" s="143"/>
      <c r="L99" s="123">
        <f>ROUND(H99*S$111,2)</f>
        <v>10.58</v>
      </c>
      <c r="M99" s="142">
        <f t="shared" ref="M99:M100" si="125">L99*E99</f>
        <v>399966.32</v>
      </c>
      <c r="N99" s="142">
        <f t="shared" ref="N99:N100" si="126">M99-I99</f>
        <v>14743.559999999998</v>
      </c>
      <c r="O99" s="143">
        <f t="shared" ref="O99:O100" si="127">IF(I99=0,0,N99/I99)</f>
        <v>3.827281648675171E-2</v>
      </c>
      <c r="P99" s="143">
        <f>M99/M$111</f>
        <v>0.2164230018237987</v>
      </c>
      <c r="Q99" s="144">
        <f t="shared" ref="Q99:Q100" si="128">P99-J99</f>
        <v>-4.9142602333324126E-5</v>
      </c>
      <c r="R99" s="144"/>
      <c r="T99" s="4">
        <f>L99/H99-1</f>
        <v>3.8272816486751848E-2</v>
      </c>
    </row>
    <row r="100" spans="1:20" x14ac:dyDescent="0.2">
      <c r="A100" s="94">
        <f>A98+1</f>
        <v>89</v>
      </c>
      <c r="B100" s="103"/>
      <c r="C100" s="79"/>
      <c r="D100" s="74" t="s">
        <v>97</v>
      </c>
      <c r="E100" s="136">
        <v>0</v>
      </c>
      <c r="F100" s="78"/>
      <c r="G100" s="96">
        <f t="shared" si="122"/>
        <v>0</v>
      </c>
      <c r="H100" s="123">
        <v>15.43</v>
      </c>
      <c r="I100" s="142">
        <f t="shared" si="123"/>
        <v>0</v>
      </c>
      <c r="J100" s="143">
        <f t="shared" si="124"/>
        <v>0</v>
      </c>
      <c r="K100" s="143"/>
      <c r="L100" s="123">
        <f>ROUND(H100*S$111,2)</f>
        <v>16.02</v>
      </c>
      <c r="M100" s="142">
        <f t="shared" si="125"/>
        <v>0</v>
      </c>
      <c r="N100" s="142">
        <f t="shared" si="126"/>
        <v>0</v>
      </c>
      <c r="O100" s="143">
        <f t="shared" si="127"/>
        <v>0</v>
      </c>
      <c r="P100" s="143">
        <f t="shared" ref="P100" si="129">M100/M$111</f>
        <v>0</v>
      </c>
      <c r="Q100" s="144">
        <f t="shared" si="128"/>
        <v>0</v>
      </c>
      <c r="R100" s="144"/>
      <c r="T100" s="4">
        <f>L100/H100-1</f>
        <v>3.8237200259235271E-2</v>
      </c>
    </row>
    <row r="101" spans="1:20" x14ac:dyDescent="0.2">
      <c r="A101" s="94">
        <f>A99+1</f>
        <v>90</v>
      </c>
      <c r="B101" s="103"/>
      <c r="C101" s="79"/>
      <c r="D101" s="74" t="s">
        <v>112</v>
      </c>
      <c r="E101" s="136">
        <v>0</v>
      </c>
      <c r="F101" s="78"/>
      <c r="G101" s="96">
        <f t="shared" ref="G101" si="130">F101*E101</f>
        <v>0</v>
      </c>
      <c r="H101" s="123">
        <v>11.43</v>
      </c>
      <c r="I101" s="142">
        <f t="shared" ref="I101" si="131">H101*E101</f>
        <v>0</v>
      </c>
      <c r="J101" s="143">
        <f t="shared" si="124"/>
        <v>0</v>
      </c>
      <c r="K101" s="143"/>
      <c r="L101" s="123">
        <f>H101*S111</f>
        <v>11.868867574791581</v>
      </c>
      <c r="M101" s="142">
        <f t="shared" ref="M101" si="132">L101*E101</f>
        <v>0</v>
      </c>
      <c r="N101" s="142">
        <f t="shared" ref="N101" si="133">M101-I101</f>
        <v>0</v>
      </c>
      <c r="O101" s="143">
        <f t="shared" ref="O101" si="134">IF(I101=0,0,N101/I101)</f>
        <v>0</v>
      </c>
      <c r="P101" s="143">
        <f t="shared" ref="P101" si="135">M101/M$111</f>
        <v>0</v>
      </c>
      <c r="Q101" s="144">
        <f t="shared" ref="Q101" si="136">P101-J101</f>
        <v>0</v>
      </c>
      <c r="R101" s="144"/>
      <c r="T101" s="4">
        <f>L101/H101-1</f>
        <v>3.8396113280103394E-2</v>
      </c>
    </row>
    <row r="102" spans="1:20" x14ac:dyDescent="0.2">
      <c r="A102" s="94">
        <f>A99+1</f>
        <v>90</v>
      </c>
      <c r="B102" s="103"/>
      <c r="C102" s="79"/>
      <c r="D102" s="74" t="s">
        <v>98</v>
      </c>
      <c r="E102" s="136">
        <v>8994</v>
      </c>
      <c r="F102" s="78">
        <v>9.3800000000000008</v>
      </c>
      <c r="G102" s="96">
        <f t="shared" ref="G102:G105" si="137">F102*E102</f>
        <v>84363.72</v>
      </c>
      <c r="H102" s="123">
        <v>10.210000000000001</v>
      </c>
      <c r="I102" s="142">
        <f t="shared" ref="I102:I105" si="138">H102*E102</f>
        <v>91828.74</v>
      </c>
      <c r="J102" s="143">
        <f t="shared" si="124"/>
        <v>5.1602258048692985E-2</v>
      </c>
      <c r="K102" s="143"/>
      <c r="L102" s="123">
        <f t="shared" ref="L102:L110" si="139">ROUND(H102*S$111,2)</f>
        <v>10.6</v>
      </c>
      <c r="M102" s="142">
        <f t="shared" ref="M102:M105" si="140">L102*E102</f>
        <v>95336.4</v>
      </c>
      <c r="N102" s="142">
        <f t="shared" ref="N102:N105" si="141">M102-I102</f>
        <v>3507.6599999999889</v>
      </c>
      <c r="O102" s="143">
        <f t="shared" ref="O102:O105" si="142">IF(I102=0,0,N102/I102)</f>
        <v>3.8197845249755016E-2</v>
      </c>
      <c r="P102" s="143">
        <f t="shared" ref="P102:P110" si="143">M102/M$111</f>
        <v>5.1586818287785836E-2</v>
      </c>
      <c r="Q102" s="144">
        <f t="shared" ref="Q102:Q105" si="144">P102-J102</f>
        <v>-1.5439760907148825E-5</v>
      </c>
      <c r="R102" s="144"/>
      <c r="T102" s="4">
        <f t="shared" ref="T102:T110" si="145">L102/H102-1</f>
        <v>3.8197845249755114E-2</v>
      </c>
    </row>
    <row r="103" spans="1:20" x14ac:dyDescent="0.2">
      <c r="A103" s="94">
        <f t="shared" si="100"/>
        <v>91</v>
      </c>
      <c r="B103" s="103"/>
      <c r="C103" s="79"/>
      <c r="D103" s="74" t="s">
        <v>99</v>
      </c>
      <c r="E103" s="136">
        <v>775</v>
      </c>
      <c r="F103" s="78">
        <v>11.44</v>
      </c>
      <c r="G103" s="96">
        <f t="shared" si="137"/>
        <v>8866</v>
      </c>
      <c r="H103" s="123">
        <v>12.27</v>
      </c>
      <c r="I103" s="142">
        <f t="shared" si="138"/>
        <v>9509.25</v>
      </c>
      <c r="J103" s="143">
        <f t="shared" si="124"/>
        <v>5.3436295907962339E-3</v>
      </c>
      <c r="K103" s="143"/>
      <c r="L103" s="123">
        <f t="shared" si="139"/>
        <v>12.74</v>
      </c>
      <c r="M103" s="142">
        <f t="shared" si="140"/>
        <v>9873.5</v>
      </c>
      <c r="N103" s="142">
        <f t="shared" si="141"/>
        <v>364.25</v>
      </c>
      <c r="O103" s="143">
        <f t="shared" si="142"/>
        <v>3.8304808475957623E-2</v>
      </c>
      <c r="P103" s="143">
        <f t="shared" si="143"/>
        <v>5.3425811165982084E-3</v>
      </c>
      <c r="Q103" s="144">
        <f t="shared" si="144"/>
        <v>-1.0484741980254855E-6</v>
      </c>
      <c r="R103" s="144"/>
      <c r="T103" s="4">
        <f t="shared" si="145"/>
        <v>3.830480847595763E-2</v>
      </c>
    </row>
    <row r="104" spans="1:20" x14ac:dyDescent="0.2">
      <c r="A104" s="94">
        <f t="shared" si="100"/>
        <v>92</v>
      </c>
      <c r="B104" s="103"/>
      <c r="C104" s="79"/>
      <c r="D104" s="74" t="s">
        <v>96</v>
      </c>
      <c r="E104" s="136">
        <v>573</v>
      </c>
      <c r="F104" s="78">
        <f>F99</f>
        <v>9.36</v>
      </c>
      <c r="G104" s="96">
        <f t="shared" si="137"/>
        <v>5363.28</v>
      </c>
      <c r="H104" s="123">
        <f>H99</f>
        <v>10.19</v>
      </c>
      <c r="I104" s="142">
        <f t="shared" si="138"/>
        <v>5838.87</v>
      </c>
      <c r="J104" s="143">
        <f t="shared" si="124"/>
        <v>3.2810956183518579E-3</v>
      </c>
      <c r="K104" s="143"/>
      <c r="L104" s="123">
        <f t="shared" si="139"/>
        <v>10.58</v>
      </c>
      <c r="M104" s="142">
        <f t="shared" si="140"/>
        <v>6062.34</v>
      </c>
      <c r="N104" s="142">
        <f t="shared" si="141"/>
        <v>223.47000000000025</v>
      </c>
      <c r="O104" s="143">
        <f t="shared" si="142"/>
        <v>3.8272816486751765E-2</v>
      </c>
      <c r="P104" s="143">
        <f t="shared" si="143"/>
        <v>3.2803507577250199E-3</v>
      </c>
      <c r="Q104" s="144">
        <f t="shared" si="144"/>
        <v>-7.4486062683802937E-7</v>
      </c>
      <c r="R104" s="144"/>
      <c r="T104" s="4">
        <f t="shared" si="145"/>
        <v>3.8272816486751848E-2</v>
      </c>
    </row>
    <row r="105" spans="1:20" x14ac:dyDescent="0.2">
      <c r="A105" s="94">
        <f t="shared" si="100"/>
        <v>93</v>
      </c>
      <c r="B105" s="103"/>
      <c r="C105" s="79"/>
      <c r="D105" s="74" t="s">
        <v>101</v>
      </c>
      <c r="E105" s="136">
        <v>7806</v>
      </c>
      <c r="F105" s="78">
        <v>18.07</v>
      </c>
      <c r="G105" s="96">
        <f t="shared" si="137"/>
        <v>141054.42000000001</v>
      </c>
      <c r="H105" s="123">
        <v>19.72</v>
      </c>
      <c r="I105" s="142">
        <f t="shared" si="138"/>
        <v>153934.31999999998</v>
      </c>
      <c r="J105" s="143">
        <f t="shared" si="124"/>
        <v>8.6501878422703835E-2</v>
      </c>
      <c r="K105" s="143"/>
      <c r="L105" s="123">
        <f t="shared" si="139"/>
        <v>20.48</v>
      </c>
      <c r="M105" s="142">
        <f t="shared" si="140"/>
        <v>159866.88</v>
      </c>
      <c r="N105" s="142">
        <f t="shared" si="141"/>
        <v>5932.5600000000268</v>
      </c>
      <c r="O105" s="143">
        <f t="shared" si="142"/>
        <v>3.8539553752535677E-2</v>
      </c>
      <c r="P105" s="143">
        <f t="shared" si="143"/>
        <v>8.6504458829946007E-2</v>
      </c>
      <c r="Q105" s="144">
        <f t="shared" si="144"/>
        <v>2.5804072421725666E-6</v>
      </c>
      <c r="R105" s="144"/>
      <c r="T105" s="4">
        <f t="shared" si="145"/>
        <v>3.8539553752535483E-2</v>
      </c>
    </row>
    <row r="106" spans="1:20" x14ac:dyDescent="0.2">
      <c r="A106" s="94">
        <f t="shared" si="100"/>
        <v>94</v>
      </c>
      <c r="B106" s="103"/>
      <c r="C106" s="79"/>
      <c r="D106" s="74" t="s">
        <v>100</v>
      </c>
      <c r="E106" s="136">
        <v>3060</v>
      </c>
      <c r="F106" s="78">
        <f>F105</f>
        <v>18.07</v>
      </c>
      <c r="G106" s="96">
        <f t="shared" ref="G106:G110" si="146">F106*E106</f>
        <v>55294.200000000004</v>
      </c>
      <c r="H106" s="123">
        <v>19.72</v>
      </c>
      <c r="I106" s="142">
        <f t="shared" ref="I106:I110" si="147">H106*E106</f>
        <v>60343.199999999997</v>
      </c>
      <c r="J106" s="143">
        <f t="shared" si="124"/>
        <v>3.390926825179013E-2</v>
      </c>
      <c r="K106" s="143"/>
      <c r="L106" s="123">
        <f t="shared" si="139"/>
        <v>20.48</v>
      </c>
      <c r="M106" s="142">
        <f t="shared" ref="M106:M110" si="148">L106*E106</f>
        <v>62668.800000000003</v>
      </c>
      <c r="N106" s="142">
        <f t="shared" ref="N106:N110" si="149">M106-I106</f>
        <v>2325.6000000000058</v>
      </c>
      <c r="O106" s="143">
        <f t="shared" ref="O106:O110" si="150">IF(I106=0,0,N106/I106)</f>
        <v>3.8539553752535594E-2</v>
      </c>
      <c r="P106" s="143">
        <f t="shared" si="143"/>
        <v>3.3910279787296285E-2</v>
      </c>
      <c r="Q106" s="144">
        <f t="shared" ref="Q106:Q110" si="151">P106-J106</f>
        <v>1.0115355061554587E-6</v>
      </c>
      <c r="R106" s="144"/>
      <c r="T106" s="4">
        <f t="shared" si="145"/>
        <v>3.8539553752535483E-2</v>
      </c>
    </row>
    <row r="107" spans="1:20" x14ac:dyDescent="0.2">
      <c r="A107" s="94">
        <f t="shared" si="100"/>
        <v>95</v>
      </c>
      <c r="B107" s="103"/>
      <c r="C107" s="79"/>
      <c r="D107" s="74" t="s">
        <v>92</v>
      </c>
      <c r="E107" s="136">
        <v>57714</v>
      </c>
      <c r="F107" s="78">
        <v>9.27</v>
      </c>
      <c r="G107" s="96">
        <f t="shared" si="146"/>
        <v>535008.78</v>
      </c>
      <c r="H107" s="123">
        <v>9.5500000000000007</v>
      </c>
      <c r="I107" s="142">
        <f t="shared" si="147"/>
        <v>551168.70000000007</v>
      </c>
      <c r="J107" s="143">
        <f t="shared" si="124"/>
        <v>0.30972383467052528</v>
      </c>
      <c r="K107" s="143"/>
      <c r="L107" s="123">
        <f t="shared" si="139"/>
        <v>9.92</v>
      </c>
      <c r="M107" s="142">
        <f t="shared" si="148"/>
        <v>572522.88</v>
      </c>
      <c r="N107" s="142">
        <f t="shared" si="149"/>
        <v>21354.179999999935</v>
      </c>
      <c r="O107" s="143">
        <f t="shared" si="150"/>
        <v>3.8743455497382076E-2</v>
      </c>
      <c r="P107" s="143">
        <f t="shared" si="143"/>
        <v>0.30979388540116698</v>
      </c>
      <c r="Q107" s="144">
        <f t="shared" si="151"/>
        <v>7.0050730641701975E-5</v>
      </c>
      <c r="R107" s="144"/>
      <c r="T107" s="4">
        <f t="shared" si="145"/>
        <v>3.8743455497382007E-2</v>
      </c>
    </row>
    <row r="108" spans="1:20" x14ac:dyDescent="0.2">
      <c r="A108" s="94">
        <f t="shared" si="100"/>
        <v>96</v>
      </c>
      <c r="B108" s="103"/>
      <c r="C108" s="79"/>
      <c r="D108" s="74" t="s">
        <v>93</v>
      </c>
      <c r="E108" s="136">
        <v>20393</v>
      </c>
      <c r="F108" s="78">
        <v>15.73</v>
      </c>
      <c r="G108" s="96">
        <f t="shared" si="146"/>
        <v>320781.89</v>
      </c>
      <c r="H108" s="123">
        <v>16.39</v>
      </c>
      <c r="I108" s="142">
        <f t="shared" si="147"/>
        <v>334241.27</v>
      </c>
      <c r="J108" s="143">
        <f t="shared" si="124"/>
        <v>0.18782359711200292</v>
      </c>
      <c r="K108" s="143"/>
      <c r="L108" s="123">
        <f t="shared" si="139"/>
        <v>17.02</v>
      </c>
      <c r="M108" s="142">
        <f t="shared" si="148"/>
        <v>347088.86</v>
      </c>
      <c r="N108" s="142">
        <f t="shared" si="149"/>
        <v>12847.589999999967</v>
      </c>
      <c r="O108" s="143">
        <f t="shared" si="150"/>
        <v>3.8438071995118873E-2</v>
      </c>
      <c r="P108" s="143">
        <f t="shared" si="143"/>
        <v>0.18781084612524426</v>
      </c>
      <c r="Q108" s="144">
        <f t="shared" si="151"/>
        <v>-1.2750986758652827E-5</v>
      </c>
      <c r="R108" s="144"/>
      <c r="T108" s="4">
        <f t="shared" si="145"/>
        <v>3.843807199511895E-2</v>
      </c>
    </row>
    <row r="109" spans="1:20" x14ac:dyDescent="0.2">
      <c r="A109" s="94">
        <f t="shared" si="100"/>
        <v>97</v>
      </c>
      <c r="B109" s="103"/>
      <c r="C109" s="79"/>
      <c r="D109" s="74" t="s">
        <v>95</v>
      </c>
      <c r="E109" s="136">
        <v>2883</v>
      </c>
      <c r="F109" s="78">
        <v>19.29</v>
      </c>
      <c r="G109" s="96">
        <f t="shared" si="146"/>
        <v>55613.07</v>
      </c>
      <c r="H109" s="123">
        <v>20.2</v>
      </c>
      <c r="I109" s="142">
        <f t="shared" si="147"/>
        <v>58236.6</v>
      </c>
      <c r="J109" s="143">
        <f t="shared" si="124"/>
        <v>3.2725485083194152E-2</v>
      </c>
      <c r="K109" s="143"/>
      <c r="L109" s="123">
        <f t="shared" si="139"/>
        <v>20.98</v>
      </c>
      <c r="M109" s="142">
        <f t="shared" si="148"/>
        <v>60485.340000000004</v>
      </c>
      <c r="N109" s="142">
        <f t="shared" si="149"/>
        <v>2248.7400000000052</v>
      </c>
      <c r="O109" s="143">
        <f t="shared" si="150"/>
        <v>3.8613861386138704E-2</v>
      </c>
      <c r="P109" s="143">
        <f t="shared" si="143"/>
        <v>3.2728802888035889E-2</v>
      </c>
      <c r="Q109" s="144">
        <f t="shared" si="151"/>
        <v>3.3178048417376038E-6</v>
      </c>
      <c r="R109" s="144"/>
      <c r="T109" s="4">
        <f t="shared" si="145"/>
        <v>3.8613861386138648E-2</v>
      </c>
    </row>
    <row r="110" spans="1:20" x14ac:dyDescent="0.2">
      <c r="A110" s="94">
        <f t="shared" si="100"/>
        <v>98</v>
      </c>
      <c r="B110" s="103"/>
      <c r="C110" s="79"/>
      <c r="D110" s="74" t="s">
        <v>94</v>
      </c>
      <c r="E110" s="136">
        <v>6553</v>
      </c>
      <c r="F110" s="78">
        <f>F106</f>
        <v>18.07</v>
      </c>
      <c r="G110" s="96">
        <f t="shared" si="146"/>
        <v>118412.71</v>
      </c>
      <c r="H110" s="123">
        <f>H105</f>
        <v>19.72</v>
      </c>
      <c r="I110" s="142">
        <f t="shared" si="147"/>
        <v>129225.15999999999</v>
      </c>
      <c r="J110" s="143">
        <f t="shared" si="124"/>
        <v>7.2616808775810684E-2</v>
      </c>
      <c r="K110" s="143"/>
      <c r="L110" s="123">
        <f t="shared" si="139"/>
        <v>20.48</v>
      </c>
      <c r="M110" s="142">
        <f t="shared" si="148"/>
        <v>134205.44</v>
      </c>
      <c r="N110" s="142">
        <f t="shared" si="149"/>
        <v>4980.2800000000134</v>
      </c>
      <c r="O110" s="143">
        <f t="shared" si="150"/>
        <v>3.8539553752535601E-2</v>
      </c>
      <c r="P110" s="143">
        <f t="shared" si="143"/>
        <v>7.2618974982402787E-2</v>
      </c>
      <c r="Q110" s="144">
        <f t="shared" si="151"/>
        <v>2.1662065921024265E-6</v>
      </c>
      <c r="R110" s="144"/>
      <c r="T110" s="4">
        <f t="shared" si="145"/>
        <v>3.8539553752535483E-2</v>
      </c>
    </row>
    <row r="111" spans="1:20" s="5" customFormat="1" ht="24.6" customHeight="1" x14ac:dyDescent="0.25">
      <c r="A111" s="94">
        <f t="shared" si="100"/>
        <v>99</v>
      </c>
      <c r="C111" s="83"/>
      <c r="D111" s="84" t="s">
        <v>6</v>
      </c>
      <c r="E111" s="137">
        <v>8549445</v>
      </c>
      <c r="F111" s="84"/>
      <c r="G111" s="11">
        <f>SUM(G99:G110)</f>
        <v>1678603.51</v>
      </c>
      <c r="H111" s="127"/>
      <c r="I111" s="145">
        <f>SUM(I99:I110)</f>
        <v>1779548.8699999999</v>
      </c>
      <c r="J111" s="146">
        <f>SUM(J99:J110)</f>
        <v>1.0000000000000002</v>
      </c>
      <c r="K111" s="147">
        <f>I111+Summary!I17</f>
        <v>1847876.63</v>
      </c>
      <c r="L111" s="127"/>
      <c r="M111" s="145">
        <f>SUM(M99:M110)</f>
        <v>1848076.76</v>
      </c>
      <c r="N111" s="145">
        <f>SUM(N99:N110)</f>
        <v>68527.889999999941</v>
      </c>
      <c r="O111" s="146">
        <f t="shared" ref="O111" si="152">N111/I111</f>
        <v>3.850857436694051E-2</v>
      </c>
      <c r="P111" s="146">
        <f>SUM(P99:P110)</f>
        <v>1</v>
      </c>
      <c r="Q111" s="148">
        <f t="shared" ref="Q111" si="153">P111-J111</f>
        <v>0</v>
      </c>
      <c r="R111" s="149">
        <f>M111-K111</f>
        <v>200.13000000012107</v>
      </c>
      <c r="S111" s="47">
        <f>K111/I111</f>
        <v>1.0383961132801034</v>
      </c>
    </row>
    <row r="112" spans="1:20" x14ac:dyDescent="0.2">
      <c r="A112" s="94">
        <f t="shared" si="100"/>
        <v>100</v>
      </c>
      <c r="D112" s="74" t="s">
        <v>26</v>
      </c>
      <c r="G112" s="96">
        <v>-815.27999999999986</v>
      </c>
      <c r="H112" s="2"/>
      <c r="I112" s="18">
        <f>G112-($H$179*E111)</f>
        <v>-101613.23655</v>
      </c>
      <c r="K112" s="18"/>
      <c r="M112" s="142">
        <f>I112</f>
        <v>-101613.23655</v>
      </c>
      <c r="N112" s="142">
        <f>M112-I112</f>
        <v>0</v>
      </c>
      <c r="O112" s="123">
        <v>0</v>
      </c>
    </row>
    <row r="113" spans="1:23" x14ac:dyDescent="0.2">
      <c r="A113" s="94">
        <f t="shared" si="100"/>
        <v>101</v>
      </c>
      <c r="D113" s="74" t="s">
        <v>27</v>
      </c>
      <c r="G113" s="96">
        <v>2086.96</v>
      </c>
      <c r="H113" s="2"/>
      <c r="I113" s="18">
        <f>G113</f>
        <v>2086.96</v>
      </c>
      <c r="M113" s="142">
        <f t="shared" ref="M113:M114" si="154">I113</f>
        <v>2086.96</v>
      </c>
      <c r="N113" s="142">
        <f>M113-I113</f>
        <v>0</v>
      </c>
      <c r="O113" s="123">
        <v>0</v>
      </c>
    </row>
    <row r="114" spans="1:23" x14ac:dyDescent="0.2">
      <c r="A114" s="94">
        <f t="shared" si="100"/>
        <v>102</v>
      </c>
      <c r="D114" s="74" t="s">
        <v>29</v>
      </c>
      <c r="G114" s="96">
        <v>0</v>
      </c>
      <c r="H114" s="2"/>
      <c r="I114" s="18">
        <v>0</v>
      </c>
      <c r="M114" s="142">
        <f t="shared" si="154"/>
        <v>0</v>
      </c>
      <c r="N114" s="142">
        <f>M114-I114</f>
        <v>0</v>
      </c>
      <c r="O114" s="123">
        <v>0</v>
      </c>
    </row>
    <row r="115" spans="1:23" x14ac:dyDescent="0.2">
      <c r="A115" s="94">
        <f t="shared" si="100"/>
        <v>103</v>
      </c>
      <c r="D115" s="74" t="s">
        <v>39</v>
      </c>
      <c r="G115" s="96"/>
      <c r="H115" s="2"/>
      <c r="I115" s="18"/>
      <c r="M115" s="142"/>
      <c r="N115" s="142"/>
      <c r="O115" s="123"/>
    </row>
    <row r="116" spans="1:23" x14ac:dyDescent="0.2">
      <c r="A116" s="94">
        <f t="shared" si="100"/>
        <v>104</v>
      </c>
      <c r="D116" s="80" t="s">
        <v>8</v>
      </c>
      <c r="E116" s="24"/>
      <c r="F116" s="80"/>
      <c r="G116" s="98">
        <f>SUM(G112:G114)</f>
        <v>1271.6800000000003</v>
      </c>
      <c r="H116" s="24"/>
      <c r="I116" s="151">
        <f>SUM(I112:I114)</f>
        <v>-99526.276549999995</v>
      </c>
      <c r="J116" s="24"/>
      <c r="K116" s="24"/>
      <c r="L116" s="24"/>
      <c r="M116" s="151">
        <f>SUM(M112:M114)</f>
        <v>-99526.276549999995</v>
      </c>
      <c r="N116" s="151">
        <f>M116-I116</f>
        <v>0</v>
      </c>
      <c r="O116" s="152">
        <f>N116-J116</f>
        <v>0</v>
      </c>
    </row>
    <row r="117" spans="1:23" s="5" customFormat="1" ht="26.45" customHeight="1" thickBot="1" x14ac:dyDescent="0.25">
      <c r="A117" s="94">
        <f t="shared" si="100"/>
        <v>105</v>
      </c>
      <c r="B117" s="88"/>
      <c r="C117" s="83"/>
      <c r="D117" s="81" t="s">
        <v>19</v>
      </c>
      <c r="E117" s="128"/>
      <c r="F117" s="81"/>
      <c r="G117" s="99">
        <f>G111+G116</f>
        <v>1679875.19</v>
      </c>
      <c r="H117" s="128"/>
      <c r="I117" s="134">
        <f>I116+I111</f>
        <v>1680022.5934499998</v>
      </c>
      <c r="J117" s="128"/>
      <c r="K117" s="128"/>
      <c r="L117" s="128"/>
      <c r="M117" s="153">
        <f>M116+M111</f>
        <v>1748550.4834499999</v>
      </c>
      <c r="N117" s="153">
        <f>M117-I117</f>
        <v>68527.89000000013</v>
      </c>
      <c r="O117" s="154">
        <f>N117/I117</f>
        <v>4.0789862152553029E-2</v>
      </c>
      <c r="P117" s="2"/>
      <c r="Q117" s="2"/>
      <c r="R117" s="2"/>
    </row>
    <row r="118" spans="1:23" ht="14.25" thickTop="1" thickBot="1" x14ac:dyDescent="0.25">
      <c r="A118" s="94">
        <f t="shared" si="100"/>
        <v>106</v>
      </c>
      <c r="H118" s="2"/>
    </row>
    <row r="119" spans="1:23" ht="16.149999999999999" customHeight="1" x14ac:dyDescent="0.2">
      <c r="A119" s="94">
        <f t="shared" si="100"/>
        <v>107</v>
      </c>
      <c r="B119" s="77" t="s">
        <v>125</v>
      </c>
      <c r="C119" s="95" t="s">
        <v>124</v>
      </c>
      <c r="D119" s="77"/>
      <c r="E119" s="125"/>
      <c r="F119" s="77"/>
      <c r="G119" s="77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</row>
    <row r="120" spans="1:23" ht="12.6" customHeight="1" x14ac:dyDescent="0.2">
      <c r="A120" s="94">
        <f t="shared" si="100"/>
        <v>108</v>
      </c>
      <c r="D120" s="74" t="s">
        <v>83</v>
      </c>
      <c r="E120" s="136">
        <v>12</v>
      </c>
      <c r="F120" s="78">
        <f>H120</f>
        <v>3025.05</v>
      </c>
      <c r="G120" s="96">
        <f>F120*E120</f>
        <v>36300.600000000006</v>
      </c>
      <c r="H120" s="123">
        <v>3025.05</v>
      </c>
      <c r="I120" s="142">
        <f>H120*E120</f>
        <v>36300.600000000006</v>
      </c>
      <c r="J120" s="143">
        <f>IF(I124=0,0,I120/I124)</f>
        <v>1.3680942747387655E-2</v>
      </c>
      <c r="K120" s="143"/>
      <c r="L120" s="123">
        <f>ROUND(H120*S124,2)</f>
        <v>3249.64</v>
      </c>
      <c r="M120" s="142">
        <f>L120*E120</f>
        <v>38995.68</v>
      </c>
      <c r="N120" s="142">
        <f>M120-I120</f>
        <v>2695.0799999999945</v>
      </c>
      <c r="O120" s="143">
        <f>IF(I120=0,0,N120/I120)</f>
        <v>7.4243400935521564E-2</v>
      </c>
      <c r="P120" s="143">
        <f>M120/M124</f>
        <v>1.3681604244239778E-2</v>
      </c>
      <c r="Q120" s="144">
        <f>P120-J120</f>
        <v>6.6149685212270326E-7</v>
      </c>
      <c r="R120" s="144"/>
      <c r="S120" s="63"/>
      <c r="T120" s="4">
        <f t="shared" ref="T120:T123" si="155">L120/H120-1</f>
        <v>7.4243400935521731E-2</v>
      </c>
    </row>
    <row r="121" spans="1:23" x14ac:dyDescent="0.2">
      <c r="A121" s="94">
        <f t="shared" si="100"/>
        <v>109</v>
      </c>
      <c r="D121" s="74" t="s">
        <v>123</v>
      </c>
      <c r="E121" s="136">
        <v>97282</v>
      </c>
      <c r="F121" s="158">
        <f>H121</f>
        <v>7.49</v>
      </c>
      <c r="G121" s="96">
        <f t="shared" ref="G121:G123" si="156">F121*E121</f>
        <v>728642.18</v>
      </c>
      <c r="H121" s="123">
        <v>7.49</v>
      </c>
      <c r="I121" s="142">
        <f t="shared" ref="I121:I123" si="157">H121*E121</f>
        <v>728642.18</v>
      </c>
      <c r="J121" s="143">
        <f>IF(I125=0,0,I121/I$89)</f>
        <v>0.10071564208776351</v>
      </c>
      <c r="K121" s="143"/>
      <c r="L121" s="124">
        <f>ROUND(H121*S124,5)</f>
        <v>8.0460799999999999</v>
      </c>
      <c r="M121" s="142">
        <f t="shared" ref="M121:M123" si="158">L121*E121</f>
        <v>782738.75456000003</v>
      </c>
      <c r="N121" s="142">
        <f t="shared" ref="N121:N123" si="159">M121-I121</f>
        <v>54096.574559999979</v>
      </c>
      <c r="O121" s="143">
        <f t="shared" ref="O121:O123" si="160">IF(I121=0,0,N121/I121)</f>
        <v>7.4242990654205573E-2</v>
      </c>
      <c r="P121" s="143">
        <f>M121/M124</f>
        <v>0.27462328818266674</v>
      </c>
      <c r="Q121" s="144">
        <f t="shared" ref="Q121:Q123" si="161">P121-J121</f>
        <v>0.17390764609490322</v>
      </c>
      <c r="R121" s="144"/>
      <c r="S121" s="63"/>
      <c r="T121" s="4">
        <f t="shared" si="155"/>
        <v>7.4242990654205476E-2</v>
      </c>
    </row>
    <row r="122" spans="1:23" x14ac:dyDescent="0.2">
      <c r="A122" s="94">
        <f t="shared" si="100"/>
        <v>110</v>
      </c>
      <c r="D122" s="74" t="s">
        <v>127</v>
      </c>
      <c r="E122" s="136">
        <v>85282</v>
      </c>
      <c r="F122" s="159">
        <v>-5.6</v>
      </c>
      <c r="G122" s="96">
        <f t="shared" si="156"/>
        <v>-477579.19999999995</v>
      </c>
      <c r="H122" s="123">
        <v>-5.6</v>
      </c>
      <c r="I122" s="142">
        <f t="shared" si="157"/>
        <v>-477579.19999999995</v>
      </c>
      <c r="J122" s="143">
        <f>IF(I124=0,0,I122/I$89)</f>
        <v>-6.6012779792353524E-2</v>
      </c>
      <c r="K122" s="143"/>
      <c r="L122" s="123">
        <f>ROUND(H122*S124,5)</f>
        <v>-6.0157600000000002</v>
      </c>
      <c r="M122" s="142">
        <f t="shared" si="158"/>
        <v>-513036.04432000004</v>
      </c>
      <c r="N122" s="142">
        <f t="shared" si="159"/>
        <v>-35456.844320000091</v>
      </c>
      <c r="O122" s="143">
        <f t="shared" si="160"/>
        <v>7.4242857142857346E-2</v>
      </c>
      <c r="P122" s="143">
        <f>M122/M124</f>
        <v>-0.1799983003608733</v>
      </c>
      <c r="Q122" s="144">
        <f t="shared" si="161"/>
        <v>-0.11398552056851978</v>
      </c>
      <c r="R122" s="144"/>
      <c r="S122" s="63"/>
      <c r="T122" s="4">
        <f t="shared" si="155"/>
        <v>7.4242857142857277E-2</v>
      </c>
    </row>
    <row r="123" spans="1:23" x14ac:dyDescent="0.2">
      <c r="A123" s="94">
        <f t="shared" si="100"/>
        <v>111</v>
      </c>
      <c r="D123" s="74" t="s">
        <v>47</v>
      </c>
      <c r="E123" s="136">
        <v>43274796</v>
      </c>
      <c r="F123" s="97">
        <f>H123</f>
        <v>5.4674E-2</v>
      </c>
      <c r="G123" s="96">
        <f t="shared" si="156"/>
        <v>2366006.1965040001</v>
      </c>
      <c r="H123" s="131">
        <v>5.4674E-2</v>
      </c>
      <c r="I123" s="142">
        <f t="shared" si="157"/>
        <v>2366006.1965040001</v>
      </c>
      <c r="J123" s="143">
        <f>IF(I126=0,0,I123/I$89)</f>
        <v>0.32703820860950916</v>
      </c>
      <c r="K123" s="143"/>
      <c r="L123" s="124">
        <f>ROUND(H123*S124,5)</f>
        <v>5.8729999999999997E-2</v>
      </c>
      <c r="M123" s="142">
        <f t="shared" si="158"/>
        <v>2541528.76908</v>
      </c>
      <c r="N123" s="142">
        <f t="shared" si="159"/>
        <v>175522.57257599989</v>
      </c>
      <c r="O123" s="143">
        <f t="shared" si="160"/>
        <v>7.4185170282035293E-2</v>
      </c>
      <c r="P123" s="143">
        <f>M123/M124</f>
        <v>0.89169340793396668</v>
      </c>
      <c r="Q123" s="144">
        <f t="shared" si="161"/>
        <v>0.56465519932445751</v>
      </c>
      <c r="R123" s="144"/>
      <c r="S123" s="63"/>
      <c r="T123" s="4">
        <f t="shared" si="155"/>
        <v>7.4185170282035306E-2</v>
      </c>
    </row>
    <row r="124" spans="1:23" s="5" customFormat="1" ht="20.45" customHeight="1" x14ac:dyDescent="0.25">
      <c r="A124" s="94">
        <f t="shared" si="100"/>
        <v>112</v>
      </c>
      <c r="B124" s="88"/>
      <c r="C124" s="83"/>
      <c r="D124" s="84" t="s">
        <v>6</v>
      </c>
      <c r="E124" s="127"/>
      <c r="F124" s="84"/>
      <c r="G124" s="11">
        <f>SUM(G120:G123)</f>
        <v>2653369.7765040002</v>
      </c>
      <c r="H124" s="127"/>
      <c r="I124" s="145">
        <f>SUM(I120:I123)</f>
        <v>2653369.7765040002</v>
      </c>
      <c r="J124" s="146">
        <f>SUM(J120:J123)</f>
        <v>0.37542201365230682</v>
      </c>
      <c r="K124" s="147">
        <f>I124+Summary!I21</f>
        <v>2850362.9937697151</v>
      </c>
      <c r="L124" s="127"/>
      <c r="M124" s="145">
        <f>SUM(M120:M123)</f>
        <v>2850227.1593200001</v>
      </c>
      <c r="N124" s="145">
        <f>SUM(N120:N123)</f>
        <v>196857.38281599976</v>
      </c>
      <c r="O124" s="146">
        <f>IF(I124=0,0,N124/I124)</f>
        <v>7.4191461951214774E-2</v>
      </c>
      <c r="P124" s="146">
        <f>SUM(P120:P123)</f>
        <v>0.99999999999999989</v>
      </c>
      <c r="Q124" s="148">
        <f t="shared" ref="Q124" si="162">P124-J124</f>
        <v>0.62457798634769301</v>
      </c>
      <c r="R124" s="149">
        <f>M124-K124</f>
        <v>-135.83444971498102</v>
      </c>
      <c r="S124" s="47">
        <f>IF(I124=0,0,K124/I124)</f>
        <v>1.074242655136167</v>
      </c>
    </row>
    <row r="125" spans="1:23" x14ac:dyDescent="0.2">
      <c r="A125" s="94">
        <f t="shared" si="100"/>
        <v>113</v>
      </c>
      <c r="D125" s="74" t="s">
        <v>26</v>
      </c>
      <c r="G125" s="96">
        <v>631447</v>
      </c>
      <c r="H125" s="2"/>
      <c r="I125" s="18">
        <f>G125-($H$179*E123)</f>
        <v>121237.15515999997</v>
      </c>
      <c r="K125" s="18"/>
      <c r="M125" s="142">
        <f>I125</f>
        <v>121237.15515999997</v>
      </c>
      <c r="N125" s="142">
        <f t="shared" ref="N125:N127" si="163">M125-I125</f>
        <v>0</v>
      </c>
      <c r="O125" s="123">
        <v>0</v>
      </c>
      <c r="W125" s="5"/>
    </row>
    <row r="126" spans="1:23" x14ac:dyDescent="0.2">
      <c r="A126" s="94">
        <f t="shared" si="100"/>
        <v>114</v>
      </c>
      <c r="D126" s="74" t="s">
        <v>27</v>
      </c>
      <c r="G126" s="96">
        <v>478218</v>
      </c>
      <c r="H126" s="2"/>
      <c r="I126" s="18">
        <f t="shared" ref="I126:I128" si="164">G126</f>
        <v>478218</v>
      </c>
      <c r="M126" s="142">
        <f t="shared" ref="M126:M128" si="165">I126</f>
        <v>478218</v>
      </c>
      <c r="N126" s="142">
        <f t="shared" si="163"/>
        <v>0</v>
      </c>
      <c r="O126" s="123">
        <v>0</v>
      </c>
    </row>
    <row r="127" spans="1:23" x14ac:dyDescent="0.2">
      <c r="A127" s="94">
        <f t="shared" si="100"/>
        <v>115</v>
      </c>
      <c r="D127" s="74" t="s">
        <v>29</v>
      </c>
      <c r="G127" s="96">
        <v>28075</v>
      </c>
      <c r="H127" s="2"/>
      <c r="I127" s="18">
        <f t="shared" si="164"/>
        <v>28075</v>
      </c>
      <c r="M127" s="142">
        <f t="shared" si="165"/>
        <v>28075</v>
      </c>
      <c r="N127" s="142">
        <f t="shared" si="163"/>
        <v>0</v>
      </c>
      <c r="O127" s="123">
        <v>0</v>
      </c>
    </row>
    <row r="128" spans="1:23" x14ac:dyDescent="0.2">
      <c r="A128" s="94">
        <f t="shared" si="100"/>
        <v>116</v>
      </c>
      <c r="D128" s="74" t="s">
        <v>39</v>
      </c>
      <c r="G128" s="96">
        <v>0</v>
      </c>
      <c r="H128" s="2"/>
      <c r="I128" s="18">
        <f t="shared" si="164"/>
        <v>0</v>
      </c>
      <c r="M128" s="142">
        <f t="shared" si="165"/>
        <v>0</v>
      </c>
      <c r="N128" s="142"/>
      <c r="O128" s="123"/>
    </row>
    <row r="129" spans="1:25" x14ac:dyDescent="0.2">
      <c r="A129" s="94">
        <f t="shared" si="100"/>
        <v>117</v>
      </c>
      <c r="D129" s="80" t="s">
        <v>8</v>
      </c>
      <c r="E129" s="24"/>
      <c r="F129" s="80"/>
      <c r="G129" s="98">
        <f>SUM(G125:G128)</f>
        <v>1137740</v>
      </c>
      <c r="H129" s="24"/>
      <c r="I129" s="151">
        <f>SUM(I125:I128)</f>
        <v>627530.15515999997</v>
      </c>
      <c r="J129" s="24"/>
      <c r="K129" s="24"/>
      <c r="L129" s="24"/>
      <c r="M129" s="151">
        <f>SUM(M125:M128)</f>
        <v>627530.15515999997</v>
      </c>
      <c r="N129" s="151">
        <f t="shared" ref="N129:N130" si="166">M129-I129</f>
        <v>0</v>
      </c>
      <c r="O129" s="152">
        <f t="shared" ref="O129" si="167">N129-J129</f>
        <v>0</v>
      </c>
    </row>
    <row r="130" spans="1:25" s="5" customFormat="1" ht="26.45" customHeight="1" thickBot="1" x14ac:dyDescent="0.25">
      <c r="A130" s="94">
        <f t="shared" si="100"/>
        <v>118</v>
      </c>
      <c r="B130" s="88"/>
      <c r="C130" s="83"/>
      <c r="D130" s="81" t="s">
        <v>19</v>
      </c>
      <c r="E130" s="128"/>
      <c r="F130" s="81"/>
      <c r="G130" s="99">
        <f>G124+G129</f>
        <v>3791109.7765040002</v>
      </c>
      <c r="H130" s="128"/>
      <c r="I130" s="134">
        <f>I129+I124</f>
        <v>3280899.9316640003</v>
      </c>
      <c r="J130" s="128"/>
      <c r="K130" s="128"/>
      <c r="L130" s="128"/>
      <c r="M130" s="153">
        <f>M129+M124</f>
        <v>3477757.3144800002</v>
      </c>
      <c r="N130" s="153">
        <f t="shared" si="166"/>
        <v>196857.38281599991</v>
      </c>
      <c r="O130" s="154">
        <f>IF(I130=0,0,N130/I130)</f>
        <v>6.000103231315506E-2</v>
      </c>
      <c r="P130" s="2"/>
      <c r="Q130" s="2"/>
      <c r="R130" s="2"/>
    </row>
    <row r="131" spans="1:25" ht="14.25" thickTop="1" thickBot="1" x14ac:dyDescent="0.25">
      <c r="A131" s="94">
        <f t="shared" si="100"/>
        <v>119</v>
      </c>
      <c r="D131" s="58"/>
      <c r="E131" s="174">
        <f>E123/E120</f>
        <v>3606233</v>
      </c>
      <c r="F131" s="102"/>
      <c r="G131" s="102">
        <f>G130/E120</f>
        <v>315925.8147086667</v>
      </c>
      <c r="H131" s="130"/>
      <c r="I131" s="130">
        <f>I130/E120</f>
        <v>273408.32763866667</v>
      </c>
      <c r="J131" s="130"/>
      <c r="K131" s="130"/>
      <c r="L131" s="130"/>
      <c r="M131" s="130">
        <f>M130/E120</f>
        <v>289813.10954000003</v>
      </c>
      <c r="N131" s="130">
        <f>M131-I131</f>
        <v>16404.781901333365</v>
      </c>
      <c r="O131" s="143">
        <f>N131/I131</f>
        <v>6.0001032313155206E-2</v>
      </c>
      <c r="P131" s="10"/>
      <c r="Q131" s="10"/>
    </row>
    <row r="132" spans="1:25" ht="16.149999999999999" customHeight="1" x14ac:dyDescent="0.2">
      <c r="A132" s="94">
        <f t="shared" si="100"/>
        <v>120</v>
      </c>
      <c r="B132" s="77" t="s">
        <v>121</v>
      </c>
      <c r="C132" s="95" t="s">
        <v>122</v>
      </c>
      <c r="D132" s="77"/>
      <c r="E132" s="125"/>
      <c r="F132" s="77"/>
      <c r="G132" s="77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</row>
    <row r="133" spans="1:25" ht="12.6" customHeight="1" x14ac:dyDescent="0.2">
      <c r="A133" s="94">
        <f t="shared" si="100"/>
        <v>121</v>
      </c>
      <c r="D133" s="74" t="s">
        <v>83</v>
      </c>
      <c r="E133" s="138">
        <v>12</v>
      </c>
      <c r="F133" s="78">
        <f>H133</f>
        <v>5726.7</v>
      </c>
      <c r="G133" s="96">
        <f>F133*E133</f>
        <v>68720.399999999994</v>
      </c>
      <c r="H133" s="123">
        <v>5726.7</v>
      </c>
      <c r="I133" s="142">
        <f>H133*E133</f>
        <v>68720.399999999994</v>
      </c>
      <c r="J133" s="143">
        <f>IF(I137=0,0,I133/I137)</f>
        <v>2.3647428916841851E-2</v>
      </c>
      <c r="K133" s="143"/>
      <c r="L133" s="161">
        <v>6013</v>
      </c>
      <c r="M133" s="142">
        <f>L133*E133</f>
        <v>72156</v>
      </c>
      <c r="N133" s="142">
        <f>M133-I133</f>
        <v>3435.6000000000058</v>
      </c>
      <c r="O133" s="143">
        <f>IF(I133=0,0,N133/I133)</f>
        <v>4.9993888277716753E-2</v>
      </c>
      <c r="P133" s="143">
        <f>M133/M137</f>
        <v>2.3234417885516768E-2</v>
      </c>
      <c r="Q133" s="144">
        <f>P133-J133</f>
        <v>-4.1301103132508274E-4</v>
      </c>
      <c r="R133" s="144"/>
      <c r="S133" s="63"/>
      <c r="T133" s="4">
        <f t="shared" ref="T133:T136" si="168">L133/H133-1</f>
        <v>4.9993888277716669E-2</v>
      </c>
    </row>
    <row r="134" spans="1:25" x14ac:dyDescent="0.2">
      <c r="A134" s="94">
        <f t="shared" si="100"/>
        <v>122</v>
      </c>
      <c r="D134" s="74" t="s">
        <v>123</v>
      </c>
      <c r="E134" s="136">
        <v>144000</v>
      </c>
      <c r="F134" s="158">
        <f>H134</f>
        <v>7.3</v>
      </c>
      <c r="G134" s="96">
        <f t="shared" ref="G134:G136" si="169">F134*E134</f>
        <v>1051200</v>
      </c>
      <c r="H134" s="123">
        <v>7.3</v>
      </c>
      <c r="I134" s="142">
        <f t="shared" ref="I134:I136" si="170">H134*E134</f>
        <v>1051200</v>
      </c>
      <c r="J134" s="143">
        <f>IF(I138=0,0,I134/I$89)</f>
        <v>0.14530078805300153</v>
      </c>
      <c r="K134" s="143"/>
      <c r="L134" s="162">
        <v>8.91</v>
      </c>
      <c r="M134" s="142">
        <f t="shared" ref="M134:M136" si="171">L134*E134</f>
        <v>1283040</v>
      </c>
      <c r="N134" s="142">
        <f t="shared" ref="N134:N136" si="172">M134-I134</f>
        <v>231840</v>
      </c>
      <c r="O134" s="143">
        <f t="shared" ref="O134:O136" si="173">IF(I134=0,0,N134/I134)</f>
        <v>0.22054794520547946</v>
      </c>
      <c r="P134" s="143">
        <f>M134/M137</f>
        <v>0.41314218531838559</v>
      </c>
      <c r="Q134" s="144">
        <f t="shared" ref="Q134:Q136" si="174">P134-J134</f>
        <v>0.26784139726538403</v>
      </c>
      <c r="R134" s="144"/>
      <c r="S134" s="63"/>
      <c r="T134" s="4">
        <f t="shared" si="168"/>
        <v>0.22054794520547949</v>
      </c>
    </row>
    <row r="135" spans="1:25" x14ac:dyDescent="0.2">
      <c r="A135" s="94">
        <f t="shared" si="100"/>
        <v>123</v>
      </c>
      <c r="D135" s="74" t="s">
        <v>127</v>
      </c>
      <c r="E135" s="136">
        <v>132000</v>
      </c>
      <c r="F135" s="159">
        <v>-5.6</v>
      </c>
      <c r="G135" s="96">
        <f t="shared" si="169"/>
        <v>-739200</v>
      </c>
      <c r="H135" s="123">
        <v>-5.6</v>
      </c>
      <c r="I135" s="142">
        <f t="shared" si="170"/>
        <v>-739200</v>
      </c>
      <c r="J135" s="143">
        <f>IF(I137=0,0,I135/I$89)</f>
        <v>-0.10217498337973624</v>
      </c>
      <c r="K135" s="143"/>
      <c r="L135" s="162">
        <v>-7.6</v>
      </c>
      <c r="M135" s="142">
        <f t="shared" si="171"/>
        <v>-1003200</v>
      </c>
      <c r="N135" s="142">
        <f t="shared" si="172"/>
        <v>-264000</v>
      </c>
      <c r="O135" s="143">
        <f t="shared" si="173"/>
        <v>0.35714285714285715</v>
      </c>
      <c r="P135" s="143">
        <f>M135/M137</f>
        <v>-0.32303298440532208</v>
      </c>
      <c r="Q135" s="144">
        <f t="shared" si="174"/>
        <v>-0.22085800102558584</v>
      </c>
      <c r="R135" s="144"/>
      <c r="S135" s="63"/>
      <c r="T135" s="4"/>
    </row>
    <row r="136" spans="1:25" x14ac:dyDescent="0.2">
      <c r="A136" s="94">
        <f t="shared" si="100"/>
        <v>124</v>
      </c>
      <c r="D136" s="74" t="s">
        <v>47</v>
      </c>
      <c r="E136" s="136">
        <v>48968793.592233017</v>
      </c>
      <c r="F136" s="97">
        <f>H136</f>
        <v>5.1569999999999998E-2</v>
      </c>
      <c r="G136" s="96">
        <f t="shared" si="169"/>
        <v>2525320.6855514566</v>
      </c>
      <c r="H136" s="131">
        <v>5.1569999999999998E-2</v>
      </c>
      <c r="I136" s="142">
        <f t="shared" si="170"/>
        <v>2525320.6855514566</v>
      </c>
      <c r="J136" s="143">
        <f>IF(I139=0,0,I136/I$89)</f>
        <v>0.34905925199502735</v>
      </c>
      <c r="K136" s="143"/>
      <c r="L136" s="163">
        <f>H136*S136</f>
        <v>5.6231101769846373E-2</v>
      </c>
      <c r="M136" s="142">
        <f t="shared" si="171"/>
        <v>2753569.2160314559</v>
      </c>
      <c r="N136" s="142">
        <f t="shared" si="172"/>
        <v>228248.53047999926</v>
      </c>
      <c r="O136" s="143">
        <f t="shared" si="173"/>
        <v>9.0383978472879142E-2</v>
      </c>
      <c r="P136" s="143">
        <f>M136/M137</f>
        <v>0.88665638120141965</v>
      </c>
      <c r="Q136" s="144">
        <f t="shared" si="174"/>
        <v>0.53759712920639235</v>
      </c>
      <c r="R136" s="144"/>
      <c r="S136" s="63">
        <v>1.090383978472879</v>
      </c>
      <c r="T136" s="4">
        <f t="shared" si="168"/>
        <v>9.0383978472879045E-2</v>
      </c>
      <c r="Y136" s="119"/>
    </row>
    <row r="137" spans="1:25" s="5" customFormat="1" ht="20.45" customHeight="1" x14ac:dyDescent="0.25">
      <c r="A137" s="94">
        <f t="shared" si="100"/>
        <v>125</v>
      </c>
      <c r="B137" s="88"/>
      <c r="C137" s="83"/>
      <c r="D137" s="84" t="s">
        <v>6</v>
      </c>
      <c r="E137" s="127"/>
      <c r="F137" s="84"/>
      <c r="G137" s="11">
        <f>SUM(G133:G136)</f>
        <v>2906041.0855514565</v>
      </c>
      <c r="H137" s="127"/>
      <c r="I137" s="145">
        <f>SUM(I133:I136)</f>
        <v>2906041.0855514565</v>
      </c>
      <c r="J137" s="146">
        <f>SUM(J133:J136)</f>
        <v>0.41583248558513453</v>
      </c>
      <c r="K137" s="147">
        <f>I137+Summary!I20</f>
        <v>3105565.2160314554</v>
      </c>
      <c r="L137" s="127"/>
      <c r="M137" s="145">
        <f>SUM(M133:M136)</f>
        <v>3105565.2160314559</v>
      </c>
      <c r="N137" s="145">
        <f>SUM(N133:N136)</f>
        <v>199524.13047999926</v>
      </c>
      <c r="O137" s="146">
        <f>IF(I137=0,0,N137/I137)</f>
        <v>6.8658399728762656E-2</v>
      </c>
      <c r="P137" s="146">
        <f>SUM(P133:P136)</f>
        <v>1</v>
      </c>
      <c r="Q137" s="148">
        <f t="shared" ref="Q137" si="175">P137-J137</f>
        <v>0.58416751441486547</v>
      </c>
      <c r="R137" s="149">
        <f>M137-K137</f>
        <v>0</v>
      </c>
      <c r="S137" s="47">
        <f>IF(I137=0,0,K137/I137)</f>
        <v>1.0686583997287624</v>
      </c>
      <c r="W137" s="118"/>
    </row>
    <row r="138" spans="1:25" x14ac:dyDescent="0.2">
      <c r="A138" s="94">
        <f t="shared" si="100"/>
        <v>126</v>
      </c>
      <c r="D138" s="74" t="s">
        <v>26</v>
      </c>
      <c r="G138" s="96">
        <v>648140</v>
      </c>
      <c r="H138" s="2"/>
      <c r="I138" s="18">
        <f>G138-($H$179*E136)</f>
        <v>70797.923547572689</v>
      </c>
      <c r="K138" s="18"/>
      <c r="M138" s="142">
        <f>I138</f>
        <v>70797.923547572689</v>
      </c>
      <c r="N138" s="142">
        <f t="shared" ref="N138:N140" si="176">M138-I138</f>
        <v>0</v>
      </c>
      <c r="O138" s="123">
        <v>0</v>
      </c>
      <c r="W138" s="118"/>
    </row>
    <row r="139" spans="1:25" x14ac:dyDescent="0.2">
      <c r="A139" s="94">
        <f t="shared" si="100"/>
        <v>127</v>
      </c>
      <c r="D139" s="74" t="s">
        <v>27</v>
      </c>
      <c r="G139" s="96">
        <v>569745</v>
      </c>
      <c r="H139" s="2"/>
      <c r="I139" s="18">
        <f t="shared" ref="I139:I141" si="177">G139</f>
        <v>569745</v>
      </c>
      <c r="M139" s="142">
        <f t="shared" ref="M139:M141" si="178">I139</f>
        <v>569745</v>
      </c>
      <c r="N139" s="142">
        <f t="shared" si="176"/>
        <v>0</v>
      </c>
      <c r="O139" s="123">
        <v>0</v>
      </c>
    </row>
    <row r="140" spans="1:25" x14ac:dyDescent="0.2">
      <c r="A140" s="94">
        <f t="shared" si="100"/>
        <v>128</v>
      </c>
      <c r="D140" s="74" t="s">
        <v>29</v>
      </c>
      <c r="G140" s="96">
        <v>181812</v>
      </c>
      <c r="H140" s="2"/>
      <c r="I140" s="18">
        <f t="shared" si="177"/>
        <v>181812</v>
      </c>
      <c r="M140" s="142">
        <f t="shared" si="178"/>
        <v>181812</v>
      </c>
      <c r="N140" s="142">
        <f t="shared" si="176"/>
        <v>0</v>
      </c>
      <c r="O140" s="123">
        <v>0</v>
      </c>
    </row>
    <row r="141" spans="1:25" x14ac:dyDescent="0.2">
      <c r="A141" s="94">
        <f t="shared" si="100"/>
        <v>129</v>
      </c>
      <c r="D141" s="74" t="s">
        <v>39</v>
      </c>
      <c r="G141" s="96">
        <v>0</v>
      </c>
      <c r="H141" s="2"/>
      <c r="I141" s="18">
        <f t="shared" si="177"/>
        <v>0</v>
      </c>
      <c r="M141" s="142">
        <f t="shared" si="178"/>
        <v>0</v>
      </c>
      <c r="N141" s="142"/>
      <c r="O141" s="123"/>
    </row>
    <row r="142" spans="1:25" x14ac:dyDescent="0.2">
      <c r="A142" s="94">
        <f t="shared" si="100"/>
        <v>130</v>
      </c>
      <c r="D142" s="80" t="s">
        <v>8</v>
      </c>
      <c r="E142" s="24"/>
      <c r="F142" s="80"/>
      <c r="G142" s="98">
        <f>SUM(G138:G141)</f>
        <v>1399697</v>
      </c>
      <c r="H142" s="24"/>
      <c r="I142" s="151">
        <f>SUM(I138:I141)</f>
        <v>822354.92354757269</v>
      </c>
      <c r="J142" s="24"/>
      <c r="K142" s="24"/>
      <c r="L142" s="24"/>
      <c r="M142" s="151">
        <f>SUM(M138:M141)</f>
        <v>822354.92354757269</v>
      </c>
      <c r="N142" s="151">
        <f t="shared" ref="N142:N143" si="179">M142-I142</f>
        <v>0</v>
      </c>
      <c r="O142" s="152">
        <f t="shared" ref="O142" si="180">N142-J142</f>
        <v>0</v>
      </c>
    </row>
    <row r="143" spans="1:25" s="5" customFormat="1" ht="26.45" customHeight="1" thickBot="1" x14ac:dyDescent="0.25">
      <c r="A143" s="94">
        <f t="shared" si="100"/>
        <v>131</v>
      </c>
      <c r="B143" s="88"/>
      <c r="C143" s="83"/>
      <c r="D143" s="81" t="s">
        <v>19</v>
      </c>
      <c r="E143" s="128"/>
      <c r="F143" s="81"/>
      <c r="G143" s="99">
        <f>G137+G142</f>
        <v>4305738.0855514565</v>
      </c>
      <c r="H143" s="128"/>
      <c r="I143" s="134">
        <f>I142+I137</f>
        <v>3728396.009099029</v>
      </c>
      <c r="J143" s="128"/>
      <c r="K143" s="128"/>
      <c r="L143" s="128"/>
      <c r="M143" s="153">
        <f>M142+M137</f>
        <v>3927920.1395790288</v>
      </c>
      <c r="N143" s="153">
        <f t="shared" si="179"/>
        <v>199524.13047999982</v>
      </c>
      <c r="O143" s="154">
        <f>IF(I143=0,0,N143/I143)</f>
        <v>5.3514736630193703E-2</v>
      </c>
      <c r="P143" s="2"/>
      <c r="Q143" s="2"/>
      <c r="R143" s="2"/>
    </row>
    <row r="144" spans="1:25" ht="13.5" thickTop="1" x14ac:dyDescent="0.2">
      <c r="A144" s="94">
        <f t="shared" si="100"/>
        <v>132</v>
      </c>
      <c r="D144" s="58"/>
      <c r="E144" s="174">
        <f>E136/E133</f>
        <v>4080732.7993527516</v>
      </c>
      <c r="F144" s="102"/>
      <c r="G144" s="102">
        <f>G143/E133</f>
        <v>358811.50712928805</v>
      </c>
      <c r="H144" s="130"/>
      <c r="I144" s="130">
        <f>I143/E133</f>
        <v>310699.66742491908</v>
      </c>
      <c r="J144" s="130"/>
      <c r="K144" s="130"/>
      <c r="L144" s="130"/>
      <c r="M144" s="130">
        <f>M143/E133</f>
        <v>327326.6782982524</v>
      </c>
      <c r="N144" s="130">
        <f>M144-I144</f>
        <v>16627.010873333318</v>
      </c>
      <c r="O144" s="143">
        <f>N144/I144</f>
        <v>5.3514736630193703E-2</v>
      </c>
      <c r="P144" s="10"/>
      <c r="Q144" s="10"/>
    </row>
    <row r="145" spans="1:20" x14ac:dyDescent="0.2">
      <c r="A145" s="94">
        <f t="shared" si="100"/>
        <v>133</v>
      </c>
      <c r="D145" s="58"/>
      <c r="E145" s="130"/>
      <c r="F145" s="102"/>
      <c r="G145" s="102"/>
      <c r="H145" s="130"/>
      <c r="I145" s="130"/>
      <c r="J145" s="130"/>
      <c r="K145" s="130"/>
      <c r="L145" s="130"/>
      <c r="M145" s="130"/>
      <c r="N145" s="130"/>
      <c r="O145" s="143"/>
      <c r="P145" s="10"/>
      <c r="Q145" s="10"/>
    </row>
    <row r="146" spans="1:20" x14ac:dyDescent="0.2">
      <c r="A146" s="94">
        <f t="shared" si="100"/>
        <v>134</v>
      </c>
      <c r="D146" s="58"/>
      <c r="E146" s="130"/>
      <c r="F146" s="102"/>
      <c r="G146" s="102"/>
      <c r="H146" s="130"/>
      <c r="I146" s="130"/>
      <c r="J146" s="130"/>
      <c r="K146" s="130"/>
      <c r="L146" s="130"/>
      <c r="M146" s="130"/>
      <c r="N146" s="130"/>
      <c r="O146" s="143"/>
      <c r="P146" s="10"/>
      <c r="Q146" s="10"/>
    </row>
    <row r="147" spans="1:20" x14ac:dyDescent="0.2">
      <c r="A147" s="94">
        <f t="shared" si="100"/>
        <v>135</v>
      </c>
      <c r="E147" s="136"/>
      <c r="F147" s="97"/>
      <c r="G147" s="96"/>
      <c r="H147" s="131"/>
      <c r="I147" s="142"/>
      <c r="J147" s="143"/>
      <c r="K147" s="143"/>
      <c r="L147" s="124"/>
      <c r="M147" s="142"/>
      <c r="N147" s="142"/>
      <c r="O147" s="143"/>
      <c r="P147" s="143"/>
      <c r="Q147" s="144"/>
      <c r="R147" s="144"/>
      <c r="S147" s="63"/>
      <c r="T147" s="4"/>
    </row>
    <row r="148" spans="1:20" s="5" customFormat="1" ht="19.899999999999999" customHeight="1" x14ac:dyDescent="0.25">
      <c r="A148" s="94">
        <f t="shared" si="100"/>
        <v>136</v>
      </c>
      <c r="B148" s="88" t="s">
        <v>28</v>
      </c>
      <c r="C148" s="83"/>
      <c r="D148" s="84" t="s">
        <v>6</v>
      </c>
      <c r="E148" s="127"/>
      <c r="F148" s="84"/>
      <c r="G148" s="104">
        <f>G10+G23+G36+G50+G89+G64+G111+G76+G124+G137</f>
        <v>44258355.823525459</v>
      </c>
      <c r="H148" s="132"/>
      <c r="I148" s="132">
        <f>I10+I23+I36+I50+I89+I64+I111+I76+I124+I137</f>
        <v>51103874.746259071</v>
      </c>
      <c r="J148" s="127"/>
      <c r="K148" s="127"/>
      <c r="L148" s="127"/>
      <c r="M148" s="132">
        <f>M10+M23+M36+M50+M89+M64+M111+M76+M124+M137</f>
        <v>53247188.723145284</v>
      </c>
      <c r="N148" s="132">
        <f>N10+N23+N36+N50+N89+N64+N111+N76+N124+N137</f>
        <v>2143313.9768862212</v>
      </c>
      <c r="O148" s="146">
        <f>N148/I148</f>
        <v>4.1940341853297869E-2</v>
      </c>
    </row>
    <row r="149" spans="1:20" x14ac:dyDescent="0.2">
      <c r="A149" s="94">
        <f t="shared" si="100"/>
        <v>137</v>
      </c>
      <c r="D149" s="74" t="s">
        <v>26</v>
      </c>
      <c r="G149" s="79">
        <f t="shared" ref="G149:I154" si="181">G11+G24+G37+G51+G90+G65+G112+G77+G125+G138</f>
        <v>5900110.5699999994</v>
      </c>
      <c r="H149" s="18"/>
      <c r="I149" s="18">
        <f t="shared" si="181"/>
        <v>197408.59915757217</v>
      </c>
      <c r="M149" s="18">
        <f t="shared" ref="M149:N149" si="182">M11+M24+M37+M51+M90+M65+M112+M77+M125+M138</f>
        <v>197408.59915757217</v>
      </c>
      <c r="N149" s="18">
        <f t="shared" si="182"/>
        <v>0</v>
      </c>
    </row>
    <row r="150" spans="1:20" x14ac:dyDescent="0.2">
      <c r="A150" s="94">
        <f t="shared" si="100"/>
        <v>138</v>
      </c>
      <c r="D150" s="74" t="s">
        <v>27</v>
      </c>
      <c r="G150" s="79">
        <f t="shared" si="181"/>
        <v>5960795.5999999996</v>
      </c>
      <c r="H150" s="18"/>
      <c r="I150" s="18">
        <f t="shared" si="181"/>
        <v>5960795.5999999996</v>
      </c>
      <c r="M150" s="18">
        <f t="shared" ref="M150:N150" si="183">M12+M25+M38+M52+M91+M66+M113+M78+M126+M139</f>
        <v>5960795.5999999996</v>
      </c>
      <c r="N150" s="18">
        <f t="shared" si="183"/>
        <v>0</v>
      </c>
    </row>
    <row r="151" spans="1:20" x14ac:dyDescent="0.2">
      <c r="A151" s="94">
        <f t="shared" si="100"/>
        <v>139</v>
      </c>
      <c r="D151" s="74" t="s">
        <v>29</v>
      </c>
      <c r="G151" s="79">
        <f t="shared" si="181"/>
        <v>228278.09</v>
      </c>
      <c r="H151" s="18"/>
      <c r="I151" s="18">
        <f t="shared" si="181"/>
        <v>228278.09</v>
      </c>
      <c r="M151" s="18">
        <f t="shared" ref="M151:N151" si="184">M13+M26+M39+M53+M92+M67+M114+M79+M127+M140</f>
        <v>228278.09</v>
      </c>
      <c r="N151" s="18">
        <f t="shared" si="184"/>
        <v>0</v>
      </c>
    </row>
    <row r="152" spans="1:20" x14ac:dyDescent="0.2">
      <c r="A152" s="94">
        <f t="shared" si="100"/>
        <v>140</v>
      </c>
      <c r="D152" s="74" t="s">
        <v>39</v>
      </c>
      <c r="G152" s="79">
        <f t="shared" si="181"/>
        <v>0</v>
      </c>
      <c r="H152" s="2"/>
      <c r="I152" s="18">
        <f t="shared" si="181"/>
        <v>0</v>
      </c>
      <c r="M152" s="18">
        <f t="shared" ref="M152:N152" si="185">M14+M27+M40+M54+M93+M68+M115+M80+M128+M141</f>
        <v>0</v>
      </c>
      <c r="N152" s="18">
        <f t="shared" si="185"/>
        <v>0</v>
      </c>
      <c r="O152" s="123"/>
    </row>
    <row r="153" spans="1:20" x14ac:dyDescent="0.2">
      <c r="A153" s="94">
        <f t="shared" si="100"/>
        <v>141</v>
      </c>
      <c r="D153" s="80" t="s">
        <v>8</v>
      </c>
      <c r="E153" s="24"/>
      <c r="F153" s="80"/>
      <c r="G153" s="105">
        <f t="shared" si="181"/>
        <v>12089184.26</v>
      </c>
      <c r="H153" s="133"/>
      <c r="I153" s="133">
        <f t="shared" si="181"/>
        <v>6386482.2891575722</v>
      </c>
      <c r="J153" s="24"/>
      <c r="K153" s="24"/>
      <c r="L153" s="24"/>
      <c r="M153" s="133">
        <f t="shared" ref="M153:N153" si="186">M15+M28+M41+M55+M94+M69+M116+M81+M129+M142</f>
        <v>6386482.2891575722</v>
      </c>
      <c r="N153" s="133">
        <f t="shared" si="186"/>
        <v>0</v>
      </c>
      <c r="O153" s="24"/>
    </row>
    <row r="154" spans="1:20" s="5" customFormat="1" ht="21" customHeight="1" thickBot="1" x14ac:dyDescent="0.3">
      <c r="A154" s="94">
        <f t="shared" si="100"/>
        <v>142</v>
      </c>
      <c r="B154" s="88"/>
      <c r="C154" s="83"/>
      <c r="D154" s="81" t="s">
        <v>19</v>
      </c>
      <c r="E154" s="128"/>
      <c r="F154" s="81"/>
      <c r="G154" s="100">
        <f t="shared" si="181"/>
        <v>56347540.083525464</v>
      </c>
      <c r="H154" s="134"/>
      <c r="I154" s="134">
        <f t="shared" si="181"/>
        <v>57490357.035416663</v>
      </c>
      <c r="J154" s="128"/>
      <c r="K154" s="128"/>
      <c r="L154" s="128"/>
      <c r="M154" s="134">
        <f t="shared" ref="M154:N154" si="187">M16+M29+M42+M56+M95+M70+M117+M82+M130+M143</f>
        <v>59633671.012302876</v>
      </c>
      <c r="N154" s="134">
        <f t="shared" si="187"/>
        <v>2143313.9768862221</v>
      </c>
      <c r="O154" s="154">
        <f>N154/I154</f>
        <v>3.7281277894410075E-2</v>
      </c>
    </row>
    <row r="155" spans="1:20" ht="13.5" thickTop="1" x14ac:dyDescent="0.2">
      <c r="A155" s="94">
        <f t="shared" si="100"/>
        <v>143</v>
      </c>
    </row>
    <row r="156" spans="1:20" x14ac:dyDescent="0.2">
      <c r="A156" s="94">
        <f t="shared" si="100"/>
        <v>144</v>
      </c>
      <c r="D156" s="74" t="s">
        <v>37</v>
      </c>
      <c r="N156" s="18">
        <f>N154-Summary!L3</f>
        <v>-1933.7523354915902</v>
      </c>
    </row>
    <row r="157" spans="1:20" x14ac:dyDescent="0.2">
      <c r="A157" s="94">
        <f t="shared" si="100"/>
        <v>145</v>
      </c>
      <c r="N157" s="18"/>
    </row>
    <row r="158" spans="1:20" x14ac:dyDescent="0.2">
      <c r="A158" s="94">
        <f t="shared" si="100"/>
        <v>146</v>
      </c>
      <c r="B158" s="106" t="s">
        <v>62</v>
      </c>
      <c r="E158" s="139"/>
      <c r="F158" s="82"/>
      <c r="G158" s="82"/>
      <c r="H158" s="82"/>
      <c r="I158" s="139"/>
      <c r="J158" s="139"/>
      <c r="K158" s="139"/>
      <c r="L158" s="139"/>
      <c r="M158" s="139"/>
      <c r="N158" s="156"/>
      <c r="O158" s="139"/>
      <c r="P158" s="139"/>
      <c r="Q158" s="139"/>
      <c r="R158" s="139"/>
    </row>
    <row r="159" spans="1:20" ht="13.5" thickBot="1" x14ac:dyDescent="0.25">
      <c r="A159" s="94">
        <f t="shared" si="100"/>
        <v>147</v>
      </c>
      <c r="D159" s="58"/>
      <c r="E159" s="10"/>
      <c r="F159" s="58"/>
      <c r="G159" s="58"/>
    </row>
    <row r="160" spans="1:20" x14ac:dyDescent="0.2">
      <c r="A160" s="94">
        <f t="shared" si="100"/>
        <v>148</v>
      </c>
      <c r="B160" s="170" t="s">
        <v>81</v>
      </c>
      <c r="C160" s="95" t="s">
        <v>82</v>
      </c>
      <c r="D160" s="77"/>
      <c r="E160" s="125"/>
      <c r="F160" s="77"/>
      <c r="G160" s="77"/>
      <c r="H160" s="77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</row>
    <row r="161" spans="1:20" ht="12.6" customHeight="1" x14ac:dyDescent="0.2">
      <c r="A161" s="94">
        <f t="shared" si="100"/>
        <v>149</v>
      </c>
      <c r="B161" s="171"/>
      <c r="D161" s="74" t="s">
        <v>83</v>
      </c>
      <c r="E161" s="136"/>
      <c r="F161" s="78">
        <v>636.89</v>
      </c>
      <c r="G161" s="96"/>
      <c r="H161" s="123">
        <v>636.89</v>
      </c>
      <c r="I161" s="142"/>
      <c r="J161" s="143"/>
      <c r="K161" s="143"/>
      <c r="L161" s="123">
        <f>H161*S161</f>
        <v>663.60138432294696</v>
      </c>
      <c r="M161" s="142"/>
      <c r="N161" s="142"/>
      <c r="O161" s="143"/>
      <c r="P161" s="143"/>
      <c r="Q161" s="144"/>
      <c r="R161" s="144"/>
      <c r="S161" s="63">
        <f>1+$O$148</f>
        <v>1.041940341853298</v>
      </c>
      <c r="T161" s="4">
        <f t="shared" ref="T161:T164" si="188">L161/H161-1</f>
        <v>4.194034185329798E-2</v>
      </c>
    </row>
    <row r="162" spans="1:20" x14ac:dyDescent="0.2">
      <c r="A162" s="94">
        <f t="shared" si="100"/>
        <v>150</v>
      </c>
      <c r="D162" s="74" t="s">
        <v>84</v>
      </c>
      <c r="E162" s="136"/>
      <c r="F162" s="158">
        <v>6.42</v>
      </c>
      <c r="G162" s="96"/>
      <c r="H162" s="123">
        <v>6.52</v>
      </c>
      <c r="I162" s="142"/>
      <c r="J162" s="143"/>
      <c r="K162" s="143"/>
      <c r="L162" s="123">
        <f>H162*S162</f>
        <v>6.7934510288835028</v>
      </c>
      <c r="M162" s="142"/>
      <c r="N162" s="142"/>
      <c r="O162" s="143"/>
      <c r="P162" s="143"/>
      <c r="Q162" s="144"/>
      <c r="R162" s="144"/>
      <c r="S162" s="63">
        <f t="shared" ref="S162:S164" si="189">1+$O$148</f>
        <v>1.041940341853298</v>
      </c>
      <c r="T162" s="4">
        <f t="shared" si="188"/>
        <v>4.194034185329798E-2</v>
      </c>
    </row>
    <row r="163" spans="1:20" x14ac:dyDescent="0.2">
      <c r="A163" s="94">
        <f t="shared" si="100"/>
        <v>151</v>
      </c>
      <c r="D163" s="74" t="s">
        <v>85</v>
      </c>
      <c r="E163" s="136"/>
      <c r="F163" s="158">
        <v>9.31</v>
      </c>
      <c r="G163" s="96"/>
      <c r="H163" s="123">
        <v>9.31</v>
      </c>
      <c r="I163" s="142"/>
      <c r="J163" s="143"/>
      <c r="K163" s="143"/>
      <c r="L163" s="123">
        <f>H163*S163</f>
        <v>9.7004645826542042</v>
      </c>
      <c r="M163" s="142"/>
      <c r="N163" s="142"/>
      <c r="O163" s="143"/>
      <c r="P163" s="143"/>
      <c r="Q163" s="144"/>
      <c r="R163" s="144"/>
      <c r="S163" s="63">
        <f t="shared" si="189"/>
        <v>1.041940341853298</v>
      </c>
      <c r="T163" s="4">
        <f t="shared" si="188"/>
        <v>4.194034185329798E-2</v>
      </c>
    </row>
    <row r="164" spans="1:20" ht="13.5" thickBot="1" x14ac:dyDescent="0.25">
      <c r="A164" s="94">
        <f t="shared" si="100"/>
        <v>152</v>
      </c>
      <c r="D164" s="74" t="s">
        <v>47</v>
      </c>
      <c r="E164" s="136"/>
      <c r="F164" s="97">
        <v>5.4219999999999997E-2</v>
      </c>
      <c r="G164" s="96"/>
      <c r="H164" s="124">
        <v>6.5648999999999999E-2</v>
      </c>
      <c r="I164" s="142"/>
      <c r="J164" s="143"/>
      <c r="K164" s="143"/>
      <c r="L164" s="157">
        <f>H164*S164</f>
        <v>6.8402341502327157E-2</v>
      </c>
      <c r="M164" s="142"/>
      <c r="N164" s="142"/>
      <c r="O164" s="143"/>
      <c r="P164" s="143"/>
      <c r="Q164" s="144"/>
      <c r="R164" s="144"/>
      <c r="S164" s="63">
        <f t="shared" si="189"/>
        <v>1.041940341853298</v>
      </c>
      <c r="T164" s="4">
        <f t="shared" si="188"/>
        <v>4.194034185329798E-2</v>
      </c>
    </row>
    <row r="165" spans="1:20" x14ac:dyDescent="0.2">
      <c r="A165" s="94">
        <f t="shared" si="100"/>
        <v>153</v>
      </c>
      <c r="B165" s="77" t="s">
        <v>87</v>
      </c>
      <c r="C165" s="95" t="s">
        <v>86</v>
      </c>
      <c r="D165" s="77"/>
      <c r="E165" s="125"/>
      <c r="F165" s="77"/>
      <c r="G165" s="77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</row>
    <row r="166" spans="1:20" ht="12.6" customHeight="1" x14ac:dyDescent="0.2">
      <c r="A166" s="94">
        <f t="shared" si="100"/>
        <v>154</v>
      </c>
      <c r="D166" s="74" t="s">
        <v>83</v>
      </c>
      <c r="E166" s="136"/>
      <c r="F166" s="78">
        <v>1272.5899999999999</v>
      </c>
      <c r="G166" s="96"/>
      <c r="H166" s="123">
        <v>1272.5899999999999</v>
      </c>
      <c r="I166" s="142"/>
      <c r="J166" s="143"/>
      <c r="K166" s="143"/>
      <c r="L166" s="123">
        <f>H166*S166</f>
        <v>1325.9628596390885</v>
      </c>
      <c r="M166" s="142"/>
      <c r="N166" s="142"/>
      <c r="O166" s="143"/>
      <c r="P166" s="143"/>
      <c r="Q166" s="144"/>
      <c r="R166" s="144"/>
      <c r="S166" s="63">
        <f>1+$O$148</f>
        <v>1.041940341853298</v>
      </c>
      <c r="T166" s="4">
        <f t="shared" ref="T166:T169" si="190">L166/H166-1</f>
        <v>4.194034185329798E-2</v>
      </c>
    </row>
    <row r="167" spans="1:20" x14ac:dyDescent="0.2">
      <c r="A167" s="94">
        <f t="shared" si="100"/>
        <v>155</v>
      </c>
      <c r="D167" s="74" t="s">
        <v>84</v>
      </c>
      <c r="E167" s="136"/>
      <c r="F167" s="158">
        <v>6.42</v>
      </c>
      <c r="G167" s="96"/>
      <c r="H167" s="123">
        <v>6.52</v>
      </c>
      <c r="I167" s="142"/>
      <c r="J167" s="143"/>
      <c r="K167" s="143"/>
      <c r="L167" s="123">
        <f>H167*S167</f>
        <v>6.7934510288835028</v>
      </c>
      <c r="M167" s="142"/>
      <c r="N167" s="142"/>
      <c r="O167" s="143"/>
      <c r="P167" s="143"/>
      <c r="Q167" s="144"/>
      <c r="R167" s="144"/>
      <c r="S167" s="63">
        <f t="shared" ref="S167:S169" si="191">1+$O$148</f>
        <v>1.041940341853298</v>
      </c>
      <c r="T167" s="4">
        <f t="shared" si="190"/>
        <v>4.194034185329798E-2</v>
      </c>
    </row>
    <row r="168" spans="1:20" x14ac:dyDescent="0.2">
      <c r="A168" s="94">
        <f t="shared" si="100"/>
        <v>156</v>
      </c>
      <c r="D168" s="74" t="s">
        <v>85</v>
      </c>
      <c r="E168" s="136"/>
      <c r="F168" s="158">
        <v>9.31</v>
      </c>
      <c r="G168" s="96"/>
      <c r="H168" s="123">
        <v>9.31</v>
      </c>
      <c r="I168" s="142"/>
      <c r="J168" s="143"/>
      <c r="K168" s="143"/>
      <c r="L168" s="123">
        <f>H168*S168</f>
        <v>9.7004645826542042</v>
      </c>
      <c r="M168" s="142"/>
      <c r="N168" s="142"/>
      <c r="O168" s="143"/>
      <c r="P168" s="143"/>
      <c r="Q168" s="144"/>
      <c r="R168" s="144"/>
      <c r="S168" s="63">
        <f t="shared" si="191"/>
        <v>1.041940341853298</v>
      </c>
      <c r="T168" s="4">
        <f t="shared" si="190"/>
        <v>4.194034185329798E-2</v>
      </c>
    </row>
    <row r="169" spans="1:20" ht="13.5" thickBot="1" x14ac:dyDescent="0.25">
      <c r="A169" s="94">
        <f t="shared" si="100"/>
        <v>157</v>
      </c>
      <c r="D169" s="74" t="s">
        <v>47</v>
      </c>
      <c r="E169" s="136"/>
      <c r="F169" s="97">
        <v>4.6640000000000001E-2</v>
      </c>
      <c r="G169" s="96"/>
      <c r="H169" s="124">
        <v>6.5648999999999999E-2</v>
      </c>
      <c r="I169" s="142"/>
      <c r="J169" s="143"/>
      <c r="K169" s="143"/>
      <c r="L169" s="124">
        <f>H169*S169</f>
        <v>6.8402341502327157E-2</v>
      </c>
      <c r="M169" s="142"/>
      <c r="N169" s="142"/>
      <c r="O169" s="143"/>
      <c r="P169" s="143"/>
      <c r="Q169" s="144"/>
      <c r="R169" s="144"/>
      <c r="S169" s="63">
        <f t="shared" si="191"/>
        <v>1.041940341853298</v>
      </c>
      <c r="T169" s="4">
        <f t="shared" si="190"/>
        <v>4.194034185329798E-2</v>
      </c>
    </row>
    <row r="170" spans="1:20" x14ac:dyDescent="0.2">
      <c r="A170" s="94">
        <f t="shared" ref="A170:A177" si="192">A169+1</f>
        <v>158</v>
      </c>
      <c r="B170" s="170" t="s">
        <v>89</v>
      </c>
      <c r="C170" s="95" t="s">
        <v>91</v>
      </c>
      <c r="D170" s="77"/>
      <c r="E170" s="125"/>
      <c r="F170" s="77"/>
      <c r="G170" s="77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</row>
    <row r="171" spans="1:20" ht="12.6" customHeight="1" x14ac:dyDescent="0.2">
      <c r="A171" s="94">
        <f t="shared" si="192"/>
        <v>159</v>
      </c>
      <c r="B171" s="171"/>
      <c r="D171" s="74" t="s">
        <v>17</v>
      </c>
      <c r="E171" s="136"/>
      <c r="F171" s="78">
        <v>103.65</v>
      </c>
      <c r="G171" s="96"/>
      <c r="H171" s="123">
        <v>103.65</v>
      </c>
      <c r="I171" s="142"/>
      <c r="J171" s="143"/>
      <c r="K171" s="143"/>
      <c r="L171" s="123">
        <f>H171*S171</f>
        <v>107.99711643309435</v>
      </c>
      <c r="M171" s="142"/>
      <c r="N171" s="142"/>
      <c r="O171" s="143"/>
      <c r="P171" s="143"/>
      <c r="Q171" s="144"/>
      <c r="R171" s="144"/>
      <c r="S171" s="63">
        <f>1+$O$148</f>
        <v>1.041940341853298</v>
      </c>
      <c r="T171" s="4">
        <f t="shared" ref="T171:T173" si="193">L171/H171-1</f>
        <v>4.194034185329798E-2</v>
      </c>
    </row>
    <row r="172" spans="1:20" x14ac:dyDescent="0.2">
      <c r="A172" s="94">
        <f t="shared" si="192"/>
        <v>160</v>
      </c>
      <c r="D172" s="74" t="s">
        <v>50</v>
      </c>
      <c r="E172" s="136"/>
      <c r="F172" s="158">
        <v>6.79</v>
      </c>
      <c r="G172" s="96"/>
      <c r="H172" s="123">
        <v>6.52</v>
      </c>
      <c r="I172" s="142"/>
      <c r="J172" s="143"/>
      <c r="K172" s="143"/>
      <c r="L172" s="123">
        <f>H172*S172</f>
        <v>6.7934510288835028</v>
      </c>
      <c r="M172" s="142"/>
      <c r="N172" s="142"/>
      <c r="O172" s="143"/>
      <c r="P172" s="143"/>
      <c r="Q172" s="144"/>
      <c r="R172" s="144"/>
      <c r="S172" s="63">
        <f t="shared" ref="S172:S173" si="194">1+$O$148</f>
        <v>1.041940341853298</v>
      </c>
      <c r="T172" s="4">
        <f t="shared" si="193"/>
        <v>4.194034185329798E-2</v>
      </c>
    </row>
    <row r="173" spans="1:20" ht="13.5" thickBot="1" x14ac:dyDescent="0.25">
      <c r="A173" s="94">
        <f t="shared" si="192"/>
        <v>161</v>
      </c>
      <c r="D173" s="74" t="s">
        <v>47</v>
      </c>
      <c r="E173" s="136"/>
      <c r="F173" s="97">
        <v>4.8759999999999998E-2</v>
      </c>
      <c r="G173" s="96"/>
      <c r="H173" s="124">
        <v>6.5648999999999999E-2</v>
      </c>
      <c r="I173" s="142"/>
      <c r="J173" s="143"/>
      <c r="K173" s="143"/>
      <c r="L173" s="124">
        <f>H173*S173</f>
        <v>6.8402341502327157E-2</v>
      </c>
      <c r="M173" s="142"/>
      <c r="N173" s="142"/>
      <c r="O173" s="143"/>
      <c r="P173" s="143"/>
      <c r="Q173" s="144"/>
      <c r="R173" s="144"/>
      <c r="S173" s="63">
        <f t="shared" si="194"/>
        <v>1.041940341853298</v>
      </c>
      <c r="T173" s="4">
        <f t="shared" si="193"/>
        <v>4.194034185329798E-2</v>
      </c>
    </row>
    <row r="174" spans="1:20" x14ac:dyDescent="0.2">
      <c r="A174" s="94">
        <f t="shared" si="192"/>
        <v>162</v>
      </c>
      <c r="B174" s="77" t="s">
        <v>132</v>
      </c>
      <c r="C174" s="95"/>
      <c r="D174" s="77"/>
      <c r="E174" s="77"/>
      <c r="F174" s="77"/>
      <c r="G174" s="125"/>
      <c r="H174" s="125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63"/>
      <c r="T174" s="4"/>
    </row>
    <row r="175" spans="1:20" x14ac:dyDescent="0.2">
      <c r="A175" s="94">
        <f t="shared" si="192"/>
        <v>163</v>
      </c>
      <c r="D175" s="74" t="s">
        <v>133</v>
      </c>
      <c r="E175" s="59"/>
      <c r="F175" s="97"/>
      <c r="G175" s="117"/>
      <c r="H175" s="164">
        <v>4.2</v>
      </c>
      <c r="I175" s="165"/>
      <c r="J175" s="166"/>
      <c r="K175" s="167"/>
      <c r="L175" s="161">
        <f>6.2</f>
        <v>6.2</v>
      </c>
      <c r="M175" s="74"/>
      <c r="N175" s="79"/>
      <c r="O175" s="74"/>
      <c r="P175" s="74"/>
      <c r="Q175" s="74"/>
      <c r="R175" s="74"/>
      <c r="S175" s="63"/>
      <c r="T175" s="4"/>
    </row>
    <row r="176" spans="1:20" x14ac:dyDescent="0.2">
      <c r="A176" s="94">
        <f t="shared" si="192"/>
        <v>164</v>
      </c>
      <c r="D176" s="74" t="s">
        <v>134</v>
      </c>
      <c r="E176" s="59"/>
      <c r="F176" s="97"/>
      <c r="G176" s="168"/>
      <c r="H176" s="159">
        <v>4.9000000000000004</v>
      </c>
      <c r="I176" s="165"/>
      <c r="J176" s="166"/>
      <c r="K176" s="167"/>
      <c r="L176" s="162">
        <f>6.9</f>
        <v>6.9</v>
      </c>
      <c r="M176" s="74"/>
      <c r="N176" s="79"/>
      <c r="O176" s="74"/>
      <c r="P176" s="74"/>
      <c r="Q176" s="74"/>
      <c r="R176" s="74"/>
      <c r="S176" s="63"/>
      <c r="T176" s="4"/>
    </row>
    <row r="177" spans="1:20" x14ac:dyDescent="0.2">
      <c r="A177" s="94">
        <f t="shared" si="192"/>
        <v>165</v>
      </c>
      <c r="D177" s="74" t="s">
        <v>135</v>
      </c>
      <c r="E177" s="74"/>
      <c r="H177" s="159">
        <v>5.6</v>
      </c>
      <c r="I177" s="74"/>
      <c r="J177" s="74"/>
      <c r="K177" s="74"/>
      <c r="L177" s="162">
        <f>7.6</f>
        <v>7.6</v>
      </c>
      <c r="N177" s="18"/>
      <c r="S177" s="63"/>
      <c r="T177" s="4"/>
    </row>
    <row r="179" spans="1:20" x14ac:dyDescent="0.2">
      <c r="G179" s="107" t="s">
        <v>120</v>
      </c>
      <c r="H179" s="97">
        <v>1.179E-2</v>
      </c>
      <c r="I179" s="2" t="s">
        <v>131</v>
      </c>
    </row>
    <row r="182" spans="1:20" x14ac:dyDescent="0.2">
      <c r="E182" s="108">
        <v>509779907</v>
      </c>
    </row>
    <row r="183" spans="1:20" x14ac:dyDescent="0.2">
      <c r="E183" s="108">
        <f>E9+E21+E22+E34+E35+E47+E48+E61+E62+E63+E75+E87+E111+E123+E136</f>
        <v>483689734.592233</v>
      </c>
    </row>
    <row r="184" spans="1:20" x14ac:dyDescent="0.2">
      <c r="E184" s="108">
        <f>E182-E183</f>
        <v>26090172.407766998</v>
      </c>
    </row>
    <row r="185" spans="1:20" x14ac:dyDescent="0.2">
      <c r="E185" s="4">
        <f>E184/E182</f>
        <v>5.1179287471930505E-2</v>
      </c>
    </row>
    <row r="188" spans="1:20" x14ac:dyDescent="0.2">
      <c r="E188" s="114">
        <f>E8+E20+E33+E46+E60+E74+E86</f>
        <v>290841</v>
      </c>
    </row>
  </sheetData>
  <mergeCells count="8">
    <mergeCell ref="B170:B171"/>
    <mergeCell ref="B59:B60"/>
    <mergeCell ref="B7:B8"/>
    <mergeCell ref="B32:B33"/>
    <mergeCell ref="B45:B46"/>
    <mergeCell ref="B73:B74"/>
    <mergeCell ref="B85:B86"/>
    <mergeCell ref="B160:B161"/>
  </mergeCells>
  <phoneticPr fontId="8" type="noConversion"/>
  <printOptions horizontalCentered="1"/>
  <pageMargins left="0.7" right="0.7" top="0.75" bottom="0.75" header="0.3" footer="0.3"/>
  <pageSetup scale="48" fitToHeight="3" orientation="landscape" r:id="rId1"/>
  <headerFooter>
    <oddHeader>&amp;R&amp;"Arial,Bold"&amp;10Exhibit 4
Page &amp;P of &amp;N</oddHeader>
  </headerFooter>
  <rowBreaks count="3" manualBreakCount="3">
    <brk id="58" max="17" man="1"/>
    <brk id="97" max="17" man="1"/>
    <brk id="156" max="17" man="1"/>
  </rowBreaks>
  <ignoredErrors>
    <ignoredError sqref="M10:O10 N23:O23 N36:O36 N50:O50 N64:O64 N76:O76 N89:O89 L101 N111:O111 N1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110"/>
  <sheetViews>
    <sheetView tabSelected="1" view="pageBreakPreview" topLeftCell="A79" zoomScaleNormal="85" zoomScaleSheetLayoutView="100" workbookViewId="0">
      <selection activeCell="I101" sqref="I101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0" customWidth="1"/>
    <col min="4" max="4" width="34.42578125" style="10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0.28515625" style="2" bestFit="1" customWidth="1"/>
    <col min="9" max="9" width="12.5703125" style="2" customWidth="1"/>
    <col min="10" max="16384" width="8.85546875" style="2"/>
  </cols>
  <sheetData>
    <row r="1" spans="1:9" x14ac:dyDescent="0.2">
      <c r="A1" s="1" t="str">
        <f>Summary!A1</f>
        <v>CUMBERLAND VALLEY ELECTRIC</v>
      </c>
    </row>
    <row r="2" spans="1:9" x14ac:dyDescent="0.2">
      <c r="A2" s="1" t="s">
        <v>116</v>
      </c>
    </row>
    <row r="4" spans="1:9" x14ac:dyDescent="0.2">
      <c r="C4" s="39" t="s">
        <v>61</v>
      </c>
      <c r="D4" s="38"/>
      <c r="E4" s="38" t="s">
        <v>2</v>
      </c>
      <c r="F4" s="42" t="s">
        <v>45</v>
      </c>
      <c r="G4" s="42" t="s">
        <v>46</v>
      </c>
      <c r="H4" s="42" t="s">
        <v>117</v>
      </c>
    </row>
    <row r="5" spans="1:9" x14ac:dyDescent="0.2">
      <c r="C5" s="10" t="str">
        <f>'Billing Detail'!C7</f>
        <v>R1</v>
      </c>
      <c r="D5" s="61" t="str">
        <f>'Billing Detail'!B7</f>
        <v>Sch I - Residential, Schools &amp; Churches</v>
      </c>
    </row>
    <row r="6" spans="1:9" x14ac:dyDescent="0.2">
      <c r="D6" s="61"/>
      <c r="E6" s="2" t="str">
        <f>'Billing Detail'!D8</f>
        <v>Customer Charge</v>
      </c>
      <c r="F6" s="40">
        <f>'Billing Detail'!H8</f>
        <v>22.25</v>
      </c>
      <c r="G6" s="40">
        <f>'Billing Detail'!L8</f>
        <v>23.1</v>
      </c>
      <c r="H6" s="40">
        <f>G6-F6</f>
        <v>0.85000000000000142</v>
      </c>
      <c r="I6" s="4">
        <f>H6/F6</f>
        <v>3.8202247191011299E-2</v>
      </c>
    </row>
    <row r="7" spans="1:9" x14ac:dyDescent="0.2">
      <c r="D7" s="61"/>
      <c r="E7" s="2" t="str">
        <f>'Billing Detail'!D9</f>
        <v>Energy Charge per kWh</v>
      </c>
      <c r="F7" s="41">
        <f>'Billing Detail'!H9</f>
        <v>9.8019999999999996E-2</v>
      </c>
      <c r="G7" s="41">
        <f>'Billing Detail'!L9</f>
        <v>0.10178</v>
      </c>
      <c r="H7" s="41">
        <f t="shared" ref="H7:H69" si="0">G7-F7</f>
        <v>3.7599999999999995E-3</v>
      </c>
      <c r="I7" s="4">
        <f t="shared" ref="I7:I69" si="1">H7/F7</f>
        <v>3.8359518465619261E-2</v>
      </c>
    </row>
    <row r="8" spans="1:9" x14ac:dyDescent="0.2">
      <c r="D8" s="61" t="s">
        <v>113</v>
      </c>
      <c r="I8" s="4"/>
    </row>
    <row r="9" spans="1:9" x14ac:dyDescent="0.2">
      <c r="D9" s="61"/>
      <c r="E9" s="2" t="s">
        <v>114</v>
      </c>
      <c r="F9" s="40">
        <f>F6</f>
        <v>22.25</v>
      </c>
      <c r="G9" s="40">
        <f>G6</f>
        <v>23.1</v>
      </c>
      <c r="H9" s="40">
        <f t="shared" si="0"/>
        <v>0.85000000000000142</v>
      </c>
      <c r="I9" s="4">
        <f t="shared" si="1"/>
        <v>3.8202247191011299E-2</v>
      </c>
    </row>
    <row r="10" spans="1:9" x14ac:dyDescent="0.2">
      <c r="D10" s="61"/>
      <c r="E10" s="2" t="s">
        <v>47</v>
      </c>
      <c r="F10" s="41">
        <f>F7</f>
        <v>9.8019999999999996E-2</v>
      </c>
      <c r="G10" s="41">
        <f>G7</f>
        <v>0.10178</v>
      </c>
      <c r="H10" s="41">
        <f t="shared" si="0"/>
        <v>3.7599999999999995E-3</v>
      </c>
      <c r="I10" s="4">
        <f t="shared" si="1"/>
        <v>3.8359518465619261E-2</v>
      </c>
    </row>
    <row r="11" spans="1:9" x14ac:dyDescent="0.2">
      <c r="D11" s="61"/>
      <c r="E11" s="2" t="s">
        <v>115</v>
      </c>
      <c r="F11" s="40">
        <v>0</v>
      </c>
      <c r="G11" s="40">
        <v>0</v>
      </c>
      <c r="H11" s="40"/>
      <c r="I11" s="4"/>
    </row>
    <row r="12" spans="1:9" x14ac:dyDescent="0.2">
      <c r="C12" s="10" t="str">
        <f>'Billing Detail'!C19</f>
        <v>TOD</v>
      </c>
      <c r="D12" s="61" t="str">
        <f>'Billing Detail'!B19</f>
        <v>Sch I - Res TOD</v>
      </c>
      <c r="F12" s="40"/>
      <c r="G12" s="40"/>
      <c r="H12" s="40"/>
      <c r="I12" s="4"/>
    </row>
    <row r="13" spans="1:9" x14ac:dyDescent="0.2">
      <c r="D13" s="61"/>
      <c r="E13" s="2" t="str">
        <f>'Billing Detail'!D20</f>
        <v>Customer Charge</v>
      </c>
      <c r="F13" s="40">
        <f>'Billing Detail'!H20</f>
        <v>22.25</v>
      </c>
      <c r="G13" s="40">
        <f>'Billing Detail'!L20</f>
        <v>23.1</v>
      </c>
      <c r="H13" s="40">
        <f t="shared" si="0"/>
        <v>0.85000000000000142</v>
      </c>
      <c r="I13" s="4">
        <f t="shared" si="1"/>
        <v>3.8202247191011299E-2</v>
      </c>
    </row>
    <row r="14" spans="1:9" x14ac:dyDescent="0.2">
      <c r="D14" s="61"/>
      <c r="E14" s="2" t="str">
        <f>'Billing Detail'!D21</f>
        <v>Energy Charge - On Peak per kWh</v>
      </c>
      <c r="F14" s="41">
        <f>'Billing Detail'!H21</f>
        <v>0.11402</v>
      </c>
      <c r="G14" s="41">
        <f>'Billing Detail'!L21</f>
        <v>0.11840000000000001</v>
      </c>
      <c r="H14" s="41">
        <f t="shared" si="0"/>
        <v>4.3800000000000089E-3</v>
      </c>
      <c r="I14" s="4">
        <f t="shared" si="1"/>
        <v>3.8414313278372296E-2</v>
      </c>
    </row>
    <row r="15" spans="1:9" x14ac:dyDescent="0.2">
      <c r="D15" s="61"/>
      <c r="E15" s="2" t="str">
        <f>'Billing Detail'!D22</f>
        <v>Energy Charge - Off Peak per kWh</v>
      </c>
      <c r="F15" s="41">
        <f>'Billing Detail'!H22</f>
        <v>7.0830000000000004E-2</v>
      </c>
      <c r="G15" s="41">
        <f>'Billing Detail'!L22</f>
        <v>7.3550000000000004E-2</v>
      </c>
      <c r="H15" s="41">
        <f t="shared" si="0"/>
        <v>2.7200000000000002E-3</v>
      </c>
      <c r="I15" s="4">
        <f t="shared" si="1"/>
        <v>3.8401807143865596E-2</v>
      </c>
    </row>
    <row r="16" spans="1:9" x14ac:dyDescent="0.2">
      <c r="C16" s="10" t="str">
        <f>'Billing Detail'!C32</f>
        <v>C1</v>
      </c>
      <c r="D16" s="61" t="str">
        <f>'Billing Detail'!B32</f>
        <v>Sch II - Small Commercial  Small Power</v>
      </c>
      <c r="F16" s="41"/>
      <c r="G16" s="41"/>
      <c r="H16" s="41"/>
      <c r="I16" s="4"/>
    </row>
    <row r="17" spans="3:9" x14ac:dyDescent="0.2">
      <c r="D17" s="61"/>
      <c r="E17" s="2" t="str">
        <f>'Billing Detail'!D33</f>
        <v>Customer Charge</v>
      </c>
      <c r="F17" s="40">
        <f>'Billing Detail'!H33</f>
        <v>24.32</v>
      </c>
      <c r="G17" s="40">
        <f>'Billing Detail'!L33</f>
        <v>25.25</v>
      </c>
      <c r="H17" s="40">
        <f t="shared" si="0"/>
        <v>0.92999999999999972</v>
      </c>
      <c r="I17" s="4">
        <f t="shared" si="1"/>
        <v>3.8240131578947359E-2</v>
      </c>
    </row>
    <row r="18" spans="3:9" x14ac:dyDescent="0.2">
      <c r="D18" s="61"/>
      <c r="E18" s="2" t="str">
        <f>'Billing Detail'!D34</f>
        <v>Energy Charge - First 3000 per kWh</v>
      </c>
      <c r="F18" s="41">
        <f>'Billing Detail'!H34</f>
        <v>9.8000000000000004E-2</v>
      </c>
      <c r="G18" s="41">
        <f>'Billing Detail'!L34</f>
        <v>0.10176</v>
      </c>
      <c r="H18" s="41">
        <f t="shared" si="0"/>
        <v>3.7599999999999995E-3</v>
      </c>
      <c r="I18" s="4">
        <f t="shared" si="1"/>
        <v>3.8367346938775505E-2</v>
      </c>
    </row>
    <row r="19" spans="3:9" x14ac:dyDescent="0.2">
      <c r="D19" s="61"/>
      <c r="E19" s="2" t="str">
        <f>'Billing Detail'!D35</f>
        <v>Energy Charge - Over 3000 per kWh</v>
      </c>
      <c r="F19" s="41">
        <f>'Billing Detail'!H35</f>
        <v>9.4530000000000003E-2</v>
      </c>
      <c r="G19" s="41">
        <f>'Billing Detail'!L35</f>
        <v>9.8159999999999997E-2</v>
      </c>
      <c r="H19" s="41">
        <f t="shared" si="0"/>
        <v>3.6299999999999943E-3</v>
      </c>
      <c r="I19" s="4">
        <f t="shared" si="1"/>
        <v>3.8400507775309366E-2</v>
      </c>
    </row>
    <row r="20" spans="3:9" x14ac:dyDescent="0.2">
      <c r="C20" s="10" t="str">
        <f>'Billing Detail'!C45</f>
        <v>C2</v>
      </c>
      <c r="D20" s="61" t="str">
        <f>'Billing Detail'!B45</f>
        <v>Sch II - Small Commercial  Small Power</v>
      </c>
      <c r="F20" s="40"/>
      <c r="G20" s="40"/>
      <c r="H20" s="40"/>
      <c r="I20" s="4"/>
    </row>
    <row r="21" spans="3:9" x14ac:dyDescent="0.2">
      <c r="D21" s="61"/>
      <c r="E21" s="2" t="str">
        <f>'Billing Detail'!D46</f>
        <v>Customer Charge</v>
      </c>
      <c r="F21" s="40">
        <f>'Billing Detail'!H46</f>
        <v>33</v>
      </c>
      <c r="G21" s="40">
        <f>'Billing Detail'!L46</f>
        <v>34.270000000000003</v>
      </c>
      <c r="H21" s="40">
        <f t="shared" si="0"/>
        <v>1.2700000000000031</v>
      </c>
      <c r="I21" s="4">
        <f t="shared" si="1"/>
        <v>3.848484848484858E-2</v>
      </c>
    </row>
    <row r="22" spans="3:9" x14ac:dyDescent="0.2">
      <c r="D22" s="61"/>
      <c r="E22" s="2" t="str">
        <f>'Billing Detail'!D47</f>
        <v>Energy Charge - First 3000 per kWh</v>
      </c>
      <c r="F22" s="41">
        <f>'Billing Detail'!H47</f>
        <v>0.10144827268008384</v>
      </c>
      <c r="G22" s="41">
        <f>'Billing Detail'!L47</f>
        <v>0.10534</v>
      </c>
      <c r="H22" s="41">
        <f t="shared" si="0"/>
        <v>3.8917273199161606E-3</v>
      </c>
      <c r="I22" s="4">
        <f t="shared" si="1"/>
        <v>3.8361691304382141E-2</v>
      </c>
    </row>
    <row r="23" spans="3:9" x14ac:dyDescent="0.2">
      <c r="D23" s="61"/>
      <c r="E23" s="2" t="str">
        <f>'Billing Detail'!D48</f>
        <v>Energy Charge - Over 3000 per kWh</v>
      </c>
      <c r="F23" s="41">
        <f>'Billing Detail'!H48</f>
        <v>9.7761753637881033E-2</v>
      </c>
      <c r="G23" s="41">
        <f>'Billing Detail'!L48</f>
        <v>0.10152</v>
      </c>
      <c r="H23" s="41">
        <f t="shared" si="0"/>
        <v>3.7582463621189666E-3</v>
      </c>
      <c r="I23" s="4">
        <f t="shared" si="1"/>
        <v>3.8442910670770838E-2</v>
      </c>
    </row>
    <row r="24" spans="3:9" x14ac:dyDescent="0.2">
      <c r="D24" s="61"/>
      <c r="E24" s="2" t="str">
        <f>'Billing Detail'!D49</f>
        <v>Demand Charge per kW</v>
      </c>
      <c r="F24" s="40">
        <f>'Billing Detail'!H49</f>
        <v>4.37</v>
      </c>
      <c r="G24" s="40">
        <f>'Billing Detail'!L49</f>
        <v>4.54</v>
      </c>
      <c r="H24" s="40">
        <f t="shared" si="0"/>
        <v>0.16999999999999993</v>
      </c>
      <c r="I24" s="4">
        <f t="shared" si="1"/>
        <v>3.8901601830663601E-2</v>
      </c>
    </row>
    <row r="25" spans="3:9" x14ac:dyDescent="0.2">
      <c r="C25" s="10" t="str">
        <f>'Billing Detail'!C59</f>
        <v>IB</v>
      </c>
      <c r="D25" s="61" t="str">
        <f>'Billing Detail'!B59</f>
        <v>Sch VII - Inclining Block Rate</v>
      </c>
      <c r="F25" s="41"/>
      <c r="G25" s="41"/>
      <c r="H25" s="41"/>
      <c r="I25" s="4"/>
    </row>
    <row r="26" spans="3:9" x14ac:dyDescent="0.2">
      <c r="D26" s="61"/>
      <c r="E26" s="2" t="str">
        <f>'Billing Detail'!D60</f>
        <v>Customer Charge</v>
      </c>
      <c r="F26" s="40">
        <f>'Billing Detail'!H60</f>
        <v>15.5</v>
      </c>
      <c r="G26" s="40">
        <f>'Billing Detail'!L60</f>
        <v>16.100000000000001</v>
      </c>
      <c r="H26" s="40">
        <f t="shared" si="0"/>
        <v>0.60000000000000142</v>
      </c>
      <c r="I26" s="4">
        <f t="shared" si="1"/>
        <v>3.8709677419354931E-2</v>
      </c>
    </row>
    <row r="27" spans="3:9" x14ac:dyDescent="0.2">
      <c r="D27" s="61"/>
      <c r="E27" s="2" t="str">
        <f>'Billing Detail'!D61</f>
        <v>Energy Charge - First 200 per kWh</v>
      </c>
      <c r="F27" s="41">
        <f>'Billing Detail'!H61</f>
        <v>9.9650000000000002E-2</v>
      </c>
      <c r="G27" s="41">
        <f>'Billing Detail'!L61</f>
        <v>0.10348</v>
      </c>
      <c r="H27" s="41">
        <f t="shared" si="0"/>
        <v>3.8300000000000001E-3</v>
      </c>
      <c r="I27" s="4">
        <f t="shared" si="1"/>
        <v>3.8434520822880083E-2</v>
      </c>
    </row>
    <row r="28" spans="3:9" x14ac:dyDescent="0.2">
      <c r="D28" s="61"/>
      <c r="E28" s="2" t="str">
        <f>'Billing Detail'!D62</f>
        <v>Energy Charge - Next 300 per kWh</v>
      </c>
      <c r="F28" s="41">
        <f>'Billing Detail'!H62</f>
        <v>0.10485</v>
      </c>
      <c r="G28" s="41">
        <f>'Billing Detail'!L62</f>
        <v>0.10888</v>
      </c>
      <c r="H28" s="41">
        <f t="shared" si="0"/>
        <v>4.0300000000000058E-3</v>
      </c>
      <c r="I28" s="4">
        <f t="shared" si="1"/>
        <v>3.8435860753457375E-2</v>
      </c>
    </row>
    <row r="29" spans="3:9" x14ac:dyDescent="0.2">
      <c r="D29" s="61"/>
      <c r="E29" s="2" t="str">
        <f>'Billing Detail'!D63</f>
        <v>Energy Charge - Over 500 per kWh</v>
      </c>
      <c r="F29" s="41">
        <f>'Billing Detail'!H63</f>
        <v>0.11005</v>
      </c>
      <c r="G29" s="41">
        <f>'Billing Detail'!L63</f>
        <v>0.11428000000000001</v>
      </c>
      <c r="H29" s="41">
        <f t="shared" si="0"/>
        <v>4.2300000000000115E-3</v>
      </c>
      <c r="I29" s="4">
        <f t="shared" si="1"/>
        <v>3.8437074057246813E-2</v>
      </c>
    </row>
    <row r="30" spans="3:9" x14ac:dyDescent="0.2">
      <c r="C30" s="10" t="str">
        <f>'Billing Detail'!C73</f>
        <v>E1</v>
      </c>
      <c r="D30" s="61" t="str">
        <f>'Billing Detail'!B73</f>
        <v>Sch III - All 3Phase Schools &amp; Churches</v>
      </c>
      <c r="F30" s="40"/>
      <c r="G30" s="40"/>
      <c r="H30" s="40"/>
      <c r="I30" s="4"/>
    </row>
    <row r="31" spans="3:9" x14ac:dyDescent="0.2">
      <c r="D31" s="61"/>
      <c r="E31" s="2" t="str">
        <f>'Billing Detail'!D74</f>
        <v>Customer Charge</v>
      </c>
      <c r="F31" s="40">
        <f>'Billing Detail'!H74</f>
        <v>46.64</v>
      </c>
      <c r="G31" s="40">
        <f>'Billing Detail'!L74</f>
        <v>48.43</v>
      </c>
      <c r="H31" s="40">
        <f t="shared" si="0"/>
        <v>1.7899999999999991</v>
      </c>
      <c r="I31" s="4">
        <f t="shared" si="1"/>
        <v>3.8379073756432229E-2</v>
      </c>
    </row>
    <row r="32" spans="3:9" x14ac:dyDescent="0.2">
      <c r="D32" s="61"/>
      <c r="E32" s="2" t="str">
        <f>'Billing Detail'!D75</f>
        <v>Energy Charge per kWh</v>
      </c>
      <c r="F32" s="41">
        <f>'Billing Detail'!H75</f>
        <v>9.0300000000000005E-2</v>
      </c>
      <c r="G32" s="41">
        <f>'Billing Detail'!L75</f>
        <v>9.3770000000000006E-2</v>
      </c>
      <c r="H32" s="41">
        <f t="shared" si="0"/>
        <v>3.4700000000000009E-3</v>
      </c>
      <c r="I32" s="4">
        <f t="shared" si="1"/>
        <v>3.8427464008859366E-2</v>
      </c>
    </row>
    <row r="33" spans="3:9" x14ac:dyDescent="0.2">
      <c r="C33" s="10" t="str">
        <f>'Billing Detail'!C85</f>
        <v>L1</v>
      </c>
      <c r="D33" s="61" t="str">
        <f>'Billing Detail'!B85</f>
        <v>Sch IV-A - Large Power 50-2500 kW</v>
      </c>
      <c r="F33" s="40"/>
      <c r="G33" s="40"/>
      <c r="H33" s="40"/>
      <c r="I33" s="4"/>
    </row>
    <row r="34" spans="3:9" x14ac:dyDescent="0.2">
      <c r="D34" s="61"/>
      <c r="E34" s="2" t="str">
        <f>'Billing Detail'!D86</f>
        <v>Customer Charge</v>
      </c>
      <c r="F34" s="40">
        <f>'Billing Detail'!H86</f>
        <v>67.37</v>
      </c>
      <c r="G34" s="40">
        <f>'Billing Detail'!L86</f>
        <v>69.959999999999994</v>
      </c>
      <c r="H34" s="40">
        <f t="shared" si="0"/>
        <v>2.5899999999999892</v>
      </c>
      <c r="I34" s="4">
        <f t="shared" si="1"/>
        <v>3.8444411459106265E-2</v>
      </c>
    </row>
    <row r="35" spans="3:9" x14ac:dyDescent="0.2">
      <c r="D35" s="61"/>
      <c r="E35" s="2" t="str">
        <f>'Billing Detail'!D87</f>
        <v>Energy Charge per kWh</v>
      </c>
      <c r="F35" s="41">
        <f>'Billing Detail'!H87</f>
        <v>7.0559999999999998E-2</v>
      </c>
      <c r="G35" s="41">
        <f>'Billing Detail'!L87</f>
        <v>7.3270000000000002E-2</v>
      </c>
      <c r="H35" s="41">
        <f t="shared" si="0"/>
        <v>2.7100000000000041E-3</v>
      </c>
      <c r="I35" s="4">
        <f t="shared" si="1"/>
        <v>3.8407029478458109E-2</v>
      </c>
    </row>
    <row r="36" spans="3:9" x14ac:dyDescent="0.2">
      <c r="D36" s="61"/>
      <c r="E36" s="2" t="str">
        <f>'Billing Detail'!D88</f>
        <v>Demand Charge per kW</v>
      </c>
      <c r="F36" s="40">
        <f>'Billing Detail'!H88</f>
        <v>6.66</v>
      </c>
      <c r="G36" s="40">
        <f>'Billing Detail'!L88</f>
        <v>6.9157200000000003</v>
      </c>
      <c r="H36" s="40">
        <f t="shared" si="0"/>
        <v>0.25572000000000017</v>
      </c>
      <c r="I36" s="4">
        <f t="shared" si="1"/>
        <v>3.8396396396396422E-2</v>
      </c>
    </row>
    <row r="37" spans="3:9" x14ac:dyDescent="0.2">
      <c r="C37" s="10" t="str">
        <f>'Billing Detail'!C98</f>
        <v>VI</v>
      </c>
      <c r="D37" s="61" t="str">
        <f>'Billing Detail'!B98</f>
        <v>Lighting</v>
      </c>
      <c r="F37" s="40"/>
      <c r="G37" s="40"/>
      <c r="H37" s="40"/>
      <c r="I37" s="4"/>
    </row>
    <row r="38" spans="3:9" x14ac:dyDescent="0.2">
      <c r="D38" s="61"/>
      <c r="E38" s="2" t="s">
        <v>102</v>
      </c>
      <c r="F38" s="40">
        <f>'Billing Detail'!H99</f>
        <v>10.19</v>
      </c>
      <c r="G38" s="40">
        <f>'Billing Detail'!L99</f>
        <v>10.58</v>
      </c>
      <c r="H38" s="40">
        <f t="shared" si="0"/>
        <v>0.39000000000000057</v>
      </c>
      <c r="I38" s="4">
        <f t="shared" si="1"/>
        <v>3.8272816486751772E-2</v>
      </c>
    </row>
    <row r="39" spans="3:9" x14ac:dyDescent="0.2">
      <c r="D39" s="2"/>
      <c r="E39" s="2" t="s">
        <v>103</v>
      </c>
      <c r="F39" s="40">
        <f>'Billing Detail'!H100</f>
        <v>15.43</v>
      </c>
      <c r="G39" s="40">
        <f>'Billing Detail'!L100</f>
        <v>16.02</v>
      </c>
      <c r="H39" s="40">
        <f t="shared" si="0"/>
        <v>0.58999999999999986</v>
      </c>
      <c r="I39" s="4">
        <f t="shared" si="1"/>
        <v>3.823720025923525E-2</v>
      </c>
    </row>
    <row r="40" spans="3:9" x14ac:dyDescent="0.2">
      <c r="D40" s="2"/>
      <c r="E40" s="2" t="s">
        <v>104</v>
      </c>
      <c r="F40" s="40">
        <f>'Billing Detail'!H102</f>
        <v>10.210000000000001</v>
      </c>
      <c r="G40" s="40">
        <f>'Billing Detail'!L102</f>
        <v>10.6</v>
      </c>
      <c r="H40" s="40">
        <f t="shared" si="0"/>
        <v>0.38999999999999879</v>
      </c>
      <c r="I40" s="4">
        <f t="shared" si="1"/>
        <v>3.8197845249755023E-2</v>
      </c>
    </row>
    <row r="41" spans="3:9" x14ac:dyDescent="0.2">
      <c r="D41" s="2"/>
      <c r="E41" s="2" t="s">
        <v>105</v>
      </c>
      <c r="F41" s="40">
        <f>'Billing Detail'!H101</f>
        <v>11.43</v>
      </c>
      <c r="G41" s="40">
        <f>'Billing Detail'!L101</f>
        <v>11.868867574791581</v>
      </c>
      <c r="H41" s="40">
        <f t="shared" si="0"/>
        <v>0.43886757479158156</v>
      </c>
      <c r="I41" s="4">
        <f t="shared" si="1"/>
        <v>3.8396113280103374E-2</v>
      </c>
    </row>
    <row r="42" spans="3:9" x14ac:dyDescent="0.2">
      <c r="D42" s="2"/>
      <c r="E42" s="2" t="s">
        <v>106</v>
      </c>
      <c r="F42" s="40">
        <f>'Billing Detail'!H103</f>
        <v>12.27</v>
      </c>
      <c r="G42" s="40">
        <f>'Billing Detail'!L103</f>
        <v>12.74</v>
      </c>
      <c r="H42" s="40">
        <f t="shared" si="0"/>
        <v>0.47000000000000064</v>
      </c>
      <c r="I42" s="4">
        <f t="shared" si="1"/>
        <v>3.8304808475957672E-2</v>
      </c>
    </row>
    <row r="43" spans="3:9" x14ac:dyDescent="0.2">
      <c r="D43" s="2"/>
      <c r="E43" s="2" t="s">
        <v>107</v>
      </c>
      <c r="F43" s="40">
        <f>'Billing Detail'!H106</f>
        <v>19.72</v>
      </c>
      <c r="G43" s="40">
        <f>'Billing Detail'!L106</f>
        <v>20.48</v>
      </c>
      <c r="H43" s="40">
        <f t="shared" si="0"/>
        <v>0.76000000000000156</v>
      </c>
      <c r="I43" s="4">
        <f t="shared" si="1"/>
        <v>3.853955375253558E-2</v>
      </c>
    </row>
    <row r="44" spans="3:9" x14ac:dyDescent="0.2">
      <c r="D44" s="2"/>
      <c r="E44" s="2" t="s">
        <v>108</v>
      </c>
      <c r="F44" s="40">
        <f>'Billing Detail'!H105</f>
        <v>19.72</v>
      </c>
      <c r="G44" s="40">
        <f>'Billing Detail'!L105</f>
        <v>20.48</v>
      </c>
      <c r="H44" s="40">
        <f t="shared" si="0"/>
        <v>0.76000000000000156</v>
      </c>
      <c r="I44" s="4">
        <f t="shared" si="1"/>
        <v>3.853955375253558E-2</v>
      </c>
    </row>
    <row r="45" spans="3:9" x14ac:dyDescent="0.2">
      <c r="D45" s="2"/>
      <c r="E45" s="2" t="s">
        <v>109</v>
      </c>
      <c r="F45" s="40">
        <f>'Billing Detail'!H107</f>
        <v>9.5500000000000007</v>
      </c>
      <c r="G45" s="40">
        <f>'Billing Detail'!L107</f>
        <v>9.92</v>
      </c>
      <c r="H45" s="40">
        <f t="shared" si="0"/>
        <v>0.36999999999999922</v>
      </c>
      <c r="I45" s="4">
        <f t="shared" si="1"/>
        <v>3.8743455497382118E-2</v>
      </c>
    </row>
    <row r="46" spans="3:9" x14ac:dyDescent="0.2">
      <c r="D46" s="2"/>
      <c r="E46" s="2" t="s">
        <v>110</v>
      </c>
      <c r="F46" s="40">
        <f>'Billing Detail'!H108</f>
        <v>16.39</v>
      </c>
      <c r="G46" s="40">
        <f>'Billing Detail'!L108</f>
        <v>17.02</v>
      </c>
      <c r="H46" s="40">
        <f t="shared" si="0"/>
        <v>0.62999999999999901</v>
      </c>
      <c r="I46" s="4">
        <f t="shared" si="1"/>
        <v>3.8438071995118915E-2</v>
      </c>
    </row>
    <row r="47" spans="3:9" x14ac:dyDescent="0.2">
      <c r="D47" s="2"/>
      <c r="E47" s="2" t="s">
        <v>111</v>
      </c>
      <c r="F47" s="40">
        <f>'Billing Detail'!H109</f>
        <v>20.2</v>
      </c>
      <c r="G47" s="40">
        <f>'Billing Detail'!L109</f>
        <v>20.98</v>
      </c>
      <c r="H47" s="40">
        <f t="shared" si="0"/>
        <v>0.78000000000000114</v>
      </c>
      <c r="I47" s="4">
        <f t="shared" si="1"/>
        <v>3.8613861386138669E-2</v>
      </c>
    </row>
    <row r="48" spans="3:9" x14ac:dyDescent="0.2">
      <c r="C48" s="10" t="str">
        <f>'Billing Detail'!C160</f>
        <v>V</v>
      </c>
      <c r="D48" s="2" t="str">
        <f>'Billing Detail'!B160</f>
        <v>Sch V - Large Power 1000-2500 kW</v>
      </c>
      <c r="F48" s="40"/>
      <c r="G48" s="40"/>
      <c r="H48" s="40"/>
      <c r="I48" s="4"/>
    </row>
    <row r="49" spans="3:9" x14ac:dyDescent="0.2">
      <c r="D49" s="2"/>
      <c r="E49" s="2" t="str">
        <f>'Billing Detail'!D161</f>
        <v>Consumer Charge</v>
      </c>
      <c r="F49" s="40">
        <f>'Billing Detail'!H161</f>
        <v>636.89</v>
      </c>
      <c r="G49" s="40">
        <f>'Billing Detail'!L161</f>
        <v>663.60138432294696</v>
      </c>
      <c r="H49" s="40">
        <f t="shared" si="0"/>
        <v>26.711384322946969</v>
      </c>
      <c r="I49" s="4">
        <f t="shared" si="1"/>
        <v>4.1940341853298008E-2</v>
      </c>
    </row>
    <row r="50" spans="3:9" x14ac:dyDescent="0.2">
      <c r="D50" s="2"/>
      <c r="E50" s="2" t="str">
        <f>'Billing Detail'!D162</f>
        <v>Demand Charge - Contract per kW</v>
      </c>
      <c r="F50" s="40">
        <f>'Billing Detail'!H162</f>
        <v>6.52</v>
      </c>
      <c r="G50" s="40">
        <f>'Billing Detail'!L162</f>
        <v>6.7934510288835028</v>
      </c>
      <c r="H50" s="40">
        <f t="shared" si="0"/>
        <v>0.27345102888350326</v>
      </c>
      <c r="I50" s="4">
        <f t="shared" si="1"/>
        <v>4.1940341853298049E-2</v>
      </c>
    </row>
    <row r="51" spans="3:9" x14ac:dyDescent="0.2">
      <c r="D51" s="2"/>
      <c r="E51" s="2" t="str">
        <f>'Billing Detail'!D163</f>
        <v>Demand Charge - Excess per kW</v>
      </c>
      <c r="F51" s="40">
        <f>'Billing Detail'!H163</f>
        <v>9.31</v>
      </c>
      <c r="G51" s="40">
        <f>'Billing Detail'!L163</f>
        <v>9.7004645826542042</v>
      </c>
      <c r="H51" s="40">
        <f t="shared" si="0"/>
        <v>0.3904645826542037</v>
      </c>
      <c r="I51" s="4">
        <f t="shared" si="1"/>
        <v>4.1940341853297924E-2</v>
      </c>
    </row>
    <row r="52" spans="3:9" x14ac:dyDescent="0.2">
      <c r="D52" s="2"/>
      <c r="E52" s="2" t="str">
        <f>'Billing Detail'!D164</f>
        <v>Energy Charge per kWh</v>
      </c>
      <c r="F52" s="41">
        <f>'Billing Detail'!H164</f>
        <v>6.5648999999999999E-2</v>
      </c>
      <c r="G52" s="41">
        <f>'Billing Detail'!L164</f>
        <v>6.8402341502327157E-2</v>
      </c>
      <c r="H52" s="41">
        <f t="shared" si="0"/>
        <v>2.7533415023271585E-3</v>
      </c>
      <c r="I52" s="4">
        <f t="shared" si="1"/>
        <v>4.1940341853297973E-2</v>
      </c>
    </row>
    <row r="53" spans="3:9" x14ac:dyDescent="0.2">
      <c r="C53" s="10" t="str">
        <f>'Billing Detail'!C165</f>
        <v>V-A</v>
      </c>
      <c r="D53" s="2" t="str">
        <f>'Billing Detail'!B165</f>
        <v xml:space="preserve">Sch V-A - Large Power </v>
      </c>
      <c r="F53" s="40"/>
      <c r="G53" s="40"/>
      <c r="H53" s="40"/>
      <c r="I53" s="4"/>
    </row>
    <row r="54" spans="3:9" x14ac:dyDescent="0.2">
      <c r="D54" s="2"/>
      <c r="E54" s="2" t="str">
        <f>'Billing Detail'!D166</f>
        <v>Consumer Charge</v>
      </c>
      <c r="F54" s="40">
        <f>'Billing Detail'!H166</f>
        <v>1272.5899999999999</v>
      </c>
      <c r="G54" s="40">
        <f>'Billing Detail'!L166</f>
        <v>1325.9628596390885</v>
      </c>
      <c r="H54" s="40">
        <f t="shared" si="0"/>
        <v>53.372859639088574</v>
      </c>
      <c r="I54" s="4">
        <f t="shared" si="1"/>
        <v>4.1940341853298056E-2</v>
      </c>
    </row>
    <row r="55" spans="3:9" x14ac:dyDescent="0.2">
      <c r="D55" s="2"/>
      <c r="E55" s="2" t="str">
        <f>'Billing Detail'!D167</f>
        <v>Demand Charge - Contract per kW</v>
      </c>
      <c r="F55" s="40">
        <f>'Billing Detail'!H167</f>
        <v>6.52</v>
      </c>
      <c r="G55" s="40">
        <f>'Billing Detail'!L167</f>
        <v>6.7934510288835028</v>
      </c>
      <c r="H55" s="40">
        <f t="shared" si="0"/>
        <v>0.27345102888350326</v>
      </c>
      <c r="I55" s="4">
        <f t="shared" si="1"/>
        <v>4.1940341853298049E-2</v>
      </c>
    </row>
    <row r="56" spans="3:9" x14ac:dyDescent="0.2">
      <c r="D56" s="2"/>
      <c r="E56" s="2" t="str">
        <f>'Billing Detail'!D168</f>
        <v>Demand Charge - Excess per kW</v>
      </c>
      <c r="F56" s="40">
        <f>'Billing Detail'!H168</f>
        <v>9.31</v>
      </c>
      <c r="G56" s="40">
        <f>'Billing Detail'!L168</f>
        <v>9.7004645826542042</v>
      </c>
      <c r="H56" s="40">
        <f t="shared" si="0"/>
        <v>0.3904645826542037</v>
      </c>
      <c r="I56" s="4">
        <f t="shared" si="1"/>
        <v>4.1940341853297924E-2</v>
      </c>
    </row>
    <row r="57" spans="3:9" x14ac:dyDescent="0.2">
      <c r="D57" s="2"/>
      <c r="E57" s="2" t="str">
        <f>'Billing Detail'!D169</f>
        <v>Energy Charge per kWh</v>
      </c>
      <c r="F57" s="41">
        <f>'Billing Detail'!H169</f>
        <v>6.5648999999999999E-2</v>
      </c>
      <c r="G57" s="41">
        <f>'Billing Detail'!L169</f>
        <v>6.8402341502327157E-2</v>
      </c>
      <c r="H57" s="41">
        <f t="shared" si="0"/>
        <v>2.7533415023271585E-3</v>
      </c>
      <c r="I57" s="4">
        <f t="shared" si="1"/>
        <v>4.1940341853297973E-2</v>
      </c>
    </row>
    <row r="58" spans="3:9" x14ac:dyDescent="0.2">
      <c r="C58" s="10" t="str">
        <f>'Billing Detail'!C132</f>
        <v>V-B</v>
      </c>
      <c r="D58" s="2" t="str">
        <f>'Billing Detail'!B132</f>
        <v xml:space="preserve">Sch V-B- Large Power </v>
      </c>
      <c r="F58" s="40"/>
      <c r="G58" s="40"/>
      <c r="H58" s="40"/>
      <c r="I58" s="4"/>
    </row>
    <row r="59" spans="3:9" x14ac:dyDescent="0.2">
      <c r="D59" s="2"/>
      <c r="E59" s="2" t="str">
        <f>'Billing Detail'!D133</f>
        <v>Consumer Charge</v>
      </c>
      <c r="F59" s="40">
        <f>'Billing Detail'!H133</f>
        <v>5726.7</v>
      </c>
      <c r="G59" s="40">
        <f>'Billing Detail'!L133</f>
        <v>6013</v>
      </c>
      <c r="H59" s="40">
        <f t="shared" ref="H59:H61" si="2">G59-F59</f>
        <v>286.30000000000018</v>
      </c>
      <c r="I59" s="4">
        <f t="shared" ref="I59:I61" si="3">H59/F59</f>
        <v>4.9993888277716697E-2</v>
      </c>
    </row>
    <row r="60" spans="3:9" x14ac:dyDescent="0.2">
      <c r="D60" s="2"/>
      <c r="E60" s="2" t="str">
        <f>'Billing Detail'!D134</f>
        <v>Demand Charge -- per kW</v>
      </c>
      <c r="F60" s="40">
        <f>'Billing Detail'!H134</f>
        <v>7.3</v>
      </c>
      <c r="G60" s="40">
        <f>'Billing Detail'!L134</f>
        <v>8.91</v>
      </c>
      <c r="H60" s="40">
        <f t="shared" si="2"/>
        <v>1.6100000000000003</v>
      </c>
      <c r="I60" s="4">
        <f t="shared" si="3"/>
        <v>0.22054794520547949</v>
      </c>
    </row>
    <row r="61" spans="3:9" x14ac:dyDescent="0.2">
      <c r="D61" s="2"/>
      <c r="E61" s="2" t="str">
        <f>'Billing Detail'!D136</f>
        <v>Energy Charge per kWh</v>
      </c>
      <c r="F61" s="117">
        <f>'Billing Detail'!H136</f>
        <v>5.1569999999999998E-2</v>
      </c>
      <c r="G61" s="117">
        <f>'Billing Detail'!L136</f>
        <v>5.6231101769846373E-2</v>
      </c>
      <c r="H61" s="41">
        <f t="shared" si="2"/>
        <v>4.661101769846375E-3</v>
      </c>
      <c r="I61" s="4">
        <f t="shared" si="3"/>
        <v>9.0383978472879101E-2</v>
      </c>
    </row>
    <row r="62" spans="3:9" x14ac:dyDescent="0.2">
      <c r="C62" s="10" t="str">
        <f>'Billing Detail'!C119</f>
        <v>V-C</v>
      </c>
      <c r="D62" s="2" t="str">
        <f>'Billing Detail'!B119</f>
        <v xml:space="preserve">Sch V-C- Large Power </v>
      </c>
      <c r="F62" s="40"/>
      <c r="G62" s="40"/>
      <c r="H62" s="40"/>
      <c r="I62" s="4"/>
    </row>
    <row r="63" spans="3:9" x14ac:dyDescent="0.2">
      <c r="D63" s="2"/>
      <c r="E63" s="2" t="str">
        <f>'Billing Detail'!D120</f>
        <v>Consumer Charge</v>
      </c>
      <c r="F63" s="40">
        <f>'Billing Detail'!H120</f>
        <v>3025.05</v>
      </c>
      <c r="G63" s="40">
        <f>'Billing Detail'!L120</f>
        <v>3249.64</v>
      </c>
      <c r="H63" s="40">
        <f t="shared" ref="H63:H65" si="4">G63-F63</f>
        <v>224.58999999999969</v>
      </c>
      <c r="I63" s="4">
        <f t="shared" ref="I63:I65" si="5">H63/F63</f>
        <v>7.424340093552162E-2</v>
      </c>
    </row>
    <row r="64" spans="3:9" x14ac:dyDescent="0.2">
      <c r="D64" s="2"/>
      <c r="E64" s="2" t="str">
        <f>'Billing Detail'!D121</f>
        <v>Demand Charge -- per kW</v>
      </c>
      <c r="F64" s="40">
        <f>'Billing Detail'!H121</f>
        <v>7.49</v>
      </c>
      <c r="G64" s="40">
        <f>'Billing Detail'!L121</f>
        <v>8.0460799999999999</v>
      </c>
      <c r="H64" s="40">
        <f t="shared" si="4"/>
        <v>0.55607999999999969</v>
      </c>
      <c r="I64" s="4">
        <f t="shared" si="5"/>
        <v>7.424299065420556E-2</v>
      </c>
    </row>
    <row r="65" spans="3:9" x14ac:dyDescent="0.2">
      <c r="D65" s="2"/>
      <c r="E65" s="2" t="str">
        <f>'Billing Detail'!D123</f>
        <v>Energy Charge per kWh</v>
      </c>
      <c r="F65" s="117">
        <f>'Billing Detail'!H123</f>
        <v>5.4674E-2</v>
      </c>
      <c r="G65" s="117">
        <f>'Billing Detail'!L123</f>
        <v>5.8729999999999997E-2</v>
      </c>
      <c r="H65" s="41">
        <f t="shared" si="4"/>
        <v>4.0559999999999971E-3</v>
      </c>
      <c r="I65" s="4">
        <f t="shared" si="5"/>
        <v>7.4185170282035279E-2</v>
      </c>
    </row>
    <row r="66" spans="3:9" x14ac:dyDescent="0.2">
      <c r="C66" s="10" t="str">
        <f>'Billing Detail'!C170</f>
        <v>P1</v>
      </c>
      <c r="D66" s="2" t="str">
        <f>'Billing Detail'!B170</f>
        <v>Sch IV - Large Power Industrial</v>
      </c>
      <c r="F66" s="40"/>
      <c r="G66" s="40"/>
      <c r="H66" s="40"/>
      <c r="I66" s="4"/>
    </row>
    <row r="67" spans="3:9" x14ac:dyDescent="0.2">
      <c r="D67" s="2"/>
      <c r="E67" s="2" t="str">
        <f>'Billing Detail'!D171</f>
        <v>Customer Charge</v>
      </c>
      <c r="F67" s="40">
        <f>'Billing Detail'!H171</f>
        <v>103.65</v>
      </c>
      <c r="G67" s="40">
        <f>'Billing Detail'!L171</f>
        <v>107.99711643309435</v>
      </c>
      <c r="H67" s="40">
        <f t="shared" si="0"/>
        <v>4.3471164330943424</v>
      </c>
      <c r="I67" s="4">
        <f t="shared" si="1"/>
        <v>4.1940341853298042E-2</v>
      </c>
    </row>
    <row r="68" spans="3:9" x14ac:dyDescent="0.2">
      <c r="D68" s="2"/>
      <c r="E68" s="2" t="str">
        <f>'Billing Detail'!D172</f>
        <v>Demand Charge per kW</v>
      </c>
      <c r="F68" s="40">
        <f>'Billing Detail'!H172</f>
        <v>6.52</v>
      </c>
      <c r="G68" s="40">
        <f>'Billing Detail'!L172</f>
        <v>6.7934510288835028</v>
      </c>
      <c r="H68" s="40">
        <f t="shared" si="0"/>
        <v>0.27345102888350326</v>
      </c>
      <c r="I68" s="4">
        <f t="shared" si="1"/>
        <v>4.1940341853298049E-2</v>
      </c>
    </row>
    <row r="69" spans="3:9" x14ac:dyDescent="0.2">
      <c r="D69" s="2"/>
      <c r="E69" s="2" t="str">
        <f>'Billing Detail'!D173</f>
        <v>Energy Charge per kWh</v>
      </c>
      <c r="F69" s="41">
        <f>'Billing Detail'!H173</f>
        <v>6.5648999999999999E-2</v>
      </c>
      <c r="G69" s="41">
        <f>'Billing Detail'!L173</f>
        <v>6.8402341502327157E-2</v>
      </c>
      <c r="H69" s="41">
        <f t="shared" si="0"/>
        <v>2.7533415023271585E-3</v>
      </c>
      <c r="I69" s="4">
        <f t="shared" si="1"/>
        <v>4.1940341853297973E-2</v>
      </c>
    </row>
    <row r="70" spans="3:9" x14ac:dyDescent="0.2">
      <c r="D70" s="3" t="str">
        <f>'Billing Detail'!B174</f>
        <v>Interruptible Service</v>
      </c>
    </row>
    <row r="71" spans="3:9" x14ac:dyDescent="0.2">
      <c r="E71" s="2" t="str">
        <f>'Billing Detail'!D175</f>
        <v>Demand Credit per kW - 200 Hrs</v>
      </c>
      <c r="F71" s="169">
        <f>'Billing Detail'!H175</f>
        <v>4.2</v>
      </c>
      <c r="G71" s="169">
        <f>'Billing Detail'!L175</f>
        <v>6.2</v>
      </c>
      <c r="H71" s="40">
        <f t="shared" ref="H71:H73" si="6">G71-F71</f>
        <v>2</v>
      </c>
      <c r="I71" s="4">
        <f t="shared" ref="I71:I73" si="7">H71/F71</f>
        <v>0.47619047619047616</v>
      </c>
    </row>
    <row r="72" spans="3:9" x14ac:dyDescent="0.2">
      <c r="E72" s="2" t="str">
        <f>'Billing Detail'!D176</f>
        <v>Demand Credit per kW - 300 Hrs</v>
      </c>
      <c r="F72" s="169">
        <f>'Billing Detail'!H176</f>
        <v>4.9000000000000004</v>
      </c>
      <c r="G72" s="169">
        <f>'Billing Detail'!L176</f>
        <v>6.9</v>
      </c>
      <c r="H72" s="40">
        <f t="shared" si="6"/>
        <v>2</v>
      </c>
      <c r="I72" s="4">
        <f t="shared" si="7"/>
        <v>0.4081632653061224</v>
      </c>
    </row>
    <row r="73" spans="3:9" x14ac:dyDescent="0.2">
      <c r="E73" s="2" t="str">
        <f>'Billing Detail'!D177</f>
        <v>Demand Credit per kW - 400 Hrs</v>
      </c>
      <c r="F73" s="169">
        <f>'Billing Detail'!H177</f>
        <v>5.6</v>
      </c>
      <c r="G73" s="169">
        <f>'Billing Detail'!L177</f>
        <v>7.6</v>
      </c>
      <c r="H73" s="40">
        <f t="shared" si="6"/>
        <v>2</v>
      </c>
      <c r="I73" s="4">
        <f t="shared" si="7"/>
        <v>0.35714285714285715</v>
      </c>
    </row>
    <row r="74" spans="3:9" x14ac:dyDescent="0.2">
      <c r="F74" s="40"/>
      <c r="G74" s="40"/>
      <c r="I74" s="40"/>
    </row>
    <row r="75" spans="3:9" x14ac:dyDescent="0.2">
      <c r="F75" s="40"/>
      <c r="G75" s="40"/>
      <c r="I75" s="40"/>
    </row>
    <row r="76" spans="3:9" x14ac:dyDescent="0.2">
      <c r="F76" s="40"/>
      <c r="G76" s="40"/>
      <c r="I76" s="40"/>
    </row>
    <row r="77" spans="3:9" ht="41.45" customHeight="1" x14ac:dyDescent="0.2">
      <c r="C77" s="172" t="s">
        <v>52</v>
      </c>
      <c r="D77" s="172"/>
      <c r="E77" s="172"/>
      <c r="F77" s="172"/>
      <c r="G77" s="172"/>
      <c r="I77" s="40"/>
    </row>
    <row r="78" spans="3:9" x14ac:dyDescent="0.2">
      <c r="D78" s="2"/>
      <c r="F78" s="173" t="s">
        <v>53</v>
      </c>
      <c r="G78" s="173"/>
      <c r="I78" s="40"/>
    </row>
    <row r="79" spans="3:9" x14ac:dyDescent="0.2">
      <c r="C79" s="57" t="s">
        <v>54</v>
      </c>
      <c r="D79" s="48"/>
      <c r="E79" s="49"/>
      <c r="F79" s="50" t="s">
        <v>55</v>
      </c>
      <c r="G79" s="50" t="s">
        <v>56</v>
      </c>
      <c r="I79" s="40"/>
    </row>
    <row r="80" spans="3:9" x14ac:dyDescent="0.2">
      <c r="C80" s="58" t="str">
        <f>Summary!C10</f>
        <v>R1</v>
      </c>
      <c r="D80" s="3" t="str">
        <f>Summary!B10</f>
        <v>Sch I - Residential, Schools &amp; Churches</v>
      </c>
      <c r="F80" s="51">
        <f>Summary!L10</f>
        <v>1238075.0460000029</v>
      </c>
      <c r="G80" s="52">
        <f>Summary!N10</f>
        <v>3.4328912836251051E-2</v>
      </c>
      <c r="I80" s="40"/>
    </row>
    <row r="81" spans="3:9" x14ac:dyDescent="0.2">
      <c r="C81" s="58" t="str">
        <f>Summary!C11</f>
        <v>TOD</v>
      </c>
      <c r="D81" s="3" t="str">
        <f>Summary!B11</f>
        <v>Sch I - Res TOD</v>
      </c>
      <c r="F81" s="51">
        <f>Summary!L11</f>
        <v>258.96906000000035</v>
      </c>
      <c r="G81" s="52">
        <f>Summary!N11</f>
        <v>3.4148888414835189E-2</v>
      </c>
      <c r="H81" s="1"/>
      <c r="I81" s="40"/>
    </row>
    <row r="82" spans="3:9" x14ac:dyDescent="0.2">
      <c r="C82" s="58" t="str">
        <f>Summary!C12</f>
        <v>C1</v>
      </c>
      <c r="D82" s="3" t="str">
        <f>Summary!B12</f>
        <v>Sch II - Small Commercial  Small Power</v>
      </c>
      <c r="F82" s="51">
        <f>Summary!L12</f>
        <v>68378.621539999847</v>
      </c>
      <c r="G82" s="52">
        <f>Summary!N12</f>
        <v>3.4324830067913627E-2</v>
      </c>
      <c r="H82" s="1"/>
      <c r="I82" s="40"/>
    </row>
    <row r="83" spans="3:9" x14ac:dyDescent="0.2">
      <c r="C83" s="58" t="str">
        <f>Summary!C13</f>
        <v>C2</v>
      </c>
      <c r="D83" s="3" t="str">
        <f>Summary!B13</f>
        <v>Sch II - Small Commercial  Small Power</v>
      </c>
      <c r="F83" s="51">
        <f>Summary!L13</f>
        <v>46117.917679509104</v>
      </c>
      <c r="G83" s="52">
        <f>Summary!N13</f>
        <v>3.4054650203431569E-2</v>
      </c>
      <c r="H83" s="1"/>
      <c r="I83" s="40"/>
    </row>
    <row r="84" spans="3:9" x14ac:dyDescent="0.2">
      <c r="C84" s="58" t="str">
        <f>Summary!C14</f>
        <v>IB</v>
      </c>
      <c r="D84" s="3" t="str">
        <f>Summary!B14</f>
        <v>Sch VII - Inclining Block Rate</v>
      </c>
      <c r="F84" s="51">
        <f>Summary!L14</f>
        <v>3939.1091699999961</v>
      </c>
      <c r="G84" s="52">
        <f>Summary!N14</f>
        <v>3.4908449479770516E-2</v>
      </c>
      <c r="H84" s="1"/>
      <c r="I84" s="40"/>
    </row>
    <row r="85" spans="3:9" x14ac:dyDescent="0.2">
      <c r="C85" s="58" t="str">
        <f>Summary!C15</f>
        <v>E1</v>
      </c>
      <c r="D85" s="3" t="str">
        <f>Summary!B15</f>
        <v>Sch III - All 3Phase Schools &amp; Churches</v>
      </c>
      <c r="F85" s="51">
        <f>Summary!L15</f>
        <v>43790.128179999941</v>
      </c>
      <c r="G85" s="52">
        <f>Summary!N15</f>
        <v>3.4425519494242419E-2</v>
      </c>
      <c r="H85" s="1"/>
      <c r="I85" s="40"/>
    </row>
    <row r="86" spans="3:9" x14ac:dyDescent="0.2">
      <c r="C86" s="58" t="str">
        <f>Summary!C16</f>
        <v>L1</v>
      </c>
      <c r="D86" s="3" t="str">
        <f>Summary!B16</f>
        <v>Sch IV-A - Large Power 50-2500 kW</v>
      </c>
      <c r="F86" s="51">
        <f>Summary!L16</f>
        <v>277844.78196071042</v>
      </c>
      <c r="G86" s="52">
        <f>Summary!N16</f>
        <v>3.4742885347498219E-2</v>
      </c>
      <c r="H86" s="1"/>
      <c r="I86" s="40"/>
    </row>
    <row r="87" spans="3:9" x14ac:dyDescent="0.2">
      <c r="C87" s="58" t="str">
        <f>Summary!C17</f>
        <v>VI</v>
      </c>
      <c r="D87" s="3" t="str">
        <f>Summary!B17</f>
        <v>Lighting</v>
      </c>
      <c r="F87" s="51">
        <f>Summary!L17</f>
        <v>68527.89000000013</v>
      </c>
      <c r="G87" s="52">
        <f>Summary!N17</f>
        <v>4.0789862152553029E-2</v>
      </c>
      <c r="H87" s="1"/>
      <c r="I87" s="40"/>
    </row>
    <row r="88" spans="3:9" x14ac:dyDescent="0.2">
      <c r="C88" s="58" t="str">
        <f>Summary!C21</f>
        <v>V-C</v>
      </c>
      <c r="D88" s="3" t="str">
        <f>Summary!B21</f>
        <v xml:space="preserve">Sch V-C- Large Power </v>
      </c>
      <c r="F88" s="51">
        <f>'Billing Detail'!N130</f>
        <v>196857.38281599991</v>
      </c>
      <c r="G88" s="52">
        <f>Summary!N21</f>
        <v>6.000103231315506E-2</v>
      </c>
      <c r="H88" s="1"/>
      <c r="I88" s="40"/>
    </row>
    <row r="89" spans="3:9" x14ac:dyDescent="0.2">
      <c r="C89" s="58" t="str">
        <f>Summary!C20</f>
        <v>V-B</v>
      </c>
      <c r="D89" s="3" t="str">
        <f>Summary!B20</f>
        <v xml:space="preserve">Sch V-B- Large Power </v>
      </c>
      <c r="F89" s="51">
        <f>'Billing Detail'!N143</f>
        <v>199524.13047999982</v>
      </c>
      <c r="G89" s="115">
        <f>Summary!N20</f>
        <v>5.3514736630193703E-2</v>
      </c>
      <c r="H89" s="1"/>
      <c r="I89" s="40"/>
    </row>
    <row r="90" spans="3:9" x14ac:dyDescent="0.2">
      <c r="C90" s="62" t="s">
        <v>57</v>
      </c>
      <c r="D90" s="19"/>
      <c r="E90" s="19"/>
      <c r="F90" s="116">
        <f>Summary!L32</f>
        <v>2143313.9768862054</v>
      </c>
      <c r="G90" s="53">
        <f>Summary!N32</f>
        <v>3.7281277894409798E-2</v>
      </c>
      <c r="I90" s="40"/>
    </row>
    <row r="91" spans="3:9" x14ac:dyDescent="0.2">
      <c r="C91" s="58"/>
      <c r="D91" s="2"/>
      <c r="F91" s="54"/>
      <c r="G91" s="55"/>
      <c r="I91" s="40"/>
    </row>
    <row r="92" spans="3:9" x14ac:dyDescent="0.2">
      <c r="D92" s="2"/>
      <c r="I92" s="40"/>
    </row>
    <row r="93" spans="3:9" ht="40.15" customHeight="1" x14ac:dyDescent="0.2">
      <c r="C93" s="172" t="s">
        <v>58</v>
      </c>
      <c r="D93" s="172"/>
      <c r="E93" s="172"/>
      <c r="F93" s="172"/>
      <c r="G93" s="172"/>
      <c r="H93" s="113"/>
      <c r="I93" s="40"/>
    </row>
    <row r="94" spans="3:9" x14ac:dyDescent="0.2">
      <c r="D94" s="2"/>
      <c r="E94" s="56" t="s">
        <v>18</v>
      </c>
      <c r="F94" s="173" t="s">
        <v>53</v>
      </c>
      <c r="G94" s="173"/>
      <c r="I94" s="40"/>
    </row>
    <row r="95" spans="3:9" x14ac:dyDescent="0.2">
      <c r="C95" s="57" t="s">
        <v>54</v>
      </c>
      <c r="D95" s="49"/>
      <c r="E95" s="57" t="s">
        <v>59</v>
      </c>
      <c r="F95" s="50" t="s">
        <v>55</v>
      </c>
      <c r="G95" s="50" t="s">
        <v>56</v>
      </c>
      <c r="I95" s="40"/>
    </row>
    <row r="96" spans="3:9" x14ac:dyDescent="0.2">
      <c r="C96" s="10" t="str">
        <f>Summary!C10</f>
        <v>R1</v>
      </c>
      <c r="D96" s="65" t="str">
        <f>Summary!B10</f>
        <v>Sch I - Residential, Schools &amp; Churches</v>
      </c>
      <c r="E96" s="59">
        <f>'Billing Detail'!E17</f>
        <v>994.66784188984786</v>
      </c>
      <c r="F96" s="40">
        <f>'Billing Detail'!N17</f>
        <v>4.5899510855058452</v>
      </c>
      <c r="G96" s="4">
        <f>Summary!N10</f>
        <v>3.4328912836251051E-2</v>
      </c>
      <c r="I96" s="40"/>
    </row>
    <row r="97" spans="3:9" x14ac:dyDescent="0.2">
      <c r="C97" s="10" t="str">
        <f>Summary!C11</f>
        <v>TOD</v>
      </c>
      <c r="D97" s="65" t="str">
        <f>Summary!B11</f>
        <v>Sch I - Res TOD</v>
      </c>
      <c r="E97" s="60">
        <f>'Billing Detail'!E30</f>
        <v>486.18627450980392</v>
      </c>
      <c r="F97" s="40">
        <f>'Billing Detail'!N30</f>
        <v>2.5389123529411819</v>
      </c>
      <c r="G97" s="4">
        <f>Summary!N11</f>
        <v>3.4148888414835189E-2</v>
      </c>
      <c r="I97" s="40"/>
    </row>
    <row r="98" spans="3:9" x14ac:dyDescent="0.2">
      <c r="C98" s="10" t="str">
        <f>Summary!C12</f>
        <v>C1</v>
      </c>
      <c r="D98" s="65" t="str">
        <f>Summary!B12</f>
        <v>Sch II - Small Commercial  Small Power</v>
      </c>
      <c r="E98" s="59">
        <f>'Billing Detail'!E43</f>
        <v>946.27941080623089</v>
      </c>
      <c r="F98" s="40">
        <f>'Billing Detail'!N43</f>
        <v>4.4566656807664629</v>
      </c>
      <c r="G98" s="4">
        <f>Summary!N12</f>
        <v>3.4324830067913627E-2</v>
      </c>
      <c r="I98" s="40"/>
    </row>
    <row r="99" spans="3:9" x14ac:dyDescent="0.2">
      <c r="C99" s="10" t="str">
        <f>Summary!C13</f>
        <v>C2</v>
      </c>
      <c r="D99" s="65" t="str">
        <f>Summary!B13</f>
        <v>Sch II - Small Commercial  Small Power</v>
      </c>
      <c r="E99" s="59">
        <f>'Billing Detail'!E57</f>
        <v>4748.7591418820084</v>
      </c>
      <c r="F99" s="40">
        <f>'Billing Detail'!N57</f>
        <v>22.485576635548114</v>
      </c>
      <c r="G99" s="4">
        <f>Summary!N13</f>
        <v>3.4054650203431569E-2</v>
      </c>
      <c r="I99" s="40"/>
    </row>
    <row r="100" spans="3:9" x14ac:dyDescent="0.2">
      <c r="C100" s="10" t="str">
        <f>Summary!C14</f>
        <v>IB</v>
      </c>
      <c r="D100" s="65" t="str">
        <f>Summary!B14</f>
        <v>Sch VII - Inclining Block Rate</v>
      </c>
      <c r="E100" s="59">
        <f>'Billing Detail'!E71</f>
        <v>282.41619748809006</v>
      </c>
      <c r="F100" s="40">
        <f>'Billing Detail'!N71</f>
        <v>1.7059805846686871</v>
      </c>
      <c r="G100" s="4">
        <f>Summary!N14</f>
        <v>3.4908449479770516E-2</v>
      </c>
      <c r="I100" s="40"/>
    </row>
    <row r="101" spans="3:9" x14ac:dyDescent="0.2">
      <c r="C101" s="10" t="str">
        <f>Summary!C15</f>
        <v>E1</v>
      </c>
      <c r="D101" s="65" t="str">
        <f>Summary!B15</f>
        <v>Sch III - All 3Phase Schools &amp; Churches</v>
      </c>
      <c r="E101" s="59">
        <f>'Billing Detail'!E83</f>
        <v>21859.386524822694</v>
      </c>
      <c r="F101" s="40">
        <f>'Billing Detail'!N83</f>
        <v>77.642071241134545</v>
      </c>
      <c r="G101" s="4">
        <f>Summary!N15</f>
        <v>3.4425519494242419E-2</v>
      </c>
      <c r="I101" s="40"/>
    </row>
    <row r="102" spans="3:9" x14ac:dyDescent="0.2">
      <c r="C102" s="10" t="str">
        <f>Summary!C16</f>
        <v>L1</v>
      </c>
      <c r="D102" s="65" t="str">
        <f>Summary!B16</f>
        <v>Sch IV-A - Large Power 50-2500 kW</v>
      </c>
      <c r="E102" s="59">
        <f>'Billing Detail'!E96</f>
        <v>105040.92527173914</v>
      </c>
      <c r="F102" s="40">
        <f>'Billing Detail'!N96</f>
        <v>377.5064972292239</v>
      </c>
      <c r="G102" s="4">
        <f>Summary!N16</f>
        <v>3.4742885347498219E-2</v>
      </c>
      <c r="I102" s="40"/>
    </row>
    <row r="103" spans="3:9" x14ac:dyDescent="0.2">
      <c r="C103" s="10" t="str">
        <f>Summary!C17</f>
        <v>VI</v>
      </c>
      <c r="D103" s="65" t="str">
        <f>Summary!B17</f>
        <v>Lighting</v>
      </c>
      <c r="E103" s="60" t="s">
        <v>60</v>
      </c>
      <c r="F103" s="70" t="s">
        <v>60</v>
      </c>
      <c r="G103" s="4">
        <f>Summary!N17</f>
        <v>4.0789862152553029E-2</v>
      </c>
      <c r="I103" s="40"/>
    </row>
    <row r="104" spans="3:9" x14ac:dyDescent="0.2">
      <c r="C104" s="10" t="str">
        <f>Summary!C21</f>
        <v>V-C</v>
      </c>
      <c r="D104" s="65" t="str">
        <f>Summary!B21</f>
        <v xml:space="preserve">Sch V-C- Large Power </v>
      </c>
      <c r="E104" s="114">
        <f>'Billing Detail'!E131</f>
        <v>3606233</v>
      </c>
      <c r="F104" s="40">
        <f>'Billing Detail'!N131</f>
        <v>16404.781901333365</v>
      </c>
      <c r="G104" s="4">
        <f>Summary!N21</f>
        <v>6.000103231315506E-2</v>
      </c>
      <c r="I104" s="40"/>
    </row>
    <row r="105" spans="3:9" x14ac:dyDescent="0.2">
      <c r="C105" s="10" t="str">
        <f>Summary!C20</f>
        <v>V-B</v>
      </c>
      <c r="D105" s="3" t="str">
        <f>Summary!B20</f>
        <v xml:space="preserve">Sch V-B- Large Power </v>
      </c>
      <c r="E105" s="114">
        <f>'Billing Detail'!E144</f>
        <v>4080732.7993527516</v>
      </c>
      <c r="F105" s="40">
        <f>'Billing Detail'!N144</f>
        <v>16627.010873333318</v>
      </c>
      <c r="G105" s="4">
        <f>'Billing Detail'!O144</f>
        <v>5.3514736630193703E-2</v>
      </c>
      <c r="I105" s="40"/>
    </row>
    <row r="106" spans="3:9" x14ac:dyDescent="0.2">
      <c r="I106" s="40"/>
    </row>
    <row r="107" spans="3:9" x14ac:dyDescent="0.2">
      <c r="I107" s="40"/>
    </row>
    <row r="108" spans="3:9" x14ac:dyDescent="0.2">
      <c r="I108" s="40"/>
    </row>
    <row r="109" spans="3:9" x14ac:dyDescent="0.2">
      <c r="I109" s="40"/>
    </row>
    <row r="110" spans="3:9" x14ac:dyDescent="0.2">
      <c r="I110" s="40"/>
    </row>
  </sheetData>
  <mergeCells count="4">
    <mergeCell ref="C77:G77"/>
    <mergeCell ref="F78:G78"/>
    <mergeCell ref="F94:G94"/>
    <mergeCell ref="C93:G93"/>
  </mergeCells>
  <printOptions horizontalCentered="1"/>
  <pageMargins left="0.7" right="0.7" top="0.75" bottom="0.75" header="0.3" footer="0.3"/>
  <pageSetup paperSize="9" scale="80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2025-07-29T20:36:33Z</cp:lastPrinted>
  <dcterms:created xsi:type="dcterms:W3CDTF">2021-02-09T02:13:44Z</dcterms:created>
  <dcterms:modified xsi:type="dcterms:W3CDTF">2025-12-04T17:40:17Z</dcterms:modified>
</cp:coreProperties>
</file>