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Owen/Analysis/"/>
    </mc:Choice>
  </mc:AlternateContent>
  <xr:revisionPtr revIDLastSave="8" documentId="8_{68198A02-1C56-4344-9C1A-8090895BD0AE}" xr6:coauthVersionLast="47" xr6:coauthVersionMax="47" xr10:uidLastSave="{15A3C0F7-9EF0-42B4-B3BC-7621FC7E96E0}"/>
  <bookViews>
    <workbookView xWindow="-108" yWindow="-108" windowWidth="23256" windowHeight="12456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Detail'!$A$1:$R$390</definedName>
    <definedName name="_xlnm.Print_Area" localSheetId="2">'Notice Table'!$A$1:$G$130</definedName>
    <definedName name="_xlnm.Print_Area" localSheetId="0">Summary!$A$1:$O$50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1" i="3" l="1"/>
  <c r="C181" i="3"/>
  <c r="G156" i="3"/>
  <c r="F156" i="3"/>
  <c r="C156" i="3"/>
  <c r="L381" i="1"/>
  <c r="L380" i="1"/>
  <c r="L379" i="1"/>
  <c r="L378" i="1"/>
  <c r="T379" i="1"/>
  <c r="T380" i="1"/>
  <c r="T381" i="1"/>
  <c r="T378" i="1"/>
  <c r="L373" i="1"/>
  <c r="L374" i="1"/>
  <c r="L375" i="1"/>
  <c r="L372" i="1"/>
  <c r="T373" i="1"/>
  <c r="T374" i="1"/>
  <c r="T375" i="1"/>
  <c r="T372" i="1"/>
  <c r="L367" i="1"/>
  <c r="L368" i="1"/>
  <c r="L369" i="1"/>
  <c r="L366" i="1"/>
  <c r="V117" i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L6" i="2"/>
  <c r="L7" i="2" s="1"/>
  <c r="I245" i="1" l="1"/>
  <c r="G245" i="1"/>
  <c r="J214" i="1"/>
  <c r="J210" i="1"/>
  <c r="J211" i="1"/>
  <c r="J212" i="1"/>
  <c r="J213" i="1"/>
  <c r="I214" i="1"/>
  <c r="G214" i="1"/>
  <c r="G219" i="1" l="1"/>
  <c r="L48" i="2" l="1"/>
  <c r="Q4" i="2"/>
  <c r="G354" i="1"/>
  <c r="I134" i="1"/>
  <c r="N333" i="1" l="1"/>
  <c r="M335" i="1"/>
  <c r="M334" i="1"/>
  <c r="M333" i="1"/>
  <c r="I337" i="1"/>
  <c r="I336" i="1"/>
  <c r="I335" i="1"/>
  <c r="I334" i="1"/>
  <c r="I333" i="1"/>
  <c r="O333" i="1" s="1"/>
  <c r="E252" i="1"/>
  <c r="I246" i="1"/>
  <c r="I247" i="1"/>
  <c r="G250" i="1"/>
  <c r="G95" i="1" l="1"/>
  <c r="I91" i="1"/>
  <c r="G339" i="1" l="1"/>
  <c r="G338" i="1"/>
  <c r="I338" i="1" s="1"/>
  <c r="M338" i="1" l="1"/>
  <c r="I78" i="1"/>
  <c r="I64" i="1"/>
  <c r="I9" i="1" l="1"/>
  <c r="I8" i="1"/>
  <c r="F112" i="3" l="1"/>
  <c r="F113" i="3"/>
  <c r="F117" i="3"/>
  <c r="F118" i="3"/>
  <c r="F122" i="3"/>
  <c r="F123" i="3"/>
  <c r="F127" i="3"/>
  <c r="F128" i="3"/>
  <c r="E395" i="1" l="1"/>
  <c r="E396" i="1" s="1"/>
  <c r="E397" i="1" s="1"/>
  <c r="I339" i="1"/>
  <c r="N338" i="1" l="1"/>
  <c r="O338" i="1" s="1"/>
  <c r="M339" i="1"/>
  <c r="N339" i="1" s="1"/>
  <c r="O339" i="1" s="1"/>
  <c r="I230" i="1" l="1"/>
  <c r="I215" i="1"/>
  <c r="H241" i="1"/>
  <c r="H242" i="1" s="1"/>
  <c r="H243" i="1" s="1"/>
  <c r="H240" i="1"/>
  <c r="I240" i="1" s="1"/>
  <c r="H239" i="1"/>
  <c r="I239" i="1" s="1"/>
  <c r="H225" i="1"/>
  <c r="H226" i="1" s="1"/>
  <c r="H227" i="1" s="1"/>
  <c r="H228" i="1" s="1"/>
  <c r="H224" i="1"/>
  <c r="H210" i="1"/>
  <c r="H211" i="1" s="1"/>
  <c r="H212" i="1" s="1"/>
  <c r="H209" i="1"/>
  <c r="F243" i="1"/>
  <c r="F244" i="1" s="1"/>
  <c r="G244" i="1" s="1"/>
  <c r="F212" i="1"/>
  <c r="F213" i="1" s="1"/>
  <c r="G213" i="1" s="1"/>
  <c r="G243" i="1"/>
  <c r="H88" i="1"/>
  <c r="H89" i="1" s="1"/>
  <c r="F88" i="1"/>
  <c r="F89" i="1" s="1"/>
  <c r="G89" i="1" s="1"/>
  <c r="D8" i="3"/>
  <c r="F9" i="3"/>
  <c r="E9" i="3"/>
  <c r="H269" i="1"/>
  <c r="H271" i="1"/>
  <c r="H272" i="1"/>
  <c r="H270" i="1"/>
  <c r="H268" i="1"/>
  <c r="F256" i="1"/>
  <c r="F255" i="1"/>
  <c r="G255" i="1" s="1"/>
  <c r="H256" i="1"/>
  <c r="H255" i="1"/>
  <c r="E280" i="1"/>
  <c r="H158" i="1"/>
  <c r="H157" i="1"/>
  <c r="H156" i="1"/>
  <c r="H61" i="1"/>
  <c r="H60" i="1"/>
  <c r="H59" i="1"/>
  <c r="I274" i="1"/>
  <c r="I259" i="1"/>
  <c r="I200" i="1"/>
  <c r="I186" i="1"/>
  <c r="I173" i="1"/>
  <c r="I160" i="1"/>
  <c r="I147" i="1"/>
  <c r="I121" i="1"/>
  <c r="I105" i="1"/>
  <c r="I50" i="1"/>
  <c r="I37" i="1"/>
  <c r="I25" i="1"/>
  <c r="I11" i="1"/>
  <c r="N357" i="1"/>
  <c r="G355" i="1"/>
  <c r="I346" i="1"/>
  <c r="I344" i="1"/>
  <c r="M344" i="1" s="1"/>
  <c r="I343" i="1"/>
  <c r="I328" i="1"/>
  <c r="I327" i="1"/>
  <c r="I326" i="1"/>
  <c r="I325" i="1"/>
  <c r="I277" i="1"/>
  <c r="I276" i="1"/>
  <c r="I275" i="1"/>
  <c r="I262" i="1"/>
  <c r="I261" i="1"/>
  <c r="I260" i="1"/>
  <c r="I249" i="1"/>
  <c r="I248" i="1"/>
  <c r="I250" i="1" s="1"/>
  <c r="I233" i="1"/>
  <c r="I232" i="1"/>
  <c r="I231" i="1"/>
  <c r="I218" i="1"/>
  <c r="I217" i="1"/>
  <c r="I216" i="1"/>
  <c r="I203" i="1"/>
  <c r="I202" i="1"/>
  <c r="I201" i="1"/>
  <c r="I189" i="1"/>
  <c r="I188" i="1"/>
  <c r="I187" i="1"/>
  <c r="I176" i="1"/>
  <c r="I175" i="1"/>
  <c r="I174" i="1"/>
  <c r="I163" i="1"/>
  <c r="I162" i="1"/>
  <c r="I161" i="1"/>
  <c r="I150" i="1"/>
  <c r="I149" i="1"/>
  <c r="I148" i="1"/>
  <c r="I137" i="1"/>
  <c r="I136" i="1"/>
  <c r="I135" i="1"/>
  <c r="I124" i="1"/>
  <c r="I123" i="1"/>
  <c r="I122" i="1"/>
  <c r="I108" i="1"/>
  <c r="I107" i="1"/>
  <c r="I106" i="1"/>
  <c r="I94" i="1"/>
  <c r="I93" i="1"/>
  <c r="I92" i="1"/>
  <c r="I80" i="1"/>
  <c r="I79" i="1"/>
  <c r="I66" i="1"/>
  <c r="I65" i="1"/>
  <c r="I53" i="1"/>
  <c r="I52" i="1"/>
  <c r="I51" i="1"/>
  <c r="I40" i="1"/>
  <c r="I39" i="1"/>
  <c r="I38" i="1"/>
  <c r="I28" i="1"/>
  <c r="I27" i="1"/>
  <c r="I26" i="1"/>
  <c r="I14" i="1"/>
  <c r="I13" i="1"/>
  <c r="I12" i="1"/>
  <c r="G345" i="1"/>
  <c r="I345" i="1" s="1"/>
  <c r="G81" i="1"/>
  <c r="I81" i="1" s="1"/>
  <c r="C27" i="2"/>
  <c r="B27" i="2"/>
  <c r="H10" i="3"/>
  <c r="I219" i="1" l="1"/>
  <c r="I95" i="1"/>
  <c r="G212" i="1"/>
  <c r="H244" i="1"/>
  <c r="I244" i="1" s="1"/>
  <c r="I243" i="1"/>
  <c r="H213" i="1"/>
  <c r="I213" i="1" s="1"/>
  <c r="I212" i="1"/>
  <c r="I355" i="1"/>
  <c r="I356" i="1"/>
  <c r="I357" i="1"/>
  <c r="G357" i="1"/>
  <c r="G356" i="1"/>
  <c r="I255" i="1"/>
  <c r="F6" i="3" l="1"/>
  <c r="E340" i="1"/>
  <c r="G340" i="1" s="1"/>
  <c r="E265" i="1"/>
  <c r="I89" i="1"/>
  <c r="G87" i="1"/>
  <c r="I87" i="1"/>
  <c r="M275" i="1"/>
  <c r="N275" i="1" s="1"/>
  <c r="I268" i="1"/>
  <c r="I272" i="1"/>
  <c r="G272" i="1"/>
  <c r="I271" i="1"/>
  <c r="G271" i="1"/>
  <c r="I270" i="1"/>
  <c r="G270" i="1"/>
  <c r="G278" i="1"/>
  <c r="M277" i="1"/>
  <c r="M276" i="1"/>
  <c r="N276" i="1" s="1"/>
  <c r="I278" i="1"/>
  <c r="I269" i="1"/>
  <c r="G269" i="1"/>
  <c r="G268" i="1"/>
  <c r="G273" i="1" s="1"/>
  <c r="O87" i="1" l="1"/>
  <c r="I273" i="1"/>
  <c r="M274" i="1"/>
  <c r="M278" i="1" s="1"/>
  <c r="N278" i="1" s="1"/>
  <c r="J271" i="1" l="1"/>
  <c r="E27" i="2"/>
  <c r="G27" i="2" s="1"/>
  <c r="G279" i="1"/>
  <c r="G280" i="1" s="1"/>
  <c r="D27" i="2"/>
  <c r="N274" i="1"/>
  <c r="J270" i="1"/>
  <c r="J272" i="1"/>
  <c r="J269" i="1"/>
  <c r="J268" i="1"/>
  <c r="I279" i="1"/>
  <c r="I280" i="1" s="1"/>
  <c r="J273" i="1" l="1"/>
  <c r="B32" i="2" l="1"/>
  <c r="A11" i="2"/>
  <c r="A12" i="2" s="1"/>
  <c r="A13" i="2" s="1"/>
  <c r="A14" i="2" s="1"/>
  <c r="A1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Q388" i="1" l="1"/>
  <c r="I388" i="1"/>
  <c r="N388" i="1" s="1"/>
  <c r="F388" i="1"/>
  <c r="G388" i="1" s="1"/>
  <c r="Q387" i="1"/>
  <c r="I387" i="1"/>
  <c r="N387" i="1" s="1"/>
  <c r="F387" i="1"/>
  <c r="G387" i="1" s="1"/>
  <c r="Q386" i="1"/>
  <c r="I386" i="1"/>
  <c r="N386" i="1" s="1"/>
  <c r="G386" i="1"/>
  <c r="Q385" i="1"/>
  <c r="I385" i="1"/>
  <c r="O385" i="1" s="1"/>
  <c r="G385" i="1"/>
  <c r="Q384" i="1"/>
  <c r="I384" i="1"/>
  <c r="O384" i="1" s="1"/>
  <c r="F384" i="1"/>
  <c r="G384" i="1" s="1"/>
  <c r="Q381" i="1"/>
  <c r="I381" i="1"/>
  <c r="O381" i="1" s="1"/>
  <c r="G381" i="1"/>
  <c r="D381" i="1"/>
  <c r="Q380" i="1"/>
  <c r="I380" i="1"/>
  <c r="N380" i="1" s="1"/>
  <c r="G380" i="1"/>
  <c r="D380" i="1"/>
  <c r="Q379" i="1"/>
  <c r="I379" i="1"/>
  <c r="N379" i="1" s="1"/>
  <c r="G379" i="1"/>
  <c r="D379" i="1"/>
  <c r="Q378" i="1"/>
  <c r="I378" i="1"/>
  <c r="O378" i="1" s="1"/>
  <c r="F378" i="1"/>
  <c r="G378" i="1" s="1"/>
  <c r="D378" i="1"/>
  <c r="Q375" i="1"/>
  <c r="I375" i="1"/>
  <c r="Q374" i="1"/>
  <c r="I374" i="1"/>
  <c r="N374" i="1" s="1"/>
  <c r="G374" i="1"/>
  <c r="Q373" i="1"/>
  <c r="I373" i="1"/>
  <c r="O373" i="1" s="1"/>
  <c r="G373" i="1"/>
  <c r="Q372" i="1"/>
  <c r="I372" i="1"/>
  <c r="N372" i="1" s="1"/>
  <c r="F372" i="1"/>
  <c r="G372" i="1" s="1"/>
  <c r="Q369" i="1"/>
  <c r="I369" i="1"/>
  <c r="O369" i="1" s="1"/>
  <c r="G369" i="1"/>
  <c r="Q368" i="1"/>
  <c r="I368" i="1"/>
  <c r="O368" i="1" s="1"/>
  <c r="G368" i="1"/>
  <c r="Q367" i="1"/>
  <c r="I367" i="1"/>
  <c r="O367" i="1" s="1"/>
  <c r="G367" i="1"/>
  <c r="Q366" i="1"/>
  <c r="I366" i="1"/>
  <c r="O366" i="1" s="1"/>
  <c r="G366" i="1"/>
  <c r="E108" i="3"/>
  <c r="E109" i="3"/>
  <c r="F109" i="3"/>
  <c r="N373" i="1" l="1"/>
  <c r="N369" i="1"/>
  <c r="O379" i="1"/>
  <c r="N385" i="1"/>
  <c r="O388" i="1"/>
  <c r="O380" i="1"/>
  <c r="N384" i="1"/>
  <c r="O386" i="1"/>
  <c r="O372" i="1"/>
  <c r="O374" i="1"/>
  <c r="N378" i="1"/>
  <c r="F375" i="1"/>
  <c r="G375" i="1" s="1"/>
  <c r="N381" i="1"/>
  <c r="O387" i="1"/>
  <c r="N375" i="1"/>
  <c r="O375" i="1"/>
  <c r="N367" i="1"/>
  <c r="N366" i="1"/>
  <c r="N368" i="1"/>
  <c r="E88" i="3" l="1"/>
  <c r="F72" i="3" l="1"/>
  <c r="F73" i="3"/>
  <c r="F74" i="3"/>
  <c r="F76" i="3"/>
  <c r="F77" i="3"/>
  <c r="F78" i="3"/>
  <c r="F79" i="3"/>
  <c r="F80" i="3"/>
  <c r="F81" i="3"/>
  <c r="F82" i="3"/>
  <c r="F83" i="3"/>
  <c r="F84" i="3"/>
  <c r="F85" i="3"/>
  <c r="F86" i="3"/>
  <c r="F87" i="3"/>
  <c r="F89" i="3"/>
  <c r="F90" i="3"/>
  <c r="F91" i="3"/>
  <c r="F92" i="3"/>
  <c r="F93" i="3"/>
  <c r="F94" i="3"/>
  <c r="F95" i="3"/>
  <c r="F96" i="3"/>
  <c r="F97" i="3"/>
  <c r="F98" i="3"/>
  <c r="F99" i="3"/>
  <c r="F100" i="3"/>
  <c r="F102" i="3"/>
  <c r="F103" i="3"/>
  <c r="F104" i="3"/>
  <c r="F105" i="3"/>
  <c r="F106" i="3"/>
  <c r="F107" i="3"/>
  <c r="F71" i="3"/>
  <c r="F29" i="3" l="1"/>
  <c r="F30" i="3"/>
  <c r="F31" i="3"/>
  <c r="F32" i="3"/>
  <c r="F34" i="3"/>
  <c r="F35" i="3"/>
  <c r="F36" i="3"/>
  <c r="F37" i="3"/>
  <c r="F38" i="3"/>
  <c r="F40" i="3"/>
  <c r="F41" i="3"/>
  <c r="F42" i="3"/>
  <c r="F44" i="3"/>
  <c r="F45" i="3"/>
  <c r="F46" i="3"/>
  <c r="F48" i="3"/>
  <c r="F49" i="3"/>
  <c r="F50" i="3"/>
  <c r="F52" i="3"/>
  <c r="F53" i="3"/>
  <c r="F54" i="3"/>
  <c r="F56" i="3"/>
  <c r="F57" i="3"/>
  <c r="F58" i="3"/>
  <c r="F59" i="3"/>
  <c r="F61" i="3"/>
  <c r="G61" i="3"/>
  <c r="F62" i="3"/>
  <c r="G62" i="3"/>
  <c r="F63" i="3"/>
  <c r="G63" i="3"/>
  <c r="F64" i="3"/>
  <c r="F65" i="3"/>
  <c r="F111" i="3"/>
  <c r="F114" i="3"/>
  <c r="F116" i="3"/>
  <c r="F119" i="3"/>
  <c r="F121" i="3"/>
  <c r="F124" i="3"/>
  <c r="F126" i="3"/>
  <c r="F129" i="3"/>
  <c r="F130" i="3"/>
  <c r="E127" i="3"/>
  <c r="E128" i="3"/>
  <c r="E129" i="3"/>
  <c r="E130" i="3"/>
  <c r="E126" i="3"/>
  <c r="C125" i="3"/>
  <c r="D125" i="3"/>
  <c r="E122" i="3"/>
  <c r="E123" i="3"/>
  <c r="E124" i="3"/>
  <c r="E121" i="3"/>
  <c r="D120" i="3"/>
  <c r="C120" i="3"/>
  <c r="E117" i="3"/>
  <c r="E118" i="3"/>
  <c r="E119" i="3"/>
  <c r="E116" i="3"/>
  <c r="D115" i="3"/>
  <c r="C115" i="3"/>
  <c r="E112" i="3"/>
  <c r="E113" i="3"/>
  <c r="E114" i="3"/>
  <c r="E111" i="3"/>
  <c r="C110" i="3"/>
  <c r="D110" i="3"/>
  <c r="D71" i="3"/>
  <c r="D72" i="3"/>
  <c r="D73" i="3"/>
  <c r="D74" i="3"/>
  <c r="D76" i="3"/>
  <c r="D77" i="3"/>
  <c r="D78" i="3"/>
  <c r="D79" i="3"/>
  <c r="D80" i="3"/>
  <c r="D81" i="3"/>
  <c r="D82" i="3"/>
  <c r="D83" i="3"/>
  <c r="D84" i="3"/>
  <c r="D85" i="3"/>
  <c r="D86" i="3"/>
  <c r="D87" i="3"/>
  <c r="D89" i="3"/>
  <c r="D90" i="3"/>
  <c r="D91" i="3"/>
  <c r="D92" i="3"/>
  <c r="D93" i="3"/>
  <c r="D94" i="3"/>
  <c r="D95" i="3"/>
  <c r="D96" i="3"/>
  <c r="D97" i="3"/>
  <c r="D98" i="3"/>
  <c r="D99" i="3"/>
  <c r="D100" i="3"/>
  <c r="D102" i="3"/>
  <c r="D103" i="3"/>
  <c r="D104" i="3"/>
  <c r="D105" i="3"/>
  <c r="D106" i="3"/>
  <c r="D107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69" i="3"/>
  <c r="C68" i="3"/>
  <c r="D68" i="3"/>
  <c r="E62" i="3"/>
  <c r="E63" i="3"/>
  <c r="E64" i="3"/>
  <c r="E65" i="3"/>
  <c r="E66" i="3"/>
  <c r="E67" i="3"/>
  <c r="E61" i="3"/>
  <c r="E57" i="3"/>
  <c r="E58" i="3"/>
  <c r="E59" i="3"/>
  <c r="E56" i="3"/>
  <c r="D55" i="3"/>
  <c r="C55" i="3"/>
  <c r="E53" i="3"/>
  <c r="E54" i="3"/>
  <c r="E52" i="3"/>
  <c r="D51" i="3"/>
  <c r="C51" i="3"/>
  <c r="E49" i="3"/>
  <c r="E50" i="3"/>
  <c r="E48" i="3"/>
  <c r="D47" i="3"/>
  <c r="C47" i="3"/>
  <c r="E45" i="3"/>
  <c r="E46" i="3"/>
  <c r="E44" i="3"/>
  <c r="D43" i="3"/>
  <c r="C43" i="3"/>
  <c r="E41" i="3"/>
  <c r="E42" i="3"/>
  <c r="E40" i="3"/>
  <c r="D39" i="3"/>
  <c r="C39" i="3"/>
  <c r="E35" i="3"/>
  <c r="E36" i="3"/>
  <c r="E37" i="3"/>
  <c r="E38" i="3"/>
  <c r="E34" i="3"/>
  <c r="D33" i="3"/>
  <c r="C33" i="3"/>
  <c r="E30" i="3"/>
  <c r="E31" i="3"/>
  <c r="E32" i="3"/>
  <c r="E29" i="3"/>
  <c r="D28" i="3"/>
  <c r="C28" i="3"/>
  <c r="F23" i="3"/>
  <c r="F24" i="3"/>
  <c r="F25" i="3"/>
  <c r="F26" i="3"/>
  <c r="F27" i="3"/>
  <c r="H63" i="3" l="1"/>
  <c r="I63" i="3" s="1"/>
  <c r="H62" i="3"/>
  <c r="I62" i="3" s="1"/>
  <c r="H61" i="3"/>
  <c r="I61" i="3" s="1"/>
  <c r="E24" i="3"/>
  <c r="E25" i="3"/>
  <c r="E26" i="3"/>
  <c r="E27" i="3"/>
  <c r="E23" i="3"/>
  <c r="C22" i="3"/>
  <c r="D22" i="3"/>
  <c r="F11" i="3"/>
  <c r="F12" i="3"/>
  <c r="F13" i="3"/>
  <c r="F14" i="3"/>
  <c r="F16" i="3"/>
  <c r="F17" i="3"/>
  <c r="F19" i="3"/>
  <c r="F20" i="3"/>
  <c r="F21" i="3"/>
  <c r="E20" i="3"/>
  <c r="E21" i="3"/>
  <c r="E19" i="3"/>
  <c r="C18" i="3"/>
  <c r="D18" i="3"/>
  <c r="E17" i="3"/>
  <c r="E16" i="3"/>
  <c r="C15" i="3"/>
  <c r="D15" i="3"/>
  <c r="E12" i="3"/>
  <c r="E13" i="3"/>
  <c r="E14" i="3"/>
  <c r="F7" i="3"/>
  <c r="E11" i="3"/>
  <c r="C10" i="3"/>
  <c r="C5" i="3"/>
  <c r="D10" i="3"/>
  <c r="M343" i="1"/>
  <c r="F67" i="3"/>
  <c r="F66" i="3"/>
  <c r="E341" i="1"/>
  <c r="G341" i="1" s="1"/>
  <c r="L337" i="1"/>
  <c r="M337" i="1" s="1"/>
  <c r="G337" i="1"/>
  <c r="L336" i="1"/>
  <c r="M336" i="1" s="1"/>
  <c r="G336" i="1"/>
  <c r="N337" i="1" l="1"/>
  <c r="O337" i="1" s="1"/>
  <c r="G65" i="3"/>
  <c r="H65" i="3" s="1"/>
  <c r="I65" i="3" s="1"/>
  <c r="N336" i="1"/>
  <c r="O336" i="1" s="1"/>
  <c r="G64" i="3"/>
  <c r="H64" i="3" s="1"/>
  <c r="I64" i="3" s="1"/>
  <c r="T337" i="1"/>
  <c r="T336" i="1"/>
  <c r="I226" i="1" l="1"/>
  <c r="G226" i="1"/>
  <c r="I225" i="1"/>
  <c r="G225" i="1"/>
  <c r="H119" i="1"/>
  <c r="I118" i="1"/>
  <c r="G118" i="1"/>
  <c r="I117" i="1"/>
  <c r="G117" i="1"/>
  <c r="L119" i="1" l="1"/>
  <c r="E349" i="1"/>
  <c r="E179" i="3"/>
  <c r="E178" i="3"/>
  <c r="E236" i="1"/>
  <c r="E177" i="3" s="1"/>
  <c r="E221" i="1"/>
  <c r="E176" i="3" s="1"/>
  <c r="E206" i="1"/>
  <c r="E175" i="3" s="1"/>
  <c r="E192" i="1"/>
  <c r="E174" i="3" s="1"/>
  <c r="E179" i="1"/>
  <c r="E173" i="3" s="1"/>
  <c r="E166" i="1"/>
  <c r="E172" i="3" s="1"/>
  <c r="E153" i="1"/>
  <c r="E171" i="3" s="1"/>
  <c r="E140" i="1"/>
  <c r="E170" i="3" s="1"/>
  <c r="E127" i="1"/>
  <c r="E169" i="3" s="1"/>
  <c r="E111" i="1"/>
  <c r="E168" i="3" s="1"/>
  <c r="E84" i="1"/>
  <c r="E166" i="3" s="1"/>
  <c r="E69" i="1"/>
  <c r="E165" i="3" s="1"/>
  <c r="E56" i="1"/>
  <c r="E164" i="3" s="1"/>
  <c r="E167" i="3"/>
  <c r="E43" i="1"/>
  <c r="E163" i="3" s="1"/>
  <c r="E31" i="1"/>
  <c r="E162" i="3" s="1"/>
  <c r="E17" i="1"/>
  <c r="E161" i="3" s="1"/>
  <c r="L257" i="1" l="1"/>
  <c r="G333" i="1"/>
  <c r="G256" i="1"/>
  <c r="G88" i="1"/>
  <c r="G90" i="1" s="1"/>
  <c r="G96" i="1" s="1"/>
  <c r="G60" i="1"/>
  <c r="G242" i="1"/>
  <c r="T333" i="1"/>
  <c r="T335" i="1"/>
  <c r="T334" i="1"/>
  <c r="C36" i="2"/>
  <c r="C155" i="3" s="1"/>
  <c r="L341" i="1"/>
  <c r="L340" i="1"/>
  <c r="B36" i="2"/>
  <c r="D155" i="3" s="1"/>
  <c r="C26" i="2"/>
  <c r="C25" i="2"/>
  <c r="B26" i="2"/>
  <c r="B25" i="2"/>
  <c r="C24" i="2"/>
  <c r="C12" i="2"/>
  <c r="C13" i="2"/>
  <c r="C14" i="2"/>
  <c r="C15" i="2"/>
  <c r="C31" i="2"/>
  <c r="C16" i="2"/>
  <c r="C32" i="2"/>
  <c r="C33" i="2"/>
  <c r="C17" i="2"/>
  <c r="C18" i="2"/>
  <c r="C19" i="2"/>
  <c r="C20" i="2"/>
  <c r="C21" i="2"/>
  <c r="C22" i="2"/>
  <c r="C23" i="2"/>
  <c r="B24" i="2"/>
  <c r="B23" i="2"/>
  <c r="B22" i="2"/>
  <c r="B21" i="2"/>
  <c r="B20" i="2"/>
  <c r="B19" i="2"/>
  <c r="B18" i="2"/>
  <c r="B17" i="2"/>
  <c r="B33" i="2"/>
  <c r="B16" i="2"/>
  <c r="B31" i="2"/>
  <c r="B15" i="2"/>
  <c r="B14" i="2"/>
  <c r="B13" i="2"/>
  <c r="B12" i="2"/>
  <c r="I297" i="1"/>
  <c r="G297" i="1"/>
  <c r="I296" i="1"/>
  <c r="G296" i="1"/>
  <c r="I295" i="1"/>
  <c r="G295" i="1"/>
  <c r="I294" i="1"/>
  <c r="G294" i="1"/>
  <c r="I293" i="1"/>
  <c r="G293" i="1"/>
  <c r="I292" i="1"/>
  <c r="G292" i="1"/>
  <c r="I291" i="1"/>
  <c r="G291" i="1"/>
  <c r="I290" i="1"/>
  <c r="G290" i="1"/>
  <c r="I289" i="1"/>
  <c r="G289" i="1"/>
  <c r="I288" i="1"/>
  <c r="G288" i="1"/>
  <c r="I287" i="1"/>
  <c r="G287" i="1"/>
  <c r="I286" i="1"/>
  <c r="G286" i="1"/>
  <c r="I285" i="1"/>
  <c r="G285" i="1"/>
  <c r="I311" i="1"/>
  <c r="G311" i="1"/>
  <c r="I310" i="1"/>
  <c r="G310" i="1"/>
  <c r="I309" i="1"/>
  <c r="G309" i="1"/>
  <c r="I308" i="1"/>
  <c r="G308" i="1"/>
  <c r="I307" i="1"/>
  <c r="G307" i="1"/>
  <c r="I306" i="1"/>
  <c r="G306" i="1"/>
  <c r="I305" i="1"/>
  <c r="G305" i="1"/>
  <c r="I304" i="1"/>
  <c r="G304" i="1"/>
  <c r="I303" i="1"/>
  <c r="G303" i="1"/>
  <c r="I301" i="1"/>
  <c r="G301" i="1"/>
  <c r="I300" i="1"/>
  <c r="G300" i="1"/>
  <c r="I299" i="1"/>
  <c r="G299" i="1"/>
  <c r="I298" i="1"/>
  <c r="G298" i="1"/>
  <c r="G335" i="1"/>
  <c r="G334" i="1"/>
  <c r="G240" i="1"/>
  <c r="I197" i="1"/>
  <c r="G197" i="1"/>
  <c r="I119" i="1"/>
  <c r="G119" i="1"/>
  <c r="I115" i="1"/>
  <c r="G115" i="1"/>
  <c r="I102" i="1"/>
  <c r="G102" i="1"/>
  <c r="I76" i="1"/>
  <c r="G76" i="1"/>
  <c r="I74" i="1"/>
  <c r="G74" i="1"/>
  <c r="I22" i="1"/>
  <c r="G22" i="1"/>
  <c r="M218" i="1"/>
  <c r="M217" i="1"/>
  <c r="N217" i="1" s="1"/>
  <c r="M216" i="1"/>
  <c r="N216" i="1" s="1"/>
  <c r="M215" i="1"/>
  <c r="I211" i="1"/>
  <c r="G211" i="1"/>
  <c r="I210" i="1"/>
  <c r="G210" i="1"/>
  <c r="I209" i="1"/>
  <c r="G209" i="1"/>
  <c r="G220" i="1" s="1"/>
  <c r="G204" i="1"/>
  <c r="M203" i="1"/>
  <c r="M202" i="1"/>
  <c r="N202" i="1" s="1"/>
  <c r="M201" i="1"/>
  <c r="N201" i="1" s="1"/>
  <c r="M200" i="1"/>
  <c r="I198" i="1"/>
  <c r="G198" i="1"/>
  <c r="I196" i="1"/>
  <c r="G196" i="1"/>
  <c r="I195" i="1"/>
  <c r="G195" i="1"/>
  <c r="G190" i="1"/>
  <c r="M189" i="1"/>
  <c r="M188" i="1"/>
  <c r="N188" i="1" s="1"/>
  <c r="M186" i="1"/>
  <c r="N186" i="1" s="1"/>
  <c r="I184" i="1"/>
  <c r="G184" i="1"/>
  <c r="I183" i="1"/>
  <c r="G183" i="1"/>
  <c r="I182" i="1"/>
  <c r="G182" i="1"/>
  <c r="G177" i="1"/>
  <c r="M176" i="1"/>
  <c r="M175" i="1"/>
  <c r="N175" i="1" s="1"/>
  <c r="M174" i="1"/>
  <c r="N174" i="1" s="1"/>
  <c r="M173" i="1"/>
  <c r="N173" i="1" s="1"/>
  <c r="I171" i="1"/>
  <c r="G171" i="1"/>
  <c r="I170" i="1"/>
  <c r="G170" i="1"/>
  <c r="I169" i="1"/>
  <c r="G169" i="1"/>
  <c r="G109" i="1"/>
  <c r="M108" i="1"/>
  <c r="M107" i="1"/>
  <c r="N107" i="1" s="1"/>
  <c r="M106" i="1"/>
  <c r="N106" i="1" s="1"/>
  <c r="I103" i="1"/>
  <c r="G103" i="1"/>
  <c r="I101" i="1"/>
  <c r="G101" i="1"/>
  <c r="I100" i="1"/>
  <c r="G100" i="1"/>
  <c r="M94" i="1"/>
  <c r="M93" i="1"/>
  <c r="N93" i="1" s="1"/>
  <c r="M92" i="1"/>
  <c r="N92" i="1" s="1"/>
  <c r="M91" i="1"/>
  <c r="I88" i="1"/>
  <c r="I90" i="1" s="1"/>
  <c r="G82" i="1"/>
  <c r="M81" i="1"/>
  <c r="M80" i="1"/>
  <c r="N80" i="1" s="1"/>
  <c r="M78" i="1"/>
  <c r="N78" i="1" s="1"/>
  <c r="I75" i="1"/>
  <c r="G75" i="1"/>
  <c r="I73" i="1"/>
  <c r="G73" i="1"/>
  <c r="I72" i="1"/>
  <c r="G72" i="1"/>
  <c r="G67" i="1"/>
  <c r="M66" i="1"/>
  <c r="M65" i="1"/>
  <c r="N65" i="1" s="1"/>
  <c r="M64" i="1"/>
  <c r="N64" i="1" s="1"/>
  <c r="I61" i="1"/>
  <c r="G61" i="1"/>
  <c r="I60" i="1"/>
  <c r="I59" i="1"/>
  <c r="G59" i="1"/>
  <c r="G164" i="1"/>
  <c r="M163" i="1"/>
  <c r="M162" i="1"/>
  <c r="N162" i="1" s="1"/>
  <c r="M161" i="1"/>
  <c r="N161" i="1" s="1"/>
  <c r="M160" i="1"/>
  <c r="I158" i="1"/>
  <c r="G158" i="1"/>
  <c r="I157" i="1"/>
  <c r="G157" i="1"/>
  <c r="I156" i="1"/>
  <c r="G156" i="1"/>
  <c r="G151" i="1"/>
  <c r="M150" i="1"/>
  <c r="M149" i="1"/>
  <c r="N149" i="1" s="1"/>
  <c r="M148" i="1"/>
  <c r="N148" i="1" s="1"/>
  <c r="M147" i="1"/>
  <c r="N147" i="1" s="1"/>
  <c r="I145" i="1"/>
  <c r="G145" i="1"/>
  <c r="I144" i="1"/>
  <c r="G144" i="1"/>
  <c r="I143" i="1"/>
  <c r="G143" i="1"/>
  <c r="G138" i="1"/>
  <c r="M137" i="1"/>
  <c r="M136" i="1"/>
  <c r="N136" i="1" s="1"/>
  <c r="M135" i="1"/>
  <c r="N135" i="1" s="1"/>
  <c r="M134" i="1"/>
  <c r="I132" i="1"/>
  <c r="G132" i="1"/>
  <c r="I131" i="1"/>
  <c r="G131" i="1"/>
  <c r="I130" i="1"/>
  <c r="G130" i="1"/>
  <c r="G125" i="1"/>
  <c r="M124" i="1"/>
  <c r="M123" i="1"/>
  <c r="N123" i="1" s="1"/>
  <c r="M121" i="1"/>
  <c r="I116" i="1"/>
  <c r="G116" i="1"/>
  <c r="I114" i="1"/>
  <c r="G114" i="1"/>
  <c r="G347" i="1"/>
  <c r="M346" i="1"/>
  <c r="M345" i="1"/>
  <c r="N344" i="1"/>
  <c r="I341" i="1"/>
  <c r="I340" i="1"/>
  <c r="G263" i="1"/>
  <c r="M262" i="1"/>
  <c r="M261" i="1"/>
  <c r="N261" i="1" s="1"/>
  <c r="M260" i="1"/>
  <c r="I257" i="1"/>
  <c r="G257" i="1"/>
  <c r="I256" i="1"/>
  <c r="M249" i="1"/>
  <c r="M248" i="1"/>
  <c r="N248" i="1" s="1"/>
  <c r="M247" i="1"/>
  <c r="N247" i="1" s="1"/>
  <c r="I242" i="1"/>
  <c r="I241" i="1"/>
  <c r="I251" i="1" s="1"/>
  <c r="G241" i="1"/>
  <c r="G239" i="1"/>
  <c r="G234" i="1"/>
  <c r="M233" i="1"/>
  <c r="M232" i="1"/>
  <c r="N232" i="1" s="1"/>
  <c r="M230" i="1"/>
  <c r="I228" i="1"/>
  <c r="G228" i="1"/>
  <c r="I227" i="1"/>
  <c r="G227" i="1"/>
  <c r="I224" i="1"/>
  <c r="G224" i="1"/>
  <c r="G29" i="1"/>
  <c r="M28" i="1"/>
  <c r="M27" i="1"/>
  <c r="N27" i="1" s="1"/>
  <c r="M26" i="1"/>
  <c r="N26" i="1" s="1"/>
  <c r="M25" i="1"/>
  <c r="I23" i="1"/>
  <c r="G23" i="1"/>
  <c r="I21" i="1"/>
  <c r="G21" i="1"/>
  <c r="I20" i="1"/>
  <c r="G20" i="1"/>
  <c r="G41" i="1"/>
  <c r="M40" i="1"/>
  <c r="M39" i="1"/>
  <c r="N39" i="1" s="1"/>
  <c r="M38" i="1"/>
  <c r="N38" i="1" s="1"/>
  <c r="I35" i="1"/>
  <c r="G35" i="1"/>
  <c r="I34" i="1"/>
  <c r="G34" i="1"/>
  <c r="G54" i="1"/>
  <c r="M53" i="1"/>
  <c r="M52" i="1"/>
  <c r="N52" i="1" s="1"/>
  <c r="M51" i="1"/>
  <c r="N51" i="1" s="1"/>
  <c r="I48" i="1"/>
  <c r="G48" i="1"/>
  <c r="I47" i="1"/>
  <c r="G47" i="1"/>
  <c r="I46" i="1"/>
  <c r="G46" i="1"/>
  <c r="E7" i="3"/>
  <c r="E6" i="3"/>
  <c r="D5" i="3"/>
  <c r="A1" i="3"/>
  <c r="G251" i="1" l="1"/>
  <c r="G252" i="1" s="1"/>
  <c r="I96" i="1"/>
  <c r="I220" i="1"/>
  <c r="M219" i="1"/>
  <c r="G342" i="1"/>
  <c r="G229" i="1"/>
  <c r="G235" i="1" s="1"/>
  <c r="G236" i="1" s="1"/>
  <c r="I63" i="1"/>
  <c r="I354" i="1" s="1"/>
  <c r="N345" i="1"/>
  <c r="M347" i="1"/>
  <c r="M257" i="1"/>
  <c r="N257" i="1" s="1"/>
  <c r="O257" i="1" s="1"/>
  <c r="G9" i="3"/>
  <c r="H9" i="3" s="1"/>
  <c r="I9" i="3" s="1"/>
  <c r="L269" i="1"/>
  <c r="J88" i="1"/>
  <c r="C139" i="3"/>
  <c r="C165" i="3"/>
  <c r="D166" i="3"/>
  <c r="D140" i="3"/>
  <c r="J116" i="1"/>
  <c r="D141" i="3"/>
  <c r="D167" i="3"/>
  <c r="D175" i="3"/>
  <c r="D149" i="3"/>
  <c r="C171" i="3"/>
  <c r="C145" i="3"/>
  <c r="C137" i="3"/>
  <c r="C163" i="3"/>
  <c r="T340" i="1"/>
  <c r="G66" i="3"/>
  <c r="H66" i="3" s="1"/>
  <c r="I66" i="3" s="1"/>
  <c r="C147" i="3"/>
  <c r="C173" i="3"/>
  <c r="C138" i="3"/>
  <c r="C164" i="3"/>
  <c r="D142" i="3"/>
  <c r="D168" i="3"/>
  <c r="D150" i="3"/>
  <c r="D176" i="3"/>
  <c r="C170" i="3"/>
  <c r="C144" i="3"/>
  <c r="C162" i="3"/>
  <c r="C136" i="3"/>
  <c r="M341" i="1"/>
  <c r="N341" i="1" s="1"/>
  <c r="O341" i="1" s="1"/>
  <c r="G67" i="3"/>
  <c r="H67" i="3" s="1"/>
  <c r="I67" i="3" s="1"/>
  <c r="D174" i="3"/>
  <c r="D148" i="3"/>
  <c r="C172" i="3"/>
  <c r="C146" i="3"/>
  <c r="D169" i="3"/>
  <c r="D143" i="3"/>
  <c r="D151" i="3"/>
  <c r="D177" i="3"/>
  <c r="C143" i="3"/>
  <c r="C169" i="3"/>
  <c r="C151" i="3"/>
  <c r="C177" i="3"/>
  <c r="D136" i="3"/>
  <c r="D162" i="3"/>
  <c r="C176" i="3"/>
  <c r="C150" i="3"/>
  <c r="C142" i="3"/>
  <c r="C168" i="3"/>
  <c r="D178" i="3"/>
  <c r="D152" i="3"/>
  <c r="I120" i="1"/>
  <c r="J114" i="1"/>
  <c r="J117" i="1"/>
  <c r="J118" i="1"/>
  <c r="J115" i="1"/>
  <c r="D137" i="3"/>
  <c r="D163" i="3"/>
  <c r="C175" i="3"/>
  <c r="C149" i="3"/>
  <c r="C167" i="3"/>
  <c r="C141" i="3"/>
  <c r="D179" i="3"/>
  <c r="D153" i="3"/>
  <c r="D147" i="3"/>
  <c r="D173" i="3"/>
  <c r="C179" i="3"/>
  <c r="C153" i="3"/>
  <c r="D138" i="3"/>
  <c r="D164" i="3"/>
  <c r="D146" i="3"/>
  <c r="D172" i="3"/>
  <c r="C148" i="3"/>
  <c r="C174" i="3"/>
  <c r="C166" i="3"/>
  <c r="C140" i="3"/>
  <c r="C152" i="3"/>
  <c r="C178" i="3"/>
  <c r="D145" i="3"/>
  <c r="D171" i="3"/>
  <c r="D144" i="3"/>
  <c r="D170" i="3"/>
  <c r="D139" i="3"/>
  <c r="D165" i="3"/>
  <c r="G133" i="1"/>
  <c r="I133" i="1"/>
  <c r="J131" i="1" s="1"/>
  <c r="G199" i="1"/>
  <c r="G24" i="1"/>
  <c r="G146" i="1"/>
  <c r="I104" i="1"/>
  <c r="J101" i="1" s="1"/>
  <c r="I258" i="1"/>
  <c r="E26" i="2" s="1"/>
  <c r="G26" i="2" s="1"/>
  <c r="I199" i="1"/>
  <c r="E22" i="2" s="1"/>
  <c r="G22" i="2" s="1"/>
  <c r="G172" i="1"/>
  <c r="D20" i="2" s="1"/>
  <c r="G77" i="1"/>
  <c r="I172" i="1"/>
  <c r="J171" i="1" s="1"/>
  <c r="J242" i="1"/>
  <c r="I146" i="1"/>
  <c r="E18" i="2" s="1"/>
  <c r="G18" i="2" s="1"/>
  <c r="I77" i="1"/>
  <c r="E31" i="2" s="1"/>
  <c r="G185" i="1"/>
  <c r="G49" i="1"/>
  <c r="I229" i="1"/>
  <c r="I185" i="1"/>
  <c r="E21" i="2" s="1"/>
  <c r="G21" i="2" s="1"/>
  <c r="I49" i="1"/>
  <c r="E14" i="2" s="1"/>
  <c r="G14" i="2" s="1"/>
  <c r="G120" i="1"/>
  <c r="I159" i="1"/>
  <c r="E19" i="2" s="1"/>
  <c r="G19" i="2" s="1"/>
  <c r="G104" i="1"/>
  <c r="G258" i="1"/>
  <c r="I24" i="1"/>
  <c r="J20" i="1" s="1"/>
  <c r="I62" i="1"/>
  <c r="J61" i="1" s="1"/>
  <c r="G62" i="1"/>
  <c r="G159" i="1"/>
  <c r="T341" i="1"/>
  <c r="I342" i="1"/>
  <c r="J341" i="1" s="1"/>
  <c r="I125" i="1"/>
  <c r="I177" i="1"/>
  <c r="M177" i="1"/>
  <c r="I82" i="1"/>
  <c r="I190" i="1"/>
  <c r="I204" i="1"/>
  <c r="N200" i="1"/>
  <c r="M204" i="1"/>
  <c r="M138" i="1"/>
  <c r="N215" i="1"/>
  <c r="I151" i="1"/>
  <c r="I109" i="1"/>
  <c r="M187" i="1"/>
  <c r="N187" i="1" s="1"/>
  <c r="I67" i="1"/>
  <c r="M105" i="1"/>
  <c r="N91" i="1"/>
  <c r="M95" i="1"/>
  <c r="N121" i="1"/>
  <c r="M122" i="1"/>
  <c r="N122" i="1" s="1"/>
  <c r="M79" i="1"/>
  <c r="N79" i="1" s="1"/>
  <c r="I164" i="1"/>
  <c r="I138" i="1"/>
  <c r="M164" i="1"/>
  <c r="M151" i="1"/>
  <c r="N160" i="1"/>
  <c r="N134" i="1"/>
  <c r="I263" i="1"/>
  <c r="M259" i="1"/>
  <c r="N259" i="1" s="1"/>
  <c r="I234" i="1"/>
  <c r="N343" i="1"/>
  <c r="N260" i="1"/>
  <c r="I36" i="1"/>
  <c r="E13" i="2" s="1"/>
  <c r="G13" i="2" s="1"/>
  <c r="N230" i="1"/>
  <c r="T257" i="1"/>
  <c r="M231" i="1"/>
  <c r="N231" i="1" s="1"/>
  <c r="I347" i="1"/>
  <c r="M246" i="1"/>
  <c r="I29" i="1"/>
  <c r="M29" i="1"/>
  <c r="N25" i="1"/>
  <c r="G36" i="1"/>
  <c r="I54" i="1"/>
  <c r="I41" i="1"/>
  <c r="M50" i="1"/>
  <c r="M54" i="1" s="1"/>
  <c r="M37" i="1"/>
  <c r="G31" i="2" l="1"/>
  <c r="M63" i="1"/>
  <c r="J336" i="1"/>
  <c r="J335" i="1"/>
  <c r="J334" i="1"/>
  <c r="J333" i="1"/>
  <c r="J337" i="1"/>
  <c r="J338" i="1"/>
  <c r="J339" i="1"/>
  <c r="J340" i="1"/>
  <c r="J239" i="1"/>
  <c r="J240" i="1"/>
  <c r="E25" i="2"/>
  <c r="G25" i="2" s="1"/>
  <c r="J243" i="1"/>
  <c r="J244" i="1"/>
  <c r="J241" i="1"/>
  <c r="E23" i="2"/>
  <c r="G23" i="2" s="1"/>
  <c r="J209" i="1"/>
  <c r="J87" i="1"/>
  <c r="J89" i="1"/>
  <c r="J72" i="1"/>
  <c r="E16" i="2"/>
  <c r="J257" i="1"/>
  <c r="J226" i="1"/>
  <c r="J227" i="1"/>
  <c r="J228" i="1"/>
  <c r="J224" i="1"/>
  <c r="J225" i="1"/>
  <c r="J196" i="1"/>
  <c r="J198" i="1"/>
  <c r="J130" i="1"/>
  <c r="J132" i="1"/>
  <c r="E17" i="2"/>
  <c r="G17" i="2" s="1"/>
  <c r="J76" i="1"/>
  <c r="J73" i="1"/>
  <c r="J143" i="1"/>
  <c r="J46" i="1"/>
  <c r="J34" i="1"/>
  <c r="J75" i="1"/>
  <c r="J145" i="1"/>
  <c r="J23" i="1"/>
  <c r="J47" i="1"/>
  <c r="J21" i="1"/>
  <c r="J195" i="1"/>
  <c r="J74" i="1"/>
  <c r="J156" i="1"/>
  <c r="J22" i="1"/>
  <c r="J35" i="1"/>
  <c r="J158" i="1"/>
  <c r="J144" i="1"/>
  <c r="D16" i="2"/>
  <c r="J157" i="1"/>
  <c r="J197" i="1"/>
  <c r="J48" i="1"/>
  <c r="J184" i="1"/>
  <c r="E24" i="2"/>
  <c r="G24" i="2" s="1"/>
  <c r="E15" i="2"/>
  <c r="G15" i="2" s="1"/>
  <c r="E32" i="2"/>
  <c r="E20" i="2"/>
  <c r="G20" i="2" s="1"/>
  <c r="J102" i="1"/>
  <c r="J103" i="1"/>
  <c r="J100" i="1"/>
  <c r="M109" i="1"/>
  <c r="N109" i="1" s="1"/>
  <c r="G178" i="1"/>
  <c r="G179" i="1" s="1"/>
  <c r="G110" i="1"/>
  <c r="G111" i="1" s="1"/>
  <c r="D32" i="2"/>
  <c r="G221" i="1"/>
  <c r="D23" i="2"/>
  <c r="D24" i="2"/>
  <c r="G139" i="1"/>
  <c r="G140" i="1" s="1"/>
  <c r="D17" i="2"/>
  <c r="G68" i="1"/>
  <c r="G69" i="1" s="1"/>
  <c r="D15" i="2"/>
  <c r="G348" i="1"/>
  <c r="G349" i="1" s="1"/>
  <c r="D36" i="2"/>
  <c r="E33" i="2"/>
  <c r="G83" i="1"/>
  <c r="G84" i="1" s="1"/>
  <c r="D31" i="2"/>
  <c r="D34" i="2" s="1"/>
  <c r="G42" i="1"/>
  <c r="G43" i="1" s="1"/>
  <c r="D13" i="2"/>
  <c r="D25" i="2"/>
  <c r="G126" i="1"/>
  <c r="G127" i="1" s="1"/>
  <c r="D33" i="2"/>
  <c r="G152" i="1"/>
  <c r="G153" i="1" s="1"/>
  <c r="D18" i="2"/>
  <c r="G264" i="1"/>
  <c r="G265" i="1" s="1"/>
  <c r="D26" i="2"/>
  <c r="G191" i="1"/>
  <c r="G192" i="1" s="1"/>
  <c r="D21" i="2"/>
  <c r="G205" i="1"/>
  <c r="G206" i="1" s="1"/>
  <c r="D22" i="2"/>
  <c r="G55" i="1"/>
  <c r="G56" i="1" s="1"/>
  <c r="D14" i="2"/>
  <c r="E36" i="2"/>
  <c r="G165" i="1"/>
  <c r="G166" i="1" s="1"/>
  <c r="D19" i="2"/>
  <c r="J170" i="1"/>
  <c r="G30" i="1"/>
  <c r="G31" i="1" s="1"/>
  <c r="D12" i="2"/>
  <c r="J256" i="1"/>
  <c r="E12" i="2"/>
  <c r="G12" i="2" s="1"/>
  <c r="J60" i="1"/>
  <c r="J183" i="1"/>
  <c r="J255" i="1"/>
  <c r="I221" i="1"/>
  <c r="J182" i="1"/>
  <c r="I191" i="1"/>
  <c r="I192" i="1" s="1"/>
  <c r="I139" i="1"/>
  <c r="I140" i="1" s="1"/>
  <c r="I83" i="1"/>
  <c r="I84" i="1" s="1"/>
  <c r="I126" i="1"/>
  <c r="I127" i="1" s="1"/>
  <c r="I205" i="1"/>
  <c r="I206" i="1" s="1"/>
  <c r="I348" i="1"/>
  <c r="I349" i="1" s="1"/>
  <c r="I42" i="1"/>
  <c r="I43" i="1" s="1"/>
  <c r="M263" i="1"/>
  <c r="N263" i="1" s="1"/>
  <c r="N105" i="1"/>
  <c r="N177" i="1"/>
  <c r="I152" i="1"/>
  <c r="I153" i="1" s="1"/>
  <c r="I55" i="1"/>
  <c r="I56" i="1" s="1"/>
  <c r="I264" i="1"/>
  <c r="I265" i="1" s="1"/>
  <c r="N219" i="1"/>
  <c r="I165" i="1"/>
  <c r="I166" i="1" s="1"/>
  <c r="I110" i="1"/>
  <c r="I111" i="1" s="1"/>
  <c r="I235" i="1"/>
  <c r="I236" i="1" s="1"/>
  <c r="J169" i="1"/>
  <c r="N204" i="1"/>
  <c r="M82" i="1"/>
  <c r="N82" i="1" s="1"/>
  <c r="I178" i="1"/>
  <c r="I179" i="1" s="1"/>
  <c r="M190" i="1"/>
  <c r="M234" i="1"/>
  <c r="N234" i="1" s="1"/>
  <c r="N138" i="1"/>
  <c r="J59" i="1"/>
  <c r="N95" i="1"/>
  <c r="M125" i="1"/>
  <c r="N125" i="1" s="1"/>
  <c r="I252" i="1"/>
  <c r="I68" i="1"/>
  <c r="I69" i="1" s="1"/>
  <c r="N164" i="1"/>
  <c r="N151" i="1"/>
  <c r="I30" i="1"/>
  <c r="I31" i="1" s="1"/>
  <c r="N347" i="1"/>
  <c r="M250" i="1"/>
  <c r="N246" i="1"/>
  <c r="N50" i="1"/>
  <c r="N29" i="1"/>
  <c r="M41" i="1"/>
  <c r="N37" i="1"/>
  <c r="N54" i="1"/>
  <c r="E34" i="2" l="1"/>
  <c r="F34" i="2" s="1"/>
  <c r="F31" i="2"/>
  <c r="F33" i="2"/>
  <c r="G33" i="2"/>
  <c r="F32" i="2"/>
  <c r="G32" i="2"/>
  <c r="J342" i="1"/>
  <c r="N63" i="1"/>
  <c r="M67" i="1"/>
  <c r="N67" i="1" s="1"/>
  <c r="G16" i="2"/>
  <c r="J133" i="1"/>
  <c r="J90" i="1"/>
  <c r="J36" i="1"/>
  <c r="J229" i="1"/>
  <c r="J199" i="1"/>
  <c r="J77" i="1"/>
  <c r="J159" i="1"/>
  <c r="J146" i="1"/>
  <c r="J104" i="1"/>
  <c r="J62" i="1"/>
  <c r="J258" i="1"/>
  <c r="J120" i="1"/>
  <c r="J245" i="1"/>
  <c r="J185" i="1"/>
  <c r="J172" i="1"/>
  <c r="J49" i="1"/>
  <c r="J24" i="1"/>
  <c r="M340" i="1"/>
  <c r="N190" i="1"/>
  <c r="N250" i="1"/>
  <c r="N41" i="1"/>
  <c r="G34" i="2" l="1"/>
  <c r="H32" i="2" s="1"/>
  <c r="I32" i="2" s="1"/>
  <c r="K104" i="1" s="1"/>
  <c r="N340" i="1"/>
  <c r="O340" i="1" s="1"/>
  <c r="H34" i="2" l="1"/>
  <c r="H31" i="2"/>
  <c r="I31" i="2" s="1"/>
  <c r="H33" i="2"/>
  <c r="I33" i="2" s="1"/>
  <c r="K120" i="1" s="1"/>
  <c r="G36" i="2"/>
  <c r="I36" i="2" s="1"/>
  <c r="K342" i="1" s="1"/>
  <c r="S342" i="1" s="1"/>
  <c r="V118" i="1" l="1"/>
  <c r="V119" i="1" s="1"/>
  <c r="V120" i="1" s="1"/>
  <c r="S120" i="1"/>
  <c r="K77" i="1"/>
  <c r="I34" i="2"/>
  <c r="M342" i="1"/>
  <c r="N335" i="1"/>
  <c r="O335" i="1" s="1"/>
  <c r="N334" i="1"/>
  <c r="O334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L115" i="1" l="1"/>
  <c r="L118" i="1"/>
  <c r="L388" i="1" s="1"/>
  <c r="L116" i="1"/>
  <c r="L117" i="1"/>
  <c r="L387" i="1" s="1"/>
  <c r="L114" i="1"/>
  <c r="M348" i="1"/>
  <c r="P335" i="1"/>
  <c r="Q335" i="1" s="1"/>
  <c r="P333" i="1"/>
  <c r="Q333" i="1" s="1"/>
  <c r="P334" i="1"/>
  <c r="Q334" i="1" s="1"/>
  <c r="P336" i="1"/>
  <c r="P341" i="1"/>
  <c r="Q341" i="1" s="1"/>
  <c r="Q336" i="1"/>
  <c r="P339" i="1"/>
  <c r="P337" i="1"/>
  <c r="Q337" i="1" s="1"/>
  <c r="P340" i="1"/>
  <c r="Q340" i="1" s="1"/>
  <c r="P338" i="1"/>
  <c r="A87" i="1"/>
  <c r="A88" i="1" s="1"/>
  <c r="J36" i="2"/>
  <c r="N342" i="1"/>
  <c r="R342" i="1"/>
  <c r="B44" i="2"/>
  <c r="A90" i="1" l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P342" i="1"/>
  <c r="Q342" i="1" s="1"/>
  <c r="N348" i="1"/>
  <c r="O348" i="1" s="1"/>
  <c r="N36" i="2" s="1"/>
  <c r="G155" i="3" s="1"/>
  <c r="M349" i="1"/>
  <c r="N349" i="1" s="1"/>
  <c r="O349" i="1" s="1"/>
  <c r="O342" i="1"/>
  <c r="L36" i="2"/>
  <c r="F155" i="3" s="1"/>
  <c r="E44" i="2"/>
  <c r="M13" i="1"/>
  <c r="M12" i="1"/>
  <c r="M14" i="1"/>
  <c r="M357" i="1" s="1"/>
  <c r="G15" i="1"/>
  <c r="D44" i="2"/>
  <c r="A214" i="1" l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212" i="1"/>
  <c r="A213" i="1" s="1"/>
  <c r="J44" i="2"/>
  <c r="I15" i="1"/>
  <c r="I321" i="1"/>
  <c r="G321" i="1"/>
  <c r="I320" i="1"/>
  <c r="G320" i="1"/>
  <c r="I319" i="1"/>
  <c r="G319" i="1"/>
  <c r="I318" i="1"/>
  <c r="G318" i="1"/>
  <c r="I317" i="1"/>
  <c r="G317" i="1"/>
  <c r="I316" i="1"/>
  <c r="G316" i="1"/>
  <c r="I314" i="1"/>
  <c r="G314" i="1"/>
  <c r="I313" i="1"/>
  <c r="G313" i="1"/>
  <c r="I312" i="1"/>
  <c r="G312" i="1"/>
  <c r="A243" i="1" l="1"/>
  <c r="A244" i="1" s="1"/>
  <c r="A340" i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I324" i="1"/>
  <c r="E43" i="2"/>
  <c r="E42" i="2"/>
  <c r="D43" i="2"/>
  <c r="D42" i="2"/>
  <c r="C28" i="2"/>
  <c r="B28" i="2"/>
  <c r="C11" i="2"/>
  <c r="B11" i="2"/>
  <c r="D135" i="3" l="1"/>
  <c r="D161" i="3"/>
  <c r="C135" i="3"/>
  <c r="C161" i="3"/>
  <c r="D154" i="3"/>
  <c r="D180" i="3"/>
  <c r="C154" i="3"/>
  <c r="C180" i="3"/>
  <c r="E41" i="2"/>
  <c r="E45" i="2" s="1"/>
  <c r="D41" i="2"/>
  <c r="D45" i="2" s="1"/>
  <c r="G329" i="1"/>
  <c r="G358" i="1" s="1"/>
  <c r="M327" i="1"/>
  <c r="M356" i="1" s="1"/>
  <c r="M326" i="1"/>
  <c r="M355" i="1" s="1"/>
  <c r="M325" i="1"/>
  <c r="N325" i="1" s="1"/>
  <c r="B42" i="2"/>
  <c r="B43" i="2"/>
  <c r="B41" i="2"/>
  <c r="M11" i="1"/>
  <c r="G9" i="1"/>
  <c r="G8" i="1"/>
  <c r="A2" i="1"/>
  <c r="A1" i="1"/>
  <c r="M354" i="1" l="1"/>
  <c r="M15" i="1"/>
  <c r="N326" i="1"/>
  <c r="N327" i="1"/>
  <c r="J43" i="2"/>
  <c r="N12" i="1"/>
  <c r="N355" i="1" s="1"/>
  <c r="J42" i="2"/>
  <c r="N13" i="1"/>
  <c r="N356" i="1" s="1"/>
  <c r="G10" i="1"/>
  <c r="I10" i="1"/>
  <c r="I329" i="1"/>
  <c r="I358" i="1" s="1"/>
  <c r="G324" i="1"/>
  <c r="D28" i="2" s="1"/>
  <c r="N11" i="1"/>
  <c r="N354" i="1" s="1"/>
  <c r="J8" i="1" l="1"/>
  <c r="J9" i="1"/>
  <c r="I353" i="1"/>
  <c r="G353" i="1"/>
  <c r="J293" i="1"/>
  <c r="J296" i="1"/>
  <c r="J292" i="1"/>
  <c r="J288" i="1"/>
  <c r="J289" i="1"/>
  <c r="J285" i="1"/>
  <c r="J294" i="1"/>
  <c r="J290" i="1"/>
  <c r="J286" i="1"/>
  <c r="J297" i="1"/>
  <c r="J291" i="1"/>
  <c r="J295" i="1"/>
  <c r="J287" i="1"/>
  <c r="J310" i="1"/>
  <c r="J306" i="1"/>
  <c r="J298" i="1"/>
  <c r="J309" i="1"/>
  <c r="J305" i="1"/>
  <c r="J301" i="1"/>
  <c r="J308" i="1"/>
  <c r="J304" i="1"/>
  <c r="J300" i="1"/>
  <c r="J311" i="1"/>
  <c r="J307" i="1"/>
  <c r="J303" i="1"/>
  <c r="J299" i="1"/>
  <c r="J41" i="2"/>
  <c r="J45" i="2" s="1"/>
  <c r="E28" i="2"/>
  <c r="G28" i="2" s="1"/>
  <c r="J318" i="1"/>
  <c r="J319" i="1"/>
  <c r="J316" i="1"/>
  <c r="J317" i="1"/>
  <c r="J320" i="1"/>
  <c r="J321" i="1"/>
  <c r="J313" i="1"/>
  <c r="J314" i="1"/>
  <c r="J312" i="1"/>
  <c r="G330" i="1"/>
  <c r="E11" i="2"/>
  <c r="G16" i="1"/>
  <c r="G359" i="1" s="1"/>
  <c r="D11" i="2"/>
  <c r="I330" i="1"/>
  <c r="M329" i="1"/>
  <c r="M358" i="1" s="1"/>
  <c r="I16" i="1"/>
  <c r="N15" i="1"/>
  <c r="D29" i="2" l="1"/>
  <c r="G11" i="2"/>
  <c r="G29" i="2" s="1"/>
  <c r="G38" i="2" s="1"/>
  <c r="E29" i="2"/>
  <c r="I17" i="1"/>
  <c r="I359" i="1"/>
  <c r="G17" i="1"/>
  <c r="J324" i="1"/>
  <c r="N329" i="1"/>
  <c r="O329" i="1" s="1"/>
  <c r="J10" i="1"/>
  <c r="F11" i="2" l="1"/>
  <c r="E38" i="2"/>
  <c r="D38" i="2"/>
  <c r="D47" i="2" s="1"/>
  <c r="D49" i="2" s="1"/>
  <c r="D50" i="2" s="1"/>
  <c r="F27" i="2"/>
  <c r="F29" i="2"/>
  <c r="F12" i="2"/>
  <c r="N358" i="1"/>
  <c r="H27" i="2"/>
  <c r="I27" i="2" s="1"/>
  <c r="K273" i="1" s="1"/>
  <c r="S273" i="1" s="1"/>
  <c r="F19" i="2"/>
  <c r="F18" i="2"/>
  <c r="F21" i="2"/>
  <c r="F20" i="2"/>
  <c r="H21" i="2"/>
  <c r="I21" i="2" s="1"/>
  <c r="H19" i="2"/>
  <c r="I19" i="2" s="1"/>
  <c r="H20" i="2"/>
  <c r="I20" i="2" s="1"/>
  <c r="H18" i="2"/>
  <c r="I18" i="2" s="1"/>
  <c r="H26" i="2"/>
  <c r="H25" i="2"/>
  <c r="F25" i="2"/>
  <c r="F26" i="2"/>
  <c r="F24" i="2"/>
  <c r="F23" i="2"/>
  <c r="F22" i="2"/>
  <c r="F17" i="2"/>
  <c r="H22" i="2"/>
  <c r="I22" i="2" s="1"/>
  <c r="H24" i="2"/>
  <c r="H23" i="2"/>
  <c r="I23" i="2" s="1"/>
  <c r="K214" i="1" s="1"/>
  <c r="H17" i="2"/>
  <c r="H16" i="2"/>
  <c r="F16" i="2"/>
  <c r="H28" i="2"/>
  <c r="H11" i="2"/>
  <c r="I11" i="2" s="1"/>
  <c r="F15" i="2"/>
  <c r="H15" i="2"/>
  <c r="H12" i="2"/>
  <c r="H13" i="2"/>
  <c r="H14" i="2"/>
  <c r="F13" i="2"/>
  <c r="F28" i="2"/>
  <c r="F14" i="2"/>
  <c r="I25" i="2" l="1"/>
  <c r="I26" i="2"/>
  <c r="K258" i="1" s="1"/>
  <c r="I17" i="2"/>
  <c r="I24" i="2"/>
  <c r="K229" i="1" s="1"/>
  <c r="I28" i="2"/>
  <c r="I16" i="2"/>
  <c r="K90" i="1" s="1"/>
  <c r="I14" i="2"/>
  <c r="I13" i="2"/>
  <c r="I12" i="2"/>
  <c r="I15" i="2"/>
  <c r="E47" i="2"/>
  <c r="M269" i="1" l="1"/>
  <c r="N269" i="1" s="1"/>
  <c r="O269" i="1" s="1"/>
  <c r="T269" i="1"/>
  <c r="S104" i="1"/>
  <c r="K36" i="1"/>
  <c r="K324" i="1"/>
  <c r="S324" i="1" s="1"/>
  <c r="L323" i="1" s="1"/>
  <c r="G109" i="3" s="1"/>
  <c r="H109" i="3" s="1"/>
  <c r="I109" i="3" s="1"/>
  <c r="K159" i="1"/>
  <c r="K172" i="1"/>
  <c r="S172" i="1" s="1"/>
  <c r="K199" i="1"/>
  <c r="S229" i="1"/>
  <c r="S214" i="1"/>
  <c r="K185" i="1"/>
  <c r="S185" i="1" s="1"/>
  <c r="S258" i="1"/>
  <c r="K62" i="1"/>
  <c r="S62" i="1" s="1"/>
  <c r="K49" i="1"/>
  <c r="L47" i="1" s="1"/>
  <c r="L60" i="1" s="1"/>
  <c r="K146" i="1"/>
  <c r="K133" i="1"/>
  <c r="K245" i="1"/>
  <c r="S245" i="1" s="1"/>
  <c r="K24" i="1"/>
  <c r="S90" i="1"/>
  <c r="K10" i="1"/>
  <c r="I29" i="2"/>
  <c r="I38" i="2" s="1"/>
  <c r="M87" i="1" l="1"/>
  <c r="N87" i="1" s="1"/>
  <c r="G20" i="3"/>
  <c r="H20" i="3" s="1"/>
  <c r="I20" i="3" s="1"/>
  <c r="L241" i="1"/>
  <c r="L242" i="1" s="1"/>
  <c r="L243" i="1" s="1"/>
  <c r="L244" i="1" s="1"/>
  <c r="L171" i="1"/>
  <c r="G50" i="3" s="1"/>
  <c r="H50" i="3" s="1"/>
  <c r="I50" i="3" s="1"/>
  <c r="L170" i="1"/>
  <c r="G49" i="3" s="1"/>
  <c r="H49" i="3" s="1"/>
  <c r="I49" i="3" s="1"/>
  <c r="L184" i="1"/>
  <c r="G54" i="3" s="1"/>
  <c r="H54" i="3" s="1"/>
  <c r="I54" i="3" s="1"/>
  <c r="L183" i="1"/>
  <c r="G53" i="3" s="1"/>
  <c r="H53" i="3" s="1"/>
  <c r="I53" i="3" s="1"/>
  <c r="L102" i="1"/>
  <c r="M102" i="1" s="1"/>
  <c r="L100" i="1"/>
  <c r="L103" i="1"/>
  <c r="L101" i="1"/>
  <c r="G30" i="3" s="1"/>
  <c r="H30" i="3" s="1"/>
  <c r="I30" i="3" s="1"/>
  <c r="S199" i="1"/>
  <c r="S146" i="1"/>
  <c r="S133" i="1"/>
  <c r="S159" i="1"/>
  <c r="S49" i="1"/>
  <c r="L48" i="1"/>
  <c r="L46" i="1"/>
  <c r="L59" i="1" s="1"/>
  <c r="S10" i="1"/>
  <c r="S77" i="1"/>
  <c r="S24" i="1"/>
  <c r="S36" i="1"/>
  <c r="T119" i="1"/>
  <c r="L287" i="1"/>
  <c r="L313" i="1"/>
  <c r="L308" i="1"/>
  <c r="L316" i="1"/>
  <c r="L291" i="1"/>
  <c r="L294" i="1"/>
  <c r="L310" i="1"/>
  <c r="L304" i="1"/>
  <c r="L320" i="1"/>
  <c r="G106" i="3" s="1"/>
  <c r="H106" i="3" s="1"/>
  <c r="I106" i="3" s="1"/>
  <c r="L314" i="1"/>
  <c r="G100" i="3" s="1"/>
  <c r="H100" i="3" s="1"/>
  <c r="I100" i="3" s="1"/>
  <c r="L290" i="1"/>
  <c r="L306" i="1"/>
  <c r="L300" i="1"/>
  <c r="L317" i="1"/>
  <c r="G103" i="3" s="1"/>
  <c r="H103" i="3" s="1"/>
  <c r="I103" i="3" s="1"/>
  <c r="L312" i="1"/>
  <c r="G98" i="3" s="1"/>
  <c r="H98" i="3" s="1"/>
  <c r="I98" i="3" s="1"/>
  <c r="L318" i="1"/>
  <c r="G104" i="3" s="1"/>
  <c r="H104" i="3" s="1"/>
  <c r="I104" i="3" s="1"/>
  <c r="L296" i="1"/>
  <c r="L286" i="1"/>
  <c r="L311" i="1"/>
  <c r="L292" i="1"/>
  <c r="L297" i="1"/>
  <c r="L298" i="1"/>
  <c r="L307" i="1"/>
  <c r="L319" i="1"/>
  <c r="G105" i="3" s="1"/>
  <c r="H105" i="3" s="1"/>
  <c r="I105" i="3" s="1"/>
  <c r="L288" i="1"/>
  <c r="L293" i="1"/>
  <c r="L309" i="1"/>
  <c r="L303" i="1"/>
  <c r="L321" i="1"/>
  <c r="G107" i="3" s="1"/>
  <c r="H107" i="3" s="1"/>
  <c r="I107" i="3" s="1"/>
  <c r="L285" i="1"/>
  <c r="L295" i="1"/>
  <c r="L289" i="1"/>
  <c r="L305" i="1"/>
  <c r="L299" i="1"/>
  <c r="L301" i="1"/>
  <c r="L182" i="1"/>
  <c r="G52" i="3" s="1"/>
  <c r="H52" i="3" s="1"/>
  <c r="I52" i="3" s="1"/>
  <c r="L169" i="1"/>
  <c r="G48" i="3" s="1"/>
  <c r="H48" i="3" s="1"/>
  <c r="I48" i="3" s="1"/>
  <c r="G29" i="3" l="1"/>
  <c r="H29" i="3" s="1"/>
  <c r="I29" i="3" s="1"/>
  <c r="L384" i="1"/>
  <c r="L240" i="1"/>
  <c r="T240" i="1" s="1"/>
  <c r="L61" i="1"/>
  <c r="M61" i="1" s="1"/>
  <c r="N61" i="1" s="1"/>
  <c r="O61" i="1" s="1"/>
  <c r="M101" i="1"/>
  <c r="N101" i="1" s="1"/>
  <c r="O101" i="1" s="1"/>
  <c r="T101" i="1"/>
  <c r="L144" i="1"/>
  <c r="G45" i="3" s="1"/>
  <c r="H45" i="3" s="1"/>
  <c r="I45" i="3" s="1"/>
  <c r="L143" i="1"/>
  <c r="G44" i="3" s="1"/>
  <c r="H44" i="3" s="1"/>
  <c r="I44" i="3" s="1"/>
  <c r="L145" i="1"/>
  <c r="G46" i="3" s="1"/>
  <c r="H46" i="3" s="1"/>
  <c r="I46" i="3" s="1"/>
  <c r="L35" i="1"/>
  <c r="M35" i="1" s="1"/>
  <c r="L34" i="1"/>
  <c r="T34" i="1" s="1"/>
  <c r="L73" i="1"/>
  <c r="L72" i="1"/>
  <c r="T72" i="1" s="1"/>
  <c r="L74" i="1"/>
  <c r="L75" i="1"/>
  <c r="T75" i="1" s="1"/>
  <c r="L76" i="1"/>
  <c r="T388" i="1" s="1"/>
  <c r="L198" i="1"/>
  <c r="G59" i="3" s="1"/>
  <c r="H59" i="3" s="1"/>
  <c r="I59" i="3" s="1"/>
  <c r="L197" i="1"/>
  <c r="G58" i="3" s="1"/>
  <c r="H58" i="3" s="1"/>
  <c r="I58" i="3" s="1"/>
  <c r="L196" i="1"/>
  <c r="G57" i="3" s="1"/>
  <c r="H57" i="3" s="1"/>
  <c r="I57" i="3" s="1"/>
  <c r="L195" i="1"/>
  <c r="G56" i="3" s="1"/>
  <c r="H56" i="3" s="1"/>
  <c r="I56" i="3" s="1"/>
  <c r="T171" i="1"/>
  <c r="L23" i="1"/>
  <c r="L22" i="1"/>
  <c r="L21" i="1"/>
  <c r="L270" i="1" s="1"/>
  <c r="L20" i="1"/>
  <c r="M171" i="1"/>
  <c r="N171" i="1" s="1"/>
  <c r="O171" i="1" s="1"/>
  <c r="T184" i="1"/>
  <c r="L132" i="1"/>
  <c r="L158" i="1" s="1"/>
  <c r="L131" i="1"/>
  <c r="L130" i="1"/>
  <c r="L9" i="1"/>
  <c r="L8" i="1"/>
  <c r="M184" i="1"/>
  <c r="N184" i="1" s="1"/>
  <c r="O184" i="1" s="1"/>
  <c r="M295" i="1"/>
  <c r="N295" i="1" s="1"/>
  <c r="O295" i="1" s="1"/>
  <c r="G81" i="3"/>
  <c r="H81" i="3" s="1"/>
  <c r="I81" i="3" s="1"/>
  <c r="T307" i="1"/>
  <c r="G93" i="3"/>
  <c r="H93" i="3" s="1"/>
  <c r="I93" i="3" s="1"/>
  <c r="T310" i="1"/>
  <c r="G96" i="3"/>
  <c r="H96" i="3" s="1"/>
  <c r="I96" i="3" s="1"/>
  <c r="G19" i="3"/>
  <c r="H19" i="3" s="1"/>
  <c r="I19" i="3" s="1"/>
  <c r="L239" i="1"/>
  <c r="T239" i="1" s="1"/>
  <c r="T285" i="1"/>
  <c r="G71" i="3"/>
  <c r="H71" i="3" s="1"/>
  <c r="I71" i="3" s="1"/>
  <c r="T291" i="1"/>
  <c r="G77" i="3"/>
  <c r="H77" i="3" s="1"/>
  <c r="I77" i="3" s="1"/>
  <c r="M304" i="1"/>
  <c r="N304" i="1" s="1"/>
  <c r="O304" i="1" s="1"/>
  <c r="G90" i="3"/>
  <c r="H90" i="3" s="1"/>
  <c r="I90" i="3" s="1"/>
  <c r="G34" i="3"/>
  <c r="H34" i="3" s="1"/>
  <c r="I34" i="3" s="1"/>
  <c r="T298" i="1"/>
  <c r="G84" i="3"/>
  <c r="H84" i="3" s="1"/>
  <c r="I84" i="3" s="1"/>
  <c r="M303" i="1"/>
  <c r="N303" i="1" s="1"/>
  <c r="O303" i="1" s="1"/>
  <c r="G89" i="3"/>
  <c r="H89" i="3" s="1"/>
  <c r="I89" i="3" s="1"/>
  <c r="T292" i="1"/>
  <c r="G78" i="3"/>
  <c r="H78" i="3" s="1"/>
  <c r="I78" i="3" s="1"/>
  <c r="T306" i="1"/>
  <c r="G92" i="3"/>
  <c r="H92" i="3" s="1"/>
  <c r="I92" i="3" s="1"/>
  <c r="M316" i="1"/>
  <c r="N316" i="1" s="1"/>
  <c r="O316" i="1" s="1"/>
  <c r="G102" i="3"/>
  <c r="H102" i="3" s="1"/>
  <c r="I102" i="3" s="1"/>
  <c r="G31" i="3"/>
  <c r="H31" i="3" s="1"/>
  <c r="I31" i="3" s="1"/>
  <c r="T294" i="1"/>
  <c r="G80" i="3"/>
  <c r="H80" i="3" s="1"/>
  <c r="I80" i="3" s="1"/>
  <c r="T297" i="1"/>
  <c r="G83" i="3"/>
  <c r="H83" i="3" s="1"/>
  <c r="I83" i="3" s="1"/>
  <c r="T309" i="1"/>
  <c r="G95" i="3"/>
  <c r="H95" i="3" s="1"/>
  <c r="I95" i="3" s="1"/>
  <c r="T311" i="1"/>
  <c r="G97" i="3"/>
  <c r="H97" i="3" s="1"/>
  <c r="I97" i="3" s="1"/>
  <c r="M290" i="1"/>
  <c r="N290" i="1" s="1"/>
  <c r="O290" i="1" s="1"/>
  <c r="G76" i="3"/>
  <c r="H76" i="3" s="1"/>
  <c r="I76" i="3" s="1"/>
  <c r="M308" i="1"/>
  <c r="N308" i="1" s="1"/>
  <c r="O308" i="1" s="1"/>
  <c r="G94" i="3"/>
  <c r="H94" i="3" s="1"/>
  <c r="I94" i="3" s="1"/>
  <c r="M301" i="1"/>
  <c r="N301" i="1" s="1"/>
  <c r="O301" i="1" s="1"/>
  <c r="G87" i="3"/>
  <c r="H87" i="3" s="1"/>
  <c r="I87" i="3" s="1"/>
  <c r="T293" i="1"/>
  <c r="G79" i="3"/>
  <c r="H79" i="3" s="1"/>
  <c r="I79" i="3" s="1"/>
  <c r="M286" i="1"/>
  <c r="N286" i="1" s="1"/>
  <c r="O286" i="1" s="1"/>
  <c r="G72" i="3"/>
  <c r="H72" i="3" s="1"/>
  <c r="I72" i="3" s="1"/>
  <c r="T313" i="1"/>
  <c r="G99" i="3"/>
  <c r="H99" i="3" s="1"/>
  <c r="I99" i="3" s="1"/>
  <c r="M132" i="1"/>
  <c r="N132" i="1" s="1"/>
  <c r="M103" i="1"/>
  <c r="N103" i="1" s="1"/>
  <c r="O103" i="1" s="1"/>
  <c r="G32" i="3"/>
  <c r="H32" i="3" s="1"/>
  <c r="I32" i="3" s="1"/>
  <c r="M300" i="1"/>
  <c r="N300" i="1" s="1"/>
  <c r="O300" i="1" s="1"/>
  <c r="G86" i="3"/>
  <c r="H86" i="3" s="1"/>
  <c r="I86" i="3" s="1"/>
  <c r="T102" i="1"/>
  <c r="T299" i="1"/>
  <c r="G85" i="3"/>
  <c r="H85" i="3" s="1"/>
  <c r="I85" i="3" s="1"/>
  <c r="M305" i="1"/>
  <c r="N305" i="1" s="1"/>
  <c r="O305" i="1" s="1"/>
  <c r="G91" i="3"/>
  <c r="H91" i="3" s="1"/>
  <c r="I91" i="3" s="1"/>
  <c r="T288" i="1"/>
  <c r="G74" i="3"/>
  <c r="H74" i="3" s="1"/>
  <c r="I74" i="3" s="1"/>
  <c r="T296" i="1"/>
  <c r="G82" i="3"/>
  <c r="H82" i="3" s="1"/>
  <c r="I82" i="3" s="1"/>
  <c r="M287" i="1"/>
  <c r="N287" i="1" s="1"/>
  <c r="O287" i="1" s="1"/>
  <c r="G73" i="3"/>
  <c r="H73" i="3" s="1"/>
  <c r="I73" i="3" s="1"/>
  <c r="T132" i="1"/>
  <c r="M100" i="1"/>
  <c r="N100" i="1" s="1"/>
  <c r="M48" i="1"/>
  <c r="N48" i="1" s="1"/>
  <c r="O48" i="1" s="1"/>
  <c r="G21" i="3"/>
  <c r="H21" i="3" s="1"/>
  <c r="I21" i="3" s="1"/>
  <c r="T103" i="1"/>
  <c r="T100" i="1"/>
  <c r="T48" i="1"/>
  <c r="T242" i="1"/>
  <c r="M242" i="1"/>
  <c r="M320" i="1"/>
  <c r="N320" i="1" s="1"/>
  <c r="O320" i="1" s="1"/>
  <c r="T308" i="1"/>
  <c r="T303" i="1"/>
  <c r="M296" i="1"/>
  <c r="N296" i="1" s="1"/>
  <c r="O296" i="1" s="1"/>
  <c r="T320" i="1"/>
  <c r="M291" i="1"/>
  <c r="N291" i="1" s="1"/>
  <c r="O291" i="1" s="1"/>
  <c r="M310" i="1"/>
  <c r="N310" i="1" s="1"/>
  <c r="O310" i="1" s="1"/>
  <c r="M298" i="1"/>
  <c r="N298" i="1" s="1"/>
  <c r="O298" i="1" s="1"/>
  <c r="M294" i="1"/>
  <c r="N294" i="1" s="1"/>
  <c r="O294" i="1" s="1"/>
  <c r="T295" i="1"/>
  <c r="M119" i="1"/>
  <c r="M307" i="1"/>
  <c r="N307" i="1" s="1"/>
  <c r="O307" i="1" s="1"/>
  <c r="M309" i="1"/>
  <c r="N309" i="1" s="1"/>
  <c r="O309" i="1" s="1"/>
  <c r="M293" i="1"/>
  <c r="N293" i="1" s="1"/>
  <c r="O293" i="1" s="1"/>
  <c r="T300" i="1"/>
  <c r="M292" i="1"/>
  <c r="N292" i="1" s="1"/>
  <c r="O292" i="1" s="1"/>
  <c r="M299" i="1"/>
  <c r="N299" i="1" s="1"/>
  <c r="O299" i="1" s="1"/>
  <c r="T301" i="1"/>
  <c r="M311" i="1"/>
  <c r="N311" i="1" s="1"/>
  <c r="O311" i="1" s="1"/>
  <c r="T321" i="1"/>
  <c r="M306" i="1"/>
  <c r="N306" i="1" s="1"/>
  <c r="O306" i="1" s="1"/>
  <c r="T312" i="1"/>
  <c r="T287" i="1"/>
  <c r="M318" i="1"/>
  <c r="N318" i="1" s="1"/>
  <c r="O318" i="1" s="1"/>
  <c r="M321" i="1"/>
  <c r="N321" i="1" s="1"/>
  <c r="O321" i="1" s="1"/>
  <c r="M312" i="1"/>
  <c r="N312" i="1" s="1"/>
  <c r="O312" i="1" s="1"/>
  <c r="T318" i="1"/>
  <c r="M285" i="1"/>
  <c r="N285" i="1" s="1"/>
  <c r="O285" i="1" s="1"/>
  <c r="M288" i="1"/>
  <c r="N288" i="1" s="1"/>
  <c r="O288" i="1" s="1"/>
  <c r="T304" i="1"/>
  <c r="T305" i="1"/>
  <c r="T290" i="1"/>
  <c r="M313" i="1"/>
  <c r="N313" i="1" s="1"/>
  <c r="O313" i="1" s="1"/>
  <c r="T316" i="1"/>
  <c r="T319" i="1"/>
  <c r="T314" i="1"/>
  <c r="M314" i="1"/>
  <c r="N314" i="1" s="1"/>
  <c r="O314" i="1" s="1"/>
  <c r="T286" i="1"/>
  <c r="M289" i="1"/>
  <c r="N289" i="1" s="1"/>
  <c r="O289" i="1" s="1"/>
  <c r="M319" i="1"/>
  <c r="N319" i="1" s="1"/>
  <c r="O319" i="1" s="1"/>
  <c r="M297" i="1"/>
  <c r="N297" i="1" s="1"/>
  <c r="O297" i="1" s="1"/>
  <c r="T182" i="1"/>
  <c r="M182" i="1"/>
  <c r="T183" i="1"/>
  <c r="M183" i="1"/>
  <c r="N183" i="1" s="1"/>
  <c r="O183" i="1" s="1"/>
  <c r="M317" i="1"/>
  <c r="N317" i="1" s="1"/>
  <c r="O317" i="1" s="1"/>
  <c r="N102" i="1"/>
  <c r="O102" i="1" s="1"/>
  <c r="T60" i="1"/>
  <c r="M60" i="1"/>
  <c r="N60" i="1" s="1"/>
  <c r="O60" i="1" s="1"/>
  <c r="M46" i="1"/>
  <c r="T46" i="1"/>
  <c r="T317" i="1"/>
  <c r="T59" i="1"/>
  <c r="M59" i="1"/>
  <c r="T241" i="1"/>
  <c r="M241" i="1"/>
  <c r="T47" i="1"/>
  <c r="M47" i="1"/>
  <c r="T170" i="1"/>
  <c r="M170" i="1"/>
  <c r="T169" i="1"/>
  <c r="M169" i="1"/>
  <c r="T114" i="1"/>
  <c r="M114" i="1"/>
  <c r="L88" i="1" l="1"/>
  <c r="L89" i="1" s="1"/>
  <c r="M89" i="1" s="1"/>
  <c r="N89" i="1" s="1"/>
  <c r="O89" i="1" s="1"/>
  <c r="N242" i="1"/>
  <c r="O242" i="1" s="1"/>
  <c r="N241" i="1"/>
  <c r="O241" i="1" s="1"/>
  <c r="L256" i="1"/>
  <c r="M240" i="1"/>
  <c r="T243" i="1"/>
  <c r="M243" i="1"/>
  <c r="M244" i="1"/>
  <c r="T244" i="1"/>
  <c r="G11" i="3"/>
  <c r="H11" i="3" s="1"/>
  <c r="I11" i="3" s="1"/>
  <c r="L268" i="1"/>
  <c r="T270" i="1"/>
  <c r="M270" i="1"/>
  <c r="N270" i="1" s="1"/>
  <c r="O270" i="1" s="1"/>
  <c r="T22" i="1"/>
  <c r="L271" i="1"/>
  <c r="G14" i="3"/>
  <c r="H14" i="3" s="1"/>
  <c r="I14" i="3" s="1"/>
  <c r="L272" i="1"/>
  <c r="T61" i="1"/>
  <c r="T8" i="1"/>
  <c r="L255" i="1"/>
  <c r="T255" i="1" s="1"/>
  <c r="G40" i="3"/>
  <c r="H40" i="3" s="1"/>
  <c r="I40" i="3" s="1"/>
  <c r="L156" i="1"/>
  <c r="T156" i="1" s="1"/>
  <c r="G41" i="3"/>
  <c r="H41" i="3" s="1"/>
  <c r="I41" i="3" s="1"/>
  <c r="L157" i="1"/>
  <c r="T157" i="1" s="1"/>
  <c r="M72" i="1"/>
  <c r="N72" i="1" s="1"/>
  <c r="T131" i="1"/>
  <c r="M131" i="1"/>
  <c r="N131" i="1" s="1"/>
  <c r="O131" i="1" s="1"/>
  <c r="G12" i="3"/>
  <c r="H12" i="3" s="1"/>
  <c r="I12" i="3" s="1"/>
  <c r="G13" i="3"/>
  <c r="H13" i="3" s="1"/>
  <c r="I13" i="3" s="1"/>
  <c r="M239" i="1"/>
  <c r="M130" i="1"/>
  <c r="N130" i="1" s="1"/>
  <c r="O130" i="1" s="1"/>
  <c r="T21" i="1"/>
  <c r="M75" i="1"/>
  <c r="N75" i="1" s="1"/>
  <c r="O75" i="1" s="1"/>
  <c r="G6" i="3"/>
  <c r="H6" i="3" s="1"/>
  <c r="I6" i="3" s="1"/>
  <c r="T130" i="1"/>
  <c r="M8" i="1"/>
  <c r="N8" i="1" s="1"/>
  <c r="O8" i="1" s="1"/>
  <c r="T35" i="1"/>
  <c r="M22" i="1"/>
  <c r="N22" i="1" s="1"/>
  <c r="O22" i="1" s="1"/>
  <c r="M197" i="1"/>
  <c r="N197" i="1" s="1"/>
  <c r="O197" i="1" s="1"/>
  <c r="L209" i="1"/>
  <c r="M209" i="1" s="1"/>
  <c r="G16" i="3"/>
  <c r="H16" i="3" s="1"/>
  <c r="I16" i="3" s="1"/>
  <c r="M34" i="1"/>
  <c r="M36" i="1" s="1"/>
  <c r="L224" i="1"/>
  <c r="T224" i="1" s="1"/>
  <c r="M144" i="1"/>
  <c r="N144" i="1" s="1"/>
  <c r="O144" i="1" s="1"/>
  <c r="T196" i="1"/>
  <c r="T144" i="1"/>
  <c r="T197" i="1"/>
  <c r="G130" i="3"/>
  <c r="H130" i="3" s="1"/>
  <c r="I130" i="3" s="1"/>
  <c r="T76" i="1"/>
  <c r="T20" i="1"/>
  <c r="M9" i="1"/>
  <c r="N9" i="1" s="1"/>
  <c r="O9" i="1" s="1"/>
  <c r="T143" i="1"/>
  <c r="M21" i="1"/>
  <c r="N21" i="1" s="1"/>
  <c r="O21" i="1" s="1"/>
  <c r="M198" i="1"/>
  <c r="N198" i="1" s="1"/>
  <c r="O198" i="1" s="1"/>
  <c r="M76" i="1"/>
  <c r="N76" i="1" s="1"/>
  <c r="O76" i="1" s="1"/>
  <c r="T198" i="1"/>
  <c r="T145" i="1"/>
  <c r="T9" i="1"/>
  <c r="M143" i="1"/>
  <c r="M196" i="1"/>
  <c r="N196" i="1" s="1"/>
  <c r="O196" i="1" s="1"/>
  <c r="M20" i="1"/>
  <c r="N20" i="1" s="1"/>
  <c r="G27" i="3"/>
  <c r="H27" i="3" s="1"/>
  <c r="I27" i="3" s="1"/>
  <c r="T73" i="1"/>
  <c r="G35" i="3"/>
  <c r="H35" i="3" s="1"/>
  <c r="I35" i="3" s="1"/>
  <c r="G36" i="3"/>
  <c r="H36" i="3" s="1"/>
  <c r="I36" i="3" s="1"/>
  <c r="G26" i="3"/>
  <c r="H26" i="3" s="1"/>
  <c r="I26" i="3" s="1"/>
  <c r="G42" i="3"/>
  <c r="H42" i="3" s="1"/>
  <c r="I42" i="3" s="1"/>
  <c r="T158" i="1"/>
  <c r="M74" i="1"/>
  <c r="N74" i="1" s="1"/>
  <c r="O74" i="1" s="1"/>
  <c r="M145" i="1"/>
  <c r="N145" i="1" s="1"/>
  <c r="O145" i="1" s="1"/>
  <c r="G23" i="3"/>
  <c r="H23" i="3" s="1"/>
  <c r="I23" i="3" s="1"/>
  <c r="M195" i="1"/>
  <c r="M104" i="1"/>
  <c r="P102" i="1" s="1"/>
  <c r="Q102" i="1" s="1"/>
  <c r="T195" i="1"/>
  <c r="G24" i="3"/>
  <c r="H24" i="3" s="1"/>
  <c r="I24" i="3" s="1"/>
  <c r="M73" i="1"/>
  <c r="N73" i="1" s="1"/>
  <c r="O73" i="1" s="1"/>
  <c r="G7" i="3"/>
  <c r="H7" i="3" s="1"/>
  <c r="I7" i="3" s="1"/>
  <c r="L210" i="1"/>
  <c r="M210" i="1" s="1"/>
  <c r="G17" i="3"/>
  <c r="H17" i="3" s="1"/>
  <c r="I17" i="3" s="1"/>
  <c r="L225" i="1"/>
  <c r="L226" i="1" s="1"/>
  <c r="L227" i="1" s="1"/>
  <c r="L228" i="1" s="1"/>
  <c r="G25" i="3"/>
  <c r="H25" i="3" s="1"/>
  <c r="I25" i="3" s="1"/>
  <c r="T23" i="1"/>
  <c r="T74" i="1"/>
  <c r="M23" i="1"/>
  <c r="N23" i="1" s="1"/>
  <c r="O23" i="1" s="1"/>
  <c r="G38" i="3"/>
  <c r="H38" i="3" s="1"/>
  <c r="I38" i="3" s="1"/>
  <c r="G124" i="3"/>
  <c r="H124" i="3" s="1"/>
  <c r="I124" i="3" s="1"/>
  <c r="G37" i="3"/>
  <c r="H37" i="3" s="1"/>
  <c r="I37" i="3" s="1"/>
  <c r="T115" i="1"/>
  <c r="M116" i="1"/>
  <c r="M115" i="1"/>
  <c r="T116" i="1"/>
  <c r="M118" i="1"/>
  <c r="T118" i="1"/>
  <c r="T117" i="1"/>
  <c r="M117" i="1"/>
  <c r="N104" i="1"/>
  <c r="N119" i="1"/>
  <c r="O119" i="1" s="1"/>
  <c r="O132" i="1"/>
  <c r="O100" i="1"/>
  <c r="M172" i="1"/>
  <c r="P171" i="1" s="1"/>
  <c r="Q171" i="1" s="1"/>
  <c r="M185" i="1"/>
  <c r="P184" i="1" s="1"/>
  <c r="Q184" i="1" s="1"/>
  <c r="M62" i="1"/>
  <c r="P61" i="1" s="1"/>
  <c r="Q61" i="1" s="1"/>
  <c r="M49" i="1"/>
  <c r="N47" i="1"/>
  <c r="O47" i="1" s="1"/>
  <c r="N182" i="1"/>
  <c r="O182" i="1" s="1"/>
  <c r="M324" i="1"/>
  <c r="P318" i="1" s="1"/>
  <c r="Q318" i="1" s="1"/>
  <c r="N59" i="1"/>
  <c r="N46" i="1"/>
  <c r="N169" i="1"/>
  <c r="N170" i="1"/>
  <c r="O170" i="1" s="1"/>
  <c r="N114" i="1"/>
  <c r="N35" i="1"/>
  <c r="O35" i="1" s="1"/>
  <c r="O36" i="2"/>
  <c r="K36" i="2"/>
  <c r="M245" i="1" l="1"/>
  <c r="P239" i="1" s="1"/>
  <c r="N209" i="1"/>
  <c r="O209" i="1" s="1"/>
  <c r="N240" i="1"/>
  <c r="O240" i="1" s="1"/>
  <c r="M88" i="1"/>
  <c r="N244" i="1"/>
  <c r="O244" i="1" s="1"/>
  <c r="N243" i="1"/>
  <c r="O243" i="1" s="1"/>
  <c r="T272" i="1"/>
  <c r="M272" i="1"/>
  <c r="N272" i="1" s="1"/>
  <c r="O272" i="1" s="1"/>
  <c r="T271" i="1"/>
  <c r="M271" i="1"/>
  <c r="N271" i="1" s="1"/>
  <c r="O271" i="1" s="1"/>
  <c r="M157" i="1"/>
  <c r="N157" i="1" s="1"/>
  <c r="O157" i="1" s="1"/>
  <c r="M156" i="1"/>
  <c r="N156" i="1" s="1"/>
  <c r="O156" i="1" s="1"/>
  <c r="T88" i="1"/>
  <c r="T268" i="1"/>
  <c r="M268" i="1"/>
  <c r="N239" i="1"/>
  <c r="O239" i="1" s="1"/>
  <c r="M255" i="1"/>
  <c r="M133" i="1"/>
  <c r="P132" i="1" s="1"/>
  <c r="Q132" i="1" s="1"/>
  <c r="T209" i="1"/>
  <c r="N34" i="1"/>
  <c r="O34" i="1" s="1"/>
  <c r="M158" i="1"/>
  <c r="N158" i="1" s="1"/>
  <c r="O158" i="1" s="1"/>
  <c r="N10" i="1"/>
  <c r="R104" i="1"/>
  <c r="M110" i="1"/>
  <c r="N110" i="1" s="1"/>
  <c r="O110" i="1" s="1"/>
  <c r="N32" i="2" s="1"/>
  <c r="P103" i="1"/>
  <c r="Q103" i="1" s="1"/>
  <c r="J32" i="2"/>
  <c r="P100" i="1"/>
  <c r="Q100" i="1" s="1"/>
  <c r="P101" i="1"/>
  <c r="Q101" i="1" s="1"/>
  <c r="G114" i="3"/>
  <c r="H114" i="3" s="1"/>
  <c r="I114" i="3" s="1"/>
  <c r="M146" i="1"/>
  <c r="P145" i="1" s="1"/>
  <c r="Q145" i="1" s="1"/>
  <c r="M224" i="1"/>
  <c r="M24" i="1"/>
  <c r="P20" i="1" s="1"/>
  <c r="Q20" i="1" s="1"/>
  <c r="M199" i="1"/>
  <c r="P197" i="1" s="1"/>
  <c r="Q197" i="1" s="1"/>
  <c r="N143" i="1"/>
  <c r="O143" i="1" s="1"/>
  <c r="M10" i="1"/>
  <c r="N195" i="1"/>
  <c r="O195" i="1" s="1"/>
  <c r="N115" i="1"/>
  <c r="O115" i="1" s="1"/>
  <c r="P115" i="1"/>
  <c r="Q115" i="1" s="1"/>
  <c r="N117" i="1"/>
  <c r="O117" i="1" s="1"/>
  <c r="P117" i="1"/>
  <c r="N116" i="1"/>
  <c r="O116" i="1" s="1"/>
  <c r="P116" i="1"/>
  <c r="Q116" i="1" s="1"/>
  <c r="N118" i="1"/>
  <c r="O118" i="1" s="1"/>
  <c r="P118" i="1"/>
  <c r="P114" i="1"/>
  <c r="M77" i="1"/>
  <c r="P75" i="1" s="1"/>
  <c r="Q75" i="1" s="1"/>
  <c r="M225" i="1"/>
  <c r="T225" i="1"/>
  <c r="M256" i="1"/>
  <c r="T256" i="1"/>
  <c r="L211" i="1"/>
  <c r="T210" i="1"/>
  <c r="M120" i="1"/>
  <c r="M126" i="1" s="1"/>
  <c r="O114" i="1"/>
  <c r="N133" i="1"/>
  <c r="O59" i="1"/>
  <c r="N62" i="1"/>
  <c r="O20" i="1"/>
  <c r="N24" i="1"/>
  <c r="O46" i="1"/>
  <c r="N49" i="1"/>
  <c r="O72" i="1"/>
  <c r="N77" i="1"/>
  <c r="J14" i="2"/>
  <c r="O14" i="2" s="1"/>
  <c r="P48" i="1"/>
  <c r="Q48" i="1" s="1"/>
  <c r="O169" i="1"/>
  <c r="N172" i="1"/>
  <c r="L20" i="2" s="1"/>
  <c r="P169" i="1"/>
  <c r="J20" i="2"/>
  <c r="P59" i="1"/>
  <c r="Q59" i="1" s="1"/>
  <c r="J15" i="2"/>
  <c r="O15" i="2" s="1"/>
  <c r="P182" i="1"/>
  <c r="J21" i="2"/>
  <c r="O104" i="1"/>
  <c r="L32" i="2"/>
  <c r="M32" i="2" s="1"/>
  <c r="P321" i="1"/>
  <c r="Q321" i="1" s="1"/>
  <c r="P316" i="1"/>
  <c r="Q316" i="1" s="1"/>
  <c r="P299" i="1"/>
  <c r="Q299" i="1" s="1"/>
  <c r="P313" i="1"/>
  <c r="Q313" i="1" s="1"/>
  <c r="P312" i="1"/>
  <c r="Q312" i="1" s="1"/>
  <c r="N324" i="1"/>
  <c r="O324" i="1" s="1"/>
  <c r="P308" i="1"/>
  <c r="Q308" i="1" s="1"/>
  <c r="P317" i="1"/>
  <c r="Q317" i="1" s="1"/>
  <c r="P314" i="1"/>
  <c r="Q314" i="1" s="1"/>
  <c r="P319" i="1"/>
  <c r="Q319" i="1" s="1"/>
  <c r="P311" i="1"/>
  <c r="Q311" i="1" s="1"/>
  <c r="P306" i="1"/>
  <c r="Q306" i="1" s="1"/>
  <c r="P291" i="1"/>
  <c r="Q291" i="1" s="1"/>
  <c r="P287" i="1"/>
  <c r="Q287" i="1" s="1"/>
  <c r="P46" i="1"/>
  <c r="M330" i="1"/>
  <c r="N330" i="1" s="1"/>
  <c r="O330" i="1" s="1"/>
  <c r="N28" i="2" s="1"/>
  <c r="P298" i="1"/>
  <c r="Q298" i="1" s="1"/>
  <c r="P290" i="1"/>
  <c r="Q290" i="1" s="1"/>
  <c r="P309" i="1"/>
  <c r="Q309" i="1" s="1"/>
  <c r="P286" i="1"/>
  <c r="Q286" i="1" s="1"/>
  <c r="P320" i="1"/>
  <c r="Q320" i="1" s="1"/>
  <c r="J28" i="2"/>
  <c r="L28" i="2" s="1"/>
  <c r="R324" i="1"/>
  <c r="P303" i="1"/>
  <c r="Q303" i="1" s="1"/>
  <c r="P285" i="1"/>
  <c r="Q285" i="1" s="1"/>
  <c r="P304" i="1"/>
  <c r="Q304" i="1" s="1"/>
  <c r="P292" i="1"/>
  <c r="Q292" i="1" s="1"/>
  <c r="P310" i="1"/>
  <c r="Q310" i="1" s="1"/>
  <c r="P296" i="1"/>
  <c r="Q296" i="1" s="1"/>
  <c r="P34" i="1"/>
  <c r="Q34" i="1" s="1"/>
  <c r="J13" i="2"/>
  <c r="O13" i="2" s="1"/>
  <c r="P47" i="1"/>
  <c r="Q47" i="1" s="1"/>
  <c r="P307" i="1"/>
  <c r="Q307" i="1" s="1"/>
  <c r="P294" i="1"/>
  <c r="Q294" i="1" s="1"/>
  <c r="R49" i="1"/>
  <c r="M55" i="1"/>
  <c r="P300" i="1"/>
  <c r="Q300" i="1" s="1"/>
  <c r="P297" i="1"/>
  <c r="Q297" i="1" s="1"/>
  <c r="P183" i="1"/>
  <c r="Q183" i="1" s="1"/>
  <c r="R185" i="1"/>
  <c r="N185" i="1"/>
  <c r="M191" i="1"/>
  <c r="P305" i="1"/>
  <c r="Q305" i="1" s="1"/>
  <c r="P289" i="1"/>
  <c r="Q289" i="1" s="1"/>
  <c r="P293" i="1"/>
  <c r="Q293" i="1" s="1"/>
  <c r="P60" i="1"/>
  <c r="Q60" i="1" s="1"/>
  <c r="R62" i="1"/>
  <c r="M68" i="1"/>
  <c r="P301" i="1"/>
  <c r="Q301" i="1" s="1"/>
  <c r="P288" i="1"/>
  <c r="Q288" i="1" s="1"/>
  <c r="P295" i="1"/>
  <c r="Q295" i="1" s="1"/>
  <c r="R172" i="1"/>
  <c r="M178" i="1"/>
  <c r="P170" i="1"/>
  <c r="Q170" i="1" s="1"/>
  <c r="P35" i="1"/>
  <c r="Q35" i="1" s="1"/>
  <c r="R36" i="1"/>
  <c r="M42" i="1"/>
  <c r="M36" i="2"/>
  <c r="O32" i="2" l="1"/>
  <c r="L212" i="1"/>
  <c r="T212" i="1" s="1"/>
  <c r="M211" i="1"/>
  <c r="J25" i="2"/>
  <c r="O25" i="2" s="1"/>
  <c r="R245" i="1"/>
  <c r="N255" i="1"/>
  <c r="O255" i="1" s="1"/>
  <c r="M258" i="1"/>
  <c r="R258" i="1" s="1"/>
  <c r="P240" i="1"/>
  <c r="Q240" i="1" s="1"/>
  <c r="M251" i="1"/>
  <c r="M252" i="1" s="1"/>
  <c r="N252" i="1" s="1"/>
  <c r="P243" i="1"/>
  <c r="N245" i="1"/>
  <c r="O245" i="1" s="1"/>
  <c r="P244" i="1"/>
  <c r="N88" i="1"/>
  <c r="O88" i="1" s="1"/>
  <c r="M90" i="1"/>
  <c r="P89" i="1" s="1"/>
  <c r="Q89" i="1" s="1"/>
  <c r="P242" i="1"/>
  <c r="Q242" i="1" s="1"/>
  <c r="P241" i="1"/>
  <c r="Q241" i="1" s="1"/>
  <c r="M273" i="1"/>
  <c r="M16" i="1"/>
  <c r="N16" i="1" s="1"/>
  <c r="P131" i="1"/>
  <c r="Q131" i="1" s="1"/>
  <c r="R133" i="1"/>
  <c r="M139" i="1"/>
  <c r="M140" i="1" s="1"/>
  <c r="N140" i="1" s="1"/>
  <c r="J17" i="2"/>
  <c r="O17" i="2" s="1"/>
  <c r="P130" i="1"/>
  <c r="Q130" i="1" s="1"/>
  <c r="N268" i="1"/>
  <c r="O268" i="1" s="1"/>
  <c r="M159" i="1"/>
  <c r="P158" i="1" s="1"/>
  <c r="Q158" i="1" s="1"/>
  <c r="N159" i="1"/>
  <c r="O159" i="1" s="1"/>
  <c r="N36" i="1"/>
  <c r="O36" i="1" s="1"/>
  <c r="P195" i="1"/>
  <c r="Q195" i="1" s="1"/>
  <c r="P198" i="1"/>
  <c r="Q198" i="1" s="1"/>
  <c r="J22" i="2"/>
  <c r="O22" i="2" s="1"/>
  <c r="R120" i="1"/>
  <c r="M205" i="1"/>
  <c r="M206" i="1" s="1"/>
  <c r="N206" i="1" s="1"/>
  <c r="R199" i="1"/>
  <c r="P196" i="1"/>
  <c r="Q196" i="1" s="1"/>
  <c r="P104" i="1"/>
  <c r="Q104" i="1" s="1"/>
  <c r="P143" i="1"/>
  <c r="Q143" i="1" s="1"/>
  <c r="J18" i="2"/>
  <c r="O18" i="2" s="1"/>
  <c r="P21" i="1"/>
  <c r="Q21" i="1" s="1"/>
  <c r="M30" i="1"/>
  <c r="N30" i="1" s="1"/>
  <c r="O30" i="1" s="1"/>
  <c r="N12" i="2" s="1"/>
  <c r="R24" i="1"/>
  <c r="J12" i="2"/>
  <c r="O12" i="2" s="1"/>
  <c r="M111" i="1"/>
  <c r="N111" i="1" s="1"/>
  <c r="O111" i="1" s="1"/>
  <c r="P22" i="1"/>
  <c r="Q22" i="1" s="1"/>
  <c r="P23" i="1"/>
  <c r="Q23" i="1" s="1"/>
  <c r="P144" i="1"/>
  <c r="Q144" i="1" s="1"/>
  <c r="M83" i="1"/>
  <c r="N83" i="1" s="1"/>
  <c r="O83" i="1" s="1"/>
  <c r="N31" i="2" s="1"/>
  <c r="M152" i="1"/>
  <c r="N152" i="1" s="1"/>
  <c r="O152" i="1" s="1"/>
  <c r="N18" i="2" s="1"/>
  <c r="R146" i="1"/>
  <c r="J11" i="2"/>
  <c r="P8" i="1"/>
  <c r="Q8" i="1" s="1"/>
  <c r="R10" i="1"/>
  <c r="N146" i="1"/>
  <c r="L18" i="2" s="1"/>
  <c r="N199" i="1"/>
  <c r="L22" i="2" s="1"/>
  <c r="N224" i="1"/>
  <c r="O224" i="1" s="1"/>
  <c r="P9" i="1"/>
  <c r="Q9" i="1" s="1"/>
  <c r="N120" i="1"/>
  <c r="L33" i="2" s="1"/>
  <c r="M33" i="2" s="1"/>
  <c r="Q118" i="1"/>
  <c r="J33" i="2"/>
  <c r="R77" i="1"/>
  <c r="P73" i="1"/>
  <c r="Q73" i="1" s="1"/>
  <c r="J31" i="2"/>
  <c r="P72" i="1"/>
  <c r="Q72" i="1" s="1"/>
  <c r="P76" i="1"/>
  <c r="Q76" i="1" s="1"/>
  <c r="P74" i="1"/>
  <c r="Q74" i="1" s="1"/>
  <c r="Q117" i="1"/>
  <c r="Q119" i="1"/>
  <c r="T211" i="1"/>
  <c r="N256" i="1"/>
  <c r="O256" i="1" s="1"/>
  <c r="M226" i="1"/>
  <c r="T226" i="1"/>
  <c r="N225" i="1"/>
  <c r="O225" i="1" s="1"/>
  <c r="N210" i="1"/>
  <c r="O210" i="1" s="1"/>
  <c r="T227" i="1"/>
  <c r="M227" i="1"/>
  <c r="G168" i="3"/>
  <c r="G142" i="3"/>
  <c r="G180" i="3"/>
  <c r="G154" i="3"/>
  <c r="F142" i="3"/>
  <c r="M20" i="2"/>
  <c r="F147" i="3"/>
  <c r="M28" i="2"/>
  <c r="F154" i="3"/>
  <c r="P49" i="1"/>
  <c r="Q239" i="1"/>
  <c r="Q182" i="1"/>
  <c r="P185" i="1"/>
  <c r="Q185" i="1" s="1"/>
  <c r="Q169" i="1"/>
  <c r="P172" i="1"/>
  <c r="Q172" i="1" s="1"/>
  <c r="Q46" i="1"/>
  <c r="O172" i="1"/>
  <c r="P62" i="1"/>
  <c r="Q62" i="1" s="1"/>
  <c r="O10" i="1"/>
  <c r="O20" i="2"/>
  <c r="O21" i="2"/>
  <c r="O77" i="1"/>
  <c r="L31" i="2"/>
  <c r="O62" i="1"/>
  <c r="L15" i="2"/>
  <c r="O185" i="1"/>
  <c r="L21" i="2"/>
  <c r="O133" i="1"/>
  <c r="L17" i="2"/>
  <c r="L11" i="2"/>
  <c r="O28" i="2"/>
  <c r="O24" i="1"/>
  <c r="L12" i="2"/>
  <c r="O49" i="1"/>
  <c r="L14" i="2"/>
  <c r="N191" i="1"/>
  <c r="O191" i="1" s="1"/>
  <c r="N21" i="2" s="1"/>
  <c r="M192" i="1"/>
  <c r="N192" i="1" s="1"/>
  <c r="M69" i="1"/>
  <c r="N69" i="1" s="1"/>
  <c r="N68" i="1"/>
  <c r="O68" i="1" s="1"/>
  <c r="N15" i="2" s="1"/>
  <c r="P324" i="1"/>
  <c r="Q324" i="1" s="1"/>
  <c r="N55" i="1"/>
  <c r="O55" i="1" s="1"/>
  <c r="N14" i="2" s="1"/>
  <c r="M56" i="1"/>
  <c r="N56" i="1" s="1"/>
  <c r="P36" i="1"/>
  <c r="Q36" i="1" s="1"/>
  <c r="M179" i="1"/>
  <c r="N179" i="1" s="1"/>
  <c r="N178" i="1"/>
  <c r="O178" i="1" s="1"/>
  <c r="N20" i="2" s="1"/>
  <c r="M127" i="1"/>
  <c r="N127" i="1" s="1"/>
  <c r="N126" i="1"/>
  <c r="O126" i="1" s="1"/>
  <c r="N33" i="2" s="1"/>
  <c r="Q114" i="1"/>
  <c r="M43" i="1"/>
  <c r="N43" i="1" s="1"/>
  <c r="N42" i="1"/>
  <c r="O42" i="1" s="1"/>
  <c r="N13" i="2" s="1"/>
  <c r="O33" i="2" l="1"/>
  <c r="M31" i="2"/>
  <c r="L34" i="2"/>
  <c r="J34" i="2"/>
  <c r="O31" i="2"/>
  <c r="O34" i="2" s="1"/>
  <c r="N251" i="1"/>
  <c r="O251" i="1" s="1"/>
  <c r="N25" i="2" s="1"/>
  <c r="G152" i="3" s="1"/>
  <c r="L213" i="1"/>
  <c r="M212" i="1"/>
  <c r="N212" i="1" s="1"/>
  <c r="O212" i="1" s="1"/>
  <c r="L25" i="2"/>
  <c r="O11" i="2"/>
  <c r="J16" i="2"/>
  <c r="O16" i="2" s="1"/>
  <c r="R90" i="1"/>
  <c r="M96" i="1"/>
  <c r="N96" i="1" s="1"/>
  <c r="O96" i="1" s="1"/>
  <c r="N16" i="2" s="1"/>
  <c r="P87" i="1"/>
  <c r="Q87" i="1" s="1"/>
  <c r="P88" i="1"/>
  <c r="Q88" i="1" s="1"/>
  <c r="N211" i="1"/>
  <c r="O211" i="1" s="1"/>
  <c r="P245" i="1"/>
  <c r="Q245" i="1" s="1"/>
  <c r="N90" i="1"/>
  <c r="O90" i="1" s="1"/>
  <c r="O16" i="1"/>
  <c r="N11" i="2" s="1"/>
  <c r="G161" i="3" s="1"/>
  <c r="M17" i="1"/>
  <c r="N17" i="1" s="1"/>
  <c r="P268" i="1"/>
  <c r="Q268" i="1" s="1"/>
  <c r="J27" i="2"/>
  <c r="O27" i="2" s="1"/>
  <c r="R159" i="1"/>
  <c r="L19" i="2"/>
  <c r="F146" i="3" s="1"/>
  <c r="M165" i="1"/>
  <c r="N165" i="1" s="1"/>
  <c r="O165" i="1" s="1"/>
  <c r="N19" i="2" s="1"/>
  <c r="G172" i="3" s="1"/>
  <c r="J19" i="2"/>
  <c r="O19" i="2" s="1"/>
  <c r="P157" i="1"/>
  <c r="Q157" i="1" s="1"/>
  <c r="N139" i="1"/>
  <c r="O139" i="1" s="1"/>
  <c r="N17" i="2" s="1"/>
  <c r="G144" i="3" s="1"/>
  <c r="P133" i="1"/>
  <c r="Q133" i="1" s="1"/>
  <c r="P270" i="1"/>
  <c r="Q270" i="1" s="1"/>
  <c r="P272" i="1"/>
  <c r="Q272" i="1" s="1"/>
  <c r="P271" i="1"/>
  <c r="Q271" i="1" s="1"/>
  <c r="L13" i="2"/>
  <c r="M13" i="2" s="1"/>
  <c r="P156" i="1"/>
  <c r="Q156" i="1" s="1"/>
  <c r="N273" i="1"/>
  <c r="R273" i="1"/>
  <c r="M279" i="1"/>
  <c r="P269" i="1"/>
  <c r="Q269" i="1" s="1"/>
  <c r="N205" i="1"/>
  <c r="O205" i="1" s="1"/>
  <c r="N22" i="2" s="1"/>
  <c r="G149" i="3" s="1"/>
  <c r="P199" i="1"/>
  <c r="Q199" i="1" s="1"/>
  <c r="M31" i="1"/>
  <c r="N31" i="1" s="1"/>
  <c r="F162" i="3" s="1"/>
  <c r="M84" i="1"/>
  <c r="N84" i="1" s="1"/>
  <c r="F166" i="3" s="1"/>
  <c r="O199" i="1"/>
  <c r="P146" i="1"/>
  <c r="Q146" i="1" s="1"/>
  <c r="M153" i="1"/>
  <c r="N153" i="1" s="1"/>
  <c r="F171" i="3" s="1"/>
  <c r="F168" i="3"/>
  <c r="P24" i="1"/>
  <c r="Q24" i="1" s="1"/>
  <c r="P10" i="1"/>
  <c r="Q10" i="1" s="1"/>
  <c r="O146" i="1"/>
  <c r="N226" i="1"/>
  <c r="O226" i="1" s="1"/>
  <c r="N227" i="1"/>
  <c r="O227" i="1" s="1"/>
  <c r="O120" i="1"/>
  <c r="T385" i="1" s="1"/>
  <c r="T386" i="1" s="1"/>
  <c r="L386" i="1" s="1"/>
  <c r="P77" i="1"/>
  <c r="Q77" i="1" s="1"/>
  <c r="P120" i="1"/>
  <c r="Q120" i="1" s="1"/>
  <c r="T228" i="1"/>
  <c r="M228" i="1"/>
  <c r="M229" i="1" s="1"/>
  <c r="P257" i="1"/>
  <c r="Q257" i="1" s="1"/>
  <c r="P255" i="1"/>
  <c r="N258" i="1"/>
  <c r="P256" i="1"/>
  <c r="Q256" i="1" s="1"/>
  <c r="M264" i="1"/>
  <c r="J26" i="2"/>
  <c r="O26" i="2" s="1"/>
  <c r="G169" i="3"/>
  <c r="G143" i="3"/>
  <c r="M14" i="2"/>
  <c r="F138" i="3"/>
  <c r="G164" i="3"/>
  <c r="G138" i="3"/>
  <c r="F167" i="3"/>
  <c r="M11" i="2"/>
  <c r="F135" i="3"/>
  <c r="O127" i="1"/>
  <c r="F169" i="3"/>
  <c r="O252" i="1"/>
  <c r="F178" i="3"/>
  <c r="O140" i="1"/>
  <c r="F170" i="3"/>
  <c r="G136" i="3"/>
  <c r="G162" i="3"/>
  <c r="F143" i="3"/>
  <c r="M15" i="2"/>
  <c r="F139" i="3"/>
  <c r="O192" i="1"/>
  <c r="F174" i="3"/>
  <c r="G174" i="3"/>
  <c r="G148" i="3"/>
  <c r="G147" i="3"/>
  <c r="G173" i="3"/>
  <c r="O179" i="1"/>
  <c r="F173" i="3"/>
  <c r="M22" i="2"/>
  <c r="F149" i="3"/>
  <c r="M18" i="2"/>
  <c r="F145" i="3"/>
  <c r="M25" i="2"/>
  <c r="F152" i="3"/>
  <c r="O206" i="1"/>
  <c r="F175" i="3"/>
  <c r="M12" i="2"/>
  <c r="F136" i="3"/>
  <c r="G166" i="3"/>
  <c r="G140" i="3"/>
  <c r="M17" i="2"/>
  <c r="F144" i="3"/>
  <c r="G171" i="3"/>
  <c r="G145" i="3"/>
  <c r="G165" i="3"/>
  <c r="G139" i="3"/>
  <c r="G163" i="3"/>
  <c r="G137" i="3"/>
  <c r="O43" i="1"/>
  <c r="F163" i="3"/>
  <c r="O56" i="1"/>
  <c r="F164" i="3"/>
  <c r="O69" i="1"/>
  <c r="F165" i="3"/>
  <c r="M21" i="2"/>
  <c r="F148" i="3"/>
  <c r="F140" i="3"/>
  <c r="K31" i="2" l="1"/>
  <c r="M34" i="2"/>
  <c r="K34" i="2"/>
  <c r="K32" i="2"/>
  <c r="K33" i="2"/>
  <c r="G178" i="3"/>
  <c r="M213" i="1"/>
  <c r="T213" i="1"/>
  <c r="P90" i="1"/>
  <c r="Q90" i="1" s="1"/>
  <c r="G135" i="3"/>
  <c r="L16" i="2"/>
  <c r="F141" i="3" s="1"/>
  <c r="M19" i="2"/>
  <c r="G146" i="3"/>
  <c r="O17" i="1"/>
  <c r="F161" i="3"/>
  <c r="O273" i="1"/>
  <c r="L27" i="2"/>
  <c r="M27" i="2" s="1"/>
  <c r="G170" i="3"/>
  <c r="M166" i="1"/>
  <c r="N166" i="1" s="1"/>
  <c r="O166" i="1" s="1"/>
  <c r="G175" i="3"/>
  <c r="F137" i="3"/>
  <c r="P159" i="1"/>
  <c r="Q159" i="1" s="1"/>
  <c r="N279" i="1"/>
  <c r="O279" i="1" s="1"/>
  <c r="N27" i="2" s="1"/>
  <c r="M280" i="1"/>
  <c r="N280" i="1" s="1"/>
  <c r="O280" i="1" s="1"/>
  <c r="P273" i="1"/>
  <c r="Q273" i="1" s="1"/>
  <c r="O84" i="1"/>
  <c r="O31" i="1"/>
  <c r="O153" i="1"/>
  <c r="N228" i="1"/>
  <c r="O228" i="1" s="1"/>
  <c r="N264" i="1"/>
  <c r="O264" i="1" s="1"/>
  <c r="N26" i="2" s="1"/>
  <c r="M265" i="1"/>
  <c r="N265" i="1" s="1"/>
  <c r="O258" i="1"/>
  <c r="L26" i="2"/>
  <c r="Q255" i="1"/>
  <c r="P258" i="1"/>
  <c r="Q258" i="1" s="1"/>
  <c r="G141" i="3"/>
  <c r="G167" i="3"/>
  <c r="M214" i="1" l="1"/>
  <c r="N214" i="1" s="1"/>
  <c r="O214" i="1" s="1"/>
  <c r="R214" i="1"/>
  <c r="M220" i="1"/>
  <c r="J23" i="2"/>
  <c r="O23" i="2" s="1"/>
  <c r="N213" i="1"/>
  <c r="O213" i="1" s="1"/>
  <c r="M16" i="2"/>
  <c r="M353" i="1"/>
  <c r="Q244" i="1"/>
  <c r="Q243" i="1"/>
  <c r="F172" i="3"/>
  <c r="M235" i="1"/>
  <c r="N229" i="1"/>
  <c r="P225" i="1"/>
  <c r="Q225" i="1" s="1"/>
  <c r="P224" i="1"/>
  <c r="Q224" i="1" s="1"/>
  <c r="P226" i="1"/>
  <c r="Q226" i="1" s="1"/>
  <c r="P227" i="1"/>
  <c r="Q227" i="1" s="1"/>
  <c r="R229" i="1"/>
  <c r="P228" i="1"/>
  <c r="Q228" i="1" s="1"/>
  <c r="J24" i="2"/>
  <c r="O24" i="2" s="1"/>
  <c r="F179" i="3"/>
  <c r="O265" i="1"/>
  <c r="G179" i="3"/>
  <c r="G153" i="3"/>
  <c r="M26" i="2"/>
  <c r="F153" i="3"/>
  <c r="Q49" i="1"/>
  <c r="P210" i="1" l="1"/>
  <c r="Q210" i="1" s="1"/>
  <c r="P211" i="1"/>
  <c r="Q211" i="1" s="1"/>
  <c r="P213" i="1"/>
  <c r="Q213" i="1" s="1"/>
  <c r="P209" i="1"/>
  <c r="Q209" i="1" s="1"/>
  <c r="P212" i="1"/>
  <c r="Q212" i="1" s="1"/>
  <c r="L23" i="2"/>
  <c r="F150" i="3" s="1"/>
  <c r="M221" i="1"/>
  <c r="N221" i="1" s="1"/>
  <c r="N220" i="1"/>
  <c r="O220" i="1" s="1"/>
  <c r="N23" i="2" s="1"/>
  <c r="M236" i="1"/>
  <c r="N236" i="1" s="1"/>
  <c r="O236" i="1" s="1"/>
  <c r="M359" i="1"/>
  <c r="N353" i="1"/>
  <c r="O353" i="1" s="1"/>
  <c r="L24" i="2"/>
  <c r="F151" i="3" s="1"/>
  <c r="O229" i="1"/>
  <c r="N235" i="1"/>
  <c r="P214" i="1"/>
  <c r="Q214" i="1" s="1"/>
  <c r="J29" i="2"/>
  <c r="P229" i="1"/>
  <c r="Q229" i="1" s="1"/>
  <c r="K11" i="2" l="1"/>
  <c r="J38" i="2"/>
  <c r="M23" i="2"/>
  <c r="G150" i="3"/>
  <c r="G176" i="3"/>
  <c r="O221" i="1"/>
  <c r="F176" i="3"/>
  <c r="F177" i="3"/>
  <c r="O235" i="1"/>
  <c r="N24" i="2" s="1"/>
  <c r="G177" i="3" s="1"/>
  <c r="N359" i="1"/>
  <c r="N361" i="1" s="1"/>
  <c r="K23" i="2"/>
  <c r="K27" i="2"/>
  <c r="M24" i="2"/>
  <c r="L29" i="2"/>
  <c r="K20" i="2"/>
  <c r="K28" i="2"/>
  <c r="K15" i="2"/>
  <c r="K17" i="2"/>
  <c r="K14" i="2"/>
  <c r="K29" i="2"/>
  <c r="K18" i="2"/>
  <c r="K24" i="2"/>
  <c r="K12" i="2"/>
  <c r="K21" i="2"/>
  <c r="O29" i="2"/>
  <c r="O38" i="2" s="1"/>
  <c r="K16" i="2"/>
  <c r="K26" i="2"/>
  <c r="K25" i="2"/>
  <c r="K19" i="2"/>
  <c r="K22" i="2"/>
  <c r="K13" i="2"/>
  <c r="G121" i="3"/>
  <c r="H121" i="3" s="1"/>
  <c r="I121" i="3" s="1"/>
  <c r="G113" i="3"/>
  <c r="H113" i="3" s="1"/>
  <c r="I113" i="3" s="1"/>
  <c r="G112" i="3"/>
  <c r="H112" i="3" s="1"/>
  <c r="I112" i="3" s="1"/>
  <c r="G123" i="3"/>
  <c r="H123" i="3" s="1"/>
  <c r="I123" i="3" s="1"/>
  <c r="G111" i="3"/>
  <c r="H111" i="3" s="1"/>
  <c r="I111" i="3" s="1"/>
  <c r="G122" i="3"/>
  <c r="H122" i="3" s="1"/>
  <c r="I122" i="3" s="1"/>
  <c r="M29" i="2" l="1"/>
  <c r="L38" i="2"/>
  <c r="O359" i="1"/>
  <c r="G151" i="3"/>
  <c r="M38" i="2"/>
  <c r="J47" i="2"/>
  <c r="G128" i="3" l="1"/>
  <c r="H128" i="3" s="1"/>
  <c r="I128" i="3" s="1"/>
  <c r="L47" i="2"/>
  <c r="L49" i="2" s="1"/>
  <c r="L50" i="2" s="1"/>
  <c r="N47" i="2" l="1"/>
  <c r="G118" i="3" l="1"/>
  <c r="H118" i="3" s="1"/>
  <c r="I118" i="3" s="1"/>
  <c r="G117" i="3"/>
  <c r="H117" i="3" s="1"/>
  <c r="I117" i="3" s="1"/>
  <c r="G126" i="3"/>
  <c r="H126" i="3" s="1"/>
  <c r="I126" i="3" s="1"/>
  <c r="G129" i="3"/>
  <c r="H129" i="3" s="1"/>
  <c r="I129" i="3" s="1"/>
  <c r="T387" i="1"/>
  <c r="G116" i="3"/>
  <c r="H116" i="3" s="1"/>
  <c r="I116" i="3" s="1"/>
  <c r="G119" i="3"/>
  <c r="H119" i="3" s="1"/>
  <c r="I119" i="3" s="1"/>
  <c r="T384" i="1" l="1"/>
  <c r="L385" i="1"/>
  <c r="G127" i="3" s="1"/>
  <c r="H127" i="3" s="1"/>
  <c r="I127" i="3" s="1"/>
</calcChain>
</file>

<file path=xl/sharedStrings.xml><?xml version="1.0" encoding="utf-8"?>
<sst xmlns="http://schemas.openxmlformats.org/spreadsheetml/2006/main" count="434" uniqueCount="174">
  <si>
    <t>Billing Analysis for Pass-Through Rate Increase</t>
  </si>
  <si>
    <t>#</t>
  </si>
  <si>
    <t>Item</t>
  </si>
  <si>
    <t>Present Revenue</t>
  </si>
  <si>
    <t>Proposed Revenue</t>
  </si>
  <si>
    <t>Increase ($)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</si>
  <si>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</si>
  <si>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</si>
  <si>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</si>
  <si>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</si>
  <si>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</si>
  <si>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</si>
  <si>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</si>
  <si>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</si>
  <si>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</si>
  <si>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</si>
  <si>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</si>
  <si>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</si>
  <si>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</si>
  <si>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</si>
  <si>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</si>
  <si>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</si>
  <si>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</si>
  <si>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</si>
  <si>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</si>
  <si>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</si>
  <si>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</si>
  <si>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</si>
  <si>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</si>
  <si>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</si>
  <si>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</si>
  <si>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</si>
  <si>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</si>
  <si>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</si>
  <si>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</si>
  <si>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</si>
  <si>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</si>
  <si>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</si>
  <si>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</si>
  <si>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</si>
  <si>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</si>
  <si>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Special</t>
  </si>
  <si>
    <t>TOTAL Base Rates</t>
  </si>
  <si>
    <t xml:space="preserve">Remaining Revenue Increase Allocated by East Kentucky Power Cooperative:   </t>
  </si>
  <si>
    <t>Base %</t>
  </si>
  <si>
    <t>Total %</t>
  </si>
  <si>
    <t>Present</t>
  </si>
  <si>
    <t>Rate</t>
  </si>
  <si>
    <t>Proposed</t>
  </si>
  <si>
    <t>Energy Charge per kWh</t>
  </si>
  <si>
    <t>Demand Charge per kW</t>
  </si>
  <si>
    <t>Owen Electric Cooperative</t>
  </si>
  <si>
    <t>Schedule 1-D Farm &amp; Home Inclining Block</t>
  </si>
  <si>
    <t>Schedule 1-Small Commercial</t>
  </si>
  <si>
    <t>Schedule II-Large Power</t>
  </si>
  <si>
    <t>Schedule XI- LPB1</t>
  </si>
  <si>
    <t>Schedule XIV LPB</t>
  </si>
  <si>
    <t>Sched. 2-A Large Power TOD Primary Mtrd</t>
  </si>
  <si>
    <t>Sched. 1-B1 Farm &amp; Home Time-of-Day</t>
  </si>
  <si>
    <t>Sched. 1-B2 Farm &amp; Home Time-of-Day</t>
  </si>
  <si>
    <t>Sched. 1-B3 Farm &amp; Home Time-of-Day</t>
  </si>
  <si>
    <t>Sched NM - Net Metering - Residential</t>
  </si>
  <si>
    <t>Sched NM - Net Metering - Small Commercial</t>
  </si>
  <si>
    <t>Sched NM - Net Metering - Large Commercial</t>
  </si>
  <si>
    <t>Prepay Metering Program</t>
  </si>
  <si>
    <t>Energy Charge per kWh (0-300 kWh)</t>
  </si>
  <si>
    <t>Energy Charge per kWh (301-500 kWh)</t>
  </si>
  <si>
    <t>Energy Charge per kWh (over 500 kWh)</t>
  </si>
  <si>
    <t>Demand Charge Excess per kW</t>
  </si>
  <si>
    <t>Energy Charge per kWh first 425</t>
  </si>
  <si>
    <t>Energy Charge per kWh over 425</t>
  </si>
  <si>
    <t>Energy Charge per kWh On Peak</t>
  </si>
  <si>
    <t>Energy Charge per kWh Off Peak</t>
  </si>
  <si>
    <t>Energy On-Peak per kWh</t>
  </si>
  <si>
    <t>Energy Off-Peak per kWh</t>
  </si>
  <si>
    <t>Energy Shoulder per kWh</t>
  </si>
  <si>
    <t>Energy Delivered per kWh</t>
  </si>
  <si>
    <t>Energy Received per kWh</t>
  </si>
  <si>
    <t>Program Fee</t>
  </si>
  <si>
    <t>Demand Credit Interruptible 10 Min</t>
  </si>
  <si>
    <t>Demand Credit Interruptible 90 Min</t>
  </si>
  <si>
    <t xml:space="preserve">Demand Charge per kW  </t>
  </si>
  <si>
    <t>Schedule I OLS - Outdoor Lighting Service</t>
  </si>
  <si>
    <t>Rate 2</t>
  </si>
  <si>
    <t>LED Outdoor Light on existing pole</t>
  </si>
  <si>
    <t>LED Outdoor Light one pole added</t>
  </si>
  <si>
    <t>100 Watt, S/L on existing pole</t>
  </si>
  <si>
    <t>100 Watt, S/L one pole added</t>
  </si>
  <si>
    <t>Rate 3</t>
  </si>
  <si>
    <t>Cobrahead 100 Watt on existing pole</t>
  </si>
  <si>
    <t>Cobrahead 100 Watt, 1 pole added</t>
  </si>
  <si>
    <t>Cobrahead 250 Watt on existing pole</t>
  </si>
  <si>
    <t>Cobrahead 250 Watt, 1 pole added</t>
  </si>
  <si>
    <t>Cobrahead 400 Watt on existing pole</t>
  </si>
  <si>
    <t>Cobrahead 400 Watt, 1 pole added</t>
  </si>
  <si>
    <t>Directional 100 Watt on existing pole</t>
  </si>
  <si>
    <t>Directional 100 Watt, 1 pole added</t>
  </si>
  <si>
    <t>Directional 250 Watt on existing pole</t>
  </si>
  <si>
    <t>Directional 250 Watt, 1 pole added</t>
  </si>
  <si>
    <t>Directional 400 Watt on existing pole</t>
  </si>
  <si>
    <t>Directional 400 Watt, 1 pole added</t>
  </si>
  <si>
    <t>Directional - LED on existing pole (51 watt or equivalent)</t>
  </si>
  <si>
    <t>Directional - LED one pole added (51 watt or equivalent)</t>
  </si>
  <si>
    <t>Directional- LED on existing pole (85 watt or equivalent)</t>
  </si>
  <si>
    <t>Directional - LED one pole added (85 watt or equivalent)</t>
  </si>
  <si>
    <t>Directional - LED on existing pole (129 watt or equivalent)</t>
  </si>
  <si>
    <t>Directional - LED one pole added (129 watt or equivalent)</t>
  </si>
  <si>
    <t>Schedule II SOLS - Special Outdoor Lighting Service</t>
  </si>
  <si>
    <t>Traditional light, w/ fiberglass pole</t>
  </si>
  <si>
    <t>Holophane light, w/ fiberglass pole</t>
  </si>
  <si>
    <t>Acorn - LED w/ fiberglass pole</t>
  </si>
  <si>
    <t>Holophane LED, w/ fiberglass pole</t>
  </si>
  <si>
    <t>Traditionaire LED, w/ fiberglass pole</t>
  </si>
  <si>
    <t>Holophane LED, w/ aluminum pole</t>
  </si>
  <si>
    <t>Schedule III SOLS - Special Outdoor Lighting Service (none)</t>
  </si>
  <si>
    <t>Energy</t>
  </si>
  <si>
    <t>OLS</t>
  </si>
  <si>
    <t>Schedule XIII-LPB2</t>
  </si>
  <si>
    <t>Target Share</t>
  </si>
  <si>
    <t>Schedule I-Farm and Home</t>
  </si>
  <si>
    <t>Interruptible Credit</t>
  </si>
  <si>
    <t xml:space="preserve">    Market Buy-Through Charge</t>
  </si>
  <si>
    <t>Adj for kWh paid with Accum Cred</t>
  </si>
  <si>
    <t>Adj for kWh with zero dollar value</t>
  </si>
  <si>
    <t>Distribution Demand per kW</t>
  </si>
  <si>
    <t>Distribution Energy per kWh</t>
  </si>
  <si>
    <t>Schedule X - Large Industrial Rate LPC1A</t>
  </si>
  <si>
    <t>Schedule IX - Large Industrial Rate LPC2</t>
  </si>
  <si>
    <t>The amount of the change requested in both dollar amounts and percentage change for each customer classification to which the proposed rates will apply is set forth below:</t>
  </si>
  <si>
    <t>Increase</t>
  </si>
  <si>
    <t>Dollars</t>
  </si>
  <si>
    <t>Percent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</si>
  <si>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</si>
  <si>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</si>
  <si>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</si>
  <si>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 4</t>
  </si>
  <si>
    <t>&lt;5% discount of Rate 4</t>
  </si>
  <si>
    <t>&lt;5% discount off Rate 22</t>
  </si>
  <si>
    <t xml:space="preserve">Special Contract </t>
  </si>
  <si>
    <t>Schedule II-Large Power - Primary Metered</t>
  </si>
  <si>
    <t>Schedule VIII- Large Industrial Rate LPC1</t>
  </si>
  <si>
    <t>Schedule XII- Large Industrial Rate LPB1A</t>
  </si>
  <si>
    <t>Present &amp; Proposed Rates</t>
  </si>
  <si>
    <t xml:space="preserve">Sched. 2-A Large Power TOD  </t>
  </si>
  <si>
    <t>Sched. 1-C Small Commercial TOD</t>
  </si>
  <si>
    <t>Cobrahead - LED on existing pole (59 watt or equiv)</t>
  </si>
  <si>
    <t>Cobrahead - LED one pole added (59 watt or equiv)</t>
  </si>
  <si>
    <t>Cobrahead - LED on existing pole (113 watt or equiv)</t>
  </si>
  <si>
    <t>Cobrahead - LED one pole added (113 watt or equiv)</t>
  </si>
  <si>
    <t>Cobrahead - LED on existing pole (225 watt or equiv)</t>
  </si>
  <si>
    <t>Cobrahead - LED one pole added (225 watt or equiv)</t>
  </si>
  <si>
    <t xml:space="preserve">Total Special Contract Increase Allocated by East Kentucky Power Cooperative:   </t>
  </si>
  <si>
    <t>Prepay Metering Program - Inclining Block</t>
  </si>
  <si>
    <t>ETS Off-Peak - Special Contract</t>
  </si>
  <si>
    <t>Incr</t>
  </si>
  <si>
    <t>2023 Rate</t>
  </si>
  <si>
    <t xml:space="preserve">          2023 Revenue</t>
  </si>
  <si>
    <t>FAC Roll-In &gt;</t>
  </si>
  <si>
    <t xml:space="preserve">    Interr Credit</t>
  </si>
  <si>
    <t xml:space="preserve">    Market Buy-Through Charge + Penalty</t>
  </si>
  <si>
    <t xml:space="preserve">    EDR Credit</t>
  </si>
  <si>
    <t>60,62</t>
  </si>
  <si>
    <t>2023 Revenue</t>
  </si>
  <si>
    <t>BuyThru Credit On Peak</t>
  </si>
  <si>
    <t>BuyThru Credit Off Peak</t>
  </si>
  <si>
    <t>B</t>
  </si>
  <si>
    <t>E</t>
  </si>
  <si>
    <t>E+B</t>
  </si>
  <si>
    <t xml:space="preserve">Total Rate B Increase Allocated by East Kentucky Power Cooperative:   </t>
  </si>
  <si>
    <t>SubTotal Base Rate B</t>
  </si>
  <si>
    <t>SubTotal Base Rate E</t>
  </si>
  <si>
    <t>Same as EKPC Rate C</t>
  </si>
  <si>
    <t>same as LPB 2</t>
  </si>
  <si>
    <t>FAC Roll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</si>
</sst>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0.000000"/>
    <numFmt numFmtId="173" formatCode="_(&quot;$&quot;* #,##0.000000_);_(&quot;$&quot;* \(#,##0.000000\);_(&quot;$&quot;* &quot;-&quot;??_);_(@_)"/>
    <numFmt numFmtId="17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u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9" fontId="3" fillId="0" borderId="0" xfId="3" applyFont="1"/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3" fontId="3" fillId="0" borderId="0" xfId="1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4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0" fontId="3" fillId="0" borderId="5" xfId="3" applyNumberFormat="1" applyFont="1" applyBorder="1" applyAlignment="1"/>
    <xf numFmtId="164" fontId="3" fillId="3" borderId="0" xfId="1" applyNumberFormat="1" applyFont="1" applyFill="1" applyAlignment="1"/>
    <xf numFmtId="0" fontId="3" fillId="3" borderId="0" xfId="0" applyFont="1" applyFill="1"/>
    <xf numFmtId="165" fontId="3" fillId="3" borderId="0" xfId="2" applyNumberFormat="1" applyFont="1" applyFill="1" applyAlignment="1"/>
    <xf numFmtId="0" fontId="3" fillId="3" borderId="2" xfId="0" applyFont="1" applyFill="1" applyBorder="1"/>
    <xf numFmtId="165" fontId="3" fillId="3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4" xfId="0" applyFont="1" applyFill="1" applyBorder="1"/>
    <xf numFmtId="44" fontId="3" fillId="0" borderId="0" xfId="2" applyFont="1" applyAlignment="1"/>
    <xf numFmtId="0" fontId="2" fillId="0" borderId="4" xfId="0" applyFont="1" applyBorder="1"/>
    <xf numFmtId="44" fontId="3" fillId="0" borderId="0" xfId="2" applyFont="1"/>
    <xf numFmtId="171" fontId="3" fillId="0" borderId="0" xfId="2" applyNumberFormat="1" applyFont="1"/>
    <xf numFmtId="165" fontId="3" fillId="0" borderId="0" xfId="0" applyNumberFormat="1" applyFont="1" applyAlignment="1">
      <alignment horizontal="left"/>
    </xf>
    <xf numFmtId="43" fontId="3" fillId="0" borderId="0" xfId="1" applyFont="1" applyAlignment="1"/>
    <xf numFmtId="43" fontId="3" fillId="0" borderId="0" xfId="1" applyFont="1" applyFill="1"/>
    <xf numFmtId="0" fontId="3" fillId="0" borderId="4" xfId="0" applyFont="1" applyBorder="1"/>
    <xf numFmtId="44" fontId="0" fillId="0" borderId="0" xfId="2" applyFont="1"/>
    <xf numFmtId="44" fontId="2" fillId="0" borderId="4" xfId="2" applyFont="1" applyBorder="1" applyAlignment="1">
      <alignment horizontal="center"/>
    </xf>
    <xf numFmtId="173" fontId="3" fillId="0" borderId="0" xfId="2" applyNumberFormat="1" applyFont="1"/>
    <xf numFmtId="0" fontId="10" fillId="0" borderId="0" xfId="0" applyFont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174" fontId="3" fillId="0" borderId="0" xfId="0" applyNumberFormat="1" applyFont="1"/>
    <xf numFmtId="164" fontId="7" fillId="0" borderId="0" xfId="1" applyNumberFormat="1" applyFont="1" applyAlignment="1">
      <alignment horizontal="right"/>
    </xf>
    <xf numFmtId="10" fontId="3" fillId="0" borderId="0" xfId="3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4" xfId="0" applyFont="1" applyBorder="1"/>
    <xf numFmtId="0" fontId="7" fillId="0" borderId="0" xfId="0" applyFont="1"/>
    <xf numFmtId="174" fontId="3" fillId="0" borderId="0" xfId="0" applyNumberFormat="1" applyFont="1" applyAlignment="1">
      <alignment horizontal="right"/>
    </xf>
    <xf numFmtId="164" fontId="7" fillId="0" borderId="0" xfId="1" applyNumberFormat="1" applyFont="1" applyAlignment="1">
      <alignment horizontal="center"/>
    </xf>
    <xf numFmtId="170" fontId="3" fillId="0" borderId="0" xfId="1" applyNumberFormat="1" applyFont="1"/>
    <xf numFmtId="0" fontId="3" fillId="2" borderId="0" xfId="0" applyFont="1" applyFill="1"/>
    <xf numFmtId="165" fontId="7" fillId="0" borderId="0" xfId="2" applyNumberFormat="1" applyFont="1" applyFill="1" applyAlignment="1"/>
    <xf numFmtId="10" fontId="7" fillId="0" borderId="0" xfId="3" applyNumberFormat="1" applyFont="1" applyFill="1" applyAlignment="1"/>
    <xf numFmtId="165" fontId="7" fillId="0" borderId="2" xfId="2" applyNumberFormat="1" applyFont="1" applyFill="1" applyBorder="1" applyAlignment="1"/>
    <xf numFmtId="10" fontId="7" fillId="0" borderId="2" xfId="3" applyNumberFormat="1" applyFont="1" applyFill="1" applyBorder="1" applyAlignment="1"/>
    <xf numFmtId="164" fontId="3" fillId="0" borderId="0" xfId="1" applyNumberFormat="1" applyFont="1"/>
    <xf numFmtId="44" fontId="3" fillId="0" borderId="0" xfId="2" applyFont="1" applyFill="1"/>
    <xf numFmtId="44" fontId="2" fillId="0" borderId="4" xfId="2" applyFont="1" applyFill="1" applyBorder="1" applyAlignment="1">
      <alignment horizontal="center"/>
    </xf>
    <xf numFmtId="171" fontId="3" fillId="0" borderId="0" xfId="2" applyNumberFormat="1" applyFont="1" applyFill="1"/>
    <xf numFmtId="173" fontId="3" fillId="0" borderId="0" xfId="2" applyNumberFormat="1" applyFont="1" applyFill="1"/>
    <xf numFmtId="0" fontId="11" fillId="0" borderId="0" xfId="0" applyFont="1" applyAlignment="1">
      <alignment vertical="top" wrapText="1"/>
    </xf>
    <xf numFmtId="165" fontId="3" fillId="0" borderId="0" xfId="2" applyNumberFormat="1" applyFont="1" applyFill="1"/>
    <xf numFmtId="10" fontId="3" fillId="0" borderId="0" xfId="0" applyNumberFormat="1" applyFont="1"/>
    <xf numFmtId="10" fontId="3" fillId="0" borderId="0" xfId="3" applyNumberFormat="1" applyFont="1" applyFill="1"/>
    <xf numFmtId="9" fontId="3" fillId="0" borderId="0" xfId="3" applyFont="1" applyAlignment="1">
      <alignment horizontal="right"/>
    </xf>
    <xf numFmtId="10" fontId="3" fillId="0" borderId="0" xfId="3" applyNumberFormat="1" applyFont="1" applyAlignment="1">
      <alignment horizontal="right"/>
    </xf>
    <xf numFmtId="165" fontId="7" fillId="0" borderId="2" xfId="2" applyNumberFormat="1" applyFont="1" applyBorder="1" applyAlignment="1"/>
    <xf numFmtId="165" fontId="3" fillId="0" borderId="0" xfId="2" applyNumberFormat="1" applyFont="1" applyFill="1" applyBorder="1" applyAlignment="1"/>
    <xf numFmtId="6" fontId="3" fillId="0" borderId="1" xfId="0" applyNumberFormat="1" applyFont="1" applyBorder="1"/>
    <xf numFmtId="164" fontId="3" fillId="0" borderId="1" xfId="0" applyNumberFormat="1" applyFont="1" applyBorder="1"/>
    <xf numFmtId="168" fontId="3" fillId="0" borderId="0" xfId="1" applyNumberFormat="1" applyFont="1" applyFill="1"/>
    <xf numFmtId="0" fontId="2" fillId="0" borderId="0" xfId="0" applyFont="1" applyAlignment="1">
      <alignment horizontal="right" wrapText="1"/>
    </xf>
    <xf numFmtId="164" fontId="3" fillId="0" borderId="0" xfId="1" applyNumberFormat="1" applyFont="1" applyFill="1"/>
    <xf numFmtId="167" fontId="3" fillId="0" borderId="0" xfId="1" applyNumberFormat="1" applyFont="1" applyFill="1"/>
    <xf numFmtId="165" fontId="3" fillId="0" borderId="5" xfId="2" applyNumberFormat="1" applyFont="1" applyFill="1" applyBorder="1" applyAlignment="1">
      <alignment vertical="center"/>
    </xf>
    <xf numFmtId="165" fontId="3" fillId="0" borderId="5" xfId="2" applyNumberFormat="1" applyFont="1" applyFill="1" applyBorder="1"/>
    <xf numFmtId="165" fontId="3" fillId="0" borderId="3" xfId="2" applyNumberFormat="1" applyFont="1" applyFill="1" applyBorder="1" applyAlignment="1">
      <alignment vertical="center"/>
    </xf>
    <xf numFmtId="166" fontId="3" fillId="0" borderId="0" xfId="0" applyNumberFormat="1" applyFont="1"/>
    <xf numFmtId="0" fontId="2" fillId="0" borderId="0" xfId="0" applyFont="1" applyAlignment="1">
      <alignment horizontal="right"/>
    </xf>
    <xf numFmtId="10" fontId="3" fillId="0" borderId="5" xfId="3" applyNumberFormat="1" applyFont="1" applyFill="1" applyBorder="1" applyAlignment="1">
      <alignment vertical="center"/>
    </xf>
    <xf numFmtId="165" fontId="3" fillId="0" borderId="5" xfId="3" applyNumberFormat="1" applyFont="1" applyFill="1" applyBorder="1" applyAlignment="1">
      <alignment vertical="center"/>
    </xf>
    <xf numFmtId="44" fontId="3" fillId="0" borderId="5" xfId="2" applyFont="1" applyFill="1" applyBorder="1" applyAlignment="1">
      <alignment vertical="center"/>
    </xf>
    <xf numFmtId="169" fontId="3" fillId="0" borderId="0" xfId="3" applyNumberFormat="1" applyFont="1" applyFill="1"/>
    <xf numFmtId="43" fontId="3" fillId="0" borderId="5" xfId="1" applyFont="1" applyFill="1" applyBorder="1"/>
    <xf numFmtId="10" fontId="3" fillId="0" borderId="3" xfId="3" applyNumberFormat="1" applyFont="1" applyFill="1" applyBorder="1" applyAlignment="1">
      <alignment vertical="center"/>
    </xf>
    <xf numFmtId="168" fontId="3" fillId="0" borderId="5" xfId="0" applyNumberFormat="1" applyFont="1" applyBorder="1" applyAlignment="1">
      <alignment vertical="center"/>
    </xf>
    <xf numFmtId="44" fontId="3" fillId="0" borderId="0" xfId="0" applyNumberFormat="1" applyFont="1"/>
    <xf numFmtId="167" fontId="3" fillId="0" borderId="0" xfId="0" applyNumberFormat="1" applyFont="1"/>
    <xf numFmtId="164" fontId="3" fillId="0" borderId="0" xfId="0" applyNumberFormat="1" applyFont="1"/>
    <xf numFmtId="168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12" fillId="0" borderId="0" xfId="5" applyFont="1"/>
    <xf numFmtId="0" fontId="3" fillId="0" borderId="0" xfId="5" applyFont="1"/>
    <xf numFmtId="10" fontId="3" fillId="0" borderId="5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70" fontId="3" fillId="0" borderId="0" xfId="1" applyNumberFormat="1" applyFont="1" applyFill="1" applyAlignment="1">
      <alignment vertical="center"/>
    </xf>
    <xf numFmtId="166" fontId="3" fillId="0" borderId="5" xfId="0" applyNumberFormat="1" applyFont="1" applyBorder="1" applyAlignment="1">
      <alignment vertical="center"/>
    </xf>
    <xf numFmtId="172" fontId="3" fillId="0" borderId="0" xfId="0" applyNumberFormat="1" applyFont="1"/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70" fontId="3" fillId="0" borderId="0" xfId="1" applyNumberFormat="1" applyFont="1" applyFill="1"/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44" fontId="3" fillId="0" borderId="2" xfId="2" applyFont="1" applyBorder="1"/>
    <xf numFmtId="10" fontId="3" fillId="0" borderId="2" xfId="2" applyNumberFormat="1" applyFont="1" applyBorder="1"/>
    <xf numFmtId="0" fontId="7" fillId="0" borderId="2" xfId="0" applyFont="1" applyBorder="1" applyAlignment="1">
      <alignment horizontal="left"/>
    </xf>
    <xf numFmtId="165" fontId="3" fillId="0" borderId="2" xfId="2" applyNumberFormat="1" applyFont="1" applyBorder="1" applyAlignment="1">
      <alignment horizontal="right"/>
    </xf>
    <xf numFmtId="10" fontId="3" fillId="0" borderId="2" xfId="3" applyNumberFormat="1" applyFont="1" applyBorder="1" applyAlignment="1">
      <alignment horizontal="right"/>
    </xf>
  </cellXfs>
  <cellStyles count="6">
    <cellStyle name="Comma" xfId="1" builtinId="3"/>
    <cellStyle name="Currency" xfId="2" builtinId="4"/>
    <cellStyle name="Normal" xfId="0" builtinId="0"/>
    <cellStyle name="Normal 2" xfId="4" xr:uid="{07BB8BC8-C5A2-4D23-8181-BEF9162D0260}"/>
    <cellStyle name="Normal 2 2" xfId="5" xr:uid="{C9D1529C-2A68-4361-964F-3196B242D172}"/>
    <cellStyle name="Percent" xfId="3" builtinId="5"/>
  </cellStyles>
  <dxfs count="0"/>
  <tableStyles count="0" defaultTableStyle="TableStyleMedium2" defaultPivotStyle="PivotStyleLight16"/>
  <colors>
    <mruColors>
      <color rgb="FFF874DF"/>
      <color rgb="FFF650D6"/>
      <color rgb="FFCCFF66"/>
      <color rgb="FF0000FF"/>
      <color rgb="FFFFCCFF"/>
      <color rgb="FFCCFFFF"/>
      <color rgb="FFFFFFCC"/>
      <color rgb="FFF7635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Y51"/>
  <sheetViews>
    <sheetView tabSelected="1" view="pageBreakPreview" topLeftCell="A29" zoomScaleNormal="100" zoomScaleSheetLayoutView="100" workbookViewId="0">
      <selection activeCell="L403" sqref="L403"/>
    </sheetView>
  </sheetViews>
  <sheetFormatPr defaultColWidth="8.88671875" defaultRowHeight="13.2" x14ac:dyDescent="0.25"/>
  <cols>
    <col min="1" max="1" width="9" style="2" bestFit="1" customWidth="1"/>
    <col min="2" max="2" width="40.109375" style="2" bestFit="1" customWidth="1"/>
    <col min="3" max="3" width="9.44140625" style="16" bestFit="1" customWidth="1"/>
    <col min="4" max="4" width="14.33203125" style="2" hidden="1" customWidth="1"/>
    <col min="5" max="5" width="14.33203125" style="2" bestFit="1" customWidth="1"/>
    <col min="6" max="6" width="9.5546875" style="2" bestFit="1" customWidth="1"/>
    <col min="7" max="7" width="14.33203125" style="2" bestFit="1" customWidth="1"/>
    <col min="8" max="8" width="10.6640625" style="2" bestFit="1" customWidth="1"/>
    <col min="9" max="9" width="12.33203125" style="2" bestFit="1" customWidth="1"/>
    <col min="10" max="10" width="14.33203125" style="2" bestFit="1" customWidth="1"/>
    <col min="11" max="11" width="11.5546875" style="2" customWidth="1"/>
    <col min="12" max="12" width="13.6640625" style="2" bestFit="1" customWidth="1"/>
    <col min="13" max="14" width="9.33203125" style="2" bestFit="1" customWidth="1"/>
    <col min="15" max="15" width="12.88671875" style="2" customWidth="1"/>
    <col min="16" max="16" width="22.6640625" style="2" customWidth="1"/>
    <col min="17" max="17" width="6.6640625" style="2" customWidth="1"/>
    <col min="18" max="18" width="14.5546875" style="2" customWidth="1"/>
    <col min="19" max="19" width="8.88671875" style="54"/>
    <col min="20" max="21" width="8.88671875" style="2"/>
    <col min="22" max="23" width="12.6640625" style="2" bestFit="1" customWidth="1"/>
    <col min="24" max="24" width="12.33203125" style="2" bestFit="1" customWidth="1"/>
    <col min="25" max="16384" width="8.88671875" style="2"/>
  </cols>
  <sheetData>
    <row r="1" spans="1:25" x14ac:dyDescent="0.25">
      <c r="A1" s="1" t="s">
        <v>51</v>
      </c>
    </row>
    <row r="2" spans="1:25" x14ac:dyDescent="0.25">
      <c r="A2" s="1" t="s">
        <v>0</v>
      </c>
      <c r="P2" s="54" t="s">
        <v>165</v>
      </c>
      <c r="Q2" s="93">
        <v>1822971.2193079963</v>
      </c>
    </row>
    <row r="3" spans="1:25" x14ac:dyDescent="0.25">
      <c r="A3" s="1"/>
      <c r="M3" s="5"/>
      <c r="P3" s="102" t="s">
        <v>166</v>
      </c>
      <c r="Q3" s="93">
        <v>6716213.5451429933</v>
      </c>
    </row>
    <row r="4" spans="1:25" x14ac:dyDescent="0.25">
      <c r="A4" s="1"/>
      <c r="K4" s="26" t="s">
        <v>37</v>
      </c>
      <c r="L4" s="106">
        <v>17602469.214803994</v>
      </c>
      <c r="M4" s="6"/>
      <c r="P4" s="103" t="s">
        <v>167</v>
      </c>
      <c r="Q4" s="93">
        <f>SUM(Q2:Q3)</f>
        <v>8539184.7644509897</v>
      </c>
    </row>
    <row r="5" spans="1:25" x14ac:dyDescent="0.25">
      <c r="K5" s="26" t="s">
        <v>151</v>
      </c>
      <c r="L5" s="106">
        <v>9063284.4503530115</v>
      </c>
      <c r="M5" s="6"/>
      <c r="N5" s="6"/>
    </row>
    <row r="6" spans="1:25" x14ac:dyDescent="0.25">
      <c r="K6" s="26" t="s">
        <v>168</v>
      </c>
      <c r="L6" s="107">
        <f>Q2</f>
        <v>1822971.2193079963</v>
      </c>
      <c r="M6" s="6"/>
      <c r="N6" s="6"/>
    </row>
    <row r="7" spans="1:25" x14ac:dyDescent="0.25">
      <c r="B7" s="3"/>
      <c r="C7" s="55"/>
      <c r="K7" s="26" t="s">
        <v>43</v>
      </c>
      <c r="L7" s="106">
        <f>L4-L5-L6</f>
        <v>6716213.5451429859</v>
      </c>
      <c r="M7" s="6"/>
      <c r="N7" s="6"/>
    </row>
    <row r="8" spans="1:25" x14ac:dyDescent="0.25">
      <c r="L8" s="84"/>
      <c r="M8" s="6"/>
      <c r="N8" s="6"/>
    </row>
    <row r="9" spans="1:25" s="11" customFormat="1" ht="31.95" customHeight="1" x14ac:dyDescent="0.25">
      <c r="A9" s="9" t="s">
        <v>1</v>
      </c>
      <c r="B9" s="9" t="s">
        <v>2</v>
      </c>
      <c r="C9" s="10" t="s">
        <v>12</v>
      </c>
      <c r="D9" s="12" t="s">
        <v>162</v>
      </c>
      <c r="E9" s="12" t="s">
        <v>3</v>
      </c>
      <c r="F9" s="12" t="s">
        <v>21</v>
      </c>
      <c r="G9" s="12" t="s">
        <v>32</v>
      </c>
      <c r="H9" s="12" t="s">
        <v>33</v>
      </c>
      <c r="I9" s="12" t="s">
        <v>34</v>
      </c>
      <c r="J9" s="12" t="s">
        <v>4</v>
      </c>
      <c r="K9" s="12" t="s">
        <v>23</v>
      </c>
      <c r="L9" s="12" t="s">
        <v>5</v>
      </c>
      <c r="M9" s="12" t="s">
        <v>44</v>
      </c>
      <c r="N9" s="12" t="s">
        <v>45</v>
      </c>
      <c r="O9" s="12" t="s">
        <v>36</v>
      </c>
      <c r="R9" s="2"/>
      <c r="S9" s="54"/>
      <c r="T9" s="2"/>
      <c r="U9" s="2"/>
    </row>
    <row r="10" spans="1:25" x14ac:dyDescent="0.25">
      <c r="A10" s="4">
        <v>1</v>
      </c>
      <c r="B10" s="30" t="s">
        <v>6</v>
      </c>
      <c r="C10" s="56"/>
      <c r="D10" s="30"/>
      <c r="E10" s="31"/>
      <c r="F10" s="32"/>
      <c r="G10" s="32"/>
      <c r="H10" s="11"/>
      <c r="I10" s="11"/>
      <c r="J10" s="31"/>
      <c r="K10" s="32"/>
      <c r="L10" s="31"/>
      <c r="M10" s="33"/>
      <c r="N10" s="33"/>
      <c r="Q10" s="11"/>
      <c r="V10" s="11"/>
    </row>
    <row r="11" spans="1:25" x14ac:dyDescent="0.25">
      <c r="A11" s="4">
        <f>A10+1</f>
        <v>2</v>
      </c>
      <c r="B11" s="2" t="str">
        <f>'Billing Detail'!B7</f>
        <v>Schedule I-Farm and Home</v>
      </c>
      <c r="C11" s="16">
        <f>'Billing Detail'!C7</f>
        <v>1</v>
      </c>
      <c r="D11" s="34">
        <f>'Billing Detail'!G10</f>
        <v>78419545.143959999</v>
      </c>
      <c r="E11" s="34">
        <f>'Billing Detail'!I10</f>
        <v>87293527.899659991</v>
      </c>
      <c r="F11" s="33">
        <f t="shared" ref="F11:F17" si="0">E11/E$29</f>
        <v>0.74366998402242013</v>
      </c>
      <c r="G11" s="89">
        <f>E11</f>
        <v>87293527.899659991</v>
      </c>
      <c r="H11" s="90">
        <f t="shared" ref="H11:H17" si="1">G11/G$29</f>
        <v>0.74366998402242013</v>
      </c>
      <c r="I11" s="89">
        <f>ROUND(L$7*H11,2)</f>
        <v>4994646.42</v>
      </c>
      <c r="J11" s="34">
        <f>'Billing Detail'!M10</f>
        <v>92286247.351018012</v>
      </c>
      <c r="K11" s="33">
        <f t="shared" ref="K11:K16" si="2">J11/J$29</f>
        <v>0.74368914424911337</v>
      </c>
      <c r="L11" s="34">
        <f>'Billing Detail'!N10</f>
        <v>4992719.4513580073</v>
      </c>
      <c r="M11" s="33">
        <f>IF(E11=0,0,L11/E11)</f>
        <v>5.7194611920106095E-2</v>
      </c>
      <c r="N11" s="33">
        <f>'Billing Detail'!O16</f>
        <v>5.1509298350558883E-2</v>
      </c>
      <c r="O11" s="13">
        <f>J11-I11-E11</f>
        <v>-1926.9686419814825</v>
      </c>
      <c r="Q11" s="54"/>
      <c r="V11" s="65"/>
      <c r="W11" s="13"/>
      <c r="X11" s="13"/>
      <c r="Y11" s="66"/>
    </row>
    <row r="12" spans="1:25" x14ac:dyDescent="0.25">
      <c r="A12" s="4">
        <f t="shared" ref="A12:A50" si="3">A11+1</f>
        <v>3</v>
      </c>
      <c r="B12" s="2" t="str">
        <f>'Billing Detail'!B19</f>
        <v>Schedule 1-D Farm &amp; Home Inclining Block</v>
      </c>
      <c r="C12" s="16">
        <f>'Billing Detail'!C19</f>
        <v>2</v>
      </c>
      <c r="D12" s="34">
        <f>'Billing Detail'!G24</f>
        <v>459708.5477</v>
      </c>
      <c r="E12" s="34">
        <f>'Billing Detail'!I24</f>
        <v>492188.95739999996</v>
      </c>
      <c r="F12" s="33">
        <f t="shared" si="0"/>
        <v>4.1930503084535694E-3</v>
      </c>
      <c r="G12" s="89">
        <f t="shared" ref="G12:G28" si="4">E12</f>
        <v>492188.95739999996</v>
      </c>
      <c r="H12" s="90">
        <f t="shared" si="1"/>
        <v>4.1930503084535694E-3</v>
      </c>
      <c r="I12" s="89">
        <f t="shared" ref="I12:I28" si="5">ROUND(L$7*H12,2)</f>
        <v>28161.42</v>
      </c>
      <c r="J12" s="34">
        <f>'Billing Detail'!M24</f>
        <v>520307.74771999998</v>
      </c>
      <c r="K12" s="33">
        <f t="shared" si="2"/>
        <v>4.1929023527881261E-3</v>
      </c>
      <c r="L12" s="34">
        <f>'Billing Detail'!N24</f>
        <v>28118.790320000044</v>
      </c>
      <c r="M12" s="33">
        <f t="shared" ref="M12:M28" si="6">IF(E12=0,0,L12/E12)</f>
        <v>5.713007148420849E-2</v>
      </c>
      <c r="N12" s="33">
        <f>'Billing Detail'!O30</f>
        <v>5.1338628215713084E-2</v>
      </c>
      <c r="O12" s="13">
        <f t="shared" ref="O12:O29" si="7">J12-I12-E12</f>
        <v>-42.629679999954533</v>
      </c>
      <c r="Q12" s="54"/>
      <c r="V12" s="65"/>
      <c r="W12" s="13"/>
      <c r="X12" s="13"/>
      <c r="Y12" s="66"/>
    </row>
    <row r="13" spans="1:25" x14ac:dyDescent="0.25">
      <c r="A13" s="4">
        <f t="shared" si="3"/>
        <v>4</v>
      </c>
      <c r="B13" s="2" t="str">
        <f>'Billing Detail'!B33</f>
        <v>Schedule 1-Small Commercial</v>
      </c>
      <c r="C13" s="16">
        <f>'Billing Detail'!C33</f>
        <v>3</v>
      </c>
      <c r="D13" s="34">
        <f>'Billing Detail'!G36</f>
        <v>5109576.0707</v>
      </c>
      <c r="E13" s="34">
        <f>'Billing Detail'!I36</f>
        <v>5699651.2502000006</v>
      </c>
      <c r="F13" s="33">
        <f t="shared" si="0"/>
        <v>4.8556401100454442E-2</v>
      </c>
      <c r="G13" s="89">
        <f t="shared" si="4"/>
        <v>5699651.2502000006</v>
      </c>
      <c r="H13" s="90">
        <f t="shared" si="1"/>
        <v>4.8556401100454442E-2</v>
      </c>
      <c r="I13" s="89">
        <f t="shared" si="5"/>
        <v>326115.15999999997</v>
      </c>
      <c r="J13" s="34">
        <f>'Billing Detail'!M36</f>
        <v>6025806.2732500006</v>
      </c>
      <c r="K13" s="33">
        <f t="shared" si="2"/>
        <v>4.8558987274876973E-2</v>
      </c>
      <c r="L13" s="34">
        <f>'Billing Detail'!N36</f>
        <v>326155.02304999996</v>
      </c>
      <c r="M13" s="33">
        <f t="shared" si="6"/>
        <v>5.7223680666173247E-2</v>
      </c>
      <c r="N13" s="33">
        <f>'Billing Detail'!O42</f>
        <v>5.1525708663900965E-2</v>
      </c>
      <c r="O13" s="13">
        <f t="shared" si="7"/>
        <v>39.863049999810755</v>
      </c>
      <c r="Q13" s="54"/>
      <c r="V13" s="65"/>
      <c r="W13" s="13"/>
      <c r="X13" s="13"/>
      <c r="Y13" s="66"/>
    </row>
    <row r="14" spans="1:25" x14ac:dyDescent="0.25">
      <c r="A14" s="4">
        <f t="shared" si="3"/>
        <v>5</v>
      </c>
      <c r="B14" s="2" t="str">
        <f>'Billing Detail'!B45</f>
        <v>Schedule II-Large Power</v>
      </c>
      <c r="C14" s="16">
        <f>'Billing Detail'!C45</f>
        <v>4</v>
      </c>
      <c r="D14" s="34">
        <f>'Billing Detail'!G49</f>
        <v>16003218.083589999</v>
      </c>
      <c r="E14" s="34">
        <f>'Billing Detail'!I49</f>
        <v>18249497.21094</v>
      </c>
      <c r="F14" s="33">
        <f t="shared" si="0"/>
        <v>0.15547089945633658</v>
      </c>
      <c r="G14" s="89">
        <f t="shared" si="4"/>
        <v>18249497.21094</v>
      </c>
      <c r="H14" s="90">
        <f t="shared" si="1"/>
        <v>0.15547089945633658</v>
      </c>
      <c r="I14" s="89">
        <f>ROUND(L$7*H14,2)</f>
        <v>1044175.76</v>
      </c>
      <c r="J14" s="34">
        <f>'Billing Detail'!M49</f>
        <v>19291690.63487</v>
      </c>
      <c r="K14" s="33">
        <f t="shared" si="2"/>
        <v>0.15546217677261359</v>
      </c>
      <c r="L14" s="34">
        <f>'Billing Detail'!N49</f>
        <v>1042193.423930001</v>
      </c>
      <c r="M14" s="33">
        <f>IF(E14=0,0,L14/E14)</f>
        <v>5.7108062314464136E-2</v>
      </c>
      <c r="N14" s="33">
        <f>'Billing Detail'!O55</f>
        <v>5.1610050417287022E-2</v>
      </c>
      <c r="O14" s="13">
        <f>J14-I14-E14</f>
        <v>-1982.3360700011253</v>
      </c>
      <c r="Q14" s="54"/>
      <c r="V14" s="65"/>
      <c r="W14" s="13"/>
      <c r="X14" s="13"/>
      <c r="Y14" s="66"/>
    </row>
    <row r="15" spans="1:25" x14ac:dyDescent="0.25">
      <c r="A15" s="4">
        <f t="shared" si="3"/>
        <v>6</v>
      </c>
      <c r="B15" s="2" t="str">
        <f>'Billing Detail'!B58</f>
        <v>Schedule II-Large Power - Primary Metered</v>
      </c>
      <c r="C15" s="16">
        <f>'Billing Detail'!C58</f>
        <v>5</v>
      </c>
      <c r="D15" s="34">
        <f>'Billing Detail'!G62</f>
        <v>1472777.1431999998</v>
      </c>
      <c r="E15" s="34">
        <f>'Billing Detail'!I62</f>
        <v>1681175.8767600001</v>
      </c>
      <c r="F15" s="33">
        <f t="shared" si="0"/>
        <v>1.4322253522003172E-2</v>
      </c>
      <c r="G15" s="89">
        <f t="shared" si="4"/>
        <v>1681175.8767600001</v>
      </c>
      <c r="H15" s="90">
        <f t="shared" si="1"/>
        <v>1.4322253522003172E-2</v>
      </c>
      <c r="I15" s="89">
        <f t="shared" ref="I15" si="8">ROUND(L$7*H15,2)</f>
        <v>96191.31</v>
      </c>
      <c r="J15" s="34">
        <f>'Billing Detail'!M62</f>
        <v>1777185.56706</v>
      </c>
      <c r="K15" s="33">
        <f t="shared" si="2"/>
        <v>1.4321457979666646E-2</v>
      </c>
      <c r="L15" s="34">
        <f>'Billing Detail'!N62</f>
        <v>96009.690299999944</v>
      </c>
      <c r="M15" s="33">
        <f t="shared" ref="M15" si="9">IF(E15=0,0,L15/E15)</f>
        <v>5.7108653310581625E-2</v>
      </c>
      <c r="N15" s="33">
        <f>'Billing Detail'!O68</f>
        <v>5.1196031210043846E-2</v>
      </c>
      <c r="O15" s="13">
        <f t="shared" ref="O15" si="10">J15-I15-E15</f>
        <v>-181.61970000015572</v>
      </c>
      <c r="Q15" s="54"/>
      <c r="V15" s="65"/>
      <c r="W15" s="13"/>
      <c r="X15" s="13"/>
      <c r="Y15" s="66"/>
    </row>
    <row r="16" spans="1:25" x14ac:dyDescent="0.25">
      <c r="A16" s="4">
        <f t="shared" si="3"/>
        <v>7</v>
      </c>
      <c r="B16" s="2" t="str">
        <f>'Billing Detail'!B86</f>
        <v>ETS Off-Peak - Special Contract</v>
      </c>
      <c r="C16" s="16">
        <f>'Billing Detail'!C86</f>
        <v>38</v>
      </c>
      <c r="D16" s="34">
        <f>'Billing Detail'!G90</f>
        <v>472.28575999999998</v>
      </c>
      <c r="E16" s="34">
        <f>'Billing Detail'!I90</f>
        <v>538.08495999999991</v>
      </c>
      <c r="F16" s="33">
        <f t="shared" si="0"/>
        <v>4.584046987605631E-6</v>
      </c>
      <c r="G16" s="89">
        <f t="shared" si="4"/>
        <v>538.08495999999991</v>
      </c>
      <c r="H16" s="90">
        <f t="shared" si="1"/>
        <v>4.584046987605631E-6</v>
      </c>
      <c r="I16" s="89">
        <f t="shared" ref="I16" si="11">ROUND(L$7*H16,2)</f>
        <v>30.79</v>
      </c>
      <c r="J16" s="34">
        <f>'Billing Detail'!M90</f>
        <v>568.872208</v>
      </c>
      <c r="K16" s="33">
        <f t="shared" si="2"/>
        <v>4.5842592769588527E-6</v>
      </c>
      <c r="L16" s="34">
        <f>'Billing Detail'!N90</f>
        <v>30.787248000000091</v>
      </c>
      <c r="M16" s="33">
        <f t="shared" si="6"/>
        <v>5.7216332528603094E-2</v>
      </c>
      <c r="N16" s="33">
        <f>'Billing Detail'!O96</f>
        <v>4.992912965245197E-2</v>
      </c>
      <c r="O16" s="13">
        <f t="shared" ref="O16" si="12">J16-I16-E16</f>
        <v>-2.7519999998730782E-3</v>
      </c>
      <c r="Q16" s="54"/>
      <c r="V16" s="65"/>
      <c r="W16" s="13"/>
      <c r="X16" s="13"/>
      <c r="Y16" s="66"/>
    </row>
    <row r="17" spans="1:25" x14ac:dyDescent="0.25">
      <c r="A17" s="4">
        <f t="shared" si="3"/>
        <v>8</v>
      </c>
      <c r="B17" s="2" t="str">
        <f>'Billing Detail'!B129</f>
        <v xml:space="preserve">Sched. 2-A Large Power TOD  </v>
      </c>
      <c r="C17" s="16">
        <f>'Billing Detail'!C129</f>
        <v>20</v>
      </c>
      <c r="D17" s="34">
        <f>'Billing Detail'!G133</f>
        <v>295960.65399999998</v>
      </c>
      <c r="E17" s="34">
        <f>'Billing Detail'!I133</f>
        <v>336980.67680000002</v>
      </c>
      <c r="F17" s="33">
        <f t="shared" si="0"/>
        <v>2.8708017714643929E-3</v>
      </c>
      <c r="G17" s="89">
        <f t="shared" si="4"/>
        <v>336980.67680000002</v>
      </c>
      <c r="H17" s="90">
        <f t="shared" si="1"/>
        <v>2.8708017714643929E-3</v>
      </c>
      <c r="I17" s="89">
        <f t="shared" ref="I17:I23" si="13">ROUND(L$7*H17,2)</f>
        <v>19280.919999999998</v>
      </c>
      <c r="J17" s="34">
        <f>'Billing Detail'!M133</f>
        <v>356268.85592</v>
      </c>
      <c r="K17" s="33">
        <f t="shared" ref="K17:K23" si="14">J17/J$29</f>
        <v>2.8709941967190932E-3</v>
      </c>
      <c r="L17" s="34">
        <f>'Billing Detail'!N133</f>
        <v>19288.179119999986</v>
      </c>
      <c r="M17" s="33">
        <f t="shared" si="6"/>
        <v>5.7238234854183147E-2</v>
      </c>
      <c r="N17" s="33">
        <f>'Billing Detail'!O139</f>
        <v>5.1323132063287737E-2</v>
      </c>
      <c r="O17" s="13">
        <f t="shared" ref="O17:O18" si="15">J17-I17-E17</f>
        <v>7.2591200000024401</v>
      </c>
      <c r="Q17" s="54"/>
      <c r="V17" s="65"/>
      <c r="W17" s="13"/>
      <c r="X17" s="13"/>
      <c r="Y17" s="66"/>
    </row>
    <row r="18" spans="1:25" x14ac:dyDescent="0.25">
      <c r="A18" s="4">
        <f t="shared" si="3"/>
        <v>9</v>
      </c>
      <c r="B18" s="2" t="str">
        <f>'Billing Detail'!B142</f>
        <v>Sched. 1-C Small Commercial TOD</v>
      </c>
      <c r="C18" s="16">
        <f>'Billing Detail'!C142</f>
        <v>22</v>
      </c>
      <c r="D18" s="34">
        <f>'Billing Detail'!G146</f>
        <v>266587.98258000001</v>
      </c>
      <c r="E18" s="34">
        <f>'Billing Detail'!I146</f>
        <v>299294.55372999999</v>
      </c>
      <c r="F18" s="33">
        <f t="shared" ref="F18:F21" si="16">E18/E$29</f>
        <v>2.549746600300403E-3</v>
      </c>
      <c r="G18" s="89">
        <f t="shared" si="4"/>
        <v>299294.55372999999</v>
      </c>
      <c r="H18" s="90">
        <f t="shared" ref="H18:H21" si="17">G18/G$29</f>
        <v>2.549746600300403E-3</v>
      </c>
      <c r="I18" s="89">
        <f t="shared" si="13"/>
        <v>17124.64</v>
      </c>
      <c r="J18" s="34">
        <f>'Billing Detail'!M146</f>
        <v>316417.72701999999</v>
      </c>
      <c r="K18" s="33">
        <f t="shared" si="14"/>
        <v>2.5498536931262226E-3</v>
      </c>
      <c r="L18" s="34">
        <f>'Billing Detail'!N146</f>
        <v>17123.173289999977</v>
      </c>
      <c r="M18" s="33">
        <f t="shared" si="6"/>
        <v>5.7211777082476274E-2</v>
      </c>
      <c r="N18" s="33">
        <f>'Billing Detail'!O152</f>
        <v>5.1618765843221358E-2</v>
      </c>
      <c r="O18" s="13">
        <f t="shared" si="15"/>
        <v>-1.466710000007879</v>
      </c>
      <c r="Q18" s="54"/>
      <c r="V18" s="65"/>
      <c r="W18" s="13"/>
      <c r="X18" s="13"/>
      <c r="Y18" s="66"/>
    </row>
    <row r="19" spans="1:25" x14ac:dyDescent="0.25">
      <c r="A19" s="4">
        <f t="shared" si="3"/>
        <v>10</v>
      </c>
      <c r="B19" s="2" t="str">
        <f>'Billing Detail'!B155</f>
        <v>Sched. 2-A Large Power TOD Primary Mtrd</v>
      </c>
      <c r="C19" s="16">
        <f>'Billing Detail'!C155</f>
        <v>24</v>
      </c>
      <c r="D19" s="34">
        <f>'Billing Detail'!G159</f>
        <v>128104.8</v>
      </c>
      <c r="E19" s="34">
        <f>'Billing Detail'!I159</f>
        <v>146880.78840000002</v>
      </c>
      <c r="F19" s="33">
        <f t="shared" si="16"/>
        <v>1.2513050645425218E-3</v>
      </c>
      <c r="G19" s="89">
        <f t="shared" si="4"/>
        <v>146880.78840000002</v>
      </c>
      <c r="H19" s="90">
        <f t="shared" si="17"/>
        <v>1.2513050645425218E-3</v>
      </c>
      <c r="I19" s="89">
        <f t="shared" si="13"/>
        <v>8404.0300000000007</v>
      </c>
      <c r="J19" s="34">
        <f>'Billing Detail'!M159</f>
        <v>155287.87920000002</v>
      </c>
      <c r="K19" s="33">
        <f t="shared" si="14"/>
        <v>1.2513880812083295E-3</v>
      </c>
      <c r="L19" s="34">
        <f>'Billing Detail'!N159</f>
        <v>8407.090800000009</v>
      </c>
      <c r="M19" s="33">
        <f t="shared" si="6"/>
        <v>5.723751139669133E-2</v>
      </c>
      <c r="N19" s="33">
        <f>'Billing Detail'!O165</f>
        <v>5.1306776126189536E-2</v>
      </c>
      <c r="O19" s="13">
        <f>J19-I19-E19</f>
        <v>3.0608000000065658</v>
      </c>
      <c r="Q19" s="54"/>
      <c r="V19" s="65"/>
      <c r="W19" s="13"/>
      <c r="X19" s="13"/>
      <c r="Y19" s="66"/>
    </row>
    <row r="20" spans="1:25" x14ac:dyDescent="0.25">
      <c r="A20" s="4">
        <f t="shared" si="3"/>
        <v>11</v>
      </c>
      <c r="B20" s="2" t="str">
        <f>'Billing Detail'!B168</f>
        <v>Sched. 1-B1 Farm &amp; Home Time-of-Day</v>
      </c>
      <c r="C20" s="16">
        <f>'Billing Detail'!C168</f>
        <v>31</v>
      </c>
      <c r="D20" s="34">
        <f>'Billing Detail'!G172</f>
        <v>3298.7744200000002</v>
      </c>
      <c r="E20" s="34">
        <f>'Billing Detail'!I172</f>
        <v>3707.5962199999999</v>
      </c>
      <c r="F20" s="33">
        <f t="shared" si="16"/>
        <v>3.1585709594167113E-5</v>
      </c>
      <c r="G20" s="89">
        <f t="shared" si="4"/>
        <v>3707.5962199999999</v>
      </c>
      <c r="H20" s="90">
        <f t="shared" si="17"/>
        <v>3.1585709594167113E-5</v>
      </c>
      <c r="I20" s="89">
        <f t="shared" si="13"/>
        <v>212.14</v>
      </c>
      <c r="J20" s="34">
        <f>'Billing Detail'!M172</f>
        <v>3919.6639500000001</v>
      </c>
      <c r="K20" s="33">
        <f t="shared" si="14"/>
        <v>3.1586629778455763E-5</v>
      </c>
      <c r="L20" s="34">
        <f>'Billing Detail'!N172</f>
        <v>212.06773000000055</v>
      </c>
      <c r="M20" s="33">
        <f t="shared" si="6"/>
        <v>5.7198172998461132E-2</v>
      </c>
      <c r="N20" s="33">
        <f>'Billing Detail'!O178</f>
        <v>5.1517960511569455E-2</v>
      </c>
      <c r="O20" s="13">
        <f t="shared" ref="O20:O24" si="18">J20-I20-E20</f>
        <v>-7.2269999999662105E-2</v>
      </c>
      <c r="Q20" s="54"/>
      <c r="V20" s="65"/>
      <c r="W20" s="13"/>
      <c r="X20" s="13"/>
      <c r="Y20" s="66"/>
    </row>
    <row r="21" spans="1:25" x14ac:dyDescent="0.25">
      <c r="A21" s="4">
        <f t="shared" si="3"/>
        <v>12</v>
      </c>
      <c r="B21" s="2" t="str">
        <f>'Billing Detail'!B181</f>
        <v>Sched. 1-B2 Farm &amp; Home Time-of-Day</v>
      </c>
      <c r="C21" s="16">
        <f>'Billing Detail'!C181</f>
        <v>33</v>
      </c>
      <c r="D21" s="34">
        <f>'Billing Detail'!G185</f>
        <v>9538.4364299999997</v>
      </c>
      <c r="E21" s="34">
        <f>'Billing Detail'!I185</f>
        <v>10697.69298</v>
      </c>
      <c r="F21" s="33">
        <f t="shared" si="16"/>
        <v>9.1135658724412054E-5</v>
      </c>
      <c r="G21" s="89">
        <f t="shared" si="4"/>
        <v>10697.69298</v>
      </c>
      <c r="H21" s="90">
        <f t="shared" si="17"/>
        <v>9.1135658724412054E-5</v>
      </c>
      <c r="I21" s="89">
        <f t="shared" si="13"/>
        <v>612.09</v>
      </c>
      <c r="J21" s="34">
        <f>'Billing Detail'!M185</f>
        <v>11309.56086</v>
      </c>
      <c r="K21" s="33">
        <f t="shared" si="14"/>
        <v>9.1138147657207635E-5</v>
      </c>
      <c r="L21" s="34">
        <f>'Billing Detail'!N185</f>
        <v>611.86787999999979</v>
      </c>
      <c r="M21" s="33">
        <f t="shared" si="6"/>
        <v>5.7196246063887297E-2</v>
      </c>
      <c r="N21" s="33">
        <f>'Billing Detail'!O191</f>
        <v>5.1670845233976297E-2</v>
      </c>
      <c r="O21" s="13">
        <f t="shared" si="18"/>
        <v>-0.22212000000035914</v>
      </c>
      <c r="Q21" s="54"/>
      <c r="V21" s="65"/>
      <c r="W21" s="13"/>
      <c r="X21" s="13"/>
      <c r="Y21" s="66"/>
    </row>
    <row r="22" spans="1:25" x14ac:dyDescent="0.25">
      <c r="A22" s="4">
        <f t="shared" si="3"/>
        <v>13</v>
      </c>
      <c r="B22" s="2" t="str">
        <f>'Billing Detail'!B194</f>
        <v>Sched. 1-B3 Farm &amp; Home Time-of-Day</v>
      </c>
      <c r="C22" s="16">
        <f>'Billing Detail'!C194</f>
        <v>35</v>
      </c>
      <c r="D22" s="34">
        <f>'Billing Detail'!G199</f>
        <v>11048.60723</v>
      </c>
      <c r="E22" s="34">
        <f>'Billing Detail'!I199</f>
        <v>12437.24063</v>
      </c>
      <c r="F22" s="33">
        <f t="shared" ref="F22:F28" si="19">E22/E$29</f>
        <v>1.0595519236233228E-4</v>
      </c>
      <c r="G22" s="89">
        <f t="shared" si="4"/>
        <v>12437.24063</v>
      </c>
      <c r="H22" s="90">
        <f t="shared" ref="H22:H28" si="20">G22/G$29</f>
        <v>1.0595519236233228E-4</v>
      </c>
      <c r="I22" s="89">
        <f t="shared" si="13"/>
        <v>711.62</v>
      </c>
      <c r="J22" s="34">
        <f>'Billing Detail'!M199</f>
        <v>13148.73207</v>
      </c>
      <c r="K22" s="33">
        <f t="shared" si="14"/>
        <v>1.0595911722258696E-4</v>
      </c>
      <c r="L22" s="34">
        <f>'Billing Detail'!N199</f>
        <v>711.49143999999956</v>
      </c>
      <c r="M22" s="33">
        <f t="shared" si="6"/>
        <v>5.7206534887152015E-2</v>
      </c>
      <c r="N22" s="33">
        <f>'Billing Detail'!O205</f>
        <v>5.1493926513582991E-2</v>
      </c>
      <c r="O22" s="13">
        <f t="shared" si="18"/>
        <v>-0.12856000000101631</v>
      </c>
      <c r="Q22" s="54"/>
      <c r="V22" s="65"/>
      <c r="W22" s="13"/>
      <c r="X22" s="13"/>
      <c r="Y22" s="66"/>
    </row>
    <row r="23" spans="1:25" x14ac:dyDescent="0.25">
      <c r="A23" s="4">
        <f t="shared" si="3"/>
        <v>14</v>
      </c>
      <c r="B23" s="2" t="str">
        <f>'Billing Detail'!B208</f>
        <v>Sched NM - Net Metering - Residential</v>
      </c>
      <c r="C23" s="16">
        <f>'Billing Detail'!C208</f>
        <v>40</v>
      </c>
      <c r="D23" s="34">
        <f>'Billing Detail'!G214</f>
        <v>263260.54898000002</v>
      </c>
      <c r="E23" s="34">
        <f>'Billing Detail'!I214</f>
        <v>287967.04183</v>
      </c>
      <c r="F23" s="33">
        <f t="shared" si="19"/>
        <v>2.4532453957280586E-3</v>
      </c>
      <c r="G23" s="89">
        <f t="shared" si="4"/>
        <v>287967.04183</v>
      </c>
      <c r="H23" s="90">
        <f t="shared" si="20"/>
        <v>2.4532453957280586E-3</v>
      </c>
      <c r="I23" s="89">
        <f t="shared" si="13"/>
        <v>16476.52</v>
      </c>
      <c r="J23" s="34">
        <f>'Billing Detail'!M214</f>
        <v>304432.395609</v>
      </c>
      <c r="K23" s="33">
        <f t="shared" si="14"/>
        <v>2.4532698454085241E-3</v>
      </c>
      <c r="L23" s="34">
        <f>'Billing Detail'!N214</f>
        <v>16465.353778999997</v>
      </c>
      <c r="M23" s="33">
        <f t="shared" si="6"/>
        <v>5.7177910619091755E-2</v>
      </c>
      <c r="N23" s="33">
        <f>'Billing Detail'!O220</f>
        <v>4.7515129924943958E-2</v>
      </c>
      <c r="O23" s="13">
        <f t="shared" si="18"/>
        <v>-11.166221000021324</v>
      </c>
      <c r="Q23" s="54"/>
      <c r="V23" s="65"/>
      <c r="W23" s="13"/>
      <c r="X23" s="13"/>
      <c r="Y23" s="66"/>
    </row>
    <row r="24" spans="1:25" x14ac:dyDescent="0.25">
      <c r="A24" s="4">
        <f t="shared" si="3"/>
        <v>15</v>
      </c>
      <c r="B24" s="2" t="str">
        <f>'Billing Detail'!B223</f>
        <v>Sched NM - Net Metering - Small Commercial</v>
      </c>
      <c r="C24" s="16">
        <f>'Billing Detail'!C223</f>
        <v>46</v>
      </c>
      <c r="D24" s="34">
        <f>'Billing Detail'!G229</f>
        <v>310.07999999999993</v>
      </c>
      <c r="E24" s="34">
        <f>'Billing Detail'!I229</f>
        <v>310.07999999999993</v>
      </c>
      <c r="F24" s="33">
        <f t="shared" si="19"/>
        <v>2.6416298458086509E-6</v>
      </c>
      <c r="G24" s="89">
        <f t="shared" si="4"/>
        <v>310.07999999999993</v>
      </c>
      <c r="H24" s="90">
        <f t="shared" si="20"/>
        <v>2.6416298458086509E-6</v>
      </c>
      <c r="I24" s="89">
        <f t="shared" ref="I24" si="21">ROUND(L$7*H24,2)</f>
        <v>17.739999999999998</v>
      </c>
      <c r="J24" s="34">
        <f>'Billing Detail'!M229</f>
        <v>327.83999999999992</v>
      </c>
      <c r="K24" s="33">
        <f t="shared" ref="K24:K29" si="22">J24/J$29</f>
        <v>2.6419001319153735E-6</v>
      </c>
      <c r="L24" s="34">
        <f>'Billing Detail'!N229</f>
        <v>17.759999999999991</v>
      </c>
      <c r="M24" s="33">
        <f t="shared" ref="M24" si="23">IF(E24=0,0,L24/E24)</f>
        <v>5.7275541795665616E-2</v>
      </c>
      <c r="N24" s="33">
        <f>'Billing Detail'!O235</f>
        <v>2.9089479632450479E-2</v>
      </c>
      <c r="O24" s="13">
        <f t="shared" si="18"/>
        <v>1.999999999998181E-2</v>
      </c>
      <c r="Q24" s="54"/>
      <c r="V24" s="65"/>
      <c r="W24" s="13"/>
      <c r="X24" s="13"/>
      <c r="Y24" s="66"/>
    </row>
    <row r="25" spans="1:25" x14ac:dyDescent="0.25">
      <c r="A25" s="4">
        <f t="shared" si="3"/>
        <v>16</v>
      </c>
      <c r="B25" s="2" t="str">
        <f>'Billing Detail'!B238</f>
        <v>Sched NM - Net Metering - Large Commercial</v>
      </c>
      <c r="C25" s="16">
        <f>'Billing Detail'!C238</f>
        <v>50</v>
      </c>
      <c r="D25" s="34">
        <f>'Billing Detail'!G245</f>
        <v>44763.128799999999</v>
      </c>
      <c r="E25" s="34">
        <f>'Billing Detail'!I245</f>
        <v>50566.692799999997</v>
      </c>
      <c r="F25" s="33">
        <f t="shared" si="19"/>
        <v>4.3078716751908359E-4</v>
      </c>
      <c r="G25" s="89">
        <f t="shared" si="4"/>
        <v>50566.692799999997</v>
      </c>
      <c r="H25" s="90">
        <f t="shared" si="20"/>
        <v>4.3078716751908359E-4</v>
      </c>
      <c r="I25" s="89">
        <f t="shared" ref="I25:I26" si="24">ROUND(L$7*H25,2)</f>
        <v>2893.26</v>
      </c>
      <c r="J25" s="34">
        <f>'Billing Detail'!M245</f>
        <v>53453.464800000002</v>
      </c>
      <c r="K25" s="33">
        <f t="shared" si="22"/>
        <v>4.307549893437464E-4</v>
      </c>
      <c r="L25" s="34">
        <f>'Billing Detail'!N245</f>
        <v>2886.7720000000045</v>
      </c>
      <c r="M25" s="33">
        <f t="shared" ref="M25:M26" si="25">IF(E25=0,0,L25/E25)</f>
        <v>5.7088408202167505E-2</v>
      </c>
      <c r="N25" s="33">
        <f>'Billing Detail'!O251</f>
        <v>5.1124193452594224E-2</v>
      </c>
      <c r="O25" s="13">
        <f t="shared" ref="O25:O26" si="26">J25-I25-E25</f>
        <v>-6.4879999999975553</v>
      </c>
      <c r="Q25" s="54"/>
      <c r="V25" s="65"/>
      <c r="W25" s="13"/>
      <c r="X25" s="13"/>
      <c r="Y25" s="66"/>
    </row>
    <row r="26" spans="1:25" x14ac:dyDescent="0.25">
      <c r="A26" s="4">
        <f t="shared" si="3"/>
        <v>17</v>
      </c>
      <c r="B26" s="2" t="str">
        <f>'Billing Detail'!B254</f>
        <v>Prepay Metering Program</v>
      </c>
      <c r="C26" s="16">
        <f>'Billing Detail'!C254</f>
        <v>60</v>
      </c>
      <c r="D26" s="34">
        <f>'Billing Detail'!G258</f>
        <v>518802.49754000001</v>
      </c>
      <c r="E26" s="34">
        <f>'Billing Detail'!I258</f>
        <v>576502.81559000001</v>
      </c>
      <c r="F26" s="33">
        <f t="shared" si="19"/>
        <v>4.9113359257458239E-3</v>
      </c>
      <c r="G26" s="89">
        <f t="shared" si="4"/>
        <v>576502.81559000001</v>
      </c>
      <c r="H26" s="90">
        <f t="shared" si="20"/>
        <v>4.9113359257458239E-3</v>
      </c>
      <c r="I26" s="89">
        <f t="shared" si="24"/>
        <v>32985.58</v>
      </c>
      <c r="J26" s="34">
        <f>'Billing Detail'!M258</f>
        <v>607963.38105700002</v>
      </c>
      <c r="K26" s="33">
        <f t="shared" si="22"/>
        <v>4.8992756729325446E-3</v>
      </c>
      <c r="L26" s="34">
        <f>'Billing Detail'!N258</f>
        <v>31460.565467000008</v>
      </c>
      <c r="M26" s="33">
        <f t="shared" si="25"/>
        <v>5.4571399507915466E-2</v>
      </c>
      <c r="N26" s="33">
        <f>'Billing Detail'!O264</f>
        <v>4.903383050232718E-2</v>
      </c>
      <c r="O26" s="13">
        <f t="shared" si="26"/>
        <v>-1525.0145329999505</v>
      </c>
      <c r="Q26" s="54"/>
      <c r="V26" s="65"/>
      <c r="W26" s="13"/>
      <c r="X26" s="13"/>
      <c r="Y26" s="66"/>
    </row>
    <row r="27" spans="1:25" x14ac:dyDescent="0.25">
      <c r="A27" s="4">
        <f t="shared" si="3"/>
        <v>18</v>
      </c>
      <c r="B27" s="2" t="str">
        <f>'Billing Detail'!B267</f>
        <v>Prepay Metering Program - Inclining Block</v>
      </c>
      <c r="C27" s="16">
        <f>'Billing Detail'!C267</f>
        <v>62</v>
      </c>
      <c r="D27" s="34">
        <f>'Billing Detail'!G273</f>
        <v>1069.4114</v>
      </c>
      <c r="E27" s="34">
        <f>'Billing Detail'!I273</f>
        <v>1172.211</v>
      </c>
      <c r="F27" s="33">
        <f t="shared" ref="F27" si="27">E27/E$29</f>
        <v>9.986286000984279E-6</v>
      </c>
      <c r="G27" s="89">
        <f t="shared" ref="G27" si="28">E27</f>
        <v>1172.211</v>
      </c>
      <c r="H27" s="90">
        <f t="shared" ref="H27" si="29">G27/G$29</f>
        <v>9.986286000984279E-6</v>
      </c>
      <c r="I27" s="89">
        <f t="shared" ref="I27" si="30">ROUND(L$7*H27,2)</f>
        <v>67.069999999999993</v>
      </c>
      <c r="J27" s="34">
        <f>'Billing Detail'!M273</f>
        <v>1235.6462000000001</v>
      </c>
      <c r="K27" s="33">
        <f t="shared" si="22"/>
        <v>9.9574605258075009E-6</v>
      </c>
      <c r="L27" s="34">
        <f>'Billing Detail'!N273</f>
        <v>63.435200000000123</v>
      </c>
      <c r="M27" s="33">
        <f t="shared" ref="M27" si="31">IF(E27=0,0,L27/E27)</f>
        <v>5.4115854568844789E-2</v>
      </c>
      <c r="N27" s="33">
        <f>'Billing Detail'!O279</f>
        <v>4.8692129009517728E-2</v>
      </c>
      <c r="O27" s="13">
        <f t="shared" ref="O27" si="32">J27-I27-E27</f>
        <v>-3.6347999999998137</v>
      </c>
      <c r="Q27" s="54"/>
      <c r="V27" s="65"/>
      <c r="W27" s="13"/>
      <c r="X27" s="13"/>
      <c r="Y27" s="66"/>
    </row>
    <row r="28" spans="1:25" x14ac:dyDescent="0.25">
      <c r="A28" s="4">
        <f t="shared" si="3"/>
        <v>19</v>
      </c>
      <c r="B28" s="2" t="str">
        <f>'Billing Detail'!B282</f>
        <v>Lighting</v>
      </c>
      <c r="C28" s="16" t="str">
        <f>'Billing Detail'!C282</f>
        <v>OLS</v>
      </c>
      <c r="D28" s="34">
        <f>'Billing Detail'!G324</f>
        <v>2182038.9899999993</v>
      </c>
      <c r="E28" s="34">
        <f>'Billing Detail'!I324</f>
        <v>2238981.0999999996</v>
      </c>
      <c r="F28" s="33">
        <f t="shared" si="19"/>
        <v>1.9074301141516651E-2</v>
      </c>
      <c r="G28" s="89">
        <f t="shared" si="4"/>
        <v>2238981.0999999996</v>
      </c>
      <c r="H28" s="90">
        <f t="shared" si="20"/>
        <v>1.9074301141516651E-2</v>
      </c>
      <c r="I28" s="89">
        <f t="shared" si="5"/>
        <v>128107.08</v>
      </c>
      <c r="J28" s="34">
        <f>'Billing Detail'!M324</f>
        <v>2366931.3900000006</v>
      </c>
      <c r="K28" s="33">
        <f t="shared" si="22"/>
        <v>1.9073927377609937E-2</v>
      </c>
      <c r="L28" s="34">
        <f t="shared" ref="L28" si="33">J28-E28</f>
        <v>127950.29000000097</v>
      </c>
      <c r="M28" s="33">
        <f t="shared" si="6"/>
        <v>5.7146659254962442E-2</v>
      </c>
      <c r="N28" s="33">
        <f>'Billing Detail'!O330</f>
        <v>5.4089720180455998E-2</v>
      </c>
      <c r="O28" s="13">
        <f t="shared" si="7"/>
        <v>-156.78999999910593</v>
      </c>
      <c r="Q28" s="54"/>
      <c r="R28" s="100"/>
      <c r="V28" s="65"/>
      <c r="W28" s="13"/>
      <c r="X28" s="13"/>
      <c r="Y28" s="66"/>
    </row>
    <row r="29" spans="1:25" ht="16.2" customHeight="1" x14ac:dyDescent="0.25">
      <c r="A29" s="4">
        <f t="shared" si="3"/>
        <v>20</v>
      </c>
      <c r="B29" s="36" t="s">
        <v>170</v>
      </c>
      <c r="C29" s="57"/>
      <c r="D29" s="37">
        <f>SUM(D11:D28)</f>
        <v>105190081.18629</v>
      </c>
      <c r="E29" s="37">
        <f>SUM(E11:E28)</f>
        <v>117382077.76989998</v>
      </c>
      <c r="F29" s="38">
        <f>E29/E$29</f>
        <v>1</v>
      </c>
      <c r="G29" s="91">
        <f>SUM(G11:G28)</f>
        <v>117382077.76989998</v>
      </c>
      <c r="H29" s="92">
        <v>1</v>
      </c>
      <c r="I29" s="91">
        <f>SUM(I11:I28)</f>
        <v>6716213.5499999989</v>
      </c>
      <c r="J29" s="37">
        <f>SUM(J11:J28)</f>
        <v>124092502.982812</v>
      </c>
      <c r="K29" s="38">
        <f t="shared" si="22"/>
        <v>1</v>
      </c>
      <c r="L29" s="37">
        <f>SUM(L11:L28)</f>
        <v>6710425.21291201</v>
      </c>
      <c r="M29" s="38">
        <f t="shared" ref="M29" si="34">L29/E29</f>
        <v>5.7167374614600232E-2</v>
      </c>
      <c r="N29" s="38"/>
      <c r="O29" s="39">
        <f t="shared" si="7"/>
        <v>-5788.3370879739523</v>
      </c>
      <c r="Q29" s="6"/>
    </row>
    <row r="30" spans="1:25" x14ac:dyDescent="0.25">
      <c r="A30" s="4">
        <f t="shared" si="3"/>
        <v>21</v>
      </c>
    </row>
    <row r="31" spans="1:25" x14ac:dyDescent="0.25">
      <c r="A31" s="4">
        <f t="shared" si="3"/>
        <v>22</v>
      </c>
      <c r="B31" s="2" t="str">
        <f>'Billing Detail'!B71</f>
        <v>Schedule XI- LPB1</v>
      </c>
      <c r="C31" s="16">
        <f>'Billing Detail'!C71</f>
        <v>9</v>
      </c>
      <c r="D31" s="34">
        <f>'Billing Detail'!G77</f>
        <v>7025891.1371600004</v>
      </c>
      <c r="E31" s="34">
        <f>'Billing Detail'!I77</f>
        <v>8306125.1782600004</v>
      </c>
      <c r="F31" s="33">
        <f>E31/E$34</f>
        <v>0.43459791084541277</v>
      </c>
      <c r="G31" s="89">
        <f>E31</f>
        <v>8306125.1782600004</v>
      </c>
      <c r="H31" s="90">
        <f>G31/G$34</f>
        <v>0.43459791084541277</v>
      </c>
      <c r="I31" s="89">
        <f>ROUND(L$6*H31,2)</f>
        <v>792259.48</v>
      </c>
      <c r="J31" s="34">
        <f>'Billing Detail'!M77</f>
        <v>9097927.3284200002</v>
      </c>
      <c r="K31" s="33">
        <f>J31/J$34</f>
        <v>0.43458890488026453</v>
      </c>
      <c r="L31" s="34">
        <f>'Billing Detail'!N77</f>
        <v>791802.15015999984</v>
      </c>
      <c r="M31" s="33">
        <f t="shared" ref="M31:M34" si="35">IF(E31=0,0,L31/E31)</f>
        <v>9.5327500268406695E-2</v>
      </c>
      <c r="N31" s="33">
        <f>'Billing Detail'!O83</f>
        <v>8.5712225923674848E-2</v>
      </c>
      <c r="O31" s="13">
        <f t="shared" ref="O31:O33" si="36">J31-I31-E31</f>
        <v>-457.32984000071883</v>
      </c>
    </row>
    <row r="32" spans="1:25" x14ac:dyDescent="0.25">
      <c r="A32" s="4">
        <f t="shared" si="3"/>
        <v>23</v>
      </c>
      <c r="B32" s="2" t="str">
        <f>'Billing Detail'!B99</f>
        <v>Schedule XIV LPB</v>
      </c>
      <c r="C32" s="16">
        <f>'Billing Detail'!C99</f>
        <v>12</v>
      </c>
      <c r="D32" s="34">
        <f>'Billing Detail'!G104</f>
        <v>494719.32647999999</v>
      </c>
      <c r="E32" s="34">
        <f>'Billing Detail'!I104</f>
        <v>575764.83487999998</v>
      </c>
      <c r="F32" s="33">
        <f t="shared" ref="F32:F34" si="37">E32/E$34</f>
        <v>3.0125502446318824E-2</v>
      </c>
      <c r="G32" s="89">
        <f t="shared" ref="G32:G33" si="38">E32</f>
        <v>575764.83487999998</v>
      </c>
      <c r="H32" s="90">
        <f t="shared" ref="H32:H34" si="39">G32/G$34</f>
        <v>3.0125502446318824E-2</v>
      </c>
      <c r="I32" s="89">
        <f>ROUND(L$6*H32,2)</f>
        <v>54917.919999999998</v>
      </c>
      <c r="J32" s="34">
        <f>'Billing Detail'!M104</f>
        <v>630615.51688000013</v>
      </c>
      <c r="K32" s="33">
        <f t="shared" ref="K32:K34" si="40">J32/J$34</f>
        <v>3.0123180477082998E-2</v>
      </c>
      <c r="L32" s="34">
        <f>'Billing Detail'!N104</f>
        <v>54850.68200000003</v>
      </c>
      <c r="M32" s="33">
        <f t="shared" si="35"/>
        <v>9.526577289394883E-2</v>
      </c>
      <c r="N32" s="33">
        <f>'Billing Detail'!O110</f>
        <v>8.5593789818333058E-2</v>
      </c>
      <c r="O32" s="13">
        <f t="shared" si="36"/>
        <v>-67.237999999895692</v>
      </c>
    </row>
    <row r="33" spans="1:18" x14ac:dyDescent="0.25">
      <c r="A33" s="4">
        <f t="shared" si="3"/>
        <v>24</v>
      </c>
      <c r="B33" s="2" t="str">
        <f>'Billing Detail'!B113</f>
        <v>Schedule XIII-LPB2</v>
      </c>
      <c r="C33" s="16">
        <f>'Billing Detail'!C113</f>
        <v>13</v>
      </c>
      <c r="D33" s="34">
        <f>'Billing Detail'!G120</f>
        <v>8236866.6723600002</v>
      </c>
      <c r="E33" s="34">
        <f>'Billing Detail'!I120</f>
        <v>10230316.858959999</v>
      </c>
      <c r="F33" s="33">
        <f t="shared" si="37"/>
        <v>0.53527658670826839</v>
      </c>
      <c r="G33" s="89">
        <f t="shared" si="38"/>
        <v>10230316.858959999</v>
      </c>
      <c r="H33" s="90">
        <f t="shared" si="39"/>
        <v>0.53527658670826839</v>
      </c>
      <c r="I33" s="89">
        <f>ROUND(L$6*H33,2)</f>
        <v>975793.81</v>
      </c>
      <c r="J33" s="34">
        <f>'Billing Detail'!M120</f>
        <v>11206016.749420002</v>
      </c>
      <c r="K33" s="33">
        <f t="shared" si="40"/>
        <v>0.53528791464265246</v>
      </c>
      <c r="L33" s="34">
        <f>'Billing Detail'!N120</f>
        <v>975699.89046000061</v>
      </c>
      <c r="M33" s="33">
        <f t="shared" si="35"/>
        <v>9.537337933042174E-2</v>
      </c>
      <c r="N33" s="33">
        <f>'Billing Detail'!O126</f>
        <v>8.257741323729105E-2</v>
      </c>
      <c r="O33" s="13">
        <f t="shared" si="36"/>
        <v>-93.91953999735415</v>
      </c>
    </row>
    <row r="34" spans="1:18" x14ac:dyDescent="0.25">
      <c r="A34" s="4">
        <f t="shared" si="3"/>
        <v>25</v>
      </c>
      <c r="B34" s="36" t="s">
        <v>169</v>
      </c>
      <c r="C34" s="57"/>
      <c r="D34" s="104">
        <f>SUM(D31:D33)</f>
        <v>15757477.136</v>
      </c>
      <c r="E34" s="104">
        <f>SUM(E31:E33)</f>
        <v>19112206.872099999</v>
      </c>
      <c r="F34" s="38">
        <f t="shared" si="37"/>
        <v>1</v>
      </c>
      <c r="G34" s="104">
        <f>SUM(G31:G33)</f>
        <v>19112206.872099999</v>
      </c>
      <c r="H34" s="92">
        <f t="shared" si="39"/>
        <v>1</v>
      </c>
      <c r="I34" s="104">
        <f>SUM(I31:I33)</f>
        <v>1822971.21</v>
      </c>
      <c r="J34" s="104">
        <f>SUM(J31:J33)</f>
        <v>20934559.594720002</v>
      </c>
      <c r="K34" s="38">
        <f t="shared" si="40"/>
        <v>1</v>
      </c>
      <c r="L34" s="104">
        <f>SUM(L31:L33)</f>
        <v>1822352.7226200006</v>
      </c>
      <c r="M34" s="38">
        <f t="shared" si="35"/>
        <v>9.5350198687953261E-2</v>
      </c>
      <c r="N34" s="36"/>
      <c r="O34" s="104">
        <f>SUM(O31:O33)</f>
        <v>-618.48737999796867</v>
      </c>
    </row>
    <row r="35" spans="1:18" ht="16.2" customHeight="1" x14ac:dyDescent="0.25">
      <c r="A35" s="4">
        <f t="shared" si="3"/>
        <v>26</v>
      </c>
      <c r="D35" s="40"/>
      <c r="E35" s="40"/>
      <c r="F35" s="41"/>
      <c r="G35" s="40"/>
      <c r="H35" s="41"/>
      <c r="I35" s="40"/>
      <c r="J35" s="40"/>
      <c r="K35" s="41"/>
      <c r="L35" s="40"/>
      <c r="M35" s="41"/>
      <c r="N35" s="41"/>
      <c r="O35" s="13"/>
    </row>
    <row r="36" spans="1:18" ht="16.2" customHeight="1" x14ac:dyDescent="0.25">
      <c r="A36" s="4">
        <f t="shared" si="3"/>
        <v>27</v>
      </c>
      <c r="B36" s="2" t="str">
        <f>'Billing Detail'!B332</f>
        <v xml:space="preserve">Special Contract </v>
      </c>
      <c r="C36" s="16" t="str">
        <f>'Billing Detail'!C332</f>
        <v>Special</v>
      </c>
      <c r="D36" s="40">
        <f>'Billing Detail'!G342</f>
        <v>57250331.667615995</v>
      </c>
      <c r="E36" s="40">
        <f>'Billing Detail'!I342</f>
        <v>72609294.053865999</v>
      </c>
      <c r="F36" s="41">
        <v>1</v>
      </c>
      <c r="G36" s="89">
        <f>L5</f>
        <v>9063284.4503530115</v>
      </c>
      <c r="H36" s="41">
        <v>1</v>
      </c>
      <c r="I36" s="40">
        <f>H36*G36</f>
        <v>9063284.4503530115</v>
      </c>
      <c r="J36" s="40">
        <f>'Billing Detail'!M342</f>
        <v>81570744.358273327</v>
      </c>
      <c r="K36" s="41">
        <f>J36/J36</f>
        <v>1</v>
      </c>
      <c r="L36" s="40">
        <f>'Billing Detail'!N342</f>
        <v>8961450.3044073284</v>
      </c>
      <c r="M36" s="33">
        <f t="shared" ref="M36:M38" si="41">IF(E36=0,0,L36/E36)</f>
        <v>0.12342015469478575</v>
      </c>
      <c r="N36" s="33">
        <f>'Billing Detail'!O348</f>
        <v>9.1239451160656695E-2</v>
      </c>
      <c r="O36" s="13">
        <f>J36-I36-E36</f>
        <v>-101834.14594568312</v>
      </c>
      <c r="P36" s="6"/>
    </row>
    <row r="37" spans="1:18" x14ac:dyDescent="0.25">
      <c r="A37" s="4">
        <f t="shared" si="3"/>
        <v>28</v>
      </c>
      <c r="D37" s="34"/>
      <c r="E37" s="34"/>
      <c r="F37" s="33"/>
      <c r="G37" s="35"/>
      <c r="H37" s="33"/>
      <c r="I37" s="40"/>
      <c r="J37" s="34"/>
      <c r="K37" s="33"/>
      <c r="L37" s="34"/>
      <c r="M37" s="33"/>
      <c r="N37" s="33"/>
      <c r="O37" s="13"/>
    </row>
    <row r="38" spans="1:18" ht="16.2" customHeight="1" x14ac:dyDescent="0.25">
      <c r="A38" s="4">
        <f t="shared" si="3"/>
        <v>29</v>
      </c>
      <c r="B38" s="15" t="s">
        <v>42</v>
      </c>
      <c r="C38" s="58"/>
      <c r="D38" s="42">
        <f>D36+D29+D34</f>
        <v>178197889.98990598</v>
      </c>
      <c r="E38" s="42">
        <f>E36+E29+E34</f>
        <v>209103578.69586599</v>
      </c>
      <c r="F38" s="42"/>
      <c r="G38" s="42">
        <f>G36+G29+G34</f>
        <v>145557569.09235299</v>
      </c>
      <c r="H38" s="42"/>
      <c r="I38" s="42">
        <f>I36+I29+I34</f>
        <v>17602469.210353009</v>
      </c>
      <c r="J38" s="42">
        <f>J36+J29+J34</f>
        <v>226597806.93580532</v>
      </c>
      <c r="K38" s="42"/>
      <c r="L38" s="42">
        <f>L36+L29+L34</f>
        <v>17494228.239939339</v>
      </c>
      <c r="M38" s="43">
        <f t="shared" si="41"/>
        <v>8.3662978649371167E-2</v>
      </c>
      <c r="N38" s="43"/>
      <c r="O38" s="42">
        <f>O36+O29+O34</f>
        <v>-108240.97041365504</v>
      </c>
      <c r="R38" s="61"/>
    </row>
    <row r="39" spans="1:18" ht="12.6" customHeight="1" x14ac:dyDescent="0.25">
      <c r="A39" s="4">
        <f t="shared" si="3"/>
        <v>30</v>
      </c>
    </row>
    <row r="40" spans="1:18" x14ac:dyDescent="0.25">
      <c r="A40" s="4">
        <f t="shared" si="3"/>
        <v>31</v>
      </c>
      <c r="B40" s="30" t="s">
        <v>8</v>
      </c>
      <c r="C40" s="56"/>
      <c r="D40" s="30"/>
    </row>
    <row r="41" spans="1:18" x14ac:dyDescent="0.25">
      <c r="A41" s="4">
        <f t="shared" si="3"/>
        <v>32</v>
      </c>
      <c r="B41" s="2" t="str">
        <f>'Billing Detail'!D11</f>
        <v xml:space="preserve">    FAC</v>
      </c>
      <c r="D41" s="34">
        <f>'Billing Detail'!G354</f>
        <v>30437294.27</v>
      </c>
      <c r="E41" s="34">
        <f>'Billing Detail'!I354</f>
        <v>14946654.82973</v>
      </c>
      <c r="F41" s="44"/>
      <c r="G41" s="45"/>
      <c r="H41" s="45"/>
      <c r="I41" s="45"/>
      <c r="J41" s="34">
        <f>'Billing Detail'!M354</f>
        <v>14946654.82973</v>
      </c>
      <c r="K41" s="46"/>
      <c r="L41" s="46"/>
      <c r="M41" s="45"/>
      <c r="N41" s="45"/>
    </row>
    <row r="42" spans="1:18" x14ac:dyDescent="0.25">
      <c r="A42" s="4">
        <f t="shared" si="3"/>
        <v>33</v>
      </c>
      <c r="B42" s="2" t="str">
        <f>'Billing Detail'!D12</f>
        <v xml:space="preserve">    ES</v>
      </c>
      <c r="D42" s="34">
        <f>'Billing Detail'!G355</f>
        <v>26088036.699999999</v>
      </c>
      <c r="E42" s="34">
        <f>'Billing Detail'!I355</f>
        <v>26088036.699999999</v>
      </c>
      <c r="F42" s="45"/>
      <c r="G42" s="45"/>
      <c r="H42" s="45"/>
      <c r="I42" s="45"/>
      <c r="J42" s="34">
        <f>'Billing Detail'!M355</f>
        <v>26088036.699999999</v>
      </c>
      <c r="K42" s="46"/>
      <c r="L42" s="46"/>
      <c r="M42" s="45"/>
      <c r="N42" s="45"/>
    </row>
    <row r="43" spans="1:18" x14ac:dyDescent="0.25">
      <c r="A43" s="4">
        <f t="shared" si="3"/>
        <v>34</v>
      </c>
      <c r="B43" s="2" t="str">
        <f>'Billing Detail'!D13</f>
        <v xml:space="preserve">    Misc Adj</v>
      </c>
      <c r="D43" s="34">
        <f>'Billing Detail'!G356</f>
        <v>-41775.639999999985</v>
      </c>
      <c r="E43" s="34">
        <f>'Billing Detail'!I356</f>
        <v>-41775.639999999985</v>
      </c>
      <c r="F43" s="45"/>
      <c r="G43" s="45"/>
      <c r="H43" s="45"/>
      <c r="I43" s="45"/>
      <c r="J43" s="34">
        <f>'Billing Detail'!M356</f>
        <v>-41775.639999999985</v>
      </c>
      <c r="K43" s="46"/>
      <c r="L43" s="46"/>
      <c r="M43" s="45"/>
      <c r="N43" s="45"/>
    </row>
    <row r="44" spans="1:18" x14ac:dyDescent="0.25">
      <c r="A44" s="4">
        <f t="shared" si="3"/>
        <v>35</v>
      </c>
      <c r="B44" s="2" t="str">
        <f>'Billing Detail'!D14</f>
        <v xml:space="preserve">    Other</v>
      </c>
      <c r="D44" s="34">
        <f>'Billing Detail'!G357</f>
        <v>5798.0400000000009</v>
      </c>
      <c r="E44" s="34">
        <f>'Billing Detail'!I357</f>
        <v>5798.0400000000009</v>
      </c>
      <c r="F44" s="45"/>
      <c r="G44" s="45"/>
      <c r="H44" s="45"/>
      <c r="I44" s="45"/>
      <c r="J44" s="34">
        <f>'Billing Detail'!M357</f>
        <v>5798.0400000000009</v>
      </c>
      <c r="K44" s="46"/>
      <c r="L44" s="46"/>
      <c r="M44" s="45"/>
      <c r="N44" s="60"/>
    </row>
    <row r="45" spans="1:18" x14ac:dyDescent="0.25">
      <c r="A45" s="4">
        <f t="shared" si="3"/>
        <v>36</v>
      </c>
      <c r="B45" s="36" t="s">
        <v>9</v>
      </c>
      <c r="C45" s="57"/>
      <c r="D45" s="37">
        <f>SUM(D41:D44)</f>
        <v>56489353.369999997</v>
      </c>
      <c r="E45" s="37">
        <f>SUM(E41:E44)</f>
        <v>40998713.929729998</v>
      </c>
      <c r="F45" s="47"/>
      <c r="G45" s="47"/>
      <c r="H45" s="47"/>
      <c r="I45" s="47"/>
      <c r="J45" s="37">
        <f>SUM(J41:J44)</f>
        <v>40998713.929729998</v>
      </c>
      <c r="K45" s="48"/>
      <c r="L45" s="48"/>
      <c r="M45" s="47"/>
      <c r="N45" s="45"/>
    </row>
    <row r="46" spans="1:18" x14ac:dyDescent="0.25">
      <c r="A46" s="4">
        <f t="shared" si="3"/>
        <v>37</v>
      </c>
    </row>
    <row r="47" spans="1:18" ht="18" customHeight="1" thickBot="1" x14ac:dyDescent="0.3">
      <c r="A47" s="4">
        <f t="shared" si="3"/>
        <v>38</v>
      </c>
      <c r="B47" s="49" t="s">
        <v>10</v>
      </c>
      <c r="C47" s="59"/>
      <c r="D47" s="50">
        <f>D38+D45</f>
        <v>234687243.35990599</v>
      </c>
      <c r="E47" s="50">
        <f>E38+E45</f>
        <v>250102292.62559599</v>
      </c>
      <c r="F47" s="51"/>
      <c r="G47" s="51"/>
      <c r="H47" s="51"/>
      <c r="I47" s="51"/>
      <c r="J47" s="50">
        <f>J38+J45</f>
        <v>267596520.86553532</v>
      </c>
      <c r="K47" s="52"/>
      <c r="L47" s="51">
        <f>J47-E47</f>
        <v>17494228.239939332</v>
      </c>
      <c r="M47" s="49"/>
      <c r="N47" s="53">
        <f>L47/E47</f>
        <v>6.9948292181904362E-2</v>
      </c>
    </row>
    <row r="48" spans="1:18" ht="18" customHeight="1" thickTop="1" x14ac:dyDescent="0.25">
      <c r="A48" s="4">
        <f t="shared" si="3"/>
        <v>39</v>
      </c>
      <c r="B48" s="2" t="s">
        <v>11</v>
      </c>
      <c r="D48" s="105">
        <v>231024012</v>
      </c>
      <c r="L48" s="40">
        <f>L4</f>
        <v>17602469.214803994</v>
      </c>
    </row>
    <row r="49" spans="1:12" ht="15" customHeight="1" x14ac:dyDescent="0.25">
      <c r="A49" s="4">
        <f t="shared" si="3"/>
        <v>40</v>
      </c>
      <c r="B49" s="36" t="s">
        <v>38</v>
      </c>
      <c r="C49" s="57"/>
      <c r="D49" s="37">
        <f>D47-D48</f>
        <v>3663231.359905988</v>
      </c>
      <c r="E49" s="36"/>
      <c r="F49" s="36"/>
      <c r="G49" s="36"/>
      <c r="H49" s="36"/>
      <c r="I49" s="36"/>
      <c r="J49" s="36"/>
      <c r="K49" s="36"/>
      <c r="L49" s="37">
        <f>L47-L48</f>
        <v>-108240.97486466169</v>
      </c>
    </row>
    <row r="50" spans="1:12" ht="15" customHeight="1" x14ac:dyDescent="0.25">
      <c r="A50" s="4">
        <f t="shared" si="3"/>
        <v>41</v>
      </c>
      <c r="B50" s="2" t="s">
        <v>38</v>
      </c>
      <c r="D50" s="33">
        <f>D49/D48</f>
        <v>1.5856496163290542E-2</v>
      </c>
      <c r="L50" s="33">
        <f>L49/L48</f>
        <v>-6.1491926810830089E-3</v>
      </c>
    </row>
    <row r="51" spans="1:12" x14ac:dyDescent="0.25">
      <c r="A51" s="4"/>
    </row>
  </sheetData>
  <printOptions horizontalCentered="1"/>
  <pageMargins left="0.7" right="0.7" top="0.75" bottom="0.75" header="0.3" footer="0.3"/>
  <pageSetup scale="64" orientation="landscape" r:id="rId1"/>
  <headerFooter>
    <oddHeader>&amp;R&amp;"Arial,Bold"&amp;10Exhibit 4
Page &amp;P of &amp;N</oddHeader>
  </headerFooter>
  <ignoredErrors>
    <ignoredError sqref="J29:K29 J11 G12:G15 F29 F34:K34 G16 G17:G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X397"/>
  <sheetViews>
    <sheetView view="pageBreakPreview" zoomScale="90" zoomScaleNormal="90" zoomScaleSheetLayoutView="90" workbookViewId="0">
      <pane xSplit="4" ySplit="5" topLeftCell="E6" activePane="bottomRight" state="frozen"/>
      <selection activeCell="I43" sqref="I43"/>
      <selection pane="topRight" activeCell="I43" sqref="I43"/>
      <selection pane="bottomLeft" activeCell="I43" sqref="I43"/>
      <selection pane="bottomRight" activeCell="F359" sqref="F359"/>
    </sheetView>
  </sheetViews>
  <sheetFormatPr defaultColWidth="8.88671875" defaultRowHeight="13.2" x14ac:dyDescent="0.25"/>
  <cols>
    <col min="1" max="1" width="7.44140625" style="7" customWidth="1"/>
    <col min="2" max="2" width="22.88671875" style="2" customWidth="1"/>
    <col min="3" max="3" width="8.109375" style="16" customWidth="1"/>
    <col min="4" max="4" width="38.33203125" style="2" customWidth="1"/>
    <col min="5" max="5" width="15.109375" style="2" customWidth="1"/>
    <col min="6" max="6" width="14.44140625" style="2" customWidth="1"/>
    <col min="7" max="7" width="14.5546875" style="2" customWidth="1"/>
    <col min="8" max="8" width="12.33203125" style="2" bestFit="1" customWidth="1"/>
    <col min="9" max="9" width="15.33203125" style="2" customWidth="1"/>
    <col min="10" max="10" width="11.109375" style="2" customWidth="1"/>
    <col min="11" max="11" width="13.88671875" style="2" customWidth="1"/>
    <col min="12" max="12" width="13.33203125" style="2" customWidth="1"/>
    <col min="13" max="13" width="14.5546875" style="2" bestFit="1" customWidth="1"/>
    <col min="14" max="14" width="13.88671875" style="2" customWidth="1"/>
    <col min="15" max="15" width="9.5546875" style="2" bestFit="1" customWidth="1"/>
    <col min="16" max="16" width="10.5546875" style="2" bestFit="1" customWidth="1"/>
    <col min="17" max="17" width="11.33203125" style="2" customWidth="1"/>
    <col min="18" max="18" width="15.109375" style="2" customWidth="1"/>
    <col min="19" max="19" width="9" style="2" bestFit="1" customWidth="1"/>
    <col min="20" max="20" width="14.109375" style="2" customWidth="1"/>
    <col min="21" max="21" width="8.88671875" style="2"/>
    <col min="22" max="22" width="12.44140625" style="2" customWidth="1"/>
    <col min="23" max="23" width="15.109375" style="2" customWidth="1"/>
    <col min="24" max="24" width="13.33203125" style="2" customWidth="1"/>
    <col min="25" max="26" width="14.44140625" style="2" bestFit="1" customWidth="1"/>
    <col min="27" max="27" width="11.6640625" style="2" bestFit="1" customWidth="1"/>
    <col min="28" max="16384" width="8.88671875" style="2"/>
  </cols>
  <sheetData>
    <row r="1" spans="1:20" x14ac:dyDescent="0.25">
      <c r="A1" s="27" t="str">
        <f>Summary!A1</f>
        <v>Owen Electric Cooperative</v>
      </c>
      <c r="F1" s="67"/>
    </row>
    <row r="2" spans="1:20" ht="14.4" customHeight="1" x14ac:dyDescent="0.25">
      <c r="A2" s="27" t="str">
        <f>Summary!A2</f>
        <v>Billing Analysis for Pass-Through Rate Increase</v>
      </c>
      <c r="F2" s="108"/>
      <c r="G2" s="108"/>
      <c r="I2" s="4"/>
      <c r="P2" s="116"/>
    </row>
    <row r="4" spans="1:20" x14ac:dyDescent="0.25">
      <c r="H4" s="1"/>
    </row>
    <row r="5" spans="1:20" ht="38.4" customHeight="1" x14ac:dyDescent="0.25">
      <c r="A5" s="18" t="s">
        <v>1</v>
      </c>
      <c r="B5" s="18" t="s">
        <v>13</v>
      </c>
      <c r="C5" s="10" t="s">
        <v>12</v>
      </c>
      <c r="D5" s="18" t="s">
        <v>14</v>
      </c>
      <c r="E5" s="12" t="s">
        <v>15</v>
      </c>
      <c r="F5" s="12" t="s">
        <v>155</v>
      </c>
      <c r="G5" s="12" t="s">
        <v>156</v>
      </c>
      <c r="H5" s="12" t="s">
        <v>24</v>
      </c>
      <c r="I5" s="12" t="s">
        <v>25</v>
      </c>
      <c r="J5" s="12" t="s">
        <v>118</v>
      </c>
      <c r="K5" s="12" t="s">
        <v>11</v>
      </c>
      <c r="L5" s="12" t="s">
        <v>22</v>
      </c>
      <c r="M5" s="12" t="s">
        <v>4</v>
      </c>
      <c r="N5" s="12" t="s">
        <v>16</v>
      </c>
      <c r="O5" s="10" t="s">
        <v>17</v>
      </c>
      <c r="P5" s="12" t="s">
        <v>23</v>
      </c>
      <c r="Q5" s="12" t="s">
        <v>26</v>
      </c>
      <c r="R5" s="12" t="s">
        <v>39</v>
      </c>
      <c r="T5" s="12" t="s">
        <v>35</v>
      </c>
    </row>
    <row r="6" spans="1:20" ht="30.6" customHeight="1" thickBot="1" x14ac:dyDescent="0.3">
      <c r="A6" s="28"/>
      <c r="B6" s="22"/>
      <c r="C6" s="23"/>
      <c r="D6" s="22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23"/>
      <c r="P6" s="109"/>
      <c r="Q6" s="109"/>
      <c r="R6" s="109"/>
    </row>
    <row r="7" spans="1:20" ht="16.2" customHeight="1" x14ac:dyDescent="0.25">
      <c r="A7" s="29">
        <v>1</v>
      </c>
      <c r="B7" s="139" t="s">
        <v>119</v>
      </c>
      <c r="C7" s="25">
        <v>1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20" x14ac:dyDescent="0.25">
      <c r="A8" s="29">
        <f>A7+1</f>
        <v>2</v>
      </c>
      <c r="B8" s="140"/>
      <c r="D8" s="2" t="s">
        <v>18</v>
      </c>
      <c r="E8" s="110">
        <v>712381</v>
      </c>
      <c r="F8" s="67">
        <v>20.67</v>
      </c>
      <c r="G8" s="99">
        <f>F8*E8</f>
        <v>14724915.270000001</v>
      </c>
      <c r="H8" s="67">
        <v>20.67</v>
      </c>
      <c r="I8" s="99">
        <f>H8*E8</f>
        <v>14724915.270000001</v>
      </c>
      <c r="J8" s="101">
        <f>I8/I10</f>
        <v>0.16868278352692576</v>
      </c>
      <c r="K8" s="101"/>
      <c r="L8" s="67">
        <f>ROUND(H8*S10,2)</f>
        <v>21.85</v>
      </c>
      <c r="M8" s="99">
        <f>L8*E8</f>
        <v>15565524.850000001</v>
      </c>
      <c r="N8" s="99">
        <f t="shared" ref="N8:N13" si="0">M8-I8</f>
        <v>840609.58000000007</v>
      </c>
      <c r="O8" s="101">
        <f>IF(I8=0,0,N8/I8)</f>
        <v>5.7087566521528785E-2</v>
      </c>
      <c r="P8" s="101">
        <f>M8/M10</f>
        <v>0.1686657036860032</v>
      </c>
      <c r="Q8" s="100">
        <f>P8-J8</f>
        <v>-1.7079840922556988E-5</v>
      </c>
      <c r="R8" s="100"/>
      <c r="T8" s="6">
        <f>L8/H8-1</f>
        <v>5.7087566521528688E-2</v>
      </c>
    </row>
    <row r="9" spans="1:20" x14ac:dyDescent="0.25">
      <c r="A9" s="29">
        <f t="shared" ref="A9:A72" si="1">A8+1</f>
        <v>3</v>
      </c>
      <c r="B9" s="67"/>
      <c r="D9" s="2" t="s">
        <v>49</v>
      </c>
      <c r="E9" s="110">
        <v>761715258</v>
      </c>
      <c r="F9" s="111">
        <v>8.362E-2</v>
      </c>
      <c r="G9" s="99">
        <f t="shared" ref="G9" si="2">F9*E9</f>
        <v>63694629.873960003</v>
      </c>
      <c r="H9" s="115">
        <v>9.5269999999999994E-2</v>
      </c>
      <c r="I9" s="99">
        <f>H9*E9</f>
        <v>72568612.629659995</v>
      </c>
      <c r="J9" s="101">
        <f>I9/I10</f>
        <v>0.83131721647307433</v>
      </c>
      <c r="K9" s="101"/>
      <c r="L9" s="111">
        <f>ROUND(H9*S10,6)</f>
        <v>0.100721</v>
      </c>
      <c r="M9" s="99">
        <f t="shared" ref="M9" si="3">L9*E9</f>
        <v>76720722.501018003</v>
      </c>
      <c r="N9" s="99">
        <f t="shared" si="0"/>
        <v>4152109.8713580072</v>
      </c>
      <c r="O9" s="101">
        <f t="shared" ref="O9" si="4">IF(I9=0,0,N9/I9)</f>
        <v>5.7216332528603024E-2</v>
      </c>
      <c r="P9" s="101">
        <f>M9/M10</f>
        <v>0.83133429631399669</v>
      </c>
      <c r="Q9" s="100">
        <f t="shared" ref="Q9:Q10" si="5">P9-J9</f>
        <v>1.7079840922362699E-5</v>
      </c>
      <c r="R9" s="100"/>
      <c r="T9" s="6">
        <f>L9/H9-1</f>
        <v>5.7216332528603031E-2</v>
      </c>
    </row>
    <row r="10" spans="1:20" s="7" customFormat="1" ht="20.399999999999999" customHeight="1" x14ac:dyDescent="0.3">
      <c r="A10" s="29">
        <f t="shared" si="1"/>
        <v>4</v>
      </c>
      <c r="C10" s="17"/>
      <c r="D10" s="19" t="s">
        <v>7</v>
      </c>
      <c r="E10" s="19"/>
      <c r="F10" s="123"/>
      <c r="G10" s="112">
        <f>SUM(G8:G9)</f>
        <v>78419545.143959999</v>
      </c>
      <c r="H10" s="19"/>
      <c r="I10" s="112">
        <f>SUM(I8:I9)</f>
        <v>87293527.899659991</v>
      </c>
      <c r="J10" s="117">
        <f>SUM(J8:J9)</f>
        <v>1</v>
      </c>
      <c r="K10" s="118">
        <f>I10+Summary!I11</f>
        <v>92288174.319659993</v>
      </c>
      <c r="L10" s="19"/>
      <c r="M10" s="112">
        <f>SUM(M8:M9)</f>
        <v>92286247.351018012</v>
      </c>
      <c r="N10" s="112">
        <f>SUM(N8:N9)</f>
        <v>4992719.4513580073</v>
      </c>
      <c r="O10" s="117">
        <f t="shared" ref="O10" si="6">N10/I10</f>
        <v>5.7194611920106095E-2</v>
      </c>
      <c r="P10" s="117">
        <f>SUM(P8:P9)</f>
        <v>0.99999999999999989</v>
      </c>
      <c r="Q10" s="131">
        <f t="shared" si="5"/>
        <v>0</v>
      </c>
      <c r="R10" s="119">
        <f>M10-K10</f>
        <v>-1926.9686419814825</v>
      </c>
      <c r="S10" s="7">
        <f>K10/I10</f>
        <v>1.0572166865078603</v>
      </c>
    </row>
    <row r="11" spans="1:20" x14ac:dyDescent="0.25">
      <c r="A11" s="29">
        <f t="shared" si="1"/>
        <v>5</v>
      </c>
      <c r="D11" s="2" t="s">
        <v>27</v>
      </c>
      <c r="G11" s="13">
        <v>9156992.8699999992</v>
      </c>
      <c r="I11" s="13">
        <f>G11-($H$390*E9)</f>
        <v>283010.11429999955</v>
      </c>
      <c r="M11" s="99">
        <f>I11</f>
        <v>283010.11429999955</v>
      </c>
      <c r="N11" s="99">
        <f t="shared" si="0"/>
        <v>0</v>
      </c>
      <c r="O11" s="67">
        <v>0</v>
      </c>
      <c r="R11" s="120"/>
    </row>
    <row r="12" spans="1:20" x14ac:dyDescent="0.25">
      <c r="A12" s="29">
        <f t="shared" si="1"/>
        <v>6</v>
      </c>
      <c r="D12" s="2" t="s">
        <v>28</v>
      </c>
      <c r="G12" s="13">
        <v>9351970.2599999998</v>
      </c>
      <c r="I12" s="13">
        <f>G12</f>
        <v>9351970.2599999998</v>
      </c>
      <c r="M12" s="99">
        <f t="shared" ref="M12:M14" si="7">I12</f>
        <v>9351970.2599999998</v>
      </c>
      <c r="N12" s="99">
        <f t="shared" si="0"/>
        <v>0</v>
      </c>
      <c r="O12" s="67">
        <v>0</v>
      </c>
    </row>
    <row r="13" spans="1:20" x14ac:dyDescent="0.25">
      <c r="A13" s="29">
        <f t="shared" si="1"/>
        <v>7</v>
      </c>
      <c r="D13" s="2" t="s">
        <v>30</v>
      </c>
      <c r="E13" s="110"/>
      <c r="F13" s="67"/>
      <c r="G13" s="99">
        <v>0</v>
      </c>
      <c r="I13" s="13">
        <f>G13</f>
        <v>0</v>
      </c>
      <c r="M13" s="99">
        <f t="shared" si="7"/>
        <v>0</v>
      </c>
      <c r="N13" s="99">
        <f t="shared" si="0"/>
        <v>0</v>
      </c>
      <c r="O13" s="67">
        <v>0</v>
      </c>
    </row>
    <row r="14" spans="1:20" x14ac:dyDescent="0.25">
      <c r="A14" s="29">
        <f t="shared" si="1"/>
        <v>8</v>
      </c>
      <c r="B14" s="54"/>
      <c r="D14" s="2" t="s">
        <v>40</v>
      </c>
      <c r="G14" s="99">
        <v>0</v>
      </c>
      <c r="I14" s="13">
        <f>G14</f>
        <v>0</v>
      </c>
      <c r="M14" s="99">
        <f t="shared" si="7"/>
        <v>0</v>
      </c>
      <c r="N14" s="99"/>
      <c r="O14" s="67">
        <v>0</v>
      </c>
    </row>
    <row r="15" spans="1:20" x14ac:dyDescent="0.25">
      <c r="A15" s="29">
        <f t="shared" si="1"/>
        <v>9</v>
      </c>
      <c r="D15" s="15" t="s">
        <v>9</v>
      </c>
      <c r="E15" s="15"/>
      <c r="F15" s="15"/>
      <c r="G15" s="113">
        <f>SUM(G11:G14)</f>
        <v>18508963.129999999</v>
      </c>
      <c r="H15" s="15"/>
      <c r="I15" s="113">
        <f>SUM(I11:I14)</f>
        <v>9634980.3742999993</v>
      </c>
      <c r="J15" s="15"/>
      <c r="K15" s="15"/>
      <c r="L15" s="15"/>
      <c r="M15" s="113">
        <f>SUM(M11:M14)</f>
        <v>9634980.3742999993</v>
      </c>
      <c r="N15" s="113">
        <f>M15-I15</f>
        <v>0</v>
      </c>
      <c r="O15" s="121">
        <v>0</v>
      </c>
    </row>
    <row r="16" spans="1:20" s="7" customFormat="1" ht="26.4" customHeight="1" thickBot="1" x14ac:dyDescent="0.3">
      <c r="A16" s="29">
        <f t="shared" si="1"/>
        <v>10</v>
      </c>
      <c r="C16" s="17"/>
      <c r="D16" s="8" t="s">
        <v>20</v>
      </c>
      <c r="E16" s="8"/>
      <c r="F16" s="8"/>
      <c r="G16" s="114">
        <f>G10+G15</f>
        <v>96928508.273959994</v>
      </c>
      <c r="H16" s="8"/>
      <c r="I16" s="132">
        <f>I15+I10</f>
        <v>96928508.273959994</v>
      </c>
      <c r="J16" s="8"/>
      <c r="K16" s="8"/>
      <c r="L16" s="8"/>
      <c r="M16" s="114">
        <f>M15+M10</f>
        <v>101921227.72531801</v>
      </c>
      <c r="N16" s="114">
        <f>M16-I16</f>
        <v>4992719.4513580203</v>
      </c>
      <c r="O16" s="122">
        <f>N16/I16</f>
        <v>5.1509298350558883E-2</v>
      </c>
      <c r="P16" s="2"/>
      <c r="Q16" s="2"/>
      <c r="R16" s="2"/>
    </row>
    <row r="17" spans="1:20" ht="13.8" thickTop="1" x14ac:dyDescent="0.25">
      <c r="A17" s="29">
        <f t="shared" si="1"/>
        <v>11</v>
      </c>
      <c r="D17" s="2" t="s">
        <v>19</v>
      </c>
      <c r="E17" s="67">
        <f>E9/E8</f>
        <v>1069.2526302638616</v>
      </c>
      <c r="G17" s="124">
        <f>G16/E8</f>
        <v>136.06273647663258</v>
      </c>
      <c r="I17" s="124">
        <f>I16/E8</f>
        <v>136.06273647663258</v>
      </c>
      <c r="M17" s="124">
        <f>M16/E8</f>
        <v>143.07123256420093</v>
      </c>
      <c r="N17" s="124">
        <f>M17-I17</f>
        <v>7.0084960875683464</v>
      </c>
      <c r="O17" s="101">
        <f>N17/I17</f>
        <v>5.1509298350558938E-2</v>
      </c>
    </row>
    <row r="18" spans="1:20" ht="13.8" thickBot="1" x14ac:dyDescent="0.3">
      <c r="A18" s="29">
        <f t="shared" si="1"/>
        <v>12</v>
      </c>
    </row>
    <row r="19" spans="1:20" x14ac:dyDescent="0.25">
      <c r="A19" s="29">
        <f t="shared" si="1"/>
        <v>13</v>
      </c>
      <c r="B19" s="139" t="s">
        <v>52</v>
      </c>
      <c r="C19" s="25">
        <v>2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20" x14ac:dyDescent="0.25">
      <c r="A20" s="29">
        <f t="shared" si="1"/>
        <v>14</v>
      </c>
      <c r="B20" s="140"/>
      <c r="D20" s="2" t="s">
        <v>18</v>
      </c>
      <c r="E20" s="110">
        <v>14639</v>
      </c>
      <c r="F20" s="67">
        <v>16.309999999999999</v>
      </c>
      <c r="G20" s="99">
        <f>F20*E20</f>
        <v>238762.08999999997</v>
      </c>
      <c r="H20" s="67">
        <v>16.309999999999999</v>
      </c>
      <c r="I20" s="99">
        <f>H20*E20</f>
        <v>238762.08999999997</v>
      </c>
      <c r="J20" s="101">
        <f>I20/I24</f>
        <v>0.48510249246806852</v>
      </c>
      <c r="K20" s="101"/>
      <c r="L20" s="67">
        <f>ROUND(H20*S24,2)</f>
        <v>17.239999999999998</v>
      </c>
      <c r="M20" s="99">
        <f>L20*E20</f>
        <v>252376.36</v>
      </c>
      <c r="N20" s="99">
        <f t="shared" ref="N20:N27" si="8">M20-I20</f>
        <v>13614.270000000019</v>
      </c>
      <c r="O20" s="101">
        <f>IF(I20=0,0,N20/I20)</f>
        <v>5.7020232985898305E-2</v>
      </c>
      <c r="P20" s="101">
        <f>M20/M24</f>
        <v>0.48505208908750397</v>
      </c>
      <c r="Q20" s="100">
        <f>P20-J20</f>
        <v>-5.040338056455651E-5</v>
      </c>
      <c r="R20" s="100"/>
      <c r="T20" s="6">
        <f>L20/H20-1</f>
        <v>5.70202329858982E-2</v>
      </c>
    </row>
    <row r="21" spans="1:20" x14ac:dyDescent="0.25">
      <c r="A21" s="29">
        <f t="shared" si="1"/>
        <v>15</v>
      </c>
      <c r="B21" s="67"/>
      <c r="D21" s="2" t="s">
        <v>65</v>
      </c>
      <c r="E21" s="110">
        <v>1832598</v>
      </c>
      <c r="F21" s="111">
        <v>6.608E-2</v>
      </c>
      <c r="G21" s="99">
        <f t="shared" ref="G21:G23" si="9">F21*E21</f>
        <v>121098.07584</v>
      </c>
      <c r="H21" s="115">
        <v>7.7729999999999994E-2</v>
      </c>
      <c r="I21" s="99">
        <f t="shared" ref="I21:I23" si="10">H21*E21</f>
        <v>142447.84253999998</v>
      </c>
      <c r="J21" s="101">
        <f>I21/I24</f>
        <v>0.28941698182845088</v>
      </c>
      <c r="K21" s="101"/>
      <c r="L21" s="111">
        <f>ROUND(H21*S24,5)</f>
        <v>8.2180000000000003E-2</v>
      </c>
      <c r="M21" s="99">
        <f t="shared" ref="M21:M23" si="11">L21*E21</f>
        <v>150602.90364</v>
      </c>
      <c r="N21" s="99">
        <f t="shared" si="8"/>
        <v>8155.0611000000208</v>
      </c>
      <c r="O21" s="101">
        <f t="shared" ref="O21:O23" si="12">IF(I21=0,0,N21/I21)</f>
        <v>5.724945323555914E-2</v>
      </c>
      <c r="P21" s="101">
        <f>M21/M24</f>
        <v>0.28944966570254865</v>
      </c>
      <c r="Q21" s="100">
        <f t="shared" ref="Q21:Q24" si="13">P21-J21</f>
        <v>3.2683874097771959E-5</v>
      </c>
      <c r="R21" s="100"/>
      <c r="T21" s="6">
        <f>L21/H21-1</f>
        <v>5.7249453235559189E-2</v>
      </c>
    </row>
    <row r="22" spans="1:20" x14ac:dyDescent="0.25">
      <c r="A22" s="29">
        <f t="shared" si="1"/>
        <v>16</v>
      </c>
      <c r="B22" s="67"/>
      <c r="D22" s="2" t="s">
        <v>66</v>
      </c>
      <c r="E22" s="110">
        <v>488114</v>
      </c>
      <c r="F22" s="111">
        <v>8.9340000000000003E-2</v>
      </c>
      <c r="G22" s="99">
        <f t="shared" ref="G22" si="14">F22*E22</f>
        <v>43608.104760000002</v>
      </c>
      <c r="H22" s="115">
        <v>0.10099</v>
      </c>
      <c r="I22" s="99">
        <f t="shared" ref="I22" si="15">H22*E22</f>
        <v>49294.632859999998</v>
      </c>
      <c r="J22" s="101">
        <f>I22/I24</f>
        <v>0.10015387813737245</v>
      </c>
      <c r="K22" s="101"/>
      <c r="L22" s="111">
        <f>ROUND(H22*S24,5)</f>
        <v>0.10677</v>
      </c>
      <c r="M22" s="99">
        <f t="shared" ref="M22" si="16">L22*E22</f>
        <v>52115.931779999999</v>
      </c>
      <c r="N22" s="99">
        <f t="shared" ref="N22" si="17">M22-I22</f>
        <v>2821.2989200000011</v>
      </c>
      <c r="O22" s="101">
        <f t="shared" ref="O22" si="18">IF(I22=0,0,N22/I22)</f>
        <v>5.7233389444499481E-2</v>
      </c>
      <c r="P22" s="101">
        <f>M22/M24</f>
        <v>0.10016366661533133</v>
      </c>
      <c r="Q22" s="100">
        <f t="shared" ref="Q22" si="19">P22-J22</f>
        <v>9.7884779588774951E-6</v>
      </c>
      <c r="R22" s="100"/>
      <c r="T22" s="6">
        <f>L22/H22-1</f>
        <v>5.7233389444499627E-2</v>
      </c>
    </row>
    <row r="23" spans="1:20" x14ac:dyDescent="0.25">
      <c r="A23" s="29">
        <f t="shared" si="1"/>
        <v>17</v>
      </c>
      <c r="B23" s="67"/>
      <c r="D23" s="2" t="s">
        <v>67</v>
      </c>
      <c r="E23" s="110">
        <v>467306</v>
      </c>
      <c r="F23" s="111">
        <v>0.12035</v>
      </c>
      <c r="G23" s="99">
        <f t="shared" si="9"/>
        <v>56240.277099999999</v>
      </c>
      <c r="H23" s="115">
        <v>0.13200000000000001</v>
      </c>
      <c r="I23" s="99">
        <f t="shared" si="10"/>
        <v>61684.392</v>
      </c>
      <c r="J23" s="101">
        <f>I23/I24</f>
        <v>0.12532664756610812</v>
      </c>
      <c r="K23" s="101"/>
      <c r="L23" s="111">
        <f>ROUND(H23*S24,5)</f>
        <v>0.13955000000000001</v>
      </c>
      <c r="M23" s="99">
        <f t="shared" si="11"/>
        <v>65212.552300000003</v>
      </c>
      <c r="N23" s="99">
        <f t="shared" si="8"/>
        <v>3528.1603000000032</v>
      </c>
      <c r="O23" s="101">
        <f t="shared" si="12"/>
        <v>5.7196969696969746E-2</v>
      </c>
      <c r="P23" s="101">
        <f>M23/M24</f>
        <v>0.12533457859461605</v>
      </c>
      <c r="Q23" s="100">
        <f t="shared" si="13"/>
        <v>7.931028507934812E-6</v>
      </c>
      <c r="R23" s="100"/>
      <c r="T23" s="6">
        <f>L23/H23-1</f>
        <v>5.7196969696969635E-2</v>
      </c>
    </row>
    <row r="24" spans="1:20" s="7" customFormat="1" ht="20.399999999999999" customHeight="1" x14ac:dyDescent="0.3">
      <c r="A24" s="29">
        <f t="shared" si="1"/>
        <v>18</v>
      </c>
      <c r="C24" s="17"/>
      <c r="D24" s="19" t="s">
        <v>7</v>
      </c>
      <c r="E24" s="19"/>
      <c r="F24" s="123"/>
      <c r="G24" s="112">
        <f>SUM(G20:G23)</f>
        <v>459708.5477</v>
      </c>
      <c r="H24" s="19"/>
      <c r="I24" s="112">
        <f>SUM(I20:I23)</f>
        <v>492188.95739999996</v>
      </c>
      <c r="J24" s="117">
        <f>SUM(J20:J23)</f>
        <v>0.99999999999999989</v>
      </c>
      <c r="K24" s="118">
        <f>I24+Summary!I12</f>
        <v>520350.37739999994</v>
      </c>
      <c r="L24" s="19"/>
      <c r="M24" s="112">
        <f>SUM(M20:M23)</f>
        <v>520307.74771999998</v>
      </c>
      <c r="N24" s="112">
        <f>SUM(N20:N23)</f>
        <v>28118.790320000044</v>
      </c>
      <c r="O24" s="117">
        <f t="shared" ref="O24" si="20">N24/I24</f>
        <v>5.713007148420849E-2</v>
      </c>
      <c r="P24" s="117">
        <f>SUM(P20:P23)</f>
        <v>1</v>
      </c>
      <c r="Q24" s="131">
        <f t="shared" si="13"/>
        <v>0</v>
      </c>
      <c r="R24" s="119">
        <f>M24-K24</f>
        <v>-42.629679999954533</v>
      </c>
      <c r="S24" s="133">
        <f>K24/I24</f>
        <v>1.0572166839109178</v>
      </c>
    </row>
    <row r="25" spans="1:20" x14ac:dyDescent="0.25">
      <c r="A25" s="29">
        <f t="shared" si="1"/>
        <v>19</v>
      </c>
      <c r="D25" s="2" t="s">
        <v>27</v>
      </c>
      <c r="G25" s="13">
        <v>33109.019999999997</v>
      </c>
      <c r="I25" s="13">
        <f>G25-($H$390*(E23+E21+E22))</f>
        <v>628.61029999999664</v>
      </c>
      <c r="K25" s="13"/>
      <c r="M25" s="99">
        <f>I25</f>
        <v>628.61029999999664</v>
      </c>
      <c r="N25" s="99">
        <f t="shared" si="8"/>
        <v>0</v>
      </c>
      <c r="O25" s="67">
        <v>0</v>
      </c>
      <c r="R25" s="120"/>
    </row>
    <row r="26" spans="1:20" x14ac:dyDescent="0.25">
      <c r="A26" s="29">
        <f t="shared" si="1"/>
        <v>20</v>
      </c>
      <c r="D26" s="2" t="s">
        <v>28</v>
      </c>
      <c r="G26" s="13">
        <v>54894.58</v>
      </c>
      <c r="I26" s="13">
        <f>G26</f>
        <v>54894.58</v>
      </c>
      <c r="M26" s="99">
        <f t="shared" ref="M26:M28" si="21">I26</f>
        <v>54894.58</v>
      </c>
      <c r="N26" s="99">
        <f t="shared" si="8"/>
        <v>0</v>
      </c>
      <c r="O26" s="67">
        <v>0</v>
      </c>
    </row>
    <row r="27" spans="1:20" x14ac:dyDescent="0.25">
      <c r="A27" s="29">
        <f t="shared" si="1"/>
        <v>21</v>
      </c>
      <c r="D27" s="2" t="s">
        <v>30</v>
      </c>
      <c r="E27" s="110"/>
      <c r="F27" s="67"/>
      <c r="G27" s="99">
        <v>0</v>
      </c>
      <c r="I27" s="13">
        <f>G27</f>
        <v>0</v>
      </c>
      <c r="M27" s="99">
        <f t="shared" si="21"/>
        <v>0</v>
      </c>
      <c r="N27" s="99">
        <f t="shared" si="8"/>
        <v>0</v>
      </c>
      <c r="O27" s="67">
        <v>0</v>
      </c>
    </row>
    <row r="28" spans="1:20" x14ac:dyDescent="0.25">
      <c r="A28" s="29">
        <f t="shared" si="1"/>
        <v>22</v>
      </c>
      <c r="B28" s="54"/>
      <c r="D28" s="2" t="s">
        <v>40</v>
      </c>
      <c r="G28" s="99">
        <v>0</v>
      </c>
      <c r="I28" s="13">
        <f>G28</f>
        <v>0</v>
      </c>
      <c r="M28" s="99">
        <f t="shared" si="21"/>
        <v>0</v>
      </c>
      <c r="N28" s="99"/>
      <c r="O28" s="67">
        <v>0</v>
      </c>
    </row>
    <row r="29" spans="1:20" x14ac:dyDescent="0.25">
      <c r="A29" s="29">
        <f t="shared" si="1"/>
        <v>23</v>
      </c>
      <c r="D29" s="15" t="s">
        <v>9</v>
      </c>
      <c r="E29" s="15"/>
      <c r="F29" s="15"/>
      <c r="G29" s="113">
        <f>SUM(G25:G28)</f>
        <v>88003.6</v>
      </c>
      <c r="H29" s="15"/>
      <c r="I29" s="113">
        <f>SUM(I25:I28)</f>
        <v>55523.190300000002</v>
      </c>
      <c r="J29" s="15"/>
      <c r="K29" s="15"/>
      <c r="L29" s="15"/>
      <c r="M29" s="113">
        <f>SUM(M25:M28)</f>
        <v>55523.190300000002</v>
      </c>
      <c r="N29" s="113">
        <f>M29-I29</f>
        <v>0</v>
      </c>
      <c r="O29" s="121">
        <v>0</v>
      </c>
    </row>
    <row r="30" spans="1:20" s="7" customFormat="1" ht="26.4" customHeight="1" thickBot="1" x14ac:dyDescent="0.3">
      <c r="A30" s="29">
        <f t="shared" si="1"/>
        <v>24</v>
      </c>
      <c r="C30" s="17"/>
      <c r="D30" s="8" t="s">
        <v>20</v>
      </c>
      <c r="E30" s="8"/>
      <c r="F30" s="8"/>
      <c r="G30" s="114">
        <f>G24+G29</f>
        <v>547712.14769999997</v>
      </c>
      <c r="H30" s="8"/>
      <c r="I30" s="132">
        <f>I29+I24</f>
        <v>547712.14769999997</v>
      </c>
      <c r="J30" s="8"/>
      <c r="K30" s="8"/>
      <c r="L30" s="8"/>
      <c r="M30" s="114">
        <f>M29+M24</f>
        <v>575830.93802</v>
      </c>
      <c r="N30" s="114">
        <f>M30-I30</f>
        <v>28118.790320000029</v>
      </c>
      <c r="O30" s="122">
        <f>N30/I30</f>
        <v>5.1338628215713084E-2</v>
      </c>
      <c r="P30" s="2"/>
      <c r="Q30" s="2"/>
      <c r="R30" s="2"/>
    </row>
    <row r="31" spans="1:20" ht="13.8" thickTop="1" x14ac:dyDescent="0.25">
      <c r="A31" s="29">
        <f t="shared" si="1"/>
        <v>25</v>
      </c>
      <c r="D31" s="2" t="s">
        <v>19</v>
      </c>
      <c r="E31" s="67">
        <f>(E21+E22+E23)/E20</f>
        <v>190.45139695334382</v>
      </c>
      <c r="G31" s="124">
        <f>G30/E20</f>
        <v>37.414587587949995</v>
      </c>
      <c r="I31" s="124">
        <f>I30/E20</f>
        <v>37.414587587949995</v>
      </c>
      <c r="M31" s="124">
        <f>M30/E20</f>
        <v>39.335401189971989</v>
      </c>
      <c r="N31" s="124">
        <f>M31-I31</f>
        <v>1.9208136020219939</v>
      </c>
      <c r="O31" s="101">
        <f>N31/I31</f>
        <v>5.1338628215712973E-2</v>
      </c>
    </row>
    <row r="32" spans="1:20" ht="13.8" thickBot="1" x14ac:dyDescent="0.3">
      <c r="A32" s="29">
        <f t="shared" si="1"/>
        <v>26</v>
      </c>
    </row>
    <row r="33" spans="1:20" x14ac:dyDescent="0.25">
      <c r="A33" s="29">
        <f t="shared" si="1"/>
        <v>27</v>
      </c>
      <c r="B33" s="139" t="s">
        <v>53</v>
      </c>
      <c r="C33" s="25">
        <v>3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20" x14ac:dyDescent="0.25">
      <c r="A34" s="29">
        <f t="shared" si="1"/>
        <v>28</v>
      </c>
      <c r="B34" s="140"/>
      <c r="D34" s="2" t="s">
        <v>18</v>
      </c>
      <c r="E34" s="110">
        <v>30950</v>
      </c>
      <c r="F34" s="67">
        <v>25.84</v>
      </c>
      <c r="G34" s="99">
        <f>F34*E34</f>
        <v>799748</v>
      </c>
      <c r="H34" s="67">
        <v>25.84</v>
      </c>
      <c r="I34" s="99">
        <f>H34*E34</f>
        <v>799748</v>
      </c>
      <c r="J34" s="101">
        <f>I34/I36</f>
        <v>0.14031525173964579</v>
      </c>
      <c r="K34" s="101"/>
      <c r="L34" s="67">
        <f>ROUND(H34*S36,2)</f>
        <v>27.32</v>
      </c>
      <c r="M34" s="99">
        <f>L34*E34</f>
        <v>845554</v>
      </c>
      <c r="N34" s="99">
        <f t="shared" ref="N34:N39" si="22">M34-I34</f>
        <v>45806</v>
      </c>
      <c r="O34" s="101">
        <f>IF(I34=0,0,N34/I34)</f>
        <v>5.7275541795665637E-2</v>
      </c>
      <c r="P34" s="101">
        <f>M34/M36</f>
        <v>0.14032213477449765</v>
      </c>
      <c r="Q34" s="100">
        <f>P34-J34</f>
        <v>6.8830348518567064E-6</v>
      </c>
      <c r="R34" s="100"/>
      <c r="T34" s="6">
        <f>L34/H34-1</f>
        <v>5.727554179566563E-2</v>
      </c>
    </row>
    <row r="35" spans="1:20" x14ac:dyDescent="0.25">
      <c r="A35" s="29">
        <f t="shared" si="1"/>
        <v>29</v>
      </c>
      <c r="B35" s="67"/>
      <c r="D35" s="2" t="s">
        <v>49</v>
      </c>
      <c r="E35" s="110">
        <v>50650230</v>
      </c>
      <c r="F35" s="111">
        <v>8.5089999999999999E-2</v>
      </c>
      <c r="G35" s="99">
        <f t="shared" ref="G35" si="23">F35*E35</f>
        <v>4309828.0707</v>
      </c>
      <c r="H35" s="115">
        <v>9.6740000000000007E-2</v>
      </c>
      <c r="I35" s="99">
        <f t="shared" ref="I35" si="24">H35*E35</f>
        <v>4899903.2502000006</v>
      </c>
      <c r="J35" s="101">
        <f>I35/I36</f>
        <v>0.85968474826035424</v>
      </c>
      <c r="K35" s="101"/>
      <c r="L35" s="111">
        <f>ROUND(H35*S36,6)</f>
        <v>0.102275</v>
      </c>
      <c r="M35" s="99">
        <f t="shared" ref="M35" si="25">L35*E35</f>
        <v>5180252.2732500006</v>
      </c>
      <c r="N35" s="99">
        <f t="shared" si="22"/>
        <v>280349.02304999996</v>
      </c>
      <c r="O35" s="101">
        <f t="shared" ref="O35" si="26">IF(I35=0,0,N35/I35)</f>
        <v>5.7215216043001844E-2</v>
      </c>
      <c r="P35" s="101">
        <f>M35/M36</f>
        <v>0.85967786522550238</v>
      </c>
      <c r="Q35" s="100">
        <f t="shared" ref="Q35:Q36" si="27">P35-J35</f>
        <v>-6.8830348518567064E-6</v>
      </c>
      <c r="R35" s="100"/>
      <c r="T35" s="6">
        <f>L35/H35-1</f>
        <v>5.7215216043001949E-2</v>
      </c>
    </row>
    <row r="36" spans="1:20" s="7" customFormat="1" ht="20.399999999999999" customHeight="1" x14ac:dyDescent="0.3">
      <c r="A36" s="29">
        <f t="shared" si="1"/>
        <v>30</v>
      </c>
      <c r="C36" s="17"/>
      <c r="D36" s="19" t="s">
        <v>7</v>
      </c>
      <c r="E36" s="19"/>
      <c r="F36" s="123"/>
      <c r="G36" s="112">
        <f>SUM(G34:G35)</f>
        <v>5109576.0707</v>
      </c>
      <c r="H36" s="19"/>
      <c r="I36" s="112">
        <f>SUM(I34:I35)</f>
        <v>5699651.2502000006</v>
      </c>
      <c r="J36" s="117">
        <f>SUM(J34:J35)</f>
        <v>1</v>
      </c>
      <c r="K36" s="118">
        <f>I36+Summary!I13</f>
        <v>6025766.4102000007</v>
      </c>
      <c r="L36" s="19"/>
      <c r="M36" s="112">
        <f>SUM(M34:M35)</f>
        <v>6025806.2732500006</v>
      </c>
      <c r="N36" s="112">
        <f>SUM(N34:N35)</f>
        <v>326155.02304999996</v>
      </c>
      <c r="O36" s="117">
        <f t="shared" ref="O36" si="28">N36/I36</f>
        <v>5.7223680666173247E-2</v>
      </c>
      <c r="P36" s="117">
        <f>SUM(P34:P35)</f>
        <v>1</v>
      </c>
      <c r="Q36" s="131">
        <f t="shared" si="27"/>
        <v>0</v>
      </c>
      <c r="R36" s="119">
        <f>M36-K36</f>
        <v>39.863049999810755</v>
      </c>
      <c r="S36" s="7">
        <f>K36/I36</f>
        <v>1.0572166867207107</v>
      </c>
    </row>
    <row r="37" spans="1:20" x14ac:dyDescent="0.25">
      <c r="A37" s="29">
        <f t="shared" si="1"/>
        <v>31</v>
      </c>
      <c r="D37" s="2" t="s">
        <v>27</v>
      </c>
      <c r="G37" s="13">
        <v>595191.56999999995</v>
      </c>
      <c r="I37" s="13">
        <f>G37-($H$390*E35)</f>
        <v>5116.3904999998631</v>
      </c>
      <c r="M37" s="99">
        <f>I37</f>
        <v>5116.3904999998631</v>
      </c>
      <c r="N37" s="99">
        <f t="shared" si="22"/>
        <v>0</v>
      </c>
      <c r="O37" s="67">
        <v>0</v>
      </c>
      <c r="R37" s="120"/>
    </row>
    <row r="38" spans="1:20" x14ac:dyDescent="0.25">
      <c r="A38" s="29">
        <f t="shared" si="1"/>
        <v>32</v>
      </c>
      <c r="D38" s="2" t="s">
        <v>28</v>
      </c>
      <c r="G38" s="13">
        <v>625179.71</v>
      </c>
      <c r="I38" s="13">
        <f>G38</f>
        <v>625179.71</v>
      </c>
      <c r="M38" s="99">
        <f t="shared" ref="M38:M40" si="29">I38</f>
        <v>625179.71</v>
      </c>
      <c r="N38" s="99">
        <f t="shared" si="22"/>
        <v>0</v>
      </c>
      <c r="O38" s="67">
        <v>0</v>
      </c>
    </row>
    <row r="39" spans="1:20" x14ac:dyDescent="0.25">
      <c r="A39" s="29">
        <f t="shared" si="1"/>
        <v>33</v>
      </c>
      <c r="D39" s="2" t="s">
        <v>30</v>
      </c>
      <c r="E39" s="110"/>
      <c r="F39" s="67"/>
      <c r="G39" s="99">
        <v>0</v>
      </c>
      <c r="I39" s="13">
        <f>G39</f>
        <v>0</v>
      </c>
      <c r="M39" s="99">
        <f t="shared" si="29"/>
        <v>0</v>
      </c>
      <c r="N39" s="99">
        <f t="shared" si="22"/>
        <v>0</v>
      </c>
      <c r="O39" s="67">
        <v>0</v>
      </c>
    </row>
    <row r="40" spans="1:20" x14ac:dyDescent="0.25">
      <c r="A40" s="29">
        <f t="shared" si="1"/>
        <v>34</v>
      </c>
      <c r="B40" s="54"/>
      <c r="D40" s="2" t="s">
        <v>40</v>
      </c>
      <c r="G40" s="99">
        <v>0</v>
      </c>
      <c r="I40" s="13">
        <f>G40</f>
        <v>0</v>
      </c>
      <c r="M40" s="99">
        <f t="shared" si="29"/>
        <v>0</v>
      </c>
      <c r="N40" s="99"/>
      <c r="O40" s="67">
        <v>0</v>
      </c>
    </row>
    <row r="41" spans="1:20" x14ac:dyDescent="0.25">
      <c r="A41" s="29">
        <f t="shared" si="1"/>
        <v>35</v>
      </c>
      <c r="D41" s="15" t="s">
        <v>9</v>
      </c>
      <c r="E41" s="15"/>
      <c r="F41" s="15"/>
      <c r="G41" s="113">
        <f>SUM(G37:G40)</f>
        <v>1220371.2799999998</v>
      </c>
      <c r="H41" s="15"/>
      <c r="I41" s="113">
        <f>SUM(I37:I40)</f>
        <v>630296.10049999983</v>
      </c>
      <c r="J41" s="15"/>
      <c r="K41" s="15"/>
      <c r="L41" s="15"/>
      <c r="M41" s="113">
        <f>SUM(M37:M40)</f>
        <v>630296.10049999983</v>
      </c>
      <c r="N41" s="113">
        <f>M41-I41</f>
        <v>0</v>
      </c>
      <c r="O41" s="121">
        <v>0</v>
      </c>
    </row>
    <row r="42" spans="1:20" s="7" customFormat="1" ht="26.4" customHeight="1" thickBot="1" x14ac:dyDescent="0.3">
      <c r="A42" s="29">
        <f t="shared" si="1"/>
        <v>36</v>
      </c>
      <c r="C42" s="17"/>
      <c r="D42" s="8" t="s">
        <v>20</v>
      </c>
      <c r="E42" s="8"/>
      <c r="F42" s="8"/>
      <c r="G42" s="114">
        <f>G36+G41</f>
        <v>6329947.3507000003</v>
      </c>
      <c r="H42" s="8"/>
      <c r="I42" s="132">
        <f>I41+I36</f>
        <v>6329947.3507000003</v>
      </c>
      <c r="J42" s="8"/>
      <c r="K42" s="8"/>
      <c r="L42" s="8"/>
      <c r="M42" s="114">
        <f>M41+M36</f>
        <v>6656102.3737500003</v>
      </c>
      <c r="N42" s="114">
        <f>M42-I42</f>
        <v>326155.02304999996</v>
      </c>
      <c r="O42" s="122">
        <f>N42/I42</f>
        <v>5.1525708663900965E-2</v>
      </c>
      <c r="P42" s="2"/>
      <c r="Q42" s="2"/>
      <c r="R42" s="2"/>
    </row>
    <row r="43" spans="1:20" ht="13.8" thickTop="1" x14ac:dyDescent="0.25">
      <c r="A43" s="29">
        <f t="shared" si="1"/>
        <v>37</v>
      </c>
      <c r="D43" s="2" t="s">
        <v>19</v>
      </c>
      <c r="E43" s="67">
        <f>E35/E34</f>
        <v>1636.5179321486269</v>
      </c>
      <c r="G43" s="124">
        <f>G42/E34</f>
        <v>204.52172377059776</v>
      </c>
      <c r="I43" s="124">
        <f>I42/E34</f>
        <v>204.52172377059776</v>
      </c>
      <c r="M43" s="124">
        <f>M42/E34</f>
        <v>215.05985052504039</v>
      </c>
      <c r="N43" s="124">
        <f>M43-I43</f>
        <v>10.538126754442629</v>
      </c>
      <c r="O43" s="101">
        <f>N43/I43</f>
        <v>5.1525708663900868E-2</v>
      </c>
    </row>
    <row r="44" spans="1:20" ht="13.8" thickBot="1" x14ac:dyDescent="0.3">
      <c r="A44" s="29">
        <f t="shared" si="1"/>
        <v>38</v>
      </c>
    </row>
    <row r="45" spans="1:20" x14ac:dyDescent="0.25">
      <c r="A45" s="29">
        <f t="shared" si="1"/>
        <v>39</v>
      </c>
      <c r="B45" s="139" t="s">
        <v>54</v>
      </c>
      <c r="C45" s="25">
        <v>4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20" x14ac:dyDescent="0.25">
      <c r="A46" s="29">
        <f t="shared" si="1"/>
        <v>40</v>
      </c>
      <c r="B46" s="140"/>
      <c r="D46" s="2" t="s">
        <v>18</v>
      </c>
      <c r="E46" s="110">
        <v>4217</v>
      </c>
      <c r="F46" s="67">
        <v>22.03</v>
      </c>
      <c r="G46" s="99">
        <f>F46*E46</f>
        <v>92900.510000000009</v>
      </c>
      <c r="H46" s="67">
        <v>22.03</v>
      </c>
      <c r="I46" s="99">
        <f>H46*E46</f>
        <v>92900.510000000009</v>
      </c>
      <c r="J46" s="101">
        <f>I46/I49</f>
        <v>5.0905791500003121E-3</v>
      </c>
      <c r="K46" s="101"/>
      <c r="L46" s="67">
        <f>ROUND(J46*K49/E46,2)</f>
        <v>23.29</v>
      </c>
      <c r="M46" s="99">
        <f>L46*E46</f>
        <v>98213.93</v>
      </c>
      <c r="N46" s="99">
        <f t="shared" ref="N46:N52" si="30">M46-I46</f>
        <v>5313.4199999999837</v>
      </c>
      <c r="O46" s="101">
        <f>IF(I46=0,0,N46/I46)</f>
        <v>5.7194734453018432E-2</v>
      </c>
      <c r="P46" s="101">
        <f>M46/M49</f>
        <v>5.0909965258553831E-3</v>
      </c>
      <c r="Q46" s="100">
        <f>P46-J46</f>
        <v>4.1737585507097691E-7</v>
      </c>
      <c r="R46" s="100"/>
      <c r="T46" s="6">
        <f>L46/H46-1</f>
        <v>5.7194734453018592E-2</v>
      </c>
    </row>
    <row r="47" spans="1:20" x14ac:dyDescent="0.25">
      <c r="A47" s="29">
        <f t="shared" si="1"/>
        <v>41</v>
      </c>
      <c r="B47" s="67"/>
      <c r="D47" s="2" t="s">
        <v>49</v>
      </c>
      <c r="E47" s="110">
        <v>192813659</v>
      </c>
      <c r="F47" s="111">
        <v>6.3009999999999997E-2</v>
      </c>
      <c r="G47" s="99">
        <f t="shared" ref="G47:G48" si="31">F47*E47</f>
        <v>12149188.653589999</v>
      </c>
      <c r="H47" s="115">
        <v>7.4660000000000004E-2</v>
      </c>
      <c r="I47" s="99">
        <f t="shared" ref="I47:I48" si="32">H47*E47</f>
        <v>14395467.78094</v>
      </c>
      <c r="J47" s="101">
        <f>I47/I49</f>
        <v>0.788814487026545</v>
      </c>
      <c r="K47" s="101"/>
      <c r="L47" s="115">
        <f>ROUND(J47*K49/E47,5)</f>
        <v>7.893E-2</v>
      </c>
      <c r="M47" s="99">
        <f t="shared" ref="M47:M48" si="33">L47*E47</f>
        <v>15218782.104870001</v>
      </c>
      <c r="N47" s="99">
        <f t="shared" si="30"/>
        <v>823314.32393000089</v>
      </c>
      <c r="O47" s="101">
        <f t="shared" ref="O47:O48" si="34">IF(I47=0,0,N47/I47)</f>
        <v>5.7192606482721731E-2</v>
      </c>
      <c r="P47" s="101">
        <f>M47/M49</f>
        <v>0.78887757392096258</v>
      </c>
      <c r="Q47" s="100">
        <f t="shared" ref="Q47:Q49" si="35">P47-J47</f>
        <v>6.3086894417585526E-5</v>
      </c>
      <c r="R47" s="100"/>
      <c r="T47" s="6">
        <f>L47/H47-1</f>
        <v>5.7192606482721509E-2</v>
      </c>
    </row>
    <row r="48" spans="1:20" x14ac:dyDescent="0.25">
      <c r="A48" s="29">
        <f t="shared" si="1"/>
        <v>42</v>
      </c>
      <c r="B48" s="67"/>
      <c r="D48" s="2" t="s">
        <v>50</v>
      </c>
      <c r="E48" s="110">
        <v>593238</v>
      </c>
      <c r="F48" s="67">
        <v>6.34</v>
      </c>
      <c r="G48" s="99">
        <f t="shared" si="31"/>
        <v>3761128.92</v>
      </c>
      <c r="H48" s="67">
        <v>6.34</v>
      </c>
      <c r="I48" s="99">
        <f t="shared" si="32"/>
        <v>3761128.92</v>
      </c>
      <c r="J48" s="101">
        <f>I48/I49</f>
        <v>0.20609493382345467</v>
      </c>
      <c r="K48" s="101"/>
      <c r="L48" s="67">
        <f>ROUND(J48*K49/E48,2)</f>
        <v>6.7</v>
      </c>
      <c r="M48" s="99">
        <f t="shared" si="33"/>
        <v>3974694.6</v>
      </c>
      <c r="N48" s="99">
        <f t="shared" si="30"/>
        <v>213565.68000000017</v>
      </c>
      <c r="O48" s="101">
        <f t="shared" si="34"/>
        <v>5.6782334384858087E-2</v>
      </c>
      <c r="P48" s="101">
        <f>M48/M49</f>
        <v>0.20603142955318204</v>
      </c>
      <c r="Q48" s="100">
        <f t="shared" si="35"/>
        <v>-6.3504270272629615E-5</v>
      </c>
      <c r="R48" s="100"/>
      <c r="T48" s="6">
        <f>L48/H48-1</f>
        <v>5.6782334384858135E-2</v>
      </c>
    </row>
    <row r="49" spans="1:23" s="7" customFormat="1" ht="20.399999999999999" customHeight="1" x14ac:dyDescent="0.3">
      <c r="A49" s="29">
        <f t="shared" si="1"/>
        <v>43</v>
      </c>
      <c r="C49" s="17"/>
      <c r="D49" s="19" t="s">
        <v>7</v>
      </c>
      <c r="E49" s="19"/>
      <c r="F49" s="123"/>
      <c r="G49" s="112">
        <f>SUM(G46:G48)</f>
        <v>16003218.083589999</v>
      </c>
      <c r="H49" s="19"/>
      <c r="I49" s="112">
        <f>SUM(I46:I48)</f>
        <v>18249497.21094</v>
      </c>
      <c r="J49" s="117">
        <f>SUM(J46:J48)</f>
        <v>1</v>
      </c>
      <c r="K49" s="118">
        <f>I49+Summary!I14</f>
        <v>19293672.970940001</v>
      </c>
      <c r="L49" s="19"/>
      <c r="M49" s="112">
        <f>SUM(M46:M48)</f>
        <v>19291690.63487</v>
      </c>
      <c r="N49" s="112">
        <f>SUM(N46:N48)</f>
        <v>1042193.423930001</v>
      </c>
      <c r="O49" s="117">
        <f t="shared" ref="O49" si="36">N49/I49</f>
        <v>5.7108062314464136E-2</v>
      </c>
      <c r="P49" s="117">
        <f>SUM(P46:P48)</f>
        <v>1</v>
      </c>
      <c r="Q49" s="131">
        <f t="shared" si="35"/>
        <v>0</v>
      </c>
      <c r="R49" s="119">
        <f>M49-K49</f>
        <v>-1982.3360700011253</v>
      </c>
      <c r="S49" s="7">
        <f>K49/I49</f>
        <v>1.0572166864615893</v>
      </c>
    </row>
    <row r="50" spans="1:23" x14ac:dyDescent="0.25">
      <c r="A50" s="29">
        <f t="shared" si="1"/>
        <v>44</v>
      </c>
      <c r="D50" s="2" t="s">
        <v>27</v>
      </c>
      <c r="E50" s="125"/>
      <c r="G50" s="13">
        <v>2263647.9900000002</v>
      </c>
      <c r="I50" s="13">
        <f>G50-($H$390*E47)</f>
        <v>17368.862650000025</v>
      </c>
      <c r="M50" s="99">
        <f>I50</f>
        <v>17368.862650000025</v>
      </c>
      <c r="N50" s="99">
        <f t="shared" si="30"/>
        <v>0</v>
      </c>
      <c r="O50" s="67">
        <v>0</v>
      </c>
      <c r="R50" s="120"/>
    </row>
    <row r="51" spans="1:23" x14ac:dyDescent="0.25">
      <c r="A51" s="29">
        <f t="shared" si="1"/>
        <v>45</v>
      </c>
      <c r="D51" s="2" t="s">
        <v>28</v>
      </c>
      <c r="G51" s="13">
        <v>1926747.68</v>
      </c>
      <c r="I51" s="13">
        <f>G51</f>
        <v>1926747.68</v>
      </c>
      <c r="M51" s="99">
        <f t="shared" ref="M51:M53" si="37">I51</f>
        <v>1926747.68</v>
      </c>
      <c r="N51" s="99">
        <f t="shared" si="30"/>
        <v>0</v>
      </c>
      <c r="O51" s="67">
        <v>0</v>
      </c>
    </row>
    <row r="52" spans="1:23" x14ac:dyDescent="0.25">
      <c r="A52" s="29">
        <f t="shared" si="1"/>
        <v>46</v>
      </c>
      <c r="D52" s="2" t="s">
        <v>30</v>
      </c>
      <c r="E52" s="110"/>
      <c r="F52" s="67"/>
      <c r="G52" s="99">
        <v>0</v>
      </c>
      <c r="I52" s="13">
        <f>G52</f>
        <v>0</v>
      </c>
      <c r="M52" s="99">
        <f t="shared" si="37"/>
        <v>0</v>
      </c>
      <c r="N52" s="99">
        <f t="shared" si="30"/>
        <v>0</v>
      </c>
      <c r="O52" s="67">
        <v>0</v>
      </c>
    </row>
    <row r="53" spans="1:23" x14ac:dyDescent="0.25">
      <c r="A53" s="29">
        <f t="shared" si="1"/>
        <v>47</v>
      </c>
      <c r="B53" s="54"/>
      <c r="D53" s="2" t="s">
        <v>40</v>
      </c>
      <c r="G53" s="99">
        <v>0</v>
      </c>
      <c r="I53" s="13">
        <f>G53</f>
        <v>0</v>
      </c>
      <c r="M53" s="99">
        <f t="shared" si="37"/>
        <v>0</v>
      </c>
      <c r="N53" s="99"/>
      <c r="O53" s="67">
        <v>0</v>
      </c>
    </row>
    <row r="54" spans="1:23" x14ac:dyDescent="0.25">
      <c r="A54" s="29">
        <f t="shared" si="1"/>
        <v>48</v>
      </c>
      <c r="D54" s="15" t="s">
        <v>9</v>
      </c>
      <c r="E54" s="15"/>
      <c r="F54" s="15"/>
      <c r="G54" s="113">
        <f>SUM(G50:G53)</f>
        <v>4190395.67</v>
      </c>
      <c r="H54" s="15"/>
      <c r="I54" s="113">
        <f>SUM(I50:I53)</f>
        <v>1944116.54265</v>
      </c>
      <c r="J54" s="15"/>
      <c r="K54" s="15"/>
      <c r="L54" s="15"/>
      <c r="M54" s="113">
        <f>SUM(M50:M53)</f>
        <v>1944116.54265</v>
      </c>
      <c r="N54" s="113">
        <f>M54-I54</f>
        <v>0</v>
      </c>
      <c r="O54" s="121">
        <v>0</v>
      </c>
    </row>
    <row r="55" spans="1:23" s="7" customFormat="1" ht="26.4" customHeight="1" thickBot="1" x14ac:dyDescent="0.3">
      <c r="A55" s="29">
        <f t="shared" si="1"/>
        <v>49</v>
      </c>
      <c r="C55" s="17"/>
      <c r="D55" s="8" t="s">
        <v>20</v>
      </c>
      <c r="E55" s="8"/>
      <c r="F55" s="8"/>
      <c r="G55" s="114">
        <f>G49+G54</f>
        <v>20193613.753589999</v>
      </c>
      <c r="H55" s="8"/>
      <c r="I55" s="132">
        <f>I54+I49</f>
        <v>20193613.753589999</v>
      </c>
      <c r="J55" s="8"/>
      <c r="K55" s="8"/>
      <c r="L55" s="8"/>
      <c r="M55" s="114">
        <f>M54+M49</f>
        <v>21235807.177519999</v>
      </c>
      <c r="N55" s="114">
        <f>M55-I55</f>
        <v>1042193.4239300005</v>
      </c>
      <c r="O55" s="122">
        <f>N55/I55</f>
        <v>5.1610050417287022E-2</v>
      </c>
      <c r="P55" s="2"/>
      <c r="Q55" s="2"/>
      <c r="R55" s="2"/>
    </row>
    <row r="56" spans="1:23" ht="13.8" thickTop="1" x14ac:dyDescent="0.25">
      <c r="A56" s="29">
        <f t="shared" si="1"/>
        <v>50</v>
      </c>
      <c r="D56" s="2" t="s">
        <v>19</v>
      </c>
      <c r="E56" s="67">
        <f>E47/E46</f>
        <v>45722.944984586196</v>
      </c>
      <c r="G56" s="124">
        <f>G55/E46</f>
        <v>4788.6207620559635</v>
      </c>
      <c r="I56" s="124">
        <f>I55/E46</f>
        <v>4788.6207620559635</v>
      </c>
      <c r="M56" s="124">
        <f>M55/E46</f>
        <v>5035.7617210149392</v>
      </c>
      <c r="N56" s="124">
        <f>M56-I56</f>
        <v>247.14095895897572</v>
      </c>
      <c r="O56" s="101">
        <f>N56/I56</f>
        <v>5.1610050417287029E-2</v>
      </c>
    </row>
    <row r="57" spans="1:23" ht="13.8" thickBot="1" x14ac:dyDescent="0.3">
      <c r="A57" s="29">
        <f t="shared" si="1"/>
        <v>51</v>
      </c>
    </row>
    <row r="58" spans="1:23" ht="16.2" customHeight="1" x14ac:dyDescent="0.25">
      <c r="A58" s="29">
        <f t="shared" si="1"/>
        <v>52</v>
      </c>
      <c r="B58" s="139" t="s">
        <v>139</v>
      </c>
      <c r="C58" s="25">
        <v>5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23" x14ac:dyDescent="0.25">
      <c r="A59" s="29">
        <f t="shared" si="1"/>
        <v>53</v>
      </c>
      <c r="B59" s="140"/>
      <c r="D59" s="2" t="s">
        <v>18</v>
      </c>
      <c r="E59" s="110">
        <v>120</v>
      </c>
      <c r="F59" s="67">
        <v>22.03</v>
      </c>
      <c r="G59" s="99">
        <f>F59*E59</f>
        <v>2643.6000000000004</v>
      </c>
      <c r="H59" s="67">
        <f>H46</f>
        <v>22.03</v>
      </c>
      <c r="I59" s="99">
        <f>H59*E59</f>
        <v>2643.6000000000004</v>
      </c>
      <c r="J59" s="101">
        <f>I59/I62</f>
        <v>1.5724708143533474E-3</v>
      </c>
      <c r="K59" s="101"/>
      <c r="L59" s="67">
        <f>L46</f>
        <v>23.29</v>
      </c>
      <c r="M59" s="99">
        <f>L59*E59</f>
        <v>2794.7999999999997</v>
      </c>
      <c r="N59" s="99">
        <f t="shared" ref="N59:N65" si="38">M59-I59</f>
        <v>151.19999999999936</v>
      </c>
      <c r="O59" s="101">
        <f>IF(I59=0,0,N59/I59)</f>
        <v>5.7194734453018363E-2</v>
      </c>
      <c r="P59" s="101">
        <f>M59/M62</f>
        <v>1.572598861819163E-3</v>
      </c>
      <c r="Q59" s="100">
        <f>P59-J59</f>
        <v>1.2804746581563005E-7</v>
      </c>
      <c r="R59" s="100"/>
      <c r="T59" s="6">
        <f>L59/H59-1</f>
        <v>5.7194734453018592E-2</v>
      </c>
    </row>
    <row r="60" spans="1:23" x14ac:dyDescent="0.25">
      <c r="A60" s="29">
        <f t="shared" si="1"/>
        <v>54</v>
      </c>
      <c r="B60" s="67"/>
      <c r="D60" s="2" t="s">
        <v>49</v>
      </c>
      <c r="E60" s="110">
        <v>18815160</v>
      </c>
      <c r="F60" s="111">
        <v>5.9859999999999997E-2</v>
      </c>
      <c r="G60" s="99">
        <f t="shared" ref="G60:G61" si="39">F60*E60</f>
        <v>1126275.4775999999</v>
      </c>
      <c r="H60" s="115">
        <f>H47*0.95</f>
        <v>7.0927000000000004E-2</v>
      </c>
      <c r="I60" s="99">
        <f t="shared" ref="I60:I61" si="40">H60*E60</f>
        <v>1334502.85332</v>
      </c>
      <c r="J60" s="101">
        <f>I60/I62</f>
        <v>0.79379134079171054</v>
      </c>
      <c r="K60" s="101"/>
      <c r="L60" s="115">
        <f>L47*0.95</f>
        <v>7.4983499999999995E-2</v>
      </c>
      <c r="M60" s="99">
        <f t="shared" ref="M60:M61" si="41">L60*E60</f>
        <v>1410826.5498599999</v>
      </c>
      <c r="N60" s="99">
        <f t="shared" si="38"/>
        <v>76323.696539999917</v>
      </c>
      <c r="O60" s="101">
        <f t="shared" ref="O60:O61" si="42">IF(I60=0,0,N60/I60)</f>
        <v>5.7192606482721613E-2</v>
      </c>
      <c r="P60" s="101">
        <f>M60/M62</f>
        <v>0.79385438189999025</v>
      </c>
      <c r="Q60" s="100">
        <f t="shared" ref="Q60:Q62" si="43">P60-J60</f>
        <v>6.3041108279704439E-5</v>
      </c>
      <c r="R60" s="100"/>
      <c r="T60" s="6">
        <f>L60/H60-1</f>
        <v>5.7192606482721509E-2</v>
      </c>
      <c r="W60" s="88" t="s">
        <v>136</v>
      </c>
    </row>
    <row r="61" spans="1:23" x14ac:dyDescent="0.25">
      <c r="A61" s="29">
        <f t="shared" si="1"/>
        <v>55</v>
      </c>
      <c r="B61" s="67"/>
      <c r="D61" s="2" t="s">
        <v>50</v>
      </c>
      <c r="E61" s="110">
        <v>57119.28</v>
      </c>
      <c r="F61" s="67">
        <v>6.02</v>
      </c>
      <c r="G61" s="99">
        <f t="shared" si="39"/>
        <v>343858.06559999997</v>
      </c>
      <c r="H61" s="67">
        <f>H48*0.95</f>
        <v>6.0229999999999997</v>
      </c>
      <c r="I61" s="99">
        <f t="shared" si="40"/>
        <v>344029.42343999998</v>
      </c>
      <c r="J61" s="101">
        <f>I61/I62</f>
        <v>0.20463618839393605</v>
      </c>
      <c r="K61" s="101"/>
      <c r="L61" s="67">
        <f>L48*0.95</f>
        <v>6.3650000000000002</v>
      </c>
      <c r="M61" s="99">
        <f t="shared" si="41"/>
        <v>363564.21720000001</v>
      </c>
      <c r="N61" s="99">
        <f t="shared" si="38"/>
        <v>19534.79376000003</v>
      </c>
      <c r="O61" s="101">
        <f t="shared" si="42"/>
        <v>5.6782334384858135E-2</v>
      </c>
      <c r="P61" s="101">
        <f>M61/M62</f>
        <v>0.20457301923819057</v>
      </c>
      <c r="Q61" s="100">
        <f t="shared" si="43"/>
        <v>-6.3169155745473882E-5</v>
      </c>
      <c r="R61" s="100"/>
      <c r="T61" s="6">
        <f>L61/H61-1</f>
        <v>5.6782334384858135E-2</v>
      </c>
    </row>
    <row r="62" spans="1:23" s="7" customFormat="1" ht="20.399999999999999" customHeight="1" x14ac:dyDescent="0.3">
      <c r="A62" s="29">
        <f t="shared" si="1"/>
        <v>56</v>
      </c>
      <c r="C62" s="17"/>
      <c r="D62" s="19" t="s">
        <v>7</v>
      </c>
      <c r="E62" s="19"/>
      <c r="F62" s="123"/>
      <c r="G62" s="112">
        <f>SUM(G59:G61)</f>
        <v>1472777.1431999998</v>
      </c>
      <c r="H62" s="19"/>
      <c r="I62" s="112">
        <f>SUM(I59:I61)</f>
        <v>1681175.8767600001</v>
      </c>
      <c r="J62" s="117">
        <f>SUM(J59:J61)</f>
        <v>0.99999999999999989</v>
      </c>
      <c r="K62" s="118">
        <f>I62+Summary!I15</f>
        <v>1777367.1867600002</v>
      </c>
      <c r="L62" s="19"/>
      <c r="M62" s="112">
        <f>SUM(M59:M61)</f>
        <v>1777185.56706</v>
      </c>
      <c r="N62" s="112">
        <f>SUM(N59:N61)</f>
        <v>96009.690299999944</v>
      </c>
      <c r="O62" s="117">
        <f t="shared" ref="O62" si="44">N62/I62</f>
        <v>5.7108653310581625E-2</v>
      </c>
      <c r="P62" s="117">
        <f>SUM(P59:P61)</f>
        <v>1</v>
      </c>
      <c r="Q62" s="131">
        <f t="shared" si="43"/>
        <v>0</v>
      </c>
      <c r="R62" s="119">
        <f>M62-K62</f>
        <v>-181.61970000015572</v>
      </c>
      <c r="S62" s="7">
        <f>K62/I62</f>
        <v>1.0572166846608471</v>
      </c>
    </row>
    <row r="63" spans="1:23" x14ac:dyDescent="0.25">
      <c r="A63" s="29">
        <f t="shared" si="1"/>
        <v>57</v>
      </c>
      <c r="D63" s="2" t="s">
        <v>27</v>
      </c>
      <c r="E63" s="125"/>
      <c r="G63" s="13">
        <v>224068.91</v>
      </c>
      <c r="I63" s="13">
        <f>G63-(I60-G60)</f>
        <v>15841.534279999876</v>
      </c>
      <c r="M63" s="99">
        <f>I63</f>
        <v>15841.534279999876</v>
      </c>
      <c r="N63" s="99">
        <f t="shared" si="38"/>
        <v>0</v>
      </c>
      <c r="O63" s="67">
        <v>0</v>
      </c>
      <c r="R63" s="120"/>
    </row>
    <row r="64" spans="1:23" x14ac:dyDescent="0.25">
      <c r="A64" s="29">
        <f t="shared" si="1"/>
        <v>58</v>
      </c>
      <c r="D64" s="2" t="s">
        <v>28</v>
      </c>
      <c r="G64" s="13">
        <v>178317.22</v>
      </c>
      <c r="I64" s="13">
        <f>G64</f>
        <v>178317.22</v>
      </c>
      <c r="M64" s="99">
        <f t="shared" ref="M64:M66" si="45">I64</f>
        <v>178317.22</v>
      </c>
      <c r="N64" s="99">
        <f t="shared" si="38"/>
        <v>0</v>
      </c>
      <c r="O64" s="67">
        <v>0</v>
      </c>
    </row>
    <row r="65" spans="1:20" x14ac:dyDescent="0.25">
      <c r="A65" s="29">
        <f t="shared" si="1"/>
        <v>59</v>
      </c>
      <c r="D65" s="2" t="s">
        <v>30</v>
      </c>
      <c r="E65" s="110"/>
      <c r="F65" s="67"/>
      <c r="G65" s="99">
        <v>0</v>
      </c>
      <c r="I65" s="13">
        <f>G65</f>
        <v>0</v>
      </c>
      <c r="M65" s="99">
        <f t="shared" si="45"/>
        <v>0</v>
      </c>
      <c r="N65" s="99">
        <f t="shared" si="38"/>
        <v>0</v>
      </c>
      <c r="O65" s="67">
        <v>0</v>
      </c>
    </row>
    <row r="66" spans="1:20" x14ac:dyDescent="0.25">
      <c r="A66" s="29">
        <f t="shared" si="1"/>
        <v>60</v>
      </c>
      <c r="B66" s="54"/>
      <c r="D66" s="2" t="s">
        <v>40</v>
      </c>
      <c r="G66" s="99">
        <v>0</v>
      </c>
      <c r="I66" s="13">
        <f>G66</f>
        <v>0</v>
      </c>
      <c r="M66" s="99">
        <f t="shared" si="45"/>
        <v>0</v>
      </c>
      <c r="N66" s="99"/>
      <c r="O66" s="67">
        <v>0</v>
      </c>
    </row>
    <row r="67" spans="1:20" x14ac:dyDescent="0.25">
      <c r="A67" s="29">
        <f t="shared" si="1"/>
        <v>61</v>
      </c>
      <c r="D67" s="15" t="s">
        <v>9</v>
      </c>
      <c r="E67" s="15"/>
      <c r="F67" s="15"/>
      <c r="G67" s="113">
        <f>SUM(G63:G66)</f>
        <v>402386.13</v>
      </c>
      <c r="H67" s="15"/>
      <c r="I67" s="113">
        <f>SUM(I63:I66)</f>
        <v>194158.75427999988</v>
      </c>
      <c r="J67" s="15"/>
      <c r="K67" s="15"/>
      <c r="L67" s="15"/>
      <c r="M67" s="113">
        <f>SUM(M63:M66)</f>
        <v>194158.75427999988</v>
      </c>
      <c r="N67" s="113">
        <f>M67-I67</f>
        <v>0</v>
      </c>
      <c r="O67" s="121">
        <v>0</v>
      </c>
    </row>
    <row r="68" spans="1:20" s="7" customFormat="1" ht="26.4" customHeight="1" thickBot="1" x14ac:dyDescent="0.3">
      <c r="A68" s="29">
        <f t="shared" si="1"/>
        <v>62</v>
      </c>
      <c r="C68" s="17"/>
      <c r="D68" s="8" t="s">
        <v>20</v>
      </c>
      <c r="E68" s="8"/>
      <c r="F68" s="8"/>
      <c r="G68" s="114">
        <f>G62+G67</f>
        <v>1875163.2731999997</v>
      </c>
      <c r="H68" s="8"/>
      <c r="I68" s="132">
        <f>I67+I62</f>
        <v>1875334.6310399999</v>
      </c>
      <c r="J68" s="8"/>
      <c r="K68" s="8"/>
      <c r="L68" s="8"/>
      <c r="M68" s="114">
        <f>M67+M62</f>
        <v>1971344.3213399998</v>
      </c>
      <c r="N68" s="114">
        <f>M68-I68</f>
        <v>96009.6902999999</v>
      </c>
      <c r="O68" s="122">
        <f>N68/I68</f>
        <v>5.1196031210043846E-2</v>
      </c>
      <c r="P68" s="2"/>
      <c r="Q68" s="2"/>
      <c r="R68" s="2"/>
    </row>
    <row r="69" spans="1:20" ht="13.8" thickTop="1" x14ac:dyDescent="0.25">
      <c r="A69" s="29">
        <f t="shared" si="1"/>
        <v>63</v>
      </c>
      <c r="D69" s="2" t="s">
        <v>19</v>
      </c>
      <c r="E69" s="67">
        <f>E60/E59</f>
        <v>156793</v>
      </c>
      <c r="G69" s="124">
        <f>G68/E59</f>
        <v>15626.360609999998</v>
      </c>
      <c r="I69" s="124">
        <f>I68/E59</f>
        <v>15627.788591999999</v>
      </c>
      <c r="M69" s="124">
        <f>M68/E59</f>
        <v>16427.869344499999</v>
      </c>
      <c r="N69" s="124">
        <f>M69-I69</f>
        <v>800.08075250000002</v>
      </c>
      <c r="O69" s="101">
        <f>N69/I69</f>
        <v>5.1196031210043902E-2</v>
      </c>
    </row>
    <row r="70" spans="1:20" ht="13.8" thickBot="1" x14ac:dyDescent="0.3">
      <c r="A70" s="29">
        <f t="shared" si="1"/>
        <v>64</v>
      </c>
    </row>
    <row r="71" spans="1:20" x14ac:dyDescent="0.25">
      <c r="A71" s="29">
        <f t="shared" si="1"/>
        <v>65</v>
      </c>
      <c r="B71" s="24" t="s">
        <v>55</v>
      </c>
      <c r="C71" s="25">
        <v>9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1:20" x14ac:dyDescent="0.25">
      <c r="A72" s="29">
        <f t="shared" si="1"/>
        <v>66</v>
      </c>
      <c r="D72" s="2" t="s">
        <v>18</v>
      </c>
      <c r="E72" s="110">
        <v>132</v>
      </c>
      <c r="F72" s="67">
        <v>1573.12</v>
      </c>
      <c r="G72" s="99">
        <f>F72*E72</f>
        <v>207651.84</v>
      </c>
      <c r="H72" s="67">
        <v>1573.12</v>
      </c>
      <c r="I72" s="99">
        <f>H72*E72</f>
        <v>207651.84</v>
      </c>
      <c r="J72" s="101">
        <f>I72/I77</f>
        <v>2.4999844758359362E-2</v>
      </c>
      <c r="K72" s="101"/>
      <c r="L72" s="67">
        <f>ROUND(H72*S77,2)</f>
        <v>1723.17</v>
      </c>
      <c r="M72" s="99">
        <f>L72*E72</f>
        <v>227458.44</v>
      </c>
      <c r="N72" s="99">
        <f t="shared" ref="N72:N80" si="46">M72-I72</f>
        <v>19806.600000000006</v>
      </c>
      <c r="O72" s="101">
        <f>IF(I72=0,0,N72/I72)</f>
        <v>9.5383696094385712E-2</v>
      </c>
      <c r="P72" s="101">
        <f>M72/M77</f>
        <v>2.5001127376503434E-2</v>
      </c>
      <c r="Q72" s="100">
        <f>P72-J72</f>
        <v>1.282618144072406E-6</v>
      </c>
      <c r="R72" s="100"/>
      <c r="T72" s="6">
        <f>L72/H72-1</f>
        <v>9.5383696094385906E-2</v>
      </c>
    </row>
    <row r="73" spans="1:20" x14ac:dyDescent="0.25">
      <c r="A73" s="29">
        <f t="shared" ref="A73:A137" si="47">A72+1</f>
        <v>67</v>
      </c>
      <c r="B73" s="67"/>
      <c r="D73" s="2" t="s">
        <v>69</v>
      </c>
      <c r="E73" s="110">
        <v>94537500</v>
      </c>
      <c r="F73" s="111">
        <v>4.7010000000000003E-2</v>
      </c>
      <c r="G73" s="99">
        <f t="shared" ref="G73:G75" si="48">F73*E73</f>
        <v>4444207.875</v>
      </c>
      <c r="H73" s="115">
        <v>5.8659999999999997E-2</v>
      </c>
      <c r="I73" s="99">
        <f t="shared" ref="I73:I75" si="49">H73*E73</f>
        <v>5545569.75</v>
      </c>
      <c r="J73" s="101">
        <f>I73/I77</f>
        <v>0.66764822717994576</v>
      </c>
      <c r="K73" s="101"/>
      <c r="L73" s="111">
        <f>ROUND(H73*S77,5)</f>
        <v>6.4259999999999998E-2</v>
      </c>
      <c r="M73" s="99">
        <f t="shared" ref="M73:M75" si="50">L73*E73</f>
        <v>6074979.75</v>
      </c>
      <c r="N73" s="99">
        <f t="shared" si="46"/>
        <v>529410</v>
      </c>
      <c r="O73" s="101">
        <f t="shared" ref="O73:O75" si="51">IF(I73=0,0,N73/I73)</f>
        <v>9.5465393794749401E-2</v>
      </c>
      <c r="P73" s="101">
        <f>M73/M77</f>
        <v>0.66773227908988109</v>
      </c>
      <c r="Q73" s="100">
        <f t="shared" ref="Q73:Q77" si="52">P73-J73</f>
        <v>8.4051909935323188E-5</v>
      </c>
      <c r="R73" s="100"/>
      <c r="T73" s="6">
        <f>L73/H73-1</f>
        <v>9.5465393794749387E-2</v>
      </c>
    </row>
    <row r="74" spans="1:20" x14ac:dyDescent="0.25">
      <c r="A74" s="29">
        <f t="shared" si="47"/>
        <v>68</v>
      </c>
      <c r="B74" s="67"/>
      <c r="D74" s="2" t="s">
        <v>70</v>
      </c>
      <c r="E74" s="110">
        <v>15353834</v>
      </c>
      <c r="F74" s="111">
        <v>4.3240000000000001E-2</v>
      </c>
      <c r="G74" s="99">
        <f t="shared" ref="G74" si="53">F74*E74</f>
        <v>663899.78216000006</v>
      </c>
      <c r="H74" s="115">
        <v>5.4890000000000001E-2</v>
      </c>
      <c r="I74" s="99">
        <f t="shared" ref="I74" si="54">H74*E74</f>
        <v>842771.94825999998</v>
      </c>
      <c r="J74" s="101">
        <f>I74/I77</f>
        <v>0.10146391129113072</v>
      </c>
      <c r="K74" s="101"/>
      <c r="L74" s="111">
        <f>ROUND(H74*S77,5)</f>
        <v>6.0130000000000003E-2</v>
      </c>
      <c r="M74" s="99">
        <f t="shared" ref="M74" si="55">L74*E74</f>
        <v>923226.03842</v>
      </c>
      <c r="N74" s="99">
        <f t="shared" ref="N74" si="56">M74-I74</f>
        <v>80454.090160000022</v>
      </c>
      <c r="O74" s="101">
        <f t="shared" ref="O74" si="57">IF(I74=0,0,N74/I74)</f>
        <v>9.5463654581891086E-2</v>
      </c>
      <c r="P74" s="101">
        <f>M74/M77</f>
        <v>0.10147652372821633</v>
      </c>
      <c r="Q74" s="100">
        <f t="shared" ref="Q74" si="58">P74-J74</f>
        <v>1.2612437085612882E-5</v>
      </c>
      <c r="R74" s="100"/>
      <c r="T74" s="6">
        <f>L74/H74-1</f>
        <v>9.5463654581890989E-2</v>
      </c>
    </row>
    <row r="75" spans="1:20" x14ac:dyDescent="0.25">
      <c r="A75" s="29">
        <f t="shared" si="47"/>
        <v>69</v>
      </c>
      <c r="B75" s="67"/>
      <c r="D75" s="2" t="s">
        <v>50</v>
      </c>
      <c r="E75" s="110">
        <v>210180</v>
      </c>
      <c r="F75" s="67">
        <v>7.49</v>
      </c>
      <c r="G75" s="99">
        <f t="shared" si="48"/>
        <v>1574248.2</v>
      </c>
      <c r="H75" s="67">
        <v>7.49</v>
      </c>
      <c r="I75" s="99">
        <f t="shared" si="49"/>
        <v>1574248.2</v>
      </c>
      <c r="J75" s="101">
        <f>I75/I77</f>
        <v>0.18952859079470069</v>
      </c>
      <c r="K75" s="101"/>
      <c r="L75" s="67">
        <f>ROUND(H75*S77,2)</f>
        <v>8.1999999999999993</v>
      </c>
      <c r="M75" s="99">
        <f t="shared" si="50"/>
        <v>1723475.9999999998</v>
      </c>
      <c r="N75" s="99">
        <f t="shared" si="46"/>
        <v>149227.79999999981</v>
      </c>
      <c r="O75" s="101">
        <f t="shared" si="51"/>
        <v>9.4793057409879727E-2</v>
      </c>
      <c r="P75" s="101">
        <f>M75/M77</f>
        <v>0.18943611415934544</v>
      </c>
      <c r="Q75" s="100">
        <f t="shared" si="52"/>
        <v>-9.2476635355248638E-5</v>
      </c>
      <c r="R75" s="100"/>
      <c r="T75" s="6">
        <f>L75/H75-1</f>
        <v>9.4793057409879644E-2</v>
      </c>
    </row>
    <row r="76" spans="1:20" x14ac:dyDescent="0.25">
      <c r="A76" s="29">
        <f t="shared" si="47"/>
        <v>70</v>
      </c>
      <c r="B76" s="67"/>
      <c r="D76" s="2" t="s">
        <v>68</v>
      </c>
      <c r="E76" s="110">
        <v>13167</v>
      </c>
      <c r="F76" s="67">
        <v>10.32</v>
      </c>
      <c r="G76" s="99">
        <f t="shared" ref="G76" si="59">F76*E76</f>
        <v>135883.44</v>
      </c>
      <c r="H76" s="67">
        <v>10.32</v>
      </c>
      <c r="I76" s="99">
        <f t="shared" ref="I76" si="60">H76*E76</f>
        <v>135883.44</v>
      </c>
      <c r="J76" s="101">
        <f>I76/I77</f>
        <v>1.6359425975863439E-2</v>
      </c>
      <c r="K76" s="101"/>
      <c r="L76" s="67">
        <f>ROUND(H76*S77,2)</f>
        <v>11.3</v>
      </c>
      <c r="M76" s="99">
        <f t="shared" ref="M76" si="61">L76*E76</f>
        <v>148787.1</v>
      </c>
      <c r="N76" s="99">
        <f t="shared" ref="N76" si="62">M76-I76</f>
        <v>12903.660000000003</v>
      </c>
      <c r="O76" s="101">
        <f t="shared" ref="O76" si="63">IF(I76=0,0,N76/I76)</f>
        <v>9.4961240310077549E-2</v>
      </c>
      <c r="P76" s="101">
        <f>M76/M77</f>
        <v>1.6353955646053644E-2</v>
      </c>
      <c r="Q76" s="100">
        <f t="shared" ref="Q76" si="64">P76-J76</f>
        <v>-5.470329809794533E-6</v>
      </c>
      <c r="R76" s="100"/>
      <c r="T76" s="6">
        <f>L76/H76-1</f>
        <v>9.4961240310077466E-2</v>
      </c>
    </row>
    <row r="77" spans="1:20" s="7" customFormat="1" ht="20.399999999999999" customHeight="1" x14ac:dyDescent="0.3">
      <c r="A77" s="29">
        <f t="shared" si="47"/>
        <v>71</v>
      </c>
      <c r="C77" s="17"/>
      <c r="D77" s="19" t="s">
        <v>7</v>
      </c>
      <c r="E77" s="19"/>
      <c r="F77" s="123"/>
      <c r="G77" s="112">
        <f>SUM(G72:G76)</f>
        <v>7025891.1371600004</v>
      </c>
      <c r="H77" s="19"/>
      <c r="I77" s="112">
        <f>SUM(I72:I76)</f>
        <v>8306125.1782600004</v>
      </c>
      <c r="J77" s="117">
        <f>SUM(J72:J76)</f>
        <v>1</v>
      </c>
      <c r="K77" s="118">
        <f>I77+Summary!I31</f>
        <v>9098384.6582600009</v>
      </c>
      <c r="L77" s="19"/>
      <c r="M77" s="112">
        <f>SUM(M72:M76)</f>
        <v>9097927.3284200002</v>
      </c>
      <c r="N77" s="112">
        <f>SUM(N72:N76)</f>
        <v>791802.15015999984</v>
      </c>
      <c r="O77" s="117">
        <f t="shared" ref="O77" si="65">N77/I77</f>
        <v>9.5327500268406695E-2</v>
      </c>
      <c r="P77" s="117">
        <f>SUM(P72:P76)</f>
        <v>1</v>
      </c>
      <c r="Q77" s="131">
        <f t="shared" si="52"/>
        <v>0</v>
      </c>
      <c r="R77" s="119">
        <f>M77-K77</f>
        <v>-457.32984000071883</v>
      </c>
      <c r="S77" s="7">
        <f>K77/I77</f>
        <v>1.0953825596168014</v>
      </c>
    </row>
    <row r="78" spans="1:20" x14ac:dyDescent="0.25">
      <c r="A78" s="29">
        <f t="shared" si="47"/>
        <v>72</v>
      </c>
      <c r="D78" s="2" t="s">
        <v>27</v>
      </c>
      <c r="G78" s="13">
        <v>1270785.3700000001</v>
      </c>
      <c r="I78" s="13">
        <f>G78-($H$390*(E73+E74))</f>
        <v>-9448.6710999999195</v>
      </c>
      <c r="K78" s="13"/>
      <c r="M78" s="99">
        <f>I78</f>
        <v>-9448.6710999999195</v>
      </c>
      <c r="N78" s="99">
        <f t="shared" si="46"/>
        <v>0</v>
      </c>
      <c r="O78" s="67">
        <v>0</v>
      </c>
      <c r="R78" s="120"/>
    </row>
    <row r="79" spans="1:20" x14ac:dyDescent="0.25">
      <c r="A79" s="29">
        <f t="shared" si="47"/>
        <v>73</v>
      </c>
      <c r="D79" s="2" t="s">
        <v>28</v>
      </c>
      <c r="G79" s="13">
        <v>1065859</v>
      </c>
      <c r="I79" s="13">
        <f>G79</f>
        <v>1065859</v>
      </c>
      <c r="M79" s="99">
        <f t="shared" ref="M79:M81" si="66">I79</f>
        <v>1065859</v>
      </c>
      <c r="N79" s="99">
        <f t="shared" si="46"/>
        <v>0</v>
      </c>
      <c r="O79" s="67">
        <v>0</v>
      </c>
    </row>
    <row r="80" spans="1:20" x14ac:dyDescent="0.25">
      <c r="A80" s="29">
        <f t="shared" si="47"/>
        <v>74</v>
      </c>
      <c r="D80" s="2" t="s">
        <v>158</v>
      </c>
      <c r="E80" s="110"/>
      <c r="F80" s="67"/>
      <c r="G80" s="13">
        <v>-164040.79999999999</v>
      </c>
      <c r="I80" s="13">
        <f>G80</f>
        <v>-164040.79999999999</v>
      </c>
      <c r="M80" s="99">
        <f t="shared" si="66"/>
        <v>-164040.79999999999</v>
      </c>
      <c r="N80" s="99">
        <f t="shared" si="46"/>
        <v>0</v>
      </c>
      <c r="O80" s="67">
        <v>0</v>
      </c>
    </row>
    <row r="81" spans="1:20" x14ac:dyDescent="0.25">
      <c r="A81" s="29">
        <f t="shared" si="47"/>
        <v>75</v>
      </c>
      <c r="B81" s="54"/>
      <c r="D81" s="2" t="s">
        <v>159</v>
      </c>
      <c r="G81" s="13">
        <f>15301.04+24118</f>
        <v>39419.040000000001</v>
      </c>
      <c r="I81" s="13">
        <f>G81</f>
        <v>39419.040000000001</v>
      </c>
      <c r="M81" s="99">
        <f t="shared" si="66"/>
        <v>39419.040000000001</v>
      </c>
      <c r="N81" s="99"/>
      <c r="O81" s="67">
        <v>0</v>
      </c>
    </row>
    <row r="82" spans="1:20" x14ac:dyDescent="0.25">
      <c r="A82" s="29">
        <f t="shared" si="47"/>
        <v>76</v>
      </c>
      <c r="D82" s="15" t="s">
        <v>9</v>
      </c>
      <c r="E82" s="15"/>
      <c r="F82" s="15"/>
      <c r="G82" s="113">
        <f>SUM(G78:G81)</f>
        <v>2212022.6100000003</v>
      </c>
      <c r="H82" s="15"/>
      <c r="I82" s="113">
        <f>SUM(I78:I81)</f>
        <v>931788.56890000007</v>
      </c>
      <c r="J82" s="15"/>
      <c r="K82" s="15"/>
      <c r="L82" s="15"/>
      <c r="M82" s="113">
        <f>SUM(M78:M81)</f>
        <v>931788.56890000007</v>
      </c>
      <c r="N82" s="113">
        <f>M82-I82</f>
        <v>0</v>
      </c>
      <c r="O82" s="121">
        <v>0</v>
      </c>
    </row>
    <row r="83" spans="1:20" s="7" customFormat="1" ht="26.4" customHeight="1" thickBot="1" x14ac:dyDescent="0.3">
      <c r="A83" s="29">
        <f t="shared" si="47"/>
        <v>77</v>
      </c>
      <c r="C83" s="17"/>
      <c r="D83" s="8" t="s">
        <v>20</v>
      </c>
      <c r="E83" s="8"/>
      <c r="F83" s="8"/>
      <c r="G83" s="114">
        <f>G77+G82</f>
        <v>9237913.7471600007</v>
      </c>
      <c r="H83" s="8"/>
      <c r="I83" s="132">
        <f>I82+I77</f>
        <v>9237913.7471600007</v>
      </c>
      <c r="J83" s="8"/>
      <c r="K83" s="8"/>
      <c r="L83" s="8"/>
      <c r="M83" s="114">
        <f>M82+M77</f>
        <v>10029715.89732</v>
      </c>
      <c r="N83" s="114">
        <f>M83-I83</f>
        <v>791802.15015999973</v>
      </c>
      <c r="O83" s="122">
        <f>N83/I83</f>
        <v>8.5712225923674848E-2</v>
      </c>
      <c r="P83" s="2"/>
      <c r="Q83" s="2"/>
      <c r="R83" s="2"/>
    </row>
    <row r="84" spans="1:20" ht="13.8" thickTop="1" x14ac:dyDescent="0.25">
      <c r="A84" s="29">
        <f t="shared" si="47"/>
        <v>78</v>
      </c>
      <c r="D84" s="2" t="s">
        <v>19</v>
      </c>
      <c r="E84" s="67">
        <f>(E73+E74)/E72</f>
        <v>832510.10606060608</v>
      </c>
      <c r="G84" s="124">
        <f>G83/E72</f>
        <v>69984.195054242431</v>
      </c>
      <c r="I84" s="124">
        <f>I83/E72</f>
        <v>69984.195054242431</v>
      </c>
      <c r="M84" s="124">
        <f>M83/E72</f>
        <v>75982.696191818191</v>
      </c>
      <c r="N84" s="124">
        <f>M84-I84</f>
        <v>5998.5011375757604</v>
      </c>
      <c r="O84" s="101">
        <f>N84/I84</f>
        <v>8.5712225923674917E-2</v>
      </c>
    </row>
    <row r="85" spans="1:20" ht="13.8" thickBot="1" x14ac:dyDescent="0.3">
      <c r="A85" s="29">
        <f t="shared" si="47"/>
        <v>79</v>
      </c>
    </row>
    <row r="86" spans="1:20" x14ac:dyDescent="0.25">
      <c r="A86" s="29">
        <f>A85+1</f>
        <v>80</v>
      </c>
      <c r="B86" s="141" t="s">
        <v>153</v>
      </c>
      <c r="C86" s="25">
        <v>38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1:20" x14ac:dyDescent="0.25">
      <c r="A87" s="29">
        <f>A86+1</f>
        <v>81</v>
      </c>
      <c r="B87" s="142"/>
      <c r="D87" s="2" t="s">
        <v>18</v>
      </c>
      <c r="E87" s="110">
        <v>0</v>
      </c>
      <c r="F87" s="67">
        <v>0</v>
      </c>
      <c r="G87" s="99">
        <f>F87*E87</f>
        <v>0</v>
      </c>
      <c r="H87" s="67">
        <v>0</v>
      </c>
      <c r="I87" s="99">
        <f>H87*E87</f>
        <v>0</v>
      </c>
      <c r="J87" s="101">
        <f>I87/I90</f>
        <v>0</v>
      </c>
      <c r="K87" s="101"/>
      <c r="L87" s="67">
        <v>0</v>
      </c>
      <c r="M87" s="99">
        <f>L87*E87</f>
        <v>0</v>
      </c>
      <c r="N87" s="99">
        <f t="shared" ref="N87:N93" si="67">M87-I87</f>
        <v>0</v>
      </c>
      <c r="O87" s="101">
        <f>IF(I87=0,0,N87/I87)</f>
        <v>0</v>
      </c>
      <c r="P87" s="101">
        <f>M87/M90</f>
        <v>0</v>
      </c>
      <c r="Q87" s="100">
        <f>P87-J87</f>
        <v>0</v>
      </c>
      <c r="R87" s="100"/>
      <c r="T87" s="6"/>
    </row>
    <row r="88" spans="1:20" x14ac:dyDescent="0.25">
      <c r="A88" s="29">
        <f>A87+1</f>
        <v>82</v>
      </c>
      <c r="B88" s="67"/>
      <c r="D88" s="2" t="s">
        <v>71</v>
      </c>
      <c r="E88" s="110">
        <v>1160</v>
      </c>
      <c r="F88" s="111">
        <f>F9</f>
        <v>8.362E-2</v>
      </c>
      <c r="G88" s="99">
        <f>F88*E88</f>
        <v>96.999200000000002</v>
      </c>
      <c r="H88" s="111">
        <f>H9</f>
        <v>9.5269999999999994E-2</v>
      </c>
      <c r="I88" s="99">
        <f>H88*E88</f>
        <v>110.5132</v>
      </c>
      <c r="J88" s="101">
        <f>I88/I90</f>
        <v>0.20538243626062325</v>
      </c>
      <c r="K88" s="101"/>
      <c r="L88" s="111">
        <f>L9</f>
        <v>0.100721</v>
      </c>
      <c r="M88" s="99">
        <f>L88*E88</f>
        <v>116.83636</v>
      </c>
      <c r="N88" s="99">
        <f t="shared" si="67"/>
        <v>6.3231600000000014</v>
      </c>
      <c r="O88" s="101">
        <f>IF(I88=0,0,N88/I88)</f>
        <v>5.7216332528602934E-2</v>
      </c>
      <c r="P88" s="101">
        <f>M88/M90</f>
        <v>0.20538243626062322</v>
      </c>
      <c r="Q88" s="100">
        <f>P88-J88</f>
        <v>0</v>
      </c>
      <c r="R88" s="100"/>
      <c r="T88" s="6">
        <f>L88/H88-1</f>
        <v>5.7216332528603031E-2</v>
      </c>
    </row>
    <row r="89" spans="1:20" x14ac:dyDescent="0.25">
      <c r="A89" s="29"/>
      <c r="B89" s="67"/>
      <c r="D89" s="2" t="s">
        <v>72</v>
      </c>
      <c r="E89" s="110">
        <v>7480</v>
      </c>
      <c r="F89" s="111">
        <f>0.6*F88</f>
        <v>5.0172000000000001E-2</v>
      </c>
      <c r="G89" s="99">
        <f>F89*E89</f>
        <v>375.28656000000001</v>
      </c>
      <c r="H89" s="111">
        <f>0.6*H88</f>
        <v>5.7161999999999991E-2</v>
      </c>
      <c r="I89" s="99">
        <f>H89*E89</f>
        <v>427.57175999999993</v>
      </c>
      <c r="J89" s="101">
        <f>I89/I90</f>
        <v>0.79461756373937675</v>
      </c>
      <c r="K89" s="101"/>
      <c r="L89" s="111">
        <f>0.6*L88</f>
        <v>6.0432600000000003E-2</v>
      </c>
      <c r="M89" s="99">
        <f>L89*E89</f>
        <v>452.03584800000004</v>
      </c>
      <c r="N89" s="99">
        <f t="shared" si="67"/>
        <v>24.464088000000118</v>
      </c>
      <c r="O89" s="101">
        <f>IF(I89=0,0,N89/I89)</f>
        <v>5.7216332528603205E-2</v>
      </c>
      <c r="P89" s="101">
        <f>M89/M90</f>
        <v>0.79461756373937686</v>
      </c>
      <c r="Q89" s="100">
        <f>P89-J89</f>
        <v>0</v>
      </c>
      <c r="R89" s="100"/>
      <c r="T89" s="6"/>
    </row>
    <row r="90" spans="1:20" s="7" customFormat="1" ht="20.399999999999999" customHeight="1" x14ac:dyDescent="0.3">
      <c r="A90" s="29">
        <f>A88+1</f>
        <v>83</v>
      </c>
      <c r="C90" s="17"/>
      <c r="D90" s="19" t="s">
        <v>7</v>
      </c>
      <c r="E90" s="19"/>
      <c r="F90" s="123"/>
      <c r="G90" s="112">
        <f>SUM(G87:G89)</f>
        <v>472.28575999999998</v>
      </c>
      <c r="H90" s="19"/>
      <c r="I90" s="112">
        <f>SUM(I87:I89)</f>
        <v>538.08495999999991</v>
      </c>
      <c r="J90" s="117">
        <f>SUM(J87:J89)</f>
        <v>1</v>
      </c>
      <c r="K90" s="118">
        <f>I90+Summary!I16</f>
        <v>568.87495999999987</v>
      </c>
      <c r="L90" s="19"/>
      <c r="M90" s="112">
        <f>SUM(M87:M89)</f>
        <v>568.872208</v>
      </c>
      <c r="N90" s="112">
        <f t="shared" si="67"/>
        <v>30.787248000000091</v>
      </c>
      <c r="O90" s="117">
        <f>N90/I90</f>
        <v>5.7216332528603094E-2</v>
      </c>
      <c r="P90" s="117">
        <f>SUM(P87:P88)</f>
        <v>0.20538243626062322</v>
      </c>
      <c r="Q90" s="131">
        <f>P90-J90</f>
        <v>-0.79461756373937675</v>
      </c>
      <c r="R90" s="119">
        <f>M90-K90</f>
        <v>-2.7519999998730782E-3</v>
      </c>
      <c r="S90" s="7">
        <f>K90/I90</f>
        <v>1.0572214469625763</v>
      </c>
    </row>
    <row r="91" spans="1:20" x14ac:dyDescent="0.25">
      <c r="A91" s="29">
        <f t="shared" ref="A91:A99" si="68">A90+1</f>
        <v>84</v>
      </c>
      <c r="D91" s="2" t="s">
        <v>27</v>
      </c>
      <c r="G91" s="13">
        <v>124.18</v>
      </c>
      <c r="I91" s="13">
        <f>G91-($H$390*(E89+E88))</f>
        <v>23.524000000000001</v>
      </c>
      <c r="M91" s="99">
        <f>I91</f>
        <v>23.524000000000001</v>
      </c>
      <c r="N91" s="99">
        <f t="shared" si="67"/>
        <v>0</v>
      </c>
      <c r="O91" s="67">
        <v>0</v>
      </c>
      <c r="R91" s="120"/>
    </row>
    <row r="92" spans="1:20" x14ac:dyDescent="0.25">
      <c r="A92" s="29">
        <f t="shared" si="68"/>
        <v>85</v>
      </c>
      <c r="D92" s="2" t="s">
        <v>28</v>
      </c>
      <c r="G92" s="13">
        <v>55.01</v>
      </c>
      <c r="I92" s="13">
        <f>G92</f>
        <v>55.01</v>
      </c>
      <c r="M92" s="99">
        <f>I92</f>
        <v>55.01</v>
      </c>
      <c r="N92" s="99">
        <f t="shared" si="67"/>
        <v>0</v>
      </c>
      <c r="O92" s="67">
        <v>0</v>
      </c>
    </row>
    <row r="93" spans="1:20" x14ac:dyDescent="0.25">
      <c r="A93" s="29">
        <f t="shared" si="68"/>
        <v>86</v>
      </c>
      <c r="D93" s="2" t="s">
        <v>30</v>
      </c>
      <c r="E93" s="110"/>
      <c r="F93" s="67"/>
      <c r="G93" s="99">
        <v>0</v>
      </c>
      <c r="I93" s="13">
        <f>G93</f>
        <v>0</v>
      </c>
      <c r="M93" s="99">
        <f>I93</f>
        <v>0</v>
      </c>
      <c r="N93" s="99">
        <f t="shared" si="67"/>
        <v>0</v>
      </c>
      <c r="O93" s="67">
        <v>0</v>
      </c>
    </row>
    <row r="94" spans="1:20" x14ac:dyDescent="0.25">
      <c r="A94" s="29">
        <f t="shared" si="68"/>
        <v>87</v>
      </c>
      <c r="B94" s="54"/>
      <c r="D94" s="2" t="s">
        <v>40</v>
      </c>
      <c r="G94" s="99">
        <v>0</v>
      </c>
      <c r="I94" s="13">
        <f>G94</f>
        <v>0</v>
      </c>
      <c r="M94" s="99">
        <f>I94</f>
        <v>0</v>
      </c>
      <c r="N94" s="99"/>
      <c r="O94" s="67">
        <v>0</v>
      </c>
    </row>
    <row r="95" spans="1:20" x14ac:dyDescent="0.25">
      <c r="A95" s="29">
        <f t="shared" si="68"/>
        <v>88</v>
      </c>
      <c r="D95" s="15" t="s">
        <v>9</v>
      </c>
      <c r="E95" s="15"/>
      <c r="F95" s="15"/>
      <c r="G95" s="113">
        <f>SUM(G91:G94)</f>
        <v>179.19</v>
      </c>
      <c r="H95" s="15"/>
      <c r="I95" s="113">
        <f>SUM(I91:I94)</f>
        <v>78.533999999999992</v>
      </c>
      <c r="J95" s="15"/>
      <c r="K95" s="15"/>
      <c r="L95" s="15"/>
      <c r="M95" s="113">
        <f>SUM(M91:M94)</f>
        <v>78.533999999999992</v>
      </c>
      <c r="N95" s="113">
        <f>M95-I95</f>
        <v>0</v>
      </c>
      <c r="O95" s="121">
        <v>0</v>
      </c>
    </row>
    <row r="96" spans="1:20" s="7" customFormat="1" ht="26.4" customHeight="1" thickBot="1" x14ac:dyDescent="0.3">
      <c r="A96" s="29">
        <f t="shared" si="68"/>
        <v>89</v>
      </c>
      <c r="C96" s="17"/>
      <c r="D96" s="8" t="s">
        <v>20</v>
      </c>
      <c r="E96" s="8"/>
      <c r="F96" s="8"/>
      <c r="G96" s="114">
        <f>G90+G95</f>
        <v>651.47576000000004</v>
      </c>
      <c r="H96" s="8"/>
      <c r="I96" s="132">
        <f>I95+I90</f>
        <v>616.6189599999999</v>
      </c>
      <c r="J96" s="8"/>
      <c r="K96" s="8"/>
      <c r="L96" s="8"/>
      <c r="M96" s="114">
        <f>M95+M90</f>
        <v>647.40620799999999</v>
      </c>
      <c r="N96" s="114">
        <f>M96-I96</f>
        <v>30.787248000000091</v>
      </c>
      <c r="O96" s="122">
        <f>N96/I96</f>
        <v>4.992912965245197E-2</v>
      </c>
      <c r="P96" s="2"/>
      <c r="Q96" s="2"/>
      <c r="R96" s="2"/>
    </row>
    <row r="97" spans="1:20" ht="13.8" thickTop="1" x14ac:dyDescent="0.25">
      <c r="A97" s="29">
        <f t="shared" si="68"/>
        <v>90</v>
      </c>
      <c r="D97" s="2" t="s">
        <v>19</v>
      </c>
      <c r="E97" s="67"/>
      <c r="G97" s="124"/>
      <c r="I97" s="124"/>
      <c r="M97" s="124"/>
      <c r="N97" s="124"/>
      <c r="O97" s="101"/>
    </row>
    <row r="98" spans="1:20" ht="13.8" thickBot="1" x14ac:dyDescent="0.3">
      <c r="A98" s="29">
        <f t="shared" si="68"/>
        <v>91</v>
      </c>
    </row>
    <row r="99" spans="1:20" x14ac:dyDescent="0.25">
      <c r="A99" s="29">
        <f t="shared" si="68"/>
        <v>92</v>
      </c>
      <c r="B99" s="24" t="s">
        <v>56</v>
      </c>
      <c r="C99" s="25">
        <v>12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pans="1:20" x14ac:dyDescent="0.25">
      <c r="A100" s="29">
        <f t="shared" si="47"/>
        <v>93</v>
      </c>
      <c r="D100" s="2" t="s">
        <v>18</v>
      </c>
      <c r="E100" s="110">
        <v>24</v>
      </c>
      <c r="F100" s="67">
        <v>1573.12</v>
      </c>
      <c r="G100" s="99">
        <f>F100*E100</f>
        <v>37754.879999999997</v>
      </c>
      <c r="H100" s="67">
        <v>1573.12</v>
      </c>
      <c r="I100" s="99">
        <f>H100*E100</f>
        <v>37754.879999999997</v>
      </c>
      <c r="J100" s="101">
        <f>I100/I104</f>
        <v>6.5573438516558266E-2</v>
      </c>
      <c r="K100" s="101"/>
      <c r="L100" s="67">
        <f>ROUND(H100*S104,2)</f>
        <v>1723.17</v>
      </c>
      <c r="M100" s="99">
        <f>L100*E100</f>
        <v>41356.080000000002</v>
      </c>
      <c r="N100" s="99">
        <f t="shared" ref="N100:N107" si="69">M100-I100</f>
        <v>3601.2000000000044</v>
      </c>
      <c r="O100" s="101">
        <f>IF(I100=0,0,N100/I100)</f>
        <v>9.5383696094385795E-2</v>
      </c>
      <c r="P100" s="101">
        <f>M100/M104</f>
        <v>6.5580498565292439E-2</v>
      </c>
      <c r="Q100" s="100">
        <f>P100-J100</f>
        <v>7.0600487341726526E-6</v>
      </c>
      <c r="R100" s="100"/>
      <c r="T100" s="6">
        <f>L100/H100-1</f>
        <v>9.5383696094385906E-2</v>
      </c>
    </row>
    <row r="101" spans="1:20" x14ac:dyDescent="0.25">
      <c r="A101" s="29">
        <f t="shared" si="47"/>
        <v>94</v>
      </c>
      <c r="B101" s="67"/>
      <c r="D101" s="2" t="s">
        <v>49</v>
      </c>
      <c r="E101" s="110">
        <v>6956696</v>
      </c>
      <c r="F101" s="111">
        <v>4.863E-2</v>
      </c>
      <c r="G101" s="99">
        <f t="shared" ref="G101:G103" si="70">F101*E101</f>
        <v>338304.12647999998</v>
      </c>
      <c r="H101" s="115">
        <v>6.028E-2</v>
      </c>
      <c r="I101" s="99">
        <f t="shared" ref="I101:I103" si="71">H101*E101</f>
        <v>419349.63488000003</v>
      </c>
      <c r="J101" s="101">
        <f>I101/I104</f>
        <v>0.72833491987644616</v>
      </c>
      <c r="K101" s="101"/>
      <c r="L101" s="111">
        <f>ROUND(H101*S104,5)</f>
        <v>6.6030000000000005E-2</v>
      </c>
      <c r="M101" s="99">
        <f t="shared" ref="M101:M103" si="72">L101*E101</f>
        <v>459350.63688000006</v>
      </c>
      <c r="N101" s="99">
        <f t="shared" si="69"/>
        <v>40001.002000000037</v>
      </c>
      <c r="O101" s="101">
        <f t="shared" ref="O101:O103" si="73">IF(I101=0,0,N101/I101)</f>
        <v>9.5388188453881972E-2</v>
      </c>
      <c r="P101" s="101">
        <f>M101/M104</f>
        <v>0.72841632434396619</v>
      </c>
      <c r="Q101" s="100">
        <f t="shared" ref="Q101:Q104" si="74">P101-J101</f>
        <v>8.1404467520029833E-5</v>
      </c>
      <c r="R101" s="100"/>
      <c r="T101" s="6">
        <f>L101/H101-1</f>
        <v>9.5388188453881861E-2</v>
      </c>
    </row>
    <row r="102" spans="1:20" x14ac:dyDescent="0.25">
      <c r="A102" s="29">
        <f t="shared" si="47"/>
        <v>95</v>
      </c>
      <c r="B102" s="67"/>
      <c r="D102" s="2" t="s">
        <v>50</v>
      </c>
      <c r="E102" s="110">
        <v>15600</v>
      </c>
      <c r="F102" s="67">
        <v>7.49</v>
      </c>
      <c r="G102" s="99">
        <f t="shared" ref="G102" si="75">F102*E102</f>
        <v>116844</v>
      </c>
      <c r="H102" s="67">
        <v>7.49</v>
      </c>
      <c r="I102" s="99">
        <f t="shared" ref="I102" si="76">H102*E102</f>
        <v>116844</v>
      </c>
      <c r="J102" s="101">
        <f>I102/I104</f>
        <v>0.2029370203276698</v>
      </c>
      <c r="K102" s="101"/>
      <c r="L102" s="67">
        <f>ROUND(H102*S104,2)</f>
        <v>8.1999999999999993</v>
      </c>
      <c r="M102" s="99">
        <f t="shared" ref="M102" si="77">L102*E102</f>
        <v>127919.99999999999</v>
      </c>
      <c r="N102" s="99">
        <f t="shared" ref="N102" si="78">M102-I102</f>
        <v>11075.999999999985</v>
      </c>
      <c r="O102" s="101">
        <f t="shared" ref="O102" si="79">IF(I102=0,0,N102/I102)</f>
        <v>9.4793057409879714E-2</v>
      </c>
      <c r="P102" s="101">
        <f>M102/M104</f>
        <v>0.20284943293639551</v>
      </c>
      <c r="Q102" s="100">
        <f t="shared" ref="Q102" si="80">P102-J102</f>
        <v>-8.7587391274290827E-5</v>
      </c>
      <c r="R102" s="100"/>
      <c r="T102" s="6">
        <f>L102/H102-1</f>
        <v>9.4793057409879644E-2</v>
      </c>
    </row>
    <row r="103" spans="1:20" x14ac:dyDescent="0.25">
      <c r="A103" s="29">
        <f t="shared" si="47"/>
        <v>96</v>
      </c>
      <c r="B103" s="67"/>
      <c r="D103" s="2" t="s">
        <v>68</v>
      </c>
      <c r="E103" s="110">
        <v>176</v>
      </c>
      <c r="F103" s="67">
        <v>10.32</v>
      </c>
      <c r="G103" s="99">
        <f t="shared" si="70"/>
        <v>1816.3200000000002</v>
      </c>
      <c r="H103" s="67">
        <v>10.32</v>
      </c>
      <c r="I103" s="99">
        <f t="shared" si="71"/>
        <v>1816.3200000000002</v>
      </c>
      <c r="J103" s="101">
        <f>I103/I104</f>
        <v>3.1546212793258808E-3</v>
      </c>
      <c r="K103" s="101"/>
      <c r="L103" s="67">
        <f>ROUND(H103*S104,2)</f>
        <v>11.3</v>
      </c>
      <c r="M103" s="99">
        <f t="shared" si="72"/>
        <v>1988.8000000000002</v>
      </c>
      <c r="N103" s="99">
        <f t="shared" si="69"/>
        <v>172.48000000000002</v>
      </c>
      <c r="O103" s="101">
        <f t="shared" si="73"/>
        <v>9.4961240310077522E-2</v>
      </c>
      <c r="P103" s="101">
        <f>M103/M104</f>
        <v>3.153744154345712E-3</v>
      </c>
      <c r="Q103" s="100">
        <f t="shared" si="74"/>
        <v>-8.7712498016883148E-7</v>
      </c>
      <c r="R103" s="100"/>
      <c r="T103" s="6">
        <f>L103/H103-1</f>
        <v>9.4961240310077466E-2</v>
      </c>
    </row>
    <row r="104" spans="1:20" s="7" customFormat="1" ht="20.399999999999999" customHeight="1" x14ac:dyDescent="0.3">
      <c r="A104" s="29">
        <f t="shared" si="47"/>
        <v>97</v>
      </c>
      <c r="C104" s="17"/>
      <c r="D104" s="19" t="s">
        <v>7</v>
      </c>
      <c r="E104" s="19"/>
      <c r="F104" s="123"/>
      <c r="G104" s="112">
        <f>SUM(G100:G103)</f>
        <v>494719.32647999999</v>
      </c>
      <c r="H104" s="19"/>
      <c r="I104" s="112">
        <f>SUM(I100:I103)</f>
        <v>575764.83487999998</v>
      </c>
      <c r="J104" s="117">
        <f>SUM(J100:J103)</f>
        <v>1.0000000000000002</v>
      </c>
      <c r="K104" s="118">
        <f>I104+Summary!I32</f>
        <v>630682.75488000002</v>
      </c>
      <c r="L104" s="19"/>
      <c r="M104" s="112">
        <f>SUM(M100:M103)</f>
        <v>630615.51688000013</v>
      </c>
      <c r="N104" s="112">
        <f>SUM(N100:N103)</f>
        <v>54850.68200000003</v>
      </c>
      <c r="O104" s="117">
        <f t="shared" ref="O104" si="81">N104/I104</f>
        <v>9.526577289394883E-2</v>
      </c>
      <c r="P104" s="117">
        <f>SUM(P100:P103)</f>
        <v>0.99999999999999978</v>
      </c>
      <c r="Q104" s="131">
        <f t="shared" si="74"/>
        <v>0</v>
      </c>
      <c r="R104" s="119">
        <f>M104-K104</f>
        <v>-67.237999999895692</v>
      </c>
      <c r="S104" s="7">
        <f>K104/I104</f>
        <v>1.0953825532110621</v>
      </c>
    </row>
    <row r="105" spans="1:20" x14ac:dyDescent="0.25">
      <c r="A105" s="29">
        <f t="shared" si="47"/>
        <v>98</v>
      </c>
      <c r="D105" s="2" t="s">
        <v>27</v>
      </c>
      <c r="G105" s="13">
        <v>77580.160000000003</v>
      </c>
      <c r="I105" s="13">
        <f>G105-($H$390*E101)</f>
        <v>-3465.3484000000026</v>
      </c>
      <c r="K105" s="13"/>
      <c r="M105" s="99">
        <f>I105</f>
        <v>-3465.3484000000026</v>
      </c>
      <c r="N105" s="99">
        <f t="shared" si="69"/>
        <v>0</v>
      </c>
      <c r="O105" s="67">
        <v>0</v>
      </c>
      <c r="R105" s="120"/>
    </row>
    <row r="106" spans="1:20" x14ac:dyDescent="0.25">
      <c r="A106" s="29">
        <f t="shared" si="47"/>
        <v>99</v>
      </c>
      <c r="D106" s="2" t="s">
        <v>28</v>
      </c>
      <c r="G106" s="13">
        <v>68526</v>
      </c>
      <c r="I106" s="13">
        <f>G106</f>
        <v>68526</v>
      </c>
      <c r="M106" s="99">
        <f t="shared" ref="M106:M108" si="82">I106</f>
        <v>68526</v>
      </c>
      <c r="N106" s="99">
        <f t="shared" si="69"/>
        <v>0</v>
      </c>
      <c r="O106" s="67">
        <v>0</v>
      </c>
    </row>
    <row r="107" spans="1:20" x14ac:dyDescent="0.25">
      <c r="A107" s="29">
        <f t="shared" si="47"/>
        <v>100</v>
      </c>
      <c r="D107" s="2" t="s">
        <v>30</v>
      </c>
      <c r="E107" s="110"/>
      <c r="F107" s="67"/>
      <c r="G107" s="99">
        <v>0</v>
      </c>
      <c r="I107" s="13">
        <f>G107</f>
        <v>0</v>
      </c>
      <c r="M107" s="99">
        <f t="shared" si="82"/>
        <v>0</v>
      </c>
      <c r="N107" s="99">
        <f t="shared" si="69"/>
        <v>0</v>
      </c>
      <c r="O107" s="67">
        <v>0</v>
      </c>
    </row>
    <row r="108" spans="1:20" x14ac:dyDescent="0.25">
      <c r="A108" s="29">
        <f t="shared" si="47"/>
        <v>101</v>
      </c>
      <c r="B108" s="54"/>
      <c r="D108" s="2" t="s">
        <v>40</v>
      </c>
      <c r="G108" s="99">
        <v>0</v>
      </c>
      <c r="I108" s="13">
        <f>G108</f>
        <v>0</v>
      </c>
      <c r="M108" s="99">
        <f t="shared" si="82"/>
        <v>0</v>
      </c>
      <c r="N108" s="99"/>
      <c r="O108" s="67">
        <v>0</v>
      </c>
    </row>
    <row r="109" spans="1:20" x14ac:dyDescent="0.25">
      <c r="A109" s="29">
        <f t="shared" si="47"/>
        <v>102</v>
      </c>
      <c r="D109" s="15" t="s">
        <v>9</v>
      </c>
      <c r="E109" s="15"/>
      <c r="F109" s="15"/>
      <c r="G109" s="113">
        <f>SUM(G105:G108)</f>
        <v>146106.16</v>
      </c>
      <c r="H109" s="15"/>
      <c r="I109" s="113">
        <f>SUM(I105:I108)</f>
        <v>65060.651599999997</v>
      </c>
      <c r="J109" s="15"/>
      <c r="K109" s="15"/>
      <c r="L109" s="15"/>
      <c r="M109" s="113">
        <f>SUM(M105:M108)</f>
        <v>65060.651599999997</v>
      </c>
      <c r="N109" s="113">
        <f>M109-I109</f>
        <v>0</v>
      </c>
      <c r="O109" s="121">
        <v>0</v>
      </c>
    </row>
    <row r="110" spans="1:20" s="7" customFormat="1" ht="26.4" customHeight="1" thickBot="1" x14ac:dyDescent="0.3">
      <c r="A110" s="29">
        <f t="shared" si="47"/>
        <v>103</v>
      </c>
      <c r="C110" s="17"/>
      <c r="D110" s="8" t="s">
        <v>20</v>
      </c>
      <c r="E110" s="8"/>
      <c r="F110" s="8"/>
      <c r="G110" s="114">
        <f>G104+G109</f>
        <v>640825.48647999996</v>
      </c>
      <c r="H110" s="8"/>
      <c r="I110" s="132">
        <f>I109+I104</f>
        <v>640825.48647999996</v>
      </c>
      <c r="J110" s="8"/>
      <c r="K110" s="8"/>
      <c r="L110" s="8"/>
      <c r="M110" s="114">
        <f>M109+M104</f>
        <v>695676.16848000011</v>
      </c>
      <c r="N110" s="114">
        <f>M110-I110</f>
        <v>54850.682000000146</v>
      </c>
      <c r="O110" s="122">
        <f>N110/I110</f>
        <v>8.5593789818333058E-2</v>
      </c>
      <c r="P110" s="2"/>
      <c r="Q110" s="2"/>
      <c r="R110" s="2"/>
    </row>
    <row r="111" spans="1:20" ht="13.8" thickTop="1" x14ac:dyDescent="0.25">
      <c r="A111" s="29">
        <f t="shared" si="47"/>
        <v>104</v>
      </c>
      <c r="D111" s="2" t="s">
        <v>19</v>
      </c>
      <c r="E111" s="67">
        <f>E101/E100</f>
        <v>289862.33333333331</v>
      </c>
      <c r="G111" s="124">
        <f>G110/E100</f>
        <v>26701.061936666665</v>
      </c>
      <c r="I111" s="124">
        <f>I110/E100</f>
        <v>26701.061936666665</v>
      </c>
      <c r="M111" s="124">
        <f>M110/E100</f>
        <v>28986.507020000005</v>
      </c>
      <c r="N111" s="124">
        <f>M111-I111</f>
        <v>2285.4450833333394</v>
      </c>
      <c r="O111" s="101">
        <f>N111/I111</f>
        <v>8.5593789818333058E-2</v>
      </c>
    </row>
    <row r="112" spans="1:20" ht="13.8" thickBot="1" x14ac:dyDescent="0.3">
      <c r="A112" s="29">
        <f t="shared" si="47"/>
        <v>105</v>
      </c>
    </row>
    <row r="113" spans="1:22" ht="16.2" customHeight="1" x14ac:dyDescent="0.25">
      <c r="A113" s="29">
        <f t="shared" si="47"/>
        <v>106</v>
      </c>
      <c r="B113" s="24" t="s">
        <v>117</v>
      </c>
      <c r="C113" s="25">
        <v>13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1:22" x14ac:dyDescent="0.25">
      <c r="A114" s="29">
        <f t="shared" si="47"/>
        <v>107</v>
      </c>
      <c r="D114" s="2" t="s">
        <v>18</v>
      </c>
      <c r="E114" s="110">
        <v>23</v>
      </c>
      <c r="F114" s="67">
        <v>3136.91</v>
      </c>
      <c r="G114" s="99">
        <f>F114*E114</f>
        <v>72148.929999999993</v>
      </c>
      <c r="H114" s="67">
        <v>3136.91</v>
      </c>
      <c r="I114" s="99">
        <f>H114*E114</f>
        <v>72148.929999999993</v>
      </c>
      <c r="J114" s="101">
        <f>I114/SUM(I$114:I$118)</f>
        <v>6.3214908246238483E-3</v>
      </c>
      <c r="K114" s="101"/>
      <c r="L114" s="67">
        <f>ROUND(H114*V120,2)</f>
        <v>3405.1</v>
      </c>
      <c r="M114" s="99">
        <f>L114*E114</f>
        <v>78317.3</v>
      </c>
      <c r="N114" s="99">
        <f t="shared" ref="N114:N123" si="83">M114-I114</f>
        <v>6168.3700000000099</v>
      </c>
      <c r="O114" s="101">
        <f>IF(I114=0,0,N114/I114)</f>
        <v>8.5494961602341296E-2</v>
      </c>
      <c r="P114" s="101">
        <f>M114/SUM(M$114:M$118)</f>
        <v>6.3215305450017934E-3</v>
      </c>
      <c r="Q114" s="100">
        <f>P114-J114</f>
        <v>3.9720377945084984E-8</v>
      </c>
      <c r="R114" s="100"/>
      <c r="T114" s="6">
        <f t="shared" ref="T114:T119" si="84">L114/H114-1</f>
        <v>8.5494961602341268E-2</v>
      </c>
    </row>
    <row r="115" spans="1:22" x14ac:dyDescent="0.25">
      <c r="A115" s="29">
        <f t="shared" si="47"/>
        <v>108</v>
      </c>
      <c r="B115" s="67"/>
      <c r="D115" s="2" t="s">
        <v>69</v>
      </c>
      <c r="E115" s="110">
        <v>126890550</v>
      </c>
      <c r="F115" s="111">
        <v>4.1739999999999999E-2</v>
      </c>
      <c r="G115" s="99">
        <f t="shared" ref="G115" si="85">F115*E115</f>
        <v>5296411.557</v>
      </c>
      <c r="H115" s="115">
        <v>5.339E-2</v>
      </c>
      <c r="I115" s="99">
        <f t="shared" ref="I115" si="86">H115*E115</f>
        <v>6774686.4644999998</v>
      </c>
      <c r="J115" s="101">
        <f t="shared" ref="J115:J118" si="87">I115/SUM(I$114:I$118)</f>
        <v>0.59357939646561819</v>
      </c>
      <c r="K115" s="101"/>
      <c r="L115" s="115">
        <f>ROUND(H115*V120,5)</f>
        <v>5.7950000000000002E-2</v>
      </c>
      <c r="M115" s="99">
        <f t="shared" ref="M115" si="88">L115*E115</f>
        <v>7353307.3725000005</v>
      </c>
      <c r="N115" s="99">
        <f t="shared" ref="N115" si="89">M115-I115</f>
        <v>578620.90800000075</v>
      </c>
      <c r="O115" s="101">
        <f t="shared" ref="O115" si="90">IF(I115=0,0,N115/I115)</f>
        <v>8.5409252669039259E-2</v>
      </c>
      <c r="P115" s="101">
        <f t="shared" ref="P115:P118" si="91">M115/SUM(M$114:M$118)</f>
        <v>0.59353625778781482</v>
      </c>
      <c r="Q115" s="100">
        <f t="shared" ref="Q115" si="92">P115-J115</f>
        <v>-4.3138677803367109E-5</v>
      </c>
      <c r="R115" s="100"/>
      <c r="T115" s="6">
        <f t="shared" si="84"/>
        <v>8.5409252669039093E-2</v>
      </c>
    </row>
    <row r="116" spans="1:22" x14ac:dyDescent="0.25">
      <c r="A116" s="29">
        <f t="shared" si="47"/>
        <v>109</v>
      </c>
      <c r="B116" s="67"/>
      <c r="D116" s="2" t="s">
        <v>70</v>
      </c>
      <c r="E116" s="110">
        <v>44221054</v>
      </c>
      <c r="F116" s="111">
        <v>4.0840000000000001E-2</v>
      </c>
      <c r="G116" s="99">
        <f t="shared" ref="G116:G117" si="93">F116*E116</f>
        <v>1805987.8453600002</v>
      </c>
      <c r="H116" s="115">
        <v>5.2490000000000002E-2</v>
      </c>
      <c r="I116" s="99">
        <f t="shared" ref="I116:I117" si="94">H116*E116</f>
        <v>2321163.1244600001</v>
      </c>
      <c r="J116" s="101">
        <f t="shared" si="87"/>
        <v>0.2033739293670622</v>
      </c>
      <c r="K116" s="101"/>
      <c r="L116" s="115">
        <f>ROUND(H116*V120,5)</f>
        <v>5.6980000000000003E-2</v>
      </c>
      <c r="M116" s="99">
        <f t="shared" ref="M116:M117" si="95">L116*E116</f>
        <v>2519715.65692</v>
      </c>
      <c r="N116" s="99">
        <f t="shared" si="83"/>
        <v>198552.5324599999</v>
      </c>
      <c r="O116" s="101">
        <f t="shared" ref="O116:O117" si="96">IF(I116=0,0,N116/I116)</f>
        <v>8.5540102876738383E-2</v>
      </c>
      <c r="P116" s="101">
        <f t="shared" si="91"/>
        <v>0.2033836647833753</v>
      </c>
      <c r="Q116" s="100">
        <f t="shared" ref="Q116:Q120" si="97">P116-J116</f>
        <v>9.7354163131058158E-6</v>
      </c>
      <c r="R116" s="100"/>
      <c r="T116" s="6">
        <f t="shared" si="84"/>
        <v>8.5540102876738411E-2</v>
      </c>
    </row>
    <row r="117" spans="1:22" x14ac:dyDescent="0.25">
      <c r="A117" s="29">
        <f t="shared" si="47"/>
        <v>110</v>
      </c>
      <c r="B117" s="67"/>
      <c r="D117" s="2" t="s">
        <v>50</v>
      </c>
      <c r="E117" s="110">
        <v>293250</v>
      </c>
      <c r="F117" s="67">
        <v>7.47</v>
      </c>
      <c r="G117" s="99">
        <f t="shared" si="93"/>
        <v>2190577.5</v>
      </c>
      <c r="H117" s="67">
        <v>7.47</v>
      </c>
      <c r="I117" s="99">
        <f t="shared" si="94"/>
        <v>2190577.5</v>
      </c>
      <c r="J117" s="101">
        <f t="shared" si="87"/>
        <v>0.19193237608482133</v>
      </c>
      <c r="K117" s="101"/>
      <c r="L117" s="67">
        <f>ROUND(H117*V120,2)</f>
        <v>8.11</v>
      </c>
      <c r="M117" s="99">
        <f t="shared" si="95"/>
        <v>2378257.5</v>
      </c>
      <c r="N117" s="99">
        <f t="shared" si="83"/>
        <v>187680</v>
      </c>
      <c r="O117" s="101">
        <f t="shared" si="96"/>
        <v>8.5676037483266396E-2</v>
      </c>
      <c r="P117" s="101">
        <f t="shared" si="91"/>
        <v>0.19196559930091567</v>
      </c>
      <c r="Q117" s="100">
        <f t="shared" si="97"/>
        <v>3.3223216094335761E-5</v>
      </c>
      <c r="R117" s="100"/>
      <c r="T117" s="6">
        <f t="shared" si="84"/>
        <v>8.5676037483266354E-2</v>
      </c>
      <c r="V117" s="13">
        <f>(I114+I115+I116+I117+I118)</f>
        <v>11413277.65896</v>
      </c>
    </row>
    <row r="118" spans="1:22" x14ac:dyDescent="0.25">
      <c r="A118" s="29">
        <f t="shared" si="47"/>
        <v>111</v>
      </c>
      <c r="B118" s="67"/>
      <c r="D118" s="2" t="s">
        <v>68</v>
      </c>
      <c r="E118" s="110">
        <v>5316</v>
      </c>
      <c r="F118" s="67">
        <v>10.29</v>
      </c>
      <c r="G118" s="99">
        <f t="shared" ref="G118" si="98">F118*E118</f>
        <v>54701.639999999992</v>
      </c>
      <c r="H118" s="67">
        <v>10.29</v>
      </c>
      <c r="I118" s="99">
        <f t="shared" ref="I118" si="99">H118*E118</f>
        <v>54701.639999999992</v>
      </c>
      <c r="J118" s="101">
        <f t="shared" si="87"/>
        <v>4.7928072578744671E-3</v>
      </c>
      <c r="K118" s="101"/>
      <c r="L118" s="67">
        <f>ROUND(H118*V120,2)</f>
        <v>11.17</v>
      </c>
      <c r="M118" s="99">
        <f t="shared" ref="M118" si="100">L118*E118</f>
        <v>59379.72</v>
      </c>
      <c r="N118" s="99">
        <f t="shared" ref="N118" si="101">M118-I118</f>
        <v>4678.080000000009</v>
      </c>
      <c r="O118" s="101">
        <f t="shared" ref="O118" si="102">IF(I118=0,0,N118/I118)</f>
        <v>8.5519922254616312E-2</v>
      </c>
      <c r="P118" s="101">
        <f t="shared" si="91"/>
        <v>4.7929475828923356E-3</v>
      </c>
      <c r="Q118" s="100">
        <f t="shared" ref="Q118" si="103">P118-J118</f>
        <v>1.403250178685575E-7</v>
      </c>
      <c r="R118" s="100"/>
      <c r="T118" s="6">
        <f t="shared" si="84"/>
        <v>8.5519922254616132E-2</v>
      </c>
      <c r="V118" s="13">
        <f>(K120-I120)</f>
        <v>975793.81000000052</v>
      </c>
    </row>
    <row r="119" spans="1:22" x14ac:dyDescent="0.25">
      <c r="A119" s="29">
        <f t="shared" si="47"/>
        <v>112</v>
      </c>
      <c r="B119" s="67"/>
      <c r="D119" s="2" t="s">
        <v>120</v>
      </c>
      <c r="E119" s="110">
        <v>211243</v>
      </c>
      <c r="F119" s="67">
        <v>-5.6</v>
      </c>
      <c r="G119" s="99">
        <f t="shared" ref="G119" si="104">F119*E119</f>
        <v>-1182960.7999999998</v>
      </c>
      <c r="H119" s="67">
        <f>F119</f>
        <v>-5.6</v>
      </c>
      <c r="I119" s="99">
        <f t="shared" ref="I119" si="105">H119*E119</f>
        <v>-1182960.7999999998</v>
      </c>
      <c r="J119" s="101"/>
      <c r="K119" s="101"/>
      <c r="L119" s="67">
        <f>H119</f>
        <v>-5.6</v>
      </c>
      <c r="M119" s="99">
        <f t="shared" ref="M119" si="106">L119*E119</f>
        <v>-1182960.7999999998</v>
      </c>
      <c r="N119" s="99">
        <f t="shared" ref="N119" si="107">M119-I119</f>
        <v>0</v>
      </c>
      <c r="O119" s="101">
        <f t="shared" ref="O119" si="108">IF(I119=0,0,N119/I119)</f>
        <v>0</v>
      </c>
      <c r="P119" s="101"/>
      <c r="Q119" s="100">
        <f t="shared" ref="Q119" si="109">P119-J119</f>
        <v>0</v>
      </c>
      <c r="R119" s="100"/>
      <c r="T119" s="6">
        <f t="shared" si="84"/>
        <v>0</v>
      </c>
      <c r="V119" s="2">
        <f>V118/V117</f>
        <v>8.5496370031263813E-2</v>
      </c>
    </row>
    <row r="120" spans="1:22" s="7" customFormat="1" ht="20.399999999999999" customHeight="1" x14ac:dyDescent="0.3">
      <c r="A120" s="29">
        <f t="shared" si="47"/>
        <v>113</v>
      </c>
      <c r="C120" s="17"/>
      <c r="D120" s="19" t="s">
        <v>7</v>
      </c>
      <c r="E120" s="19"/>
      <c r="F120" s="123"/>
      <c r="G120" s="112">
        <f>SUM(G114:G119)</f>
        <v>8236866.6723600002</v>
      </c>
      <c r="H120" s="19"/>
      <c r="I120" s="112">
        <f>SUM(I114:I119)</f>
        <v>10230316.858959999</v>
      </c>
      <c r="J120" s="117">
        <f>SUM(J114:J119)</f>
        <v>1</v>
      </c>
      <c r="K120" s="118">
        <f>I120+Summary!I33</f>
        <v>11206110.668959999</v>
      </c>
      <c r="L120" s="19"/>
      <c r="M120" s="112">
        <f>SUM(M114:M119)</f>
        <v>11206016.749420002</v>
      </c>
      <c r="N120" s="112">
        <f>SUM(N114:N119)</f>
        <v>975699.89046000061</v>
      </c>
      <c r="O120" s="117">
        <f t="shared" ref="O120" si="110">N120/I120</f>
        <v>9.537337933042174E-2</v>
      </c>
      <c r="P120" s="117">
        <f>SUM(P114:P119)</f>
        <v>1</v>
      </c>
      <c r="Q120" s="131">
        <f t="shared" si="97"/>
        <v>0</v>
      </c>
      <c r="R120" s="119">
        <f>M120-K120</f>
        <v>-93.91953999735415</v>
      </c>
      <c r="S120" s="7">
        <f>K120/I120</f>
        <v>1.0953825598417681</v>
      </c>
      <c r="V120" s="7">
        <f>1+V119</f>
        <v>1.0854963700312639</v>
      </c>
    </row>
    <row r="121" spans="1:22" x14ac:dyDescent="0.25">
      <c r="A121" s="29">
        <f t="shared" si="47"/>
        <v>114</v>
      </c>
      <c r="D121" s="2" t="s">
        <v>27</v>
      </c>
      <c r="G121" s="13">
        <v>1986414.65</v>
      </c>
      <c r="I121" s="13">
        <f>G121-($H$390*(E115+E116))</f>
        <v>-7035.536600000225</v>
      </c>
      <c r="M121" s="99">
        <f>I121</f>
        <v>-7035.536600000225</v>
      </c>
      <c r="N121" s="99">
        <f t="shared" si="83"/>
        <v>0</v>
      </c>
      <c r="O121" s="67">
        <v>0</v>
      </c>
      <c r="R121" s="120"/>
    </row>
    <row r="122" spans="1:22" x14ac:dyDescent="0.25">
      <c r="A122" s="29">
        <f t="shared" si="47"/>
        <v>115</v>
      </c>
      <c r="D122" s="2" t="s">
        <v>28</v>
      </c>
      <c r="G122" s="13">
        <v>1506135</v>
      </c>
      <c r="I122" s="13">
        <f>G122</f>
        <v>1506135</v>
      </c>
      <c r="M122" s="99">
        <f t="shared" ref="M122:M124" si="111">I122</f>
        <v>1506135</v>
      </c>
      <c r="N122" s="99">
        <f t="shared" si="83"/>
        <v>0</v>
      </c>
      <c r="O122" s="67">
        <v>0</v>
      </c>
    </row>
    <row r="123" spans="1:22" x14ac:dyDescent="0.25">
      <c r="A123" s="29">
        <f t="shared" si="47"/>
        <v>116</v>
      </c>
      <c r="D123" s="2" t="s">
        <v>121</v>
      </c>
      <c r="E123" s="110"/>
      <c r="F123" s="67"/>
      <c r="G123" s="13">
        <v>119782.96</v>
      </c>
      <c r="I123" s="13">
        <f>G123</f>
        <v>119782.96</v>
      </c>
      <c r="M123" s="99">
        <f t="shared" si="111"/>
        <v>119782.96</v>
      </c>
      <c r="N123" s="99">
        <f t="shared" si="83"/>
        <v>0</v>
      </c>
      <c r="O123" s="67">
        <v>0</v>
      </c>
    </row>
    <row r="124" spans="1:22" x14ac:dyDescent="0.25">
      <c r="A124" s="29">
        <f t="shared" si="47"/>
        <v>117</v>
      </c>
      <c r="B124" s="54"/>
      <c r="D124" s="2" t="s">
        <v>160</v>
      </c>
      <c r="G124" s="13">
        <v>-33621</v>
      </c>
      <c r="I124" s="13">
        <f>G124</f>
        <v>-33621</v>
      </c>
      <c r="M124" s="99">
        <f t="shared" si="111"/>
        <v>-33621</v>
      </c>
      <c r="N124" s="99"/>
      <c r="O124" s="67">
        <v>0</v>
      </c>
    </row>
    <row r="125" spans="1:22" x14ac:dyDescent="0.25">
      <c r="A125" s="29">
        <f t="shared" si="47"/>
        <v>118</v>
      </c>
      <c r="D125" s="15" t="s">
        <v>9</v>
      </c>
      <c r="E125" s="15"/>
      <c r="F125" s="15"/>
      <c r="G125" s="113">
        <f>SUM(G121:G124)</f>
        <v>3578711.61</v>
      </c>
      <c r="H125" s="15"/>
      <c r="I125" s="113">
        <f>SUM(I121:I124)</f>
        <v>1585261.4233999997</v>
      </c>
      <c r="J125" s="15"/>
      <c r="K125" s="15"/>
      <c r="L125" s="15"/>
      <c r="M125" s="113">
        <f>SUM(M121:M124)</f>
        <v>1585261.4233999997</v>
      </c>
      <c r="N125" s="113">
        <f>M125-I125</f>
        <v>0</v>
      </c>
      <c r="O125" s="121">
        <v>0</v>
      </c>
    </row>
    <row r="126" spans="1:22" s="7" customFormat="1" ht="26.4" customHeight="1" thickBot="1" x14ac:dyDescent="0.3">
      <c r="A126" s="29">
        <f t="shared" si="47"/>
        <v>119</v>
      </c>
      <c r="C126" s="17"/>
      <c r="D126" s="8" t="s">
        <v>20</v>
      </c>
      <c r="E126" s="8"/>
      <c r="F126" s="8"/>
      <c r="G126" s="114">
        <f>G120+G125</f>
        <v>11815578.282360001</v>
      </c>
      <c r="H126" s="8"/>
      <c r="I126" s="132">
        <f>I125+I120</f>
        <v>11815578.282359999</v>
      </c>
      <c r="J126" s="8"/>
      <c r="K126" s="8"/>
      <c r="L126" s="8"/>
      <c r="M126" s="114">
        <f>M125+M120</f>
        <v>12791278.172820002</v>
      </c>
      <c r="N126" s="114">
        <f>M126-I126</f>
        <v>975699.89046000317</v>
      </c>
      <c r="O126" s="122">
        <f>N126/I126</f>
        <v>8.257741323729105E-2</v>
      </c>
      <c r="P126" s="2"/>
      <c r="Q126" s="2"/>
      <c r="R126" s="2"/>
    </row>
    <row r="127" spans="1:22" ht="13.8" thickTop="1" x14ac:dyDescent="0.25">
      <c r="A127" s="29">
        <f t="shared" si="47"/>
        <v>120</v>
      </c>
      <c r="D127" s="2" t="s">
        <v>19</v>
      </c>
      <c r="E127" s="67">
        <f>(E115+E116)/E114</f>
        <v>7439634.9565217393</v>
      </c>
      <c r="G127" s="124">
        <f>G126/E114</f>
        <v>513720.79488521739</v>
      </c>
      <c r="I127" s="124">
        <f>I126/E114</f>
        <v>513720.79488521733</v>
      </c>
      <c r="M127" s="124">
        <f>M126/E114</f>
        <v>556142.52925304358</v>
      </c>
      <c r="N127" s="124">
        <f>M127-I127</f>
        <v>42421.734367826255</v>
      </c>
      <c r="O127" s="101">
        <f>N127/I127</f>
        <v>8.2577413237291106E-2</v>
      </c>
    </row>
    <row r="128" spans="1:22" ht="13.8" thickBot="1" x14ac:dyDescent="0.3">
      <c r="A128" s="29">
        <f t="shared" si="47"/>
        <v>121</v>
      </c>
    </row>
    <row r="129" spans="1:20" x14ac:dyDescent="0.25">
      <c r="A129" s="29">
        <f t="shared" si="47"/>
        <v>122</v>
      </c>
      <c r="B129" s="139" t="s">
        <v>143</v>
      </c>
      <c r="C129" s="25">
        <v>20</v>
      </c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</row>
    <row r="130" spans="1:20" x14ac:dyDescent="0.25">
      <c r="A130" s="29">
        <f t="shared" si="47"/>
        <v>123</v>
      </c>
      <c r="B130" s="140"/>
      <c r="D130" s="2" t="s">
        <v>18</v>
      </c>
      <c r="E130" s="110">
        <v>141</v>
      </c>
      <c r="F130" s="67">
        <v>63.4</v>
      </c>
      <c r="G130" s="99">
        <f>F130*E130</f>
        <v>8939.4</v>
      </c>
      <c r="H130" s="67">
        <v>63.4</v>
      </c>
      <c r="I130" s="99">
        <f>H130*E130</f>
        <v>8939.4</v>
      </c>
      <c r="J130" s="101">
        <f>I130/I133</f>
        <v>2.6527930577175455E-2</v>
      </c>
      <c r="K130" s="101"/>
      <c r="L130" s="67">
        <f>ROUND(H130*S133,2)</f>
        <v>67.03</v>
      </c>
      <c r="M130" s="99">
        <f>L130*E130</f>
        <v>9451.23</v>
      </c>
      <c r="N130" s="99">
        <f t="shared" ref="N130:N136" si="112">M130-I130</f>
        <v>511.82999999999993</v>
      </c>
      <c r="O130" s="101">
        <f>IF(I130=0,0,N130/I130)</f>
        <v>5.7255520504731858E-2</v>
      </c>
      <c r="P130" s="101">
        <f>M130/M133</f>
        <v>2.6528364303957764E-2</v>
      </c>
      <c r="Q130" s="100">
        <f>P130-J130</f>
        <v>4.3372678230901851E-7</v>
      </c>
      <c r="R130" s="100"/>
      <c r="T130" s="6">
        <f>L130/H130-1</f>
        <v>5.7255520504731816E-2</v>
      </c>
    </row>
    <row r="131" spans="1:20" x14ac:dyDescent="0.25">
      <c r="A131" s="29">
        <f t="shared" si="47"/>
        <v>124</v>
      </c>
      <c r="B131" s="67"/>
      <c r="D131" s="2" t="s">
        <v>71</v>
      </c>
      <c r="E131" s="110">
        <v>1853168</v>
      </c>
      <c r="F131" s="111">
        <v>0.10278</v>
      </c>
      <c r="G131" s="99">
        <f t="shared" ref="G131:G132" si="113">F131*E131</f>
        <v>190468.60704</v>
      </c>
      <c r="H131" s="115">
        <v>0.11443</v>
      </c>
      <c r="I131" s="99">
        <f t="shared" ref="I131:I132" si="114">H131*E131</f>
        <v>212058.01424000002</v>
      </c>
      <c r="J131" s="101">
        <f>I131/I133</f>
        <v>0.62928835045891274</v>
      </c>
      <c r="K131" s="101"/>
      <c r="L131" s="115">
        <f>ROUND(H131*S133,5)</f>
        <v>0.12098</v>
      </c>
      <c r="M131" s="99">
        <f t="shared" ref="M131:M132" si="115">L131*E131</f>
        <v>224196.26464000001</v>
      </c>
      <c r="N131" s="99">
        <f t="shared" si="112"/>
        <v>12138.25039999999</v>
      </c>
      <c r="O131" s="101">
        <f t="shared" ref="O131:O132" si="116">IF(I131=0,0,N131/I131)</f>
        <v>5.7240234204316995E-2</v>
      </c>
      <c r="P131" s="101">
        <f>M131/M133</f>
        <v>0.62928954051022401</v>
      </c>
      <c r="Q131" s="100">
        <f t="shared" ref="Q131:Q133" si="117">P131-J131</f>
        <v>1.1900513112728106E-6</v>
      </c>
      <c r="R131" s="100"/>
      <c r="T131" s="6">
        <f>L131/H131-1</f>
        <v>5.7240234204317009E-2</v>
      </c>
    </row>
    <row r="132" spans="1:20" x14ac:dyDescent="0.25">
      <c r="A132" s="29">
        <f t="shared" si="47"/>
        <v>125</v>
      </c>
      <c r="B132" s="67"/>
      <c r="D132" s="2" t="s">
        <v>72</v>
      </c>
      <c r="E132" s="110">
        <v>1667864</v>
      </c>
      <c r="F132" s="111">
        <v>5.7889999999999997E-2</v>
      </c>
      <c r="G132" s="99">
        <f t="shared" si="113"/>
        <v>96552.646959999998</v>
      </c>
      <c r="H132" s="115">
        <v>6.9540000000000005E-2</v>
      </c>
      <c r="I132" s="99">
        <f t="shared" si="114"/>
        <v>115983.26256</v>
      </c>
      <c r="J132" s="101">
        <f>I132/I133</f>
        <v>0.34418371896391181</v>
      </c>
      <c r="K132" s="101"/>
      <c r="L132" s="111">
        <f>ROUND(H132*S133,5)</f>
        <v>7.3520000000000002E-2</v>
      </c>
      <c r="M132" s="99">
        <f t="shared" si="115"/>
        <v>122621.36128</v>
      </c>
      <c r="N132" s="99">
        <f t="shared" si="112"/>
        <v>6638.0987199999945</v>
      </c>
      <c r="O132" s="101">
        <f t="shared" si="116"/>
        <v>5.7233247052056319E-2</v>
      </c>
      <c r="P132" s="101">
        <f>M132/M133</f>
        <v>0.34418209518581822</v>
      </c>
      <c r="Q132" s="100">
        <f t="shared" si="117"/>
        <v>-1.6237780935957069E-6</v>
      </c>
      <c r="R132" s="100"/>
      <c r="T132" s="6">
        <f>L132/H132-1</f>
        <v>5.7233247052056235E-2</v>
      </c>
    </row>
    <row r="133" spans="1:20" s="7" customFormat="1" ht="20.399999999999999" customHeight="1" x14ac:dyDescent="0.3">
      <c r="A133" s="29">
        <f t="shared" si="47"/>
        <v>126</v>
      </c>
      <c r="C133" s="17"/>
      <c r="D133" s="19" t="s">
        <v>7</v>
      </c>
      <c r="E133" s="19"/>
      <c r="F133" s="123"/>
      <c r="G133" s="112">
        <f>SUM(G130:G132)</f>
        <v>295960.65399999998</v>
      </c>
      <c r="H133" s="19"/>
      <c r="I133" s="112">
        <f>SUM(I130:I132)</f>
        <v>336980.67680000002</v>
      </c>
      <c r="J133" s="117">
        <f>SUM(J130:J132)</f>
        <v>1</v>
      </c>
      <c r="K133" s="118">
        <f>I133+Summary!I17</f>
        <v>356261.5968</v>
      </c>
      <c r="L133" s="19"/>
      <c r="M133" s="112">
        <f>SUM(M130:M132)</f>
        <v>356268.85592</v>
      </c>
      <c r="N133" s="112">
        <f>SUM(N130:N132)</f>
        <v>19288.179119999986</v>
      </c>
      <c r="O133" s="117">
        <f t="shared" ref="O133" si="118">N133/I133</f>
        <v>5.7238234854183147E-2</v>
      </c>
      <c r="P133" s="117">
        <f>SUM(P130:P132)</f>
        <v>1</v>
      </c>
      <c r="Q133" s="131">
        <f t="shared" si="117"/>
        <v>0</v>
      </c>
      <c r="R133" s="119">
        <f>M133-K133</f>
        <v>7.2591200000024401</v>
      </c>
      <c r="S133" s="7">
        <f>K133/I133</f>
        <v>1.0572166932035789</v>
      </c>
    </row>
    <row r="134" spans="1:20" x14ac:dyDescent="0.25">
      <c r="A134" s="29">
        <f t="shared" si="47"/>
        <v>127</v>
      </c>
      <c r="D134" s="2" t="s">
        <v>27</v>
      </c>
      <c r="G134" s="13">
        <v>39792.14</v>
      </c>
      <c r="I134" s="13">
        <f>G134-($H$390*(E131+E132))</f>
        <v>-1227.8827999999994</v>
      </c>
      <c r="M134" s="99">
        <f>I134</f>
        <v>-1227.8827999999994</v>
      </c>
      <c r="N134" s="99">
        <f t="shared" si="112"/>
        <v>0</v>
      </c>
      <c r="O134" s="67">
        <v>0</v>
      </c>
      <c r="R134" s="120"/>
    </row>
    <row r="135" spans="1:20" x14ac:dyDescent="0.25">
      <c r="A135" s="29">
        <f t="shared" si="47"/>
        <v>128</v>
      </c>
      <c r="D135" s="2" t="s">
        <v>28</v>
      </c>
      <c r="G135" s="13">
        <v>37583.440000000002</v>
      </c>
      <c r="I135" s="13">
        <f>G135</f>
        <v>37583.440000000002</v>
      </c>
      <c r="M135" s="99">
        <f t="shared" ref="M135:M137" si="119">I135</f>
        <v>37583.440000000002</v>
      </c>
      <c r="N135" s="99">
        <f t="shared" si="112"/>
        <v>0</v>
      </c>
      <c r="O135" s="67">
        <v>0</v>
      </c>
    </row>
    <row r="136" spans="1:20" x14ac:dyDescent="0.25">
      <c r="A136" s="29">
        <f t="shared" si="47"/>
        <v>129</v>
      </c>
      <c r="D136" s="2" t="s">
        <v>30</v>
      </c>
      <c r="E136" s="110"/>
      <c r="F136" s="67"/>
      <c r="G136" s="99">
        <v>2482.1999999999998</v>
      </c>
      <c r="I136" s="13">
        <f>G136</f>
        <v>2482.1999999999998</v>
      </c>
      <c r="M136" s="99">
        <f t="shared" si="119"/>
        <v>2482.1999999999998</v>
      </c>
      <c r="N136" s="99">
        <f t="shared" si="112"/>
        <v>0</v>
      </c>
      <c r="O136" s="67">
        <v>0</v>
      </c>
    </row>
    <row r="137" spans="1:20" x14ac:dyDescent="0.25">
      <c r="A137" s="29">
        <f t="shared" si="47"/>
        <v>130</v>
      </c>
      <c r="B137" s="54"/>
      <c r="D137" s="2" t="s">
        <v>40</v>
      </c>
      <c r="G137" s="99">
        <v>0</v>
      </c>
      <c r="I137" s="13">
        <f>G137</f>
        <v>0</v>
      </c>
      <c r="M137" s="99">
        <f t="shared" si="119"/>
        <v>0</v>
      </c>
      <c r="N137" s="99"/>
      <c r="O137" s="67">
        <v>0</v>
      </c>
    </row>
    <row r="138" spans="1:20" x14ac:dyDescent="0.25">
      <c r="A138" s="29">
        <f t="shared" ref="A138:A201" si="120">A137+1</f>
        <v>131</v>
      </c>
      <c r="D138" s="15" t="s">
        <v>9</v>
      </c>
      <c r="E138" s="15"/>
      <c r="F138" s="15"/>
      <c r="G138" s="113">
        <f>SUM(G134:G137)</f>
        <v>79857.78</v>
      </c>
      <c r="H138" s="15"/>
      <c r="I138" s="113">
        <f>SUM(I134:I137)</f>
        <v>38837.7572</v>
      </c>
      <c r="J138" s="15"/>
      <c r="K138" s="15"/>
      <c r="L138" s="15"/>
      <c r="M138" s="113">
        <f>SUM(M134:M137)</f>
        <v>38837.7572</v>
      </c>
      <c r="N138" s="113">
        <f>M138-I138</f>
        <v>0</v>
      </c>
      <c r="O138" s="121">
        <v>0</v>
      </c>
    </row>
    <row r="139" spans="1:20" s="7" customFormat="1" ht="26.4" customHeight="1" thickBot="1" x14ac:dyDescent="0.3">
      <c r="A139" s="29">
        <f t="shared" si="120"/>
        <v>132</v>
      </c>
      <c r="C139" s="17"/>
      <c r="D139" s="8" t="s">
        <v>20</v>
      </c>
      <c r="E139" s="8"/>
      <c r="F139" s="8"/>
      <c r="G139" s="114">
        <f>G133+G138</f>
        <v>375818.43400000001</v>
      </c>
      <c r="H139" s="8"/>
      <c r="I139" s="132">
        <f>I138+I133</f>
        <v>375818.43400000001</v>
      </c>
      <c r="J139" s="8"/>
      <c r="K139" s="8"/>
      <c r="L139" s="8"/>
      <c r="M139" s="114">
        <f>M138+M133</f>
        <v>395106.61311999999</v>
      </c>
      <c r="N139" s="114">
        <f>M139-I139</f>
        <v>19288.179119999986</v>
      </c>
      <c r="O139" s="122">
        <f>N139/I139</f>
        <v>5.1323132063287737E-2</v>
      </c>
      <c r="P139" s="2"/>
      <c r="Q139" s="2"/>
      <c r="R139" s="2"/>
    </row>
    <row r="140" spans="1:20" ht="13.8" thickTop="1" x14ac:dyDescent="0.25">
      <c r="A140" s="29">
        <f t="shared" si="120"/>
        <v>133</v>
      </c>
      <c r="D140" s="2" t="s">
        <v>19</v>
      </c>
      <c r="E140" s="67">
        <f>(E131+E132)/E130</f>
        <v>24971.858156028367</v>
      </c>
      <c r="G140" s="124">
        <f>G139/E130</f>
        <v>2665.378964539007</v>
      </c>
      <c r="I140" s="124">
        <f>I139/E130</f>
        <v>2665.378964539007</v>
      </c>
      <c r="M140" s="124">
        <f>M139/E130</f>
        <v>2802.1745611347519</v>
      </c>
      <c r="N140" s="124">
        <f>M140-I140</f>
        <v>136.79559659574488</v>
      </c>
      <c r="O140" s="101">
        <f>N140/I140</f>
        <v>5.1323132063287848E-2</v>
      </c>
    </row>
    <row r="141" spans="1:20" ht="13.8" thickBot="1" x14ac:dyDescent="0.3">
      <c r="A141" s="29">
        <f t="shared" si="120"/>
        <v>134</v>
      </c>
    </row>
    <row r="142" spans="1:20" x14ac:dyDescent="0.25">
      <c r="A142" s="29">
        <f t="shared" si="120"/>
        <v>135</v>
      </c>
      <c r="B142" s="139" t="s">
        <v>144</v>
      </c>
      <c r="C142" s="25">
        <v>22</v>
      </c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</row>
    <row r="143" spans="1:20" x14ac:dyDescent="0.25">
      <c r="A143" s="29">
        <f t="shared" si="120"/>
        <v>136</v>
      </c>
      <c r="B143" s="140"/>
      <c r="D143" s="2" t="s">
        <v>18</v>
      </c>
      <c r="E143" s="110">
        <v>1875</v>
      </c>
      <c r="F143" s="67">
        <v>25.34</v>
      </c>
      <c r="G143" s="99">
        <f>F143*E143</f>
        <v>47512.5</v>
      </c>
      <c r="H143" s="67">
        <v>25.34</v>
      </c>
      <c r="I143" s="99">
        <f>H143*E143</f>
        <v>47512.5</v>
      </c>
      <c r="J143" s="101">
        <f>I143/I146</f>
        <v>0.15874829464107804</v>
      </c>
      <c r="K143" s="101"/>
      <c r="L143" s="67">
        <f>ROUND(H143*S146,2)</f>
        <v>26.79</v>
      </c>
      <c r="M143" s="99">
        <f>L143*E143</f>
        <v>50231.25</v>
      </c>
      <c r="N143" s="99">
        <f t="shared" ref="N143:N149" si="121">M143-I143</f>
        <v>2718.75</v>
      </c>
      <c r="O143" s="101">
        <f>IF(I143=0,0,N143/I143)</f>
        <v>5.722178374112076E-2</v>
      </c>
      <c r="P143" s="101">
        <f>M143/M146</f>
        <v>0.15874979721608645</v>
      </c>
      <c r="Q143" s="100">
        <f>P143-J143</f>
        <v>1.5025750084163292E-6</v>
      </c>
      <c r="R143" s="100"/>
      <c r="T143" s="6">
        <f>L143/H143-1</f>
        <v>5.7221783741120635E-2</v>
      </c>
    </row>
    <row r="144" spans="1:20" x14ac:dyDescent="0.25">
      <c r="A144" s="29">
        <f t="shared" si="120"/>
        <v>137</v>
      </c>
      <c r="B144" s="67"/>
      <c r="D144" s="2" t="s">
        <v>71</v>
      </c>
      <c r="E144" s="110">
        <v>1231836</v>
      </c>
      <c r="F144" s="111">
        <v>0.10348</v>
      </c>
      <c r="G144" s="99">
        <f t="shared" ref="G144:G145" si="122">F144*E144</f>
        <v>127470.38928</v>
      </c>
      <c r="H144" s="115">
        <v>0.11513</v>
      </c>
      <c r="I144" s="99">
        <f t="shared" ref="I144:I145" si="123">H144*E144</f>
        <v>141821.27867999999</v>
      </c>
      <c r="J144" s="101">
        <f>I144/I146</f>
        <v>0.47385185233921762</v>
      </c>
      <c r="K144" s="101"/>
      <c r="L144" s="115">
        <f>ROUND(H144*S146,5)</f>
        <v>0.12171999999999999</v>
      </c>
      <c r="M144" s="99">
        <f t="shared" ref="M144:M145" si="124">L144*E144</f>
        <v>149939.07791999998</v>
      </c>
      <c r="N144" s="99">
        <f t="shared" si="121"/>
        <v>8117.799239999993</v>
      </c>
      <c r="O144" s="101">
        <f t="shared" ref="O144:O145" si="125">IF(I144=0,0,N144/I144)</f>
        <v>5.7239642143663637E-2</v>
      </c>
      <c r="P144" s="101">
        <f>M144/M146</f>
        <v>0.47386434171092662</v>
      </c>
      <c r="Q144" s="100">
        <f t="shared" ref="Q144:Q146" si="126">P144-J144</f>
        <v>1.2489371709001329E-5</v>
      </c>
      <c r="R144" s="100"/>
      <c r="T144" s="6">
        <f>L144/H144-1</f>
        <v>5.7239642143663616E-2</v>
      </c>
    </row>
    <row r="145" spans="1:22" x14ac:dyDescent="0.25">
      <c r="A145" s="29">
        <f t="shared" si="120"/>
        <v>138</v>
      </c>
      <c r="B145" s="67"/>
      <c r="D145" s="2" t="s">
        <v>72</v>
      </c>
      <c r="E145" s="110">
        <v>1575595</v>
      </c>
      <c r="F145" s="111">
        <v>5.8139999999999997E-2</v>
      </c>
      <c r="G145" s="99">
        <f t="shared" si="122"/>
        <v>91605.093299999993</v>
      </c>
      <c r="H145" s="115">
        <v>6.9790000000000005E-2</v>
      </c>
      <c r="I145" s="99">
        <f t="shared" si="123"/>
        <v>109960.77505000001</v>
      </c>
      <c r="J145" s="101">
        <f>I145/I146</f>
        <v>0.3673998530197044</v>
      </c>
      <c r="K145" s="101"/>
      <c r="L145" s="111">
        <f>ROUND(H145*S146,5)</f>
        <v>7.3779999999999998E-2</v>
      </c>
      <c r="M145" s="99">
        <f t="shared" si="124"/>
        <v>116247.3991</v>
      </c>
      <c r="N145" s="99">
        <f t="shared" si="121"/>
        <v>6286.624049999984</v>
      </c>
      <c r="O145" s="101">
        <f t="shared" si="125"/>
        <v>5.7171514543630744E-2</v>
      </c>
      <c r="P145" s="101">
        <f>M145/M146</f>
        <v>0.36738586107298687</v>
      </c>
      <c r="Q145" s="100">
        <f t="shared" si="126"/>
        <v>-1.399194671752868E-5</v>
      </c>
      <c r="R145" s="100"/>
      <c r="T145" s="6">
        <f>L145/H145-1</f>
        <v>5.7171514543630897E-2</v>
      </c>
    </row>
    <row r="146" spans="1:22" s="7" customFormat="1" ht="20.399999999999999" customHeight="1" x14ac:dyDescent="0.3">
      <c r="A146" s="29">
        <f t="shared" si="120"/>
        <v>139</v>
      </c>
      <c r="C146" s="17"/>
      <c r="D146" s="19" t="s">
        <v>7</v>
      </c>
      <c r="E146" s="19"/>
      <c r="F146" s="123"/>
      <c r="G146" s="112">
        <f>SUM(G143:G145)</f>
        <v>266587.98258000001</v>
      </c>
      <c r="H146" s="19"/>
      <c r="I146" s="112">
        <f>SUM(I143:I145)</f>
        <v>299294.55372999999</v>
      </c>
      <c r="J146" s="117">
        <f>SUM(J143:J145)</f>
        <v>1</v>
      </c>
      <c r="K146" s="118">
        <f>I146+Summary!I18</f>
        <v>316419.19373</v>
      </c>
      <c r="L146" s="19"/>
      <c r="M146" s="112">
        <f>SUM(M143:M145)</f>
        <v>316417.72701999999</v>
      </c>
      <c r="N146" s="112">
        <f>SUM(N143:N145)</f>
        <v>17123.173289999977</v>
      </c>
      <c r="O146" s="117">
        <f t="shared" ref="O146" si="127">N146/I146</f>
        <v>5.7211777082476274E-2</v>
      </c>
      <c r="P146" s="117">
        <f>SUM(P143:P145)</f>
        <v>0.99999999999999989</v>
      </c>
      <c r="Q146" s="131">
        <f t="shared" si="126"/>
        <v>0</v>
      </c>
      <c r="R146" s="119">
        <f>M146-K146</f>
        <v>-1.466710000007879</v>
      </c>
      <c r="S146" s="7">
        <f>K146/I146</f>
        <v>1.0572166776394085</v>
      </c>
    </row>
    <row r="147" spans="1:22" x14ac:dyDescent="0.25">
      <c r="A147" s="29">
        <f t="shared" si="120"/>
        <v>140</v>
      </c>
      <c r="D147" s="2" t="s">
        <v>27</v>
      </c>
      <c r="G147" s="13">
        <v>33821.85</v>
      </c>
      <c r="I147" s="13">
        <f>G147-($H$390*(E144+E145))</f>
        <v>1115.2788499999951</v>
      </c>
      <c r="M147" s="99">
        <f>I147</f>
        <v>1115.2788499999951</v>
      </c>
      <c r="N147" s="99">
        <f t="shared" si="121"/>
        <v>0</v>
      </c>
      <c r="O147" s="67">
        <v>0</v>
      </c>
      <c r="R147" s="120"/>
    </row>
    <row r="148" spans="1:22" x14ac:dyDescent="0.25">
      <c r="A148" s="29">
        <f t="shared" si="120"/>
        <v>141</v>
      </c>
      <c r="D148" s="2" t="s">
        <v>28</v>
      </c>
      <c r="G148" s="13">
        <v>31313.97</v>
      </c>
      <c r="I148" s="13">
        <f>G148</f>
        <v>31313.97</v>
      </c>
      <c r="M148" s="99">
        <f t="shared" ref="M148:M150" si="128">I148</f>
        <v>31313.97</v>
      </c>
      <c r="N148" s="99">
        <f t="shared" si="121"/>
        <v>0</v>
      </c>
      <c r="O148" s="67">
        <v>0</v>
      </c>
    </row>
    <row r="149" spans="1:22" x14ac:dyDescent="0.25">
      <c r="A149" s="29">
        <f t="shared" si="120"/>
        <v>142</v>
      </c>
      <c r="D149" s="2" t="s">
        <v>30</v>
      </c>
      <c r="E149" s="110"/>
      <c r="F149" s="67"/>
      <c r="G149" s="99">
        <v>0</v>
      </c>
      <c r="I149" s="13">
        <f>G149</f>
        <v>0</v>
      </c>
      <c r="M149" s="99">
        <f t="shared" si="128"/>
        <v>0</v>
      </c>
      <c r="N149" s="99">
        <f t="shared" si="121"/>
        <v>0</v>
      </c>
      <c r="O149" s="67">
        <v>0</v>
      </c>
    </row>
    <row r="150" spans="1:22" x14ac:dyDescent="0.25">
      <c r="A150" s="29">
        <f t="shared" si="120"/>
        <v>143</v>
      </c>
      <c r="B150" s="54"/>
      <c r="D150" s="2" t="s">
        <v>40</v>
      </c>
      <c r="G150" s="99">
        <v>0</v>
      </c>
      <c r="I150" s="13">
        <f>G150</f>
        <v>0</v>
      </c>
      <c r="M150" s="99">
        <f t="shared" si="128"/>
        <v>0</v>
      </c>
      <c r="N150" s="99"/>
      <c r="O150" s="67">
        <v>0</v>
      </c>
    </row>
    <row r="151" spans="1:22" x14ac:dyDescent="0.25">
      <c r="A151" s="29">
        <f t="shared" si="120"/>
        <v>144</v>
      </c>
      <c r="D151" s="15" t="s">
        <v>9</v>
      </c>
      <c r="E151" s="15"/>
      <c r="F151" s="15"/>
      <c r="G151" s="113">
        <f>SUM(G147:G150)</f>
        <v>65135.82</v>
      </c>
      <c r="H151" s="15"/>
      <c r="I151" s="113">
        <f>SUM(I147:I150)</f>
        <v>32429.248849999996</v>
      </c>
      <c r="J151" s="15"/>
      <c r="K151" s="15"/>
      <c r="L151" s="15"/>
      <c r="M151" s="113">
        <f>SUM(M147:M150)</f>
        <v>32429.248849999996</v>
      </c>
      <c r="N151" s="113">
        <f>M151-I151</f>
        <v>0</v>
      </c>
      <c r="O151" s="121">
        <v>0</v>
      </c>
    </row>
    <row r="152" spans="1:22" s="7" customFormat="1" ht="26.4" customHeight="1" thickBot="1" x14ac:dyDescent="0.3">
      <c r="A152" s="29">
        <f t="shared" si="120"/>
        <v>145</v>
      </c>
      <c r="C152" s="17"/>
      <c r="D152" s="8" t="s">
        <v>20</v>
      </c>
      <c r="E152" s="8"/>
      <c r="F152" s="8"/>
      <c r="G152" s="114">
        <f>G146+G151</f>
        <v>331723.80258000002</v>
      </c>
      <c r="H152" s="8"/>
      <c r="I152" s="132">
        <f>I151+I146</f>
        <v>331723.80257999996</v>
      </c>
      <c r="J152" s="8"/>
      <c r="K152" s="8"/>
      <c r="L152" s="8"/>
      <c r="M152" s="114">
        <f>M151+M146</f>
        <v>348846.97586999997</v>
      </c>
      <c r="N152" s="114">
        <f>M152-I152</f>
        <v>17123.173290000006</v>
      </c>
      <c r="O152" s="122">
        <f>N152/I152</f>
        <v>5.1618765843221358E-2</v>
      </c>
      <c r="P152" s="2"/>
      <c r="Q152" s="2"/>
      <c r="R152" s="2"/>
    </row>
    <row r="153" spans="1:22" ht="13.8" thickTop="1" x14ac:dyDescent="0.25">
      <c r="A153" s="29">
        <f t="shared" si="120"/>
        <v>146</v>
      </c>
      <c r="D153" s="2" t="s">
        <v>19</v>
      </c>
      <c r="E153" s="67">
        <f>(E144+E145)/E143</f>
        <v>1497.2965333333334</v>
      </c>
      <c r="G153" s="124">
        <f>G152/E143</f>
        <v>176.91936137600001</v>
      </c>
      <c r="I153" s="124">
        <f>I152/E143</f>
        <v>176.91936137599998</v>
      </c>
      <c r="M153" s="124">
        <f>M152/E143</f>
        <v>186.05172046399997</v>
      </c>
      <c r="N153" s="124">
        <f>M153-I153</f>
        <v>9.132359087999987</v>
      </c>
      <c r="O153" s="101">
        <f>N153/I153</f>
        <v>5.1618765843221261E-2</v>
      </c>
    </row>
    <row r="154" spans="1:22" ht="13.8" thickBot="1" x14ac:dyDescent="0.3">
      <c r="A154" s="29">
        <f t="shared" si="120"/>
        <v>147</v>
      </c>
    </row>
    <row r="155" spans="1:22" x14ac:dyDescent="0.25">
      <c r="A155" s="29">
        <f t="shared" si="120"/>
        <v>148</v>
      </c>
      <c r="B155" s="139" t="s">
        <v>57</v>
      </c>
      <c r="C155" s="25">
        <v>24</v>
      </c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</row>
    <row r="156" spans="1:22" x14ac:dyDescent="0.25">
      <c r="A156" s="29">
        <f t="shared" si="120"/>
        <v>149</v>
      </c>
      <c r="B156" s="140"/>
      <c r="D156" s="2" t="s">
        <v>18</v>
      </c>
      <c r="E156" s="110">
        <v>24</v>
      </c>
      <c r="F156" s="67">
        <v>63.4</v>
      </c>
      <c r="G156" s="99">
        <f>F156*E156</f>
        <v>1521.6</v>
      </c>
      <c r="H156" s="67">
        <f>H130</f>
        <v>63.4</v>
      </c>
      <c r="I156" s="99">
        <f>H156*E156</f>
        <v>1521.6</v>
      </c>
      <c r="J156" s="101">
        <f>I156/I159</f>
        <v>1.035942151846456E-2</v>
      </c>
      <c r="K156" s="101"/>
      <c r="L156" s="67">
        <f>L130</f>
        <v>67.03</v>
      </c>
      <c r="M156" s="99">
        <f>L156*E156</f>
        <v>1608.72</v>
      </c>
      <c r="N156" s="99">
        <f t="shared" ref="N156:N162" si="129">M156-I156</f>
        <v>87.120000000000118</v>
      </c>
      <c r="O156" s="101">
        <f>IF(I156=0,0,N156/I156)</f>
        <v>5.7255520504731941E-2</v>
      </c>
      <c r="P156" s="101">
        <f>M156/M159</f>
        <v>1.0359597982068388E-2</v>
      </c>
      <c r="Q156" s="100">
        <f>P156-J156</f>
        <v>1.7646360382823911E-7</v>
      </c>
      <c r="R156" s="100"/>
      <c r="T156" s="6">
        <f>L156/H156-1</f>
        <v>5.7255520504731816E-2</v>
      </c>
    </row>
    <row r="157" spans="1:22" x14ac:dyDescent="0.25">
      <c r="A157" s="29">
        <f t="shared" si="120"/>
        <v>150</v>
      </c>
      <c r="B157" s="67"/>
      <c r="D157" s="2" t="s">
        <v>71</v>
      </c>
      <c r="E157" s="110">
        <v>780000</v>
      </c>
      <c r="F157" s="111">
        <v>9.7640000000000005E-2</v>
      </c>
      <c r="G157" s="99">
        <f t="shared" ref="G157:G158" si="130">F157*E157</f>
        <v>76159.199999999997</v>
      </c>
      <c r="H157" s="115">
        <f>H131*0.95</f>
        <v>0.1087085</v>
      </c>
      <c r="I157" s="99">
        <f t="shared" ref="I157:I158" si="131">H157*E157</f>
        <v>84792.63</v>
      </c>
      <c r="J157" s="101">
        <f>I157/I159</f>
        <v>0.57728877223265229</v>
      </c>
      <c r="K157" s="101"/>
      <c r="L157" s="115">
        <f>L131*0.95</f>
        <v>0.11493100000000001</v>
      </c>
      <c r="M157" s="99">
        <f t="shared" ref="M157:M158" si="132">L157*E157</f>
        <v>89646.180000000008</v>
      </c>
      <c r="N157" s="99">
        <f t="shared" si="129"/>
        <v>4853.5500000000029</v>
      </c>
      <c r="O157" s="101">
        <f t="shared" ref="O157:O158" si="133">IF(I157=0,0,N157/I157)</f>
        <v>5.7240234204317078E-2</v>
      </c>
      <c r="P157" s="101">
        <f>M157/M159</f>
        <v>0.57729025898114006</v>
      </c>
      <c r="Q157" s="100">
        <f t="shared" ref="Q157:Q159" si="134">P157-J157</f>
        <v>1.4867484877667536E-6</v>
      </c>
      <c r="R157" s="100"/>
      <c r="T157" s="6">
        <f>L157/H157-1</f>
        <v>5.7240234204317009E-2</v>
      </c>
    </row>
    <row r="158" spans="1:22" x14ac:dyDescent="0.25">
      <c r="A158" s="29">
        <f t="shared" si="120"/>
        <v>151</v>
      </c>
      <c r="B158" s="67"/>
      <c r="D158" s="2" t="s">
        <v>72</v>
      </c>
      <c r="E158" s="110">
        <v>916800</v>
      </c>
      <c r="F158" s="111">
        <v>5.5E-2</v>
      </c>
      <c r="G158" s="99">
        <f t="shared" si="130"/>
        <v>50424</v>
      </c>
      <c r="H158" s="115">
        <f>H132*0.95</f>
        <v>6.6062999999999997E-2</v>
      </c>
      <c r="I158" s="99">
        <f t="shared" si="131"/>
        <v>60566.558399999994</v>
      </c>
      <c r="J158" s="101">
        <f>I158/I159</f>
        <v>0.41235180624888301</v>
      </c>
      <c r="K158" s="101"/>
      <c r="L158" s="115">
        <f>L132*0.95</f>
        <v>6.9844000000000003E-2</v>
      </c>
      <c r="M158" s="99">
        <f t="shared" si="132"/>
        <v>64032.979200000002</v>
      </c>
      <c r="N158" s="99">
        <f t="shared" si="129"/>
        <v>3466.4208000000071</v>
      </c>
      <c r="O158" s="101">
        <f t="shared" si="133"/>
        <v>5.7233247052056492E-2</v>
      </c>
      <c r="P158" s="101">
        <f>M158/M159</f>
        <v>0.41235014303679146</v>
      </c>
      <c r="Q158" s="100">
        <f t="shared" si="134"/>
        <v>-1.6632120915516246E-6</v>
      </c>
      <c r="R158" s="100"/>
      <c r="T158" s="6">
        <f>L158/H158-1</f>
        <v>5.7233247052056457E-2</v>
      </c>
      <c r="V158" s="88" t="s">
        <v>137</v>
      </c>
    </row>
    <row r="159" spans="1:22" s="7" customFormat="1" ht="20.399999999999999" customHeight="1" x14ac:dyDescent="0.3">
      <c r="A159" s="29">
        <f t="shared" si="120"/>
        <v>152</v>
      </c>
      <c r="C159" s="17"/>
      <c r="D159" s="19" t="s">
        <v>7</v>
      </c>
      <c r="E159" s="19"/>
      <c r="F159" s="123"/>
      <c r="G159" s="112">
        <f>SUM(G156:G158)</f>
        <v>128104.8</v>
      </c>
      <c r="H159" s="19"/>
      <c r="I159" s="112">
        <f>SUM(I156:I158)</f>
        <v>146880.78840000002</v>
      </c>
      <c r="J159" s="117">
        <f>SUM(J156:J158)</f>
        <v>0.99999999999999989</v>
      </c>
      <c r="K159" s="118">
        <f>I159+Summary!I19</f>
        <v>155284.81840000002</v>
      </c>
      <c r="L159" s="19"/>
      <c r="M159" s="112">
        <f>SUM(M156:M158)</f>
        <v>155287.87920000002</v>
      </c>
      <c r="N159" s="112">
        <f>SUM(N156:N158)</f>
        <v>8407.090800000009</v>
      </c>
      <c r="O159" s="117">
        <f t="shared" ref="O159" si="135">N159/I159</f>
        <v>5.723751139669133E-2</v>
      </c>
      <c r="P159" s="117">
        <f>SUM(P156:P158)</f>
        <v>1</v>
      </c>
      <c r="Q159" s="131">
        <f t="shared" si="134"/>
        <v>0</v>
      </c>
      <c r="R159" s="119">
        <f>M159-K159</f>
        <v>3.0608000000065658</v>
      </c>
      <c r="S159" s="7">
        <f>K159/I159</f>
        <v>1.0572166727285894</v>
      </c>
    </row>
    <row r="160" spans="1:22" x14ac:dyDescent="0.25">
      <c r="A160" s="29">
        <f t="shared" si="120"/>
        <v>153</v>
      </c>
      <c r="D160" s="2" t="s">
        <v>27</v>
      </c>
      <c r="G160" s="13">
        <v>21236.52</v>
      </c>
      <c r="I160" s="13">
        <f>G160-($H$390*(E157+E158))</f>
        <v>1468.7999999999993</v>
      </c>
      <c r="M160" s="99">
        <f>I160</f>
        <v>1468.7999999999993</v>
      </c>
      <c r="N160" s="99">
        <f t="shared" si="129"/>
        <v>0</v>
      </c>
      <c r="O160" s="67">
        <v>0</v>
      </c>
      <c r="R160" s="120"/>
    </row>
    <row r="161" spans="1:20" x14ac:dyDescent="0.25">
      <c r="A161" s="29">
        <f t="shared" si="120"/>
        <v>154</v>
      </c>
      <c r="D161" s="2" t="s">
        <v>28</v>
      </c>
      <c r="G161" s="13">
        <v>15509.68</v>
      </c>
      <c r="I161" s="13">
        <f>G161</f>
        <v>15509.68</v>
      </c>
      <c r="M161" s="99">
        <f t="shared" ref="M161:M163" si="136">I161</f>
        <v>15509.68</v>
      </c>
      <c r="N161" s="99">
        <f t="shared" si="129"/>
        <v>0</v>
      </c>
      <c r="O161" s="67">
        <v>0</v>
      </c>
    </row>
    <row r="162" spans="1:20" x14ac:dyDescent="0.25">
      <c r="A162" s="29">
        <f t="shared" si="120"/>
        <v>155</v>
      </c>
      <c r="D162" s="2" t="s">
        <v>30</v>
      </c>
      <c r="E162" s="110"/>
      <c r="F162" s="67"/>
      <c r="G162" s="99">
        <v>0</v>
      </c>
      <c r="I162" s="13">
        <f>G162</f>
        <v>0</v>
      </c>
      <c r="M162" s="99">
        <f t="shared" si="136"/>
        <v>0</v>
      </c>
      <c r="N162" s="99">
        <f t="shared" si="129"/>
        <v>0</v>
      </c>
      <c r="O162" s="67">
        <v>0</v>
      </c>
    </row>
    <row r="163" spans="1:20" x14ac:dyDescent="0.25">
      <c r="A163" s="29">
        <f t="shared" si="120"/>
        <v>156</v>
      </c>
      <c r="B163" s="54"/>
      <c r="D163" s="2" t="s">
        <v>40</v>
      </c>
      <c r="G163" s="99">
        <v>0</v>
      </c>
      <c r="I163" s="13">
        <f>G163</f>
        <v>0</v>
      </c>
      <c r="M163" s="99">
        <f t="shared" si="136"/>
        <v>0</v>
      </c>
      <c r="N163" s="99"/>
      <c r="O163" s="67">
        <v>0</v>
      </c>
    </row>
    <row r="164" spans="1:20" x14ac:dyDescent="0.25">
      <c r="A164" s="29">
        <f t="shared" si="120"/>
        <v>157</v>
      </c>
      <c r="D164" s="15" t="s">
        <v>9</v>
      </c>
      <c r="E164" s="15"/>
      <c r="F164" s="15"/>
      <c r="G164" s="113">
        <f>SUM(G160:G163)</f>
        <v>36746.199999999997</v>
      </c>
      <c r="H164" s="15"/>
      <c r="I164" s="113">
        <f>SUM(I160:I163)</f>
        <v>16978.48</v>
      </c>
      <c r="J164" s="15"/>
      <c r="K164" s="15"/>
      <c r="L164" s="15"/>
      <c r="M164" s="113">
        <f>SUM(M160:M163)</f>
        <v>16978.48</v>
      </c>
      <c r="N164" s="113">
        <f>M164-I164</f>
        <v>0</v>
      </c>
      <c r="O164" s="121">
        <v>0</v>
      </c>
    </row>
    <row r="165" spans="1:20" s="7" customFormat="1" ht="26.4" customHeight="1" thickBot="1" x14ac:dyDescent="0.3">
      <c r="A165" s="29">
        <f t="shared" si="120"/>
        <v>158</v>
      </c>
      <c r="C165" s="17"/>
      <c r="D165" s="8" t="s">
        <v>20</v>
      </c>
      <c r="E165" s="8"/>
      <c r="F165" s="8"/>
      <c r="G165" s="114">
        <f>G159+G164</f>
        <v>164851</v>
      </c>
      <c r="H165" s="8"/>
      <c r="I165" s="132">
        <f>I164+I159</f>
        <v>163859.26840000003</v>
      </c>
      <c r="J165" s="8"/>
      <c r="K165" s="8"/>
      <c r="L165" s="8"/>
      <c r="M165" s="114">
        <f>M164+M159</f>
        <v>172266.35920000004</v>
      </c>
      <c r="N165" s="114">
        <f>M165-I165</f>
        <v>8407.0908000000054</v>
      </c>
      <c r="O165" s="122">
        <f>N165/I165</f>
        <v>5.1306776126189536E-2</v>
      </c>
      <c r="P165" s="2"/>
      <c r="Q165" s="2"/>
      <c r="R165" s="2"/>
    </row>
    <row r="166" spans="1:20" ht="13.8" thickTop="1" x14ac:dyDescent="0.25">
      <c r="A166" s="29">
        <f t="shared" si="120"/>
        <v>159</v>
      </c>
      <c r="D166" s="2" t="s">
        <v>19</v>
      </c>
      <c r="E166" s="67">
        <f>(E157+E158)/E156</f>
        <v>70700</v>
      </c>
      <c r="G166" s="124">
        <f>G165/E156</f>
        <v>6868.791666666667</v>
      </c>
      <c r="I166" s="124">
        <f>I165/E156</f>
        <v>6827.4695166666679</v>
      </c>
      <c r="M166" s="124">
        <f>M165/E156</f>
        <v>7177.7649666666684</v>
      </c>
      <c r="N166" s="124">
        <f>M166-I166</f>
        <v>350.29545000000053</v>
      </c>
      <c r="O166" s="101">
        <f>N166/I166</f>
        <v>5.1306776126189585E-2</v>
      </c>
    </row>
    <row r="167" spans="1:20" ht="13.8" thickBot="1" x14ac:dyDescent="0.3">
      <c r="A167" s="29">
        <f t="shared" si="120"/>
        <v>160</v>
      </c>
    </row>
    <row r="168" spans="1:20" ht="16.2" customHeight="1" x14ac:dyDescent="0.25">
      <c r="A168" s="29">
        <f t="shared" si="120"/>
        <v>161</v>
      </c>
      <c r="B168" s="139" t="s">
        <v>58</v>
      </c>
      <c r="C168" s="25">
        <v>31</v>
      </c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</row>
    <row r="169" spans="1:20" x14ac:dyDescent="0.25">
      <c r="A169" s="29">
        <f t="shared" si="120"/>
        <v>162</v>
      </c>
      <c r="B169" s="140"/>
      <c r="D169" s="2" t="s">
        <v>18</v>
      </c>
      <c r="E169" s="110">
        <v>24</v>
      </c>
      <c r="F169" s="67">
        <v>20.67</v>
      </c>
      <c r="G169" s="99">
        <f>F169*E169</f>
        <v>496.08000000000004</v>
      </c>
      <c r="H169" s="67">
        <v>20.67</v>
      </c>
      <c r="I169" s="99">
        <f>H169*E169</f>
        <v>496.08000000000004</v>
      </c>
      <c r="J169" s="101">
        <f>I169/I172</f>
        <v>0.13380097792849732</v>
      </c>
      <c r="K169" s="101"/>
      <c r="L169" s="67">
        <f>ROUND(H169*S172,2)</f>
        <v>21.85</v>
      </c>
      <c r="M169" s="99">
        <f>L169*E169</f>
        <v>524.40000000000009</v>
      </c>
      <c r="N169" s="99">
        <f t="shared" ref="N169:N175" si="137">M169-I169</f>
        <v>28.32000000000005</v>
      </c>
      <c r="O169" s="101">
        <f>IF(I169=0,0,N169/I169)</f>
        <v>5.7087566521528882E-2</v>
      </c>
      <c r="P169" s="101">
        <f>M169/M172</f>
        <v>0.13378697936592246</v>
      </c>
      <c r="Q169" s="100">
        <f>P169-J169</f>
        <v>-1.3998562574862872E-5</v>
      </c>
      <c r="R169" s="100"/>
      <c r="T169" s="6">
        <f>L169/H169-1</f>
        <v>5.7087566521528688E-2</v>
      </c>
    </row>
    <row r="170" spans="1:20" x14ac:dyDescent="0.25">
      <c r="A170" s="29">
        <f t="shared" si="120"/>
        <v>163</v>
      </c>
      <c r="B170" s="67"/>
      <c r="D170" s="2" t="s">
        <v>71</v>
      </c>
      <c r="E170" s="110">
        <v>10715</v>
      </c>
      <c r="F170" s="111">
        <v>0.12345</v>
      </c>
      <c r="G170" s="99">
        <f t="shared" ref="G170:G171" si="138">F170*E170</f>
        <v>1322.76675</v>
      </c>
      <c r="H170" s="115">
        <v>0.1351</v>
      </c>
      <c r="I170" s="99">
        <f t="shared" ref="I170:I171" si="139">H170*E170</f>
        <v>1447.5964999999999</v>
      </c>
      <c r="J170" s="101">
        <f>I170/I172</f>
        <v>0.3904407098570189</v>
      </c>
      <c r="K170" s="101"/>
      <c r="L170" s="115">
        <f>ROUND(H170*S172,5)</f>
        <v>0.14283000000000001</v>
      </c>
      <c r="M170" s="99">
        <f t="shared" ref="M170:M171" si="140">L170*E170</f>
        <v>1530.4234500000002</v>
      </c>
      <c r="N170" s="99">
        <f t="shared" si="137"/>
        <v>82.826950000000352</v>
      </c>
      <c r="O170" s="101">
        <f t="shared" ref="O170:O171" si="141">IF(I170=0,0,N170/I170)</f>
        <v>5.721687638786109E-2</v>
      </c>
      <c r="P170" s="101">
        <f>M170/M172</f>
        <v>0.39044761732699051</v>
      </c>
      <c r="Q170" s="100">
        <f t="shared" ref="Q170:Q172" si="142">P170-J170</f>
        <v>6.9074699716176191E-6</v>
      </c>
      <c r="R170" s="100"/>
      <c r="T170" s="6">
        <f>L170/H170-1</f>
        <v>5.7216876387860882E-2</v>
      </c>
    </row>
    <row r="171" spans="1:20" x14ac:dyDescent="0.25">
      <c r="A171" s="29">
        <f t="shared" si="120"/>
        <v>164</v>
      </c>
      <c r="B171" s="67"/>
      <c r="D171" s="2" t="s">
        <v>72</v>
      </c>
      <c r="E171" s="110">
        <v>24377</v>
      </c>
      <c r="F171" s="111">
        <v>6.071E-2</v>
      </c>
      <c r="G171" s="99">
        <f t="shared" si="138"/>
        <v>1479.92767</v>
      </c>
      <c r="H171" s="115">
        <v>7.2359999999999994E-2</v>
      </c>
      <c r="I171" s="99">
        <f t="shared" si="139"/>
        <v>1763.9197199999999</v>
      </c>
      <c r="J171" s="101">
        <f>I171/I172</f>
        <v>0.47575831221448378</v>
      </c>
      <c r="K171" s="101"/>
      <c r="L171" s="115">
        <f>ROUND(H171*S172,5)</f>
        <v>7.6499999999999999E-2</v>
      </c>
      <c r="M171" s="99">
        <f t="shared" si="140"/>
        <v>1864.8405</v>
      </c>
      <c r="N171" s="99">
        <f t="shared" si="137"/>
        <v>100.92078000000015</v>
      </c>
      <c r="O171" s="101">
        <f t="shared" si="141"/>
        <v>5.7213930348258793E-2</v>
      </c>
      <c r="P171" s="101">
        <f>M171/M172</f>
        <v>0.47576540330708705</v>
      </c>
      <c r="Q171" s="100">
        <f t="shared" si="142"/>
        <v>7.0910926032730082E-6</v>
      </c>
      <c r="R171" s="100"/>
      <c r="T171" s="6">
        <f>L171/H171-1</f>
        <v>5.7213930348258835E-2</v>
      </c>
    </row>
    <row r="172" spans="1:20" s="7" customFormat="1" ht="20.399999999999999" customHeight="1" x14ac:dyDescent="0.3">
      <c r="A172" s="29">
        <f t="shared" si="120"/>
        <v>165</v>
      </c>
      <c r="C172" s="17"/>
      <c r="D172" s="19" t="s">
        <v>7</v>
      </c>
      <c r="E172" s="19"/>
      <c r="F172" s="123"/>
      <c r="G172" s="112">
        <f>SUM(G169:G171)</f>
        <v>3298.7744200000002</v>
      </c>
      <c r="H172" s="19"/>
      <c r="I172" s="112">
        <f>SUM(I169:I171)</f>
        <v>3707.5962199999999</v>
      </c>
      <c r="J172" s="117">
        <f>SUM(J169:J171)</f>
        <v>1</v>
      </c>
      <c r="K172" s="118">
        <f>I172+Summary!I20</f>
        <v>3919.7362199999998</v>
      </c>
      <c r="L172" s="19"/>
      <c r="M172" s="112">
        <f>SUM(M169:M171)</f>
        <v>3919.6639500000001</v>
      </c>
      <c r="N172" s="112">
        <f>SUM(N169:N171)</f>
        <v>212.06773000000055</v>
      </c>
      <c r="O172" s="117">
        <f t="shared" ref="O172" si="143">N172/I172</f>
        <v>5.7198172998461132E-2</v>
      </c>
      <c r="P172" s="117">
        <f>SUM(P169:P171)</f>
        <v>1</v>
      </c>
      <c r="Q172" s="131">
        <f t="shared" si="142"/>
        <v>0</v>
      </c>
      <c r="R172" s="119">
        <f>M172-K172</f>
        <v>-7.2269999999662105E-2</v>
      </c>
      <c r="S172" s="7">
        <f>K172/I172</f>
        <v>1.0572176654123355</v>
      </c>
    </row>
    <row r="173" spans="1:20" x14ac:dyDescent="0.25">
      <c r="A173" s="29">
        <f t="shared" si="120"/>
        <v>166</v>
      </c>
      <c r="D173" s="2" t="s">
        <v>27</v>
      </c>
      <c r="G173" s="13">
        <v>411.38</v>
      </c>
      <c r="I173" s="13">
        <f>G173-($H$390*(E170+E171))</f>
        <v>2.5581999999999994</v>
      </c>
      <c r="K173" s="13"/>
      <c r="M173" s="99">
        <f>I173</f>
        <v>2.5581999999999994</v>
      </c>
      <c r="N173" s="99">
        <f t="shared" si="137"/>
        <v>0</v>
      </c>
      <c r="O173" s="67">
        <v>0</v>
      </c>
      <c r="R173" s="120"/>
    </row>
    <row r="174" spans="1:20" x14ac:dyDescent="0.25">
      <c r="A174" s="29">
        <f t="shared" si="120"/>
        <v>167</v>
      </c>
      <c r="D174" s="2" t="s">
        <v>28</v>
      </c>
      <c r="G174" s="13">
        <v>406.23</v>
      </c>
      <c r="I174" s="13">
        <f>G174</f>
        <v>406.23</v>
      </c>
      <c r="M174" s="99">
        <f t="shared" ref="M174:M176" si="144">I174</f>
        <v>406.23</v>
      </c>
      <c r="N174" s="99">
        <f t="shared" si="137"/>
        <v>0</v>
      </c>
      <c r="O174" s="67">
        <v>0</v>
      </c>
    </row>
    <row r="175" spans="1:20" x14ac:dyDescent="0.25">
      <c r="A175" s="29">
        <f t="shared" si="120"/>
        <v>168</v>
      </c>
      <c r="D175" s="2" t="s">
        <v>30</v>
      </c>
      <c r="E175" s="110"/>
      <c r="F175" s="67"/>
      <c r="G175" s="99">
        <v>0</v>
      </c>
      <c r="I175" s="13">
        <f>G175</f>
        <v>0</v>
      </c>
      <c r="M175" s="99">
        <f t="shared" si="144"/>
        <v>0</v>
      </c>
      <c r="N175" s="99">
        <f t="shared" si="137"/>
        <v>0</v>
      </c>
      <c r="O175" s="67">
        <v>0</v>
      </c>
    </row>
    <row r="176" spans="1:20" x14ac:dyDescent="0.25">
      <c r="A176" s="29">
        <f t="shared" si="120"/>
        <v>169</v>
      </c>
      <c r="B176" s="54"/>
      <c r="D176" s="2" t="s">
        <v>40</v>
      </c>
      <c r="G176" s="99">
        <v>0</v>
      </c>
      <c r="I176" s="13">
        <f>G176</f>
        <v>0</v>
      </c>
      <c r="M176" s="99">
        <f t="shared" si="144"/>
        <v>0</v>
      </c>
      <c r="N176" s="99"/>
      <c r="O176" s="67">
        <v>0</v>
      </c>
    </row>
    <row r="177" spans="1:20" x14ac:dyDescent="0.25">
      <c r="A177" s="29">
        <f t="shared" si="120"/>
        <v>170</v>
      </c>
      <c r="D177" s="15" t="s">
        <v>9</v>
      </c>
      <c r="E177" s="15"/>
      <c r="F177" s="15"/>
      <c r="G177" s="113">
        <f>SUM(G173:G176)</f>
        <v>817.61</v>
      </c>
      <c r="H177" s="15"/>
      <c r="I177" s="113">
        <f>SUM(I173:I176)</f>
        <v>408.78820000000002</v>
      </c>
      <c r="J177" s="15"/>
      <c r="K177" s="15"/>
      <c r="L177" s="15"/>
      <c r="M177" s="113">
        <f>SUM(M173:M176)</f>
        <v>408.78820000000002</v>
      </c>
      <c r="N177" s="113">
        <f>M177-I177</f>
        <v>0</v>
      </c>
      <c r="O177" s="121">
        <v>0</v>
      </c>
    </row>
    <row r="178" spans="1:20" s="7" customFormat="1" ht="26.4" customHeight="1" thickBot="1" x14ac:dyDescent="0.3">
      <c r="A178" s="29">
        <f t="shared" si="120"/>
        <v>171</v>
      </c>
      <c r="C178" s="17"/>
      <c r="D178" s="8" t="s">
        <v>20</v>
      </c>
      <c r="E178" s="8"/>
      <c r="F178" s="8"/>
      <c r="G178" s="114">
        <f>G172+G177</f>
        <v>4116.3844200000003</v>
      </c>
      <c r="H178" s="8"/>
      <c r="I178" s="132">
        <f>I177+I172</f>
        <v>4116.3844200000003</v>
      </c>
      <c r="J178" s="8"/>
      <c r="K178" s="8"/>
      <c r="L178" s="8"/>
      <c r="M178" s="114">
        <f>M177+M172</f>
        <v>4328.4521500000001</v>
      </c>
      <c r="N178" s="114">
        <f>M178-I178</f>
        <v>212.06772999999976</v>
      </c>
      <c r="O178" s="122">
        <f>N178/I178</f>
        <v>5.1517960511569455E-2</v>
      </c>
      <c r="P178" s="2"/>
      <c r="Q178" s="2"/>
      <c r="R178" s="2"/>
    </row>
    <row r="179" spans="1:20" ht="13.8" thickTop="1" x14ac:dyDescent="0.25">
      <c r="A179" s="29">
        <f t="shared" si="120"/>
        <v>172</v>
      </c>
      <c r="D179" s="2" t="s">
        <v>19</v>
      </c>
      <c r="E179" s="67">
        <f>(E170+E171)/E169</f>
        <v>1462.1666666666667</v>
      </c>
      <c r="G179" s="124">
        <f>G178/E169</f>
        <v>171.5160175</v>
      </c>
      <c r="I179" s="124">
        <f>I178/E169</f>
        <v>171.5160175</v>
      </c>
      <c r="M179" s="124">
        <f>M178/E169</f>
        <v>180.35217291666666</v>
      </c>
      <c r="N179" s="124">
        <f>M179-I179</f>
        <v>8.8361554166666565</v>
      </c>
      <c r="O179" s="101">
        <f>N179/I179</f>
        <v>5.1517960511569462E-2</v>
      </c>
    </row>
    <row r="180" spans="1:20" ht="13.8" thickBot="1" x14ac:dyDescent="0.3">
      <c r="A180" s="29">
        <f t="shared" si="120"/>
        <v>173</v>
      </c>
    </row>
    <row r="181" spans="1:20" x14ac:dyDescent="0.25">
      <c r="A181" s="29">
        <f t="shared" si="120"/>
        <v>174</v>
      </c>
      <c r="B181" s="139" t="s">
        <v>59</v>
      </c>
      <c r="C181" s="25">
        <v>33</v>
      </c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</row>
    <row r="182" spans="1:20" x14ac:dyDescent="0.25">
      <c r="A182" s="29">
        <f t="shared" si="120"/>
        <v>175</v>
      </c>
      <c r="B182" s="140"/>
      <c r="D182" s="2" t="s">
        <v>18</v>
      </c>
      <c r="E182" s="110">
        <v>72</v>
      </c>
      <c r="F182" s="67">
        <v>20.67</v>
      </c>
      <c r="G182" s="99">
        <f>F182*E182</f>
        <v>1488.2400000000002</v>
      </c>
      <c r="H182" s="67">
        <v>20.67</v>
      </c>
      <c r="I182" s="99">
        <f>H182*E182</f>
        <v>1488.2400000000002</v>
      </c>
      <c r="J182" s="101">
        <f>I182/I185</f>
        <v>0.13911784557496248</v>
      </c>
      <c r="K182" s="101"/>
      <c r="L182" s="67">
        <f>ROUND(H182*S185,2)</f>
        <v>21.85</v>
      </c>
      <c r="M182" s="99">
        <f>L182*E182</f>
        <v>1573.2</v>
      </c>
      <c r="N182" s="99">
        <f t="shared" ref="N182:N188" si="145">M182-I182</f>
        <v>84.959999999999809</v>
      </c>
      <c r="O182" s="101">
        <f>IF(I182=0,0,N182/I182)</f>
        <v>5.7087566521528646E-2</v>
      </c>
      <c r="P182" s="101">
        <f>M182/M185</f>
        <v>0.13910354429093191</v>
      </c>
      <c r="Q182" s="100">
        <f>P182-J182</f>
        <v>-1.4301284030571182E-5</v>
      </c>
      <c r="R182" s="100"/>
      <c r="T182" s="6">
        <f>L182/H182-1</f>
        <v>5.7087566521528688E-2</v>
      </c>
    </row>
    <row r="183" spans="1:20" x14ac:dyDescent="0.25">
      <c r="A183" s="29">
        <f t="shared" si="120"/>
        <v>176</v>
      </c>
      <c r="B183" s="67"/>
      <c r="D183" s="2" t="s">
        <v>71</v>
      </c>
      <c r="E183" s="110">
        <v>45078</v>
      </c>
      <c r="F183" s="111">
        <v>0.10528</v>
      </c>
      <c r="G183" s="99">
        <f t="shared" ref="G183:G184" si="146">F183*E183</f>
        <v>4745.8118400000003</v>
      </c>
      <c r="H183" s="115">
        <v>0.11693000000000001</v>
      </c>
      <c r="I183" s="99">
        <f t="shared" ref="I183:I184" si="147">H183*E183</f>
        <v>5270.9705400000003</v>
      </c>
      <c r="J183" s="101">
        <f>I183/I185</f>
        <v>0.49272030426133995</v>
      </c>
      <c r="K183" s="101"/>
      <c r="L183" s="115">
        <f>ROUND(H183*S185,5)</f>
        <v>0.12361999999999999</v>
      </c>
      <c r="M183" s="99">
        <f t="shared" ref="M183:M184" si="148">L183*E183</f>
        <v>5572.5423599999995</v>
      </c>
      <c r="N183" s="99">
        <f t="shared" si="145"/>
        <v>301.57181999999921</v>
      </c>
      <c r="O183" s="101">
        <f t="shared" ref="O183:O184" si="149">IF(I183=0,0,N183/I183)</f>
        <v>5.721371760882564E-2</v>
      </c>
      <c r="P183" s="101">
        <f>M183/M185</f>
        <v>0.49272844710612396</v>
      </c>
      <c r="Q183" s="100">
        <f t="shared" ref="Q183:Q185" si="150">P183-J183</f>
        <v>8.1428447840092844E-6</v>
      </c>
      <c r="R183" s="100"/>
      <c r="T183" s="6">
        <f>L183/H183-1</f>
        <v>5.7213717608825654E-2</v>
      </c>
    </row>
    <row r="184" spans="1:20" x14ac:dyDescent="0.25">
      <c r="A184" s="29">
        <f t="shared" si="120"/>
        <v>177</v>
      </c>
      <c r="B184" s="67"/>
      <c r="D184" s="2" t="s">
        <v>72</v>
      </c>
      <c r="E184" s="110">
        <v>54429</v>
      </c>
      <c r="F184" s="111">
        <v>6.071E-2</v>
      </c>
      <c r="G184" s="99">
        <f t="shared" si="146"/>
        <v>3304.3845900000001</v>
      </c>
      <c r="H184" s="115">
        <v>7.2359999999999994E-2</v>
      </c>
      <c r="I184" s="99">
        <f t="shared" si="147"/>
        <v>3938.4824399999998</v>
      </c>
      <c r="J184" s="101">
        <f>I184/I185</f>
        <v>0.36816185016369762</v>
      </c>
      <c r="K184" s="101"/>
      <c r="L184" s="115">
        <f>ROUND(H184*S185,5)</f>
        <v>7.6499999999999999E-2</v>
      </c>
      <c r="M184" s="99">
        <f t="shared" si="148"/>
        <v>4163.8185000000003</v>
      </c>
      <c r="N184" s="99">
        <f t="shared" si="145"/>
        <v>225.33606000000054</v>
      </c>
      <c r="O184" s="101">
        <f t="shared" si="149"/>
        <v>5.7213930348258848E-2</v>
      </c>
      <c r="P184" s="101">
        <f>M184/M185</f>
        <v>0.36816800860294413</v>
      </c>
      <c r="Q184" s="100">
        <f t="shared" si="150"/>
        <v>6.1584392465063864E-6</v>
      </c>
      <c r="R184" s="100"/>
      <c r="T184" s="6">
        <f>L184/H184-1</f>
        <v>5.7213930348258835E-2</v>
      </c>
    </row>
    <row r="185" spans="1:20" s="7" customFormat="1" ht="20.399999999999999" customHeight="1" x14ac:dyDescent="0.3">
      <c r="A185" s="29">
        <f t="shared" si="120"/>
        <v>178</v>
      </c>
      <c r="C185" s="17"/>
      <c r="D185" s="19" t="s">
        <v>7</v>
      </c>
      <c r="E185" s="19"/>
      <c r="F185" s="123"/>
      <c r="G185" s="112">
        <f>SUM(G182:G184)</f>
        <v>9538.4364299999997</v>
      </c>
      <c r="H185" s="19"/>
      <c r="I185" s="112">
        <f>SUM(I182:I184)</f>
        <v>10697.69298</v>
      </c>
      <c r="J185" s="117">
        <f>SUM(J182:J184)</f>
        <v>1</v>
      </c>
      <c r="K185" s="118">
        <f>I185+Summary!I21</f>
        <v>11309.78298</v>
      </c>
      <c r="L185" s="19"/>
      <c r="M185" s="112">
        <f>SUM(M182:M184)</f>
        <v>11309.56086</v>
      </c>
      <c r="N185" s="112">
        <f t="shared" si="145"/>
        <v>611.86787999999979</v>
      </c>
      <c r="O185" s="117">
        <f t="shared" ref="O185" si="151">N185/I185</f>
        <v>5.7196246063887297E-2</v>
      </c>
      <c r="P185" s="117">
        <f>SUM(P182:P184)</f>
        <v>1</v>
      </c>
      <c r="Q185" s="131">
        <f t="shared" si="150"/>
        <v>0</v>
      </c>
      <c r="R185" s="119">
        <f>M185-K185</f>
        <v>-0.22212000000035914</v>
      </c>
      <c r="S185" s="7">
        <f>K185/I185</f>
        <v>1.0572170094191655</v>
      </c>
    </row>
    <row r="186" spans="1:20" x14ac:dyDescent="0.25">
      <c r="A186" s="29">
        <f t="shared" si="120"/>
        <v>179</v>
      </c>
      <c r="D186" s="2" t="s">
        <v>27</v>
      </c>
      <c r="G186" s="13">
        <v>1171.43</v>
      </c>
      <c r="I186" s="13">
        <f>G186-($H$390*(E183+E184))</f>
        <v>12.173450000000003</v>
      </c>
      <c r="M186" s="99">
        <f>I186</f>
        <v>12.173450000000003</v>
      </c>
      <c r="N186" s="99">
        <f t="shared" si="145"/>
        <v>0</v>
      </c>
      <c r="O186" s="67">
        <v>0</v>
      </c>
      <c r="R186" s="120"/>
    </row>
    <row r="187" spans="1:20" x14ac:dyDescent="0.25">
      <c r="A187" s="29">
        <f t="shared" si="120"/>
        <v>180</v>
      </c>
      <c r="D187" s="2" t="s">
        <v>28</v>
      </c>
      <c r="G187" s="13">
        <v>1131.78</v>
      </c>
      <c r="I187" s="13">
        <f>G187</f>
        <v>1131.78</v>
      </c>
      <c r="M187" s="99">
        <f t="shared" ref="M187:M189" si="152">I187</f>
        <v>1131.78</v>
      </c>
      <c r="N187" s="99">
        <f t="shared" si="145"/>
        <v>0</v>
      </c>
      <c r="O187" s="67">
        <v>0</v>
      </c>
    </row>
    <row r="188" spans="1:20" x14ac:dyDescent="0.25">
      <c r="A188" s="29">
        <f t="shared" si="120"/>
        <v>181</v>
      </c>
      <c r="D188" s="2" t="s">
        <v>30</v>
      </c>
      <c r="E188" s="110"/>
      <c r="F188" s="67"/>
      <c r="G188" s="99">
        <v>0</v>
      </c>
      <c r="I188" s="13">
        <f>G188</f>
        <v>0</v>
      </c>
      <c r="M188" s="99">
        <f t="shared" si="152"/>
        <v>0</v>
      </c>
      <c r="N188" s="99">
        <f t="shared" si="145"/>
        <v>0</v>
      </c>
      <c r="O188" s="67">
        <v>0</v>
      </c>
    </row>
    <row r="189" spans="1:20" x14ac:dyDescent="0.25">
      <c r="A189" s="29">
        <f t="shared" si="120"/>
        <v>182</v>
      </c>
      <c r="B189" s="54"/>
      <c r="D189" s="2" t="s">
        <v>40</v>
      </c>
      <c r="G189" s="99">
        <v>0</v>
      </c>
      <c r="I189" s="13">
        <f>G189</f>
        <v>0</v>
      </c>
      <c r="M189" s="99">
        <f t="shared" si="152"/>
        <v>0</v>
      </c>
      <c r="N189" s="99"/>
      <c r="O189" s="67">
        <v>0</v>
      </c>
    </row>
    <row r="190" spans="1:20" x14ac:dyDescent="0.25">
      <c r="A190" s="29">
        <f t="shared" si="120"/>
        <v>183</v>
      </c>
      <c r="D190" s="15" t="s">
        <v>9</v>
      </c>
      <c r="E190" s="15"/>
      <c r="F190" s="15"/>
      <c r="G190" s="113">
        <f>SUM(G186:G189)</f>
        <v>2303.21</v>
      </c>
      <c r="H190" s="15"/>
      <c r="I190" s="113">
        <f>SUM(I186:I189)</f>
        <v>1143.95345</v>
      </c>
      <c r="J190" s="15"/>
      <c r="K190" s="15"/>
      <c r="L190" s="15"/>
      <c r="M190" s="113">
        <f>SUM(M186:M189)</f>
        <v>1143.95345</v>
      </c>
      <c r="N190" s="113">
        <f>M190-I190</f>
        <v>0</v>
      </c>
      <c r="O190" s="121">
        <v>0</v>
      </c>
    </row>
    <row r="191" spans="1:20" s="7" customFormat="1" ht="26.4" customHeight="1" thickBot="1" x14ac:dyDescent="0.3">
      <c r="A191" s="29">
        <f t="shared" si="120"/>
        <v>184</v>
      </c>
      <c r="C191" s="17"/>
      <c r="D191" s="8" t="s">
        <v>20</v>
      </c>
      <c r="E191" s="8"/>
      <c r="F191" s="8"/>
      <c r="G191" s="114">
        <f>G185+G190</f>
        <v>11841.646430000001</v>
      </c>
      <c r="H191" s="8"/>
      <c r="I191" s="132">
        <f>I190+I185</f>
        <v>11841.646430000001</v>
      </c>
      <c r="J191" s="8"/>
      <c r="K191" s="8"/>
      <c r="L191" s="8"/>
      <c r="M191" s="114">
        <f>M190+M185</f>
        <v>12453.514309999999</v>
      </c>
      <c r="N191" s="114">
        <f>M191-I191</f>
        <v>611.86787999999797</v>
      </c>
      <c r="O191" s="122">
        <f>N191/I191</f>
        <v>5.1670845233976297E-2</v>
      </c>
      <c r="P191" s="2"/>
      <c r="Q191" s="2"/>
      <c r="R191" s="2"/>
    </row>
    <row r="192" spans="1:20" ht="13.8" thickTop="1" x14ac:dyDescent="0.25">
      <c r="A192" s="29">
        <f t="shared" si="120"/>
        <v>185</v>
      </c>
      <c r="D192" s="2" t="s">
        <v>19</v>
      </c>
      <c r="E192" s="67">
        <f>(E183+E184)/E182</f>
        <v>1382.0416666666667</v>
      </c>
      <c r="G192" s="124">
        <f>G191/E182</f>
        <v>164.46731152777778</v>
      </c>
      <c r="I192" s="124">
        <f>I191/E182</f>
        <v>164.46731152777778</v>
      </c>
      <c r="M192" s="124">
        <f>M191/E182</f>
        <v>172.96547652777775</v>
      </c>
      <c r="N192" s="124">
        <f>M192-I192</f>
        <v>8.4981649999999718</v>
      </c>
      <c r="O192" s="101">
        <f>N192/I192</f>
        <v>5.1670845233976297E-2</v>
      </c>
    </row>
    <row r="193" spans="1:20" ht="13.8" thickBot="1" x14ac:dyDescent="0.3">
      <c r="A193" s="29">
        <f t="shared" si="120"/>
        <v>186</v>
      </c>
    </row>
    <row r="194" spans="1:20" x14ac:dyDescent="0.25">
      <c r="A194" s="29">
        <f t="shared" si="120"/>
        <v>187</v>
      </c>
      <c r="B194" s="139" t="s">
        <v>60</v>
      </c>
      <c r="C194" s="25">
        <v>35</v>
      </c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</row>
    <row r="195" spans="1:20" x14ac:dyDescent="0.25">
      <c r="A195" s="29">
        <f t="shared" si="120"/>
        <v>188</v>
      </c>
      <c r="B195" s="140"/>
      <c r="D195" s="2" t="s">
        <v>18</v>
      </c>
      <c r="E195" s="110">
        <v>76</v>
      </c>
      <c r="F195" s="67">
        <v>20.67</v>
      </c>
      <c r="G195" s="99">
        <f>F195*E195</f>
        <v>1570.92</v>
      </c>
      <c r="H195" s="67">
        <v>20.67</v>
      </c>
      <c r="I195" s="99">
        <f>H195*E195</f>
        <v>1570.92</v>
      </c>
      <c r="J195" s="101">
        <f>I195/I199</f>
        <v>0.12630775963365759</v>
      </c>
      <c r="K195" s="101"/>
      <c r="L195" s="67">
        <f>ROUND(H195*S199,2)</f>
        <v>21.85</v>
      </c>
      <c r="M195" s="99">
        <f>L195*E195</f>
        <v>1660.6000000000001</v>
      </c>
      <c r="N195" s="99">
        <f t="shared" ref="N195:N202" si="153">M195-I195</f>
        <v>89.680000000000064</v>
      </c>
      <c r="O195" s="101">
        <f>IF(I195=0,0,N195/I195)</f>
        <v>5.7087566521528826E-2</v>
      </c>
      <c r="P195" s="101">
        <f>M195/M199</f>
        <v>0.12629354611223742</v>
      </c>
      <c r="Q195" s="100">
        <f>P195-J195</f>
        <v>-1.4213521420169961E-5</v>
      </c>
      <c r="R195" s="100"/>
      <c r="T195" s="6">
        <f>L195/H195-1</f>
        <v>5.7087566521528688E-2</v>
      </c>
    </row>
    <row r="196" spans="1:20" x14ac:dyDescent="0.25">
      <c r="A196" s="29">
        <f t="shared" si="120"/>
        <v>189</v>
      </c>
      <c r="B196" s="67"/>
      <c r="D196" s="2" t="s">
        <v>73</v>
      </c>
      <c r="E196" s="110">
        <v>37432</v>
      </c>
      <c r="F196" s="111">
        <v>0.10426000000000001</v>
      </c>
      <c r="G196" s="99">
        <f t="shared" ref="G196:G198" si="154">F196*E196</f>
        <v>3902.6603200000004</v>
      </c>
      <c r="H196" s="115">
        <v>0.11591</v>
      </c>
      <c r="I196" s="99">
        <f t="shared" ref="I196:I198" si="155">H196*E196</f>
        <v>4338.7431200000001</v>
      </c>
      <c r="J196" s="101">
        <f>I196/I199</f>
        <v>0.34885094283168178</v>
      </c>
      <c r="K196" s="101"/>
      <c r="L196" s="111">
        <f>ROUND(H196*S199,5)</f>
        <v>0.12254</v>
      </c>
      <c r="M196" s="99">
        <f t="shared" ref="M196:M198" si="156">L196*E196</f>
        <v>4586.9172799999997</v>
      </c>
      <c r="N196" s="99">
        <f t="shared" si="153"/>
        <v>248.17415999999957</v>
      </c>
      <c r="O196" s="101">
        <f t="shared" ref="O196:O198" si="157">IF(I196=0,0,N196/I196)</f>
        <v>5.7199551376067539E-2</v>
      </c>
      <c r="P196" s="101">
        <f>M196/M199</f>
        <v>0.3488486384527873</v>
      </c>
      <c r="Q196" s="100">
        <f t="shared" ref="Q196:Q199" si="158">P196-J196</f>
        <v>-2.3043788944798749E-6</v>
      </c>
      <c r="R196" s="100"/>
      <c r="T196" s="6">
        <f>L196/H196-1</f>
        <v>5.7199551376067692E-2</v>
      </c>
    </row>
    <row r="197" spans="1:20" x14ac:dyDescent="0.25">
      <c r="A197" s="29">
        <f t="shared" si="120"/>
        <v>190</v>
      </c>
      <c r="B197" s="67"/>
      <c r="D197" s="2" t="s">
        <v>74</v>
      </c>
      <c r="E197" s="110">
        <v>47981</v>
      </c>
      <c r="F197" s="111">
        <v>6.071E-2</v>
      </c>
      <c r="G197" s="99">
        <f t="shared" ref="G197" si="159">F197*E197</f>
        <v>2912.9265099999998</v>
      </c>
      <c r="H197" s="115">
        <v>7.2359999999999994E-2</v>
      </c>
      <c r="I197" s="99">
        <f t="shared" ref="I197" si="160">H197*E197</f>
        <v>3471.9051599999998</v>
      </c>
      <c r="J197" s="101">
        <f>I197/I199</f>
        <v>0.27915397500836164</v>
      </c>
      <c r="K197" s="101"/>
      <c r="L197" s="111">
        <f>ROUND(H197*S199,5)</f>
        <v>7.6499999999999999E-2</v>
      </c>
      <c r="M197" s="99">
        <f t="shared" ref="M197" si="161">L197*E197</f>
        <v>3670.5464999999999</v>
      </c>
      <c r="N197" s="99">
        <f t="shared" ref="N197" si="162">M197-I197</f>
        <v>198.64134000000013</v>
      </c>
      <c r="O197" s="101">
        <f t="shared" ref="O197" si="163">IF(I197=0,0,N197/I197)</f>
        <v>5.7213930348258744E-2</v>
      </c>
      <c r="P197" s="101">
        <f>M197/M199</f>
        <v>0.27915592776999981</v>
      </c>
      <c r="Q197" s="100">
        <f t="shared" ref="Q197" si="164">P197-J197</f>
        <v>1.9527616381687096E-6</v>
      </c>
      <c r="R197" s="100"/>
      <c r="T197" s="6">
        <f>L197/H197-1</f>
        <v>5.7213930348258835E-2</v>
      </c>
    </row>
    <row r="198" spans="1:20" x14ac:dyDescent="0.25">
      <c r="A198" s="29">
        <f t="shared" si="120"/>
        <v>191</v>
      </c>
      <c r="B198" s="67"/>
      <c r="D198" s="2" t="s">
        <v>75</v>
      </c>
      <c r="E198" s="110">
        <v>33783</v>
      </c>
      <c r="F198" s="111">
        <v>7.8799999999999995E-2</v>
      </c>
      <c r="G198" s="99">
        <f t="shared" si="154"/>
        <v>2662.1003999999998</v>
      </c>
      <c r="H198" s="115">
        <v>9.0450000000000003E-2</v>
      </c>
      <c r="I198" s="99">
        <f t="shared" si="155"/>
        <v>3055.6723500000003</v>
      </c>
      <c r="J198" s="101">
        <f>I198/I199</f>
        <v>0.24568732252629902</v>
      </c>
      <c r="K198" s="101"/>
      <c r="L198" s="111">
        <f>ROUND(H198*S199,5)</f>
        <v>9.5630000000000007E-2</v>
      </c>
      <c r="M198" s="99">
        <f t="shared" si="156"/>
        <v>3230.6682900000001</v>
      </c>
      <c r="N198" s="99">
        <f t="shared" si="153"/>
        <v>174.99593999999979</v>
      </c>
      <c r="O198" s="101">
        <f t="shared" si="157"/>
        <v>5.7269209508015402E-2</v>
      </c>
      <c r="P198" s="101">
        <f>M198/M199</f>
        <v>0.24570188766497544</v>
      </c>
      <c r="Q198" s="100">
        <f t="shared" si="158"/>
        <v>1.4565138676425615E-5</v>
      </c>
      <c r="R198" s="100"/>
      <c r="T198" s="6">
        <f>L198/H198-1</f>
        <v>5.7269209508015617E-2</v>
      </c>
    </row>
    <row r="199" spans="1:20" s="7" customFormat="1" ht="20.399999999999999" customHeight="1" x14ac:dyDescent="0.3">
      <c r="A199" s="29">
        <f t="shared" si="120"/>
        <v>192</v>
      </c>
      <c r="C199" s="17"/>
      <c r="D199" s="19" t="s">
        <v>7</v>
      </c>
      <c r="E199" s="19"/>
      <c r="F199" s="123"/>
      <c r="G199" s="112">
        <f>SUM(G195:G198)</f>
        <v>11048.60723</v>
      </c>
      <c r="H199" s="19"/>
      <c r="I199" s="112">
        <f>SUM(I195:I198)</f>
        <v>12437.24063</v>
      </c>
      <c r="J199" s="117">
        <f>SUM(J195:J198)</f>
        <v>1</v>
      </c>
      <c r="K199" s="118">
        <f>I199+Summary!I22</f>
        <v>13148.860630000001</v>
      </c>
      <c r="L199" s="19"/>
      <c r="M199" s="112">
        <f>SUM(M195:M198)</f>
        <v>13148.73207</v>
      </c>
      <c r="N199" s="112">
        <f>SUM(N195:N198)</f>
        <v>711.49143999999956</v>
      </c>
      <c r="O199" s="117">
        <f t="shared" ref="O199" si="165">N199/I199</f>
        <v>5.7206534887152015E-2</v>
      </c>
      <c r="P199" s="117">
        <f>SUM(P195:P198)</f>
        <v>1</v>
      </c>
      <c r="Q199" s="131">
        <f t="shared" si="158"/>
        <v>0</v>
      </c>
      <c r="R199" s="119">
        <f>M199-K199</f>
        <v>-0.12856000000101631</v>
      </c>
      <c r="S199" s="7">
        <f>K199/I199</f>
        <v>1.0572168715851242</v>
      </c>
    </row>
    <row r="200" spans="1:20" x14ac:dyDescent="0.25">
      <c r="A200" s="29">
        <f t="shared" si="120"/>
        <v>193</v>
      </c>
      <c r="D200" s="2" t="s">
        <v>27</v>
      </c>
      <c r="G200" s="13">
        <v>1431.25</v>
      </c>
      <c r="I200" s="13">
        <f>G200-($H$390*(E197+E198+E196))</f>
        <v>42.616599999999835</v>
      </c>
      <c r="M200" s="99">
        <f>I200</f>
        <v>42.616599999999835</v>
      </c>
      <c r="N200" s="99">
        <f t="shared" si="153"/>
        <v>0</v>
      </c>
      <c r="O200" s="67">
        <v>0</v>
      </c>
      <c r="R200" s="120"/>
    </row>
    <row r="201" spans="1:20" x14ac:dyDescent="0.25">
      <c r="A201" s="29">
        <f t="shared" si="120"/>
        <v>194</v>
      </c>
      <c r="D201" s="2" t="s">
        <v>28</v>
      </c>
      <c r="G201" s="13">
        <v>1337.14</v>
      </c>
      <c r="I201" s="13">
        <f>G201</f>
        <v>1337.14</v>
      </c>
      <c r="M201" s="99">
        <f t="shared" ref="M201:M203" si="166">I201</f>
        <v>1337.14</v>
      </c>
      <c r="N201" s="99">
        <f t="shared" si="153"/>
        <v>0</v>
      </c>
      <c r="O201" s="67">
        <v>0</v>
      </c>
    </row>
    <row r="202" spans="1:20" x14ac:dyDescent="0.25">
      <c r="A202" s="29">
        <f t="shared" ref="A202:A284" si="167">A201+1</f>
        <v>195</v>
      </c>
      <c r="D202" s="2" t="s">
        <v>30</v>
      </c>
      <c r="E202" s="110"/>
      <c r="F202" s="67"/>
      <c r="G202" s="99">
        <v>0</v>
      </c>
      <c r="I202" s="13">
        <f>G202</f>
        <v>0</v>
      </c>
      <c r="M202" s="99">
        <f t="shared" si="166"/>
        <v>0</v>
      </c>
      <c r="N202" s="99">
        <f t="shared" si="153"/>
        <v>0</v>
      </c>
      <c r="O202" s="67">
        <v>0</v>
      </c>
    </row>
    <row r="203" spans="1:20" x14ac:dyDescent="0.25">
      <c r="A203" s="29">
        <f t="shared" si="167"/>
        <v>196</v>
      </c>
      <c r="B203" s="54"/>
      <c r="D203" s="2" t="s">
        <v>40</v>
      </c>
      <c r="G203" s="99">
        <v>0</v>
      </c>
      <c r="I203" s="13">
        <f>G203</f>
        <v>0</v>
      </c>
      <c r="M203" s="99">
        <f t="shared" si="166"/>
        <v>0</v>
      </c>
      <c r="N203" s="99"/>
      <c r="O203" s="67">
        <v>0</v>
      </c>
    </row>
    <row r="204" spans="1:20" x14ac:dyDescent="0.25">
      <c r="A204" s="29">
        <f t="shared" si="167"/>
        <v>197</v>
      </c>
      <c r="D204" s="15" t="s">
        <v>9</v>
      </c>
      <c r="E204" s="15"/>
      <c r="F204" s="15"/>
      <c r="G204" s="113">
        <f>SUM(G200:G203)</f>
        <v>2768.3900000000003</v>
      </c>
      <c r="H204" s="15"/>
      <c r="I204" s="113">
        <f>SUM(I200:I203)</f>
        <v>1379.7565999999999</v>
      </c>
      <c r="J204" s="15"/>
      <c r="K204" s="15"/>
      <c r="L204" s="15"/>
      <c r="M204" s="113">
        <f>SUM(M200:M203)</f>
        <v>1379.7565999999999</v>
      </c>
      <c r="N204" s="113">
        <f>M204-I204</f>
        <v>0</v>
      </c>
      <c r="O204" s="121">
        <v>0</v>
      </c>
    </row>
    <row r="205" spans="1:20" s="7" customFormat="1" ht="26.4" customHeight="1" thickBot="1" x14ac:dyDescent="0.3">
      <c r="A205" s="29">
        <f t="shared" si="167"/>
        <v>198</v>
      </c>
      <c r="C205" s="17"/>
      <c r="D205" s="8" t="s">
        <v>20</v>
      </c>
      <c r="E205" s="8"/>
      <c r="F205" s="8"/>
      <c r="G205" s="114">
        <f>G199+G204</f>
        <v>13816.997230000001</v>
      </c>
      <c r="H205" s="8"/>
      <c r="I205" s="132">
        <f>I204+I199</f>
        <v>13816.997230000001</v>
      </c>
      <c r="J205" s="8"/>
      <c r="K205" s="8"/>
      <c r="L205" s="8"/>
      <c r="M205" s="114">
        <f>M204+M199</f>
        <v>14528.488670000001</v>
      </c>
      <c r="N205" s="114">
        <f>M205-I205</f>
        <v>711.49143999999978</v>
      </c>
      <c r="O205" s="122">
        <f>N205/I205</f>
        <v>5.1493926513582991E-2</v>
      </c>
      <c r="P205" s="2"/>
      <c r="Q205" s="2"/>
      <c r="R205" s="2"/>
    </row>
    <row r="206" spans="1:20" ht="13.8" thickTop="1" x14ac:dyDescent="0.25">
      <c r="A206" s="29">
        <f t="shared" si="167"/>
        <v>199</v>
      </c>
      <c r="D206" s="2" t="s">
        <v>19</v>
      </c>
      <c r="E206" s="67">
        <f>(E196+E197+E198)/E195</f>
        <v>1568.3684210526317</v>
      </c>
      <c r="G206" s="124">
        <f>G205/E195</f>
        <v>181.80259513157895</v>
      </c>
      <c r="I206" s="124">
        <f>I205/E195</f>
        <v>181.80259513157895</v>
      </c>
      <c r="M206" s="124">
        <f>M205/E195</f>
        <v>191.16432460526318</v>
      </c>
      <c r="N206" s="124">
        <f>M206-I206</f>
        <v>9.3617294736842211</v>
      </c>
      <c r="O206" s="101">
        <f>N206/I206</f>
        <v>5.1493926513583067E-2</v>
      </c>
    </row>
    <row r="207" spans="1:20" ht="13.8" thickBot="1" x14ac:dyDescent="0.3">
      <c r="A207" s="29">
        <f t="shared" si="167"/>
        <v>200</v>
      </c>
    </row>
    <row r="208" spans="1:20" x14ac:dyDescent="0.25">
      <c r="A208" s="29">
        <f>A207+1</f>
        <v>201</v>
      </c>
      <c r="B208" s="139" t="s">
        <v>61</v>
      </c>
      <c r="C208" s="25">
        <v>40</v>
      </c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</row>
    <row r="209" spans="1:20" x14ac:dyDescent="0.25">
      <c r="A209" s="29">
        <f t="shared" si="167"/>
        <v>202</v>
      </c>
      <c r="B209" s="140"/>
      <c r="D209" s="2" t="s">
        <v>18</v>
      </c>
      <c r="E209" s="110">
        <v>4157</v>
      </c>
      <c r="F209" s="67">
        <v>20.67</v>
      </c>
      <c r="G209" s="99">
        <f>F209*E209</f>
        <v>85925.19</v>
      </c>
      <c r="H209" s="67">
        <f>H8</f>
        <v>20.67</v>
      </c>
      <c r="I209" s="99">
        <f>H209*E209</f>
        <v>85925.19</v>
      </c>
      <c r="J209" s="101">
        <f>I209/I$214</f>
        <v>0.29838550083354864</v>
      </c>
      <c r="K209" s="101"/>
      <c r="L209" s="67">
        <f>L8</f>
        <v>21.85</v>
      </c>
      <c r="M209" s="99">
        <f>L209*E209</f>
        <v>90830.450000000012</v>
      </c>
      <c r="N209" s="99">
        <f t="shared" ref="N209:N217" si="168">M209-I209</f>
        <v>4905.2600000000093</v>
      </c>
      <c r="O209" s="101">
        <f>IF(I209=0,0,N209/I209)</f>
        <v>5.7087566521528896E-2</v>
      </c>
      <c r="P209" s="101">
        <f>M209/M$214</f>
        <v>0.29836000146534591</v>
      </c>
      <c r="Q209" s="100">
        <f>P209-J209</f>
        <v>-2.5499368202730466E-5</v>
      </c>
      <c r="R209" s="100"/>
      <c r="T209" s="6">
        <f>L209/H209-1</f>
        <v>5.7087566521528688E-2</v>
      </c>
    </row>
    <row r="210" spans="1:20" x14ac:dyDescent="0.25">
      <c r="A210" s="29">
        <f t="shared" si="167"/>
        <v>203</v>
      </c>
      <c r="B210" s="67"/>
      <c r="D210" s="2" t="s">
        <v>76</v>
      </c>
      <c r="E210" s="110">
        <v>4116082</v>
      </c>
      <c r="F210" s="111">
        <v>8.362E-2</v>
      </c>
      <c r="G210" s="99">
        <f t="shared" ref="G210:G213" si="169">F210*E210</f>
        <v>344186.77684000001</v>
      </c>
      <c r="H210" s="115">
        <f>H9</f>
        <v>9.5269999999999994E-2</v>
      </c>
      <c r="I210" s="99">
        <f t="shared" ref="I210:I213" si="170">H210*E210</f>
        <v>392139.13214</v>
      </c>
      <c r="J210" s="101">
        <f t="shared" ref="J210:J213" si="171">I210/I$214</f>
        <v>1.3617500448940179</v>
      </c>
      <c r="K210" s="101"/>
      <c r="L210" s="115">
        <f>L9</f>
        <v>0.100721</v>
      </c>
      <c r="M210" s="99">
        <f>L210*E210</f>
        <v>414575.89512200002</v>
      </c>
      <c r="N210" s="99">
        <f t="shared" si="168"/>
        <v>22436.762982000015</v>
      </c>
      <c r="O210" s="101">
        <f t="shared" ref="O210:O213" si="172">IF(I210=0,0,N210/I210)</f>
        <v>5.7216332528602955E-2</v>
      </c>
      <c r="P210" s="101">
        <f t="shared" ref="P210:P213" si="173">M210/M$214</f>
        <v>1.3617995361257926</v>
      </c>
      <c r="Q210" s="100">
        <f t="shared" ref="Q210:Q214" si="174">P210-J210</f>
        <v>4.9491231774778655E-5</v>
      </c>
      <c r="R210" s="100"/>
      <c r="T210" s="6">
        <f>L210/H210-1</f>
        <v>5.7216332528603031E-2</v>
      </c>
    </row>
    <row r="211" spans="1:20" x14ac:dyDescent="0.25">
      <c r="A211" s="29">
        <f t="shared" si="167"/>
        <v>204</v>
      </c>
      <c r="B211" s="67"/>
      <c r="D211" s="2" t="s">
        <v>77</v>
      </c>
      <c r="E211" s="110">
        <v>2157642</v>
      </c>
      <c r="F211" s="111">
        <v>-8.362E-2</v>
      </c>
      <c r="G211" s="99">
        <f t="shared" si="169"/>
        <v>-180422.02403999999</v>
      </c>
      <c r="H211" s="111">
        <f>-H210</f>
        <v>-9.5269999999999994E-2</v>
      </c>
      <c r="I211" s="99">
        <f t="shared" si="170"/>
        <v>-205558.55333999998</v>
      </c>
      <c r="J211" s="101">
        <f t="shared" si="171"/>
        <v>-0.71382666583542753</v>
      </c>
      <c r="K211" s="101"/>
      <c r="L211" s="111">
        <f>-L210</f>
        <v>-0.100721</v>
      </c>
      <c r="M211" s="99">
        <f>L211*E211</f>
        <v>-217319.85988200002</v>
      </c>
      <c r="N211" s="99">
        <f t="shared" si="168"/>
        <v>-11761.306542000035</v>
      </c>
      <c r="O211" s="101">
        <f t="shared" si="172"/>
        <v>5.7216332528603094E-2</v>
      </c>
      <c r="P211" s="101">
        <f t="shared" si="173"/>
        <v>-0.7138526090407159</v>
      </c>
      <c r="Q211" s="100">
        <f t="shared" si="174"/>
        <v>-2.594320528837013E-5</v>
      </c>
      <c r="R211" s="100"/>
      <c r="T211" s="6">
        <f>L211/H211-1</f>
        <v>5.7216332528603031E-2</v>
      </c>
    </row>
    <row r="212" spans="1:20" x14ac:dyDescent="0.25">
      <c r="A212" s="29">
        <f t="shared" si="167"/>
        <v>205</v>
      </c>
      <c r="B212" s="67"/>
      <c r="D212" s="2" t="s">
        <v>122</v>
      </c>
      <c r="E212" s="110">
        <v>1034390</v>
      </c>
      <c r="F212" s="111">
        <f>F211</f>
        <v>-8.362E-2</v>
      </c>
      <c r="G212" s="99">
        <f t="shared" si="169"/>
        <v>-86495.691800000001</v>
      </c>
      <c r="H212" s="111">
        <f>H211</f>
        <v>-9.5269999999999994E-2</v>
      </c>
      <c r="I212" s="99">
        <f t="shared" si="170"/>
        <v>-98546.335299999992</v>
      </c>
      <c r="J212" s="101">
        <f t="shared" si="171"/>
        <v>-0.34221393765671404</v>
      </c>
      <c r="K212" s="101"/>
      <c r="L212" s="111">
        <f>L211</f>
        <v>-0.100721</v>
      </c>
      <c r="M212" s="99">
        <f>L212*E212</f>
        <v>-104184.79519</v>
      </c>
      <c r="N212" s="99">
        <f t="shared" si="168"/>
        <v>-5638.4598900000128</v>
      </c>
      <c r="O212" s="101">
        <f t="shared" si="172"/>
        <v>5.7216332528603052E-2</v>
      </c>
      <c r="P212" s="101">
        <f t="shared" si="173"/>
        <v>-0.34222637502682374</v>
      </c>
      <c r="Q212" s="100">
        <f t="shared" si="174"/>
        <v>-1.2437370109696921E-5</v>
      </c>
      <c r="R212" s="100"/>
      <c r="T212" s="6">
        <f>L212/H212-1</f>
        <v>5.7216332528603031E-2</v>
      </c>
    </row>
    <row r="213" spans="1:20" x14ac:dyDescent="0.25">
      <c r="A213" s="29">
        <f t="shared" si="167"/>
        <v>206</v>
      </c>
      <c r="B213" s="67"/>
      <c r="D213" s="2" t="s">
        <v>123</v>
      </c>
      <c r="E213" s="110">
        <v>1196679</v>
      </c>
      <c r="F213" s="111">
        <f>-F212</f>
        <v>8.362E-2</v>
      </c>
      <c r="G213" s="99">
        <f t="shared" si="169"/>
        <v>100066.29798</v>
      </c>
      <c r="H213" s="115">
        <f>-H212</f>
        <v>9.5269999999999994E-2</v>
      </c>
      <c r="I213" s="99">
        <f t="shared" si="170"/>
        <v>114007.60832999999</v>
      </c>
      <c r="J213" s="101">
        <f t="shared" si="171"/>
        <v>0.39590505776457519</v>
      </c>
      <c r="K213" s="101"/>
      <c r="L213" s="115">
        <f>-L212</f>
        <v>0.100721</v>
      </c>
      <c r="M213" s="99">
        <f>L213*E213</f>
        <v>120530.70555900001</v>
      </c>
      <c r="N213" s="99">
        <f t="shared" si="168"/>
        <v>6523.0972290000209</v>
      </c>
      <c r="O213" s="101">
        <f t="shared" si="172"/>
        <v>5.7216332528603107E-2</v>
      </c>
      <c r="P213" s="101">
        <f t="shared" si="173"/>
        <v>0.39591944647640098</v>
      </c>
      <c r="Q213" s="100">
        <f t="shared" si="174"/>
        <v>1.4388711825796818E-5</v>
      </c>
      <c r="R213" s="100"/>
      <c r="T213" s="6">
        <f>L213/H213-1</f>
        <v>5.7216332528603031E-2</v>
      </c>
    </row>
    <row r="214" spans="1:20" s="7" customFormat="1" ht="20.399999999999999" customHeight="1" x14ac:dyDescent="0.3">
      <c r="A214" s="29">
        <f>A211+1</f>
        <v>205</v>
      </c>
      <c r="C214" s="17"/>
      <c r="D214" s="19" t="s">
        <v>7</v>
      </c>
      <c r="E214" s="19"/>
      <c r="F214" s="123"/>
      <c r="G214" s="112">
        <f>SUM(G209:G213)</f>
        <v>263260.54898000002</v>
      </c>
      <c r="H214" s="19"/>
      <c r="I214" s="112">
        <f>SUM(I209:I213)</f>
        <v>287967.04183</v>
      </c>
      <c r="J214" s="117">
        <f>SUM(J209:J213)</f>
        <v>1.0000000000000002</v>
      </c>
      <c r="K214" s="118">
        <f>I214+Summary!I23</f>
        <v>304443.56183000002</v>
      </c>
      <c r="L214" s="134"/>
      <c r="M214" s="112">
        <f>SUM(M209:M213)</f>
        <v>304432.395609</v>
      </c>
      <c r="N214" s="112">
        <f>M214-I214</f>
        <v>16465.353778999997</v>
      </c>
      <c r="O214" s="117">
        <f t="shared" ref="O214" si="175">N214/I214</f>
        <v>5.7177910619091755E-2</v>
      </c>
      <c r="P214" s="117">
        <f>SUM(P209:P211)</f>
        <v>0.94630692855042253</v>
      </c>
      <c r="Q214" s="131">
        <f t="shared" si="174"/>
        <v>-5.369307144957769E-2</v>
      </c>
      <c r="R214" s="119">
        <f>M214-K214</f>
        <v>-11.166221000021324</v>
      </c>
      <c r="S214" s="7">
        <f>K214/I214</f>
        <v>1.0572166866572421</v>
      </c>
    </row>
    <row r="215" spans="1:20" x14ac:dyDescent="0.25">
      <c r="A215" s="29">
        <f t="shared" si="167"/>
        <v>206</v>
      </c>
      <c r="D215" s="2" t="s">
        <v>27</v>
      </c>
      <c r="G215" s="13">
        <v>50485.29</v>
      </c>
      <c r="I215" s="13">
        <f>G215-($H$390*(E210-E211-E212+E213))</f>
        <v>25778.797149999999</v>
      </c>
      <c r="M215" s="99">
        <f>I215</f>
        <v>25778.797149999999</v>
      </c>
      <c r="N215" s="99">
        <f t="shared" si="168"/>
        <v>0</v>
      </c>
      <c r="O215" s="67">
        <v>0</v>
      </c>
      <c r="R215" s="120"/>
    </row>
    <row r="216" spans="1:20" x14ac:dyDescent="0.25">
      <c r="A216" s="29">
        <f t="shared" si="167"/>
        <v>207</v>
      </c>
      <c r="D216" s="2" t="s">
        <v>28</v>
      </c>
      <c r="G216" s="13">
        <v>32782.81</v>
      </c>
      <c r="I216" s="13">
        <f>G216</f>
        <v>32782.81</v>
      </c>
      <c r="M216" s="99">
        <f t="shared" ref="M216:M218" si="176">I216</f>
        <v>32782.81</v>
      </c>
      <c r="N216" s="99">
        <f t="shared" si="168"/>
        <v>0</v>
      </c>
      <c r="O216" s="67">
        <v>0</v>
      </c>
    </row>
    <row r="217" spans="1:20" x14ac:dyDescent="0.25">
      <c r="A217" s="29">
        <f t="shared" si="167"/>
        <v>208</v>
      </c>
      <c r="D217" s="2" t="s">
        <v>30</v>
      </c>
      <c r="E217" s="110"/>
      <c r="F217" s="67"/>
      <c r="G217" s="99">
        <v>0</v>
      </c>
      <c r="I217" s="13">
        <f>G217</f>
        <v>0</v>
      </c>
      <c r="M217" s="99">
        <f t="shared" si="176"/>
        <v>0</v>
      </c>
      <c r="N217" s="99">
        <f t="shared" si="168"/>
        <v>0</v>
      </c>
      <c r="O217" s="67">
        <v>0</v>
      </c>
    </row>
    <row r="218" spans="1:20" x14ac:dyDescent="0.25">
      <c r="A218" s="29">
        <f t="shared" si="167"/>
        <v>209</v>
      </c>
      <c r="B218" s="54"/>
      <c r="D218" s="2" t="s">
        <v>40</v>
      </c>
      <c r="G218" s="99">
        <v>0</v>
      </c>
      <c r="I218" s="13">
        <f>G218</f>
        <v>0</v>
      </c>
      <c r="M218" s="99">
        <f t="shared" si="176"/>
        <v>0</v>
      </c>
      <c r="N218" s="99"/>
      <c r="O218" s="67">
        <v>0</v>
      </c>
    </row>
    <row r="219" spans="1:20" x14ac:dyDescent="0.25">
      <c r="A219" s="29">
        <f t="shared" si="167"/>
        <v>210</v>
      </c>
      <c r="D219" s="15" t="s">
        <v>9</v>
      </c>
      <c r="E219" s="15"/>
      <c r="F219" s="15"/>
      <c r="G219" s="113">
        <f>SUM(G215:G218)</f>
        <v>83268.100000000006</v>
      </c>
      <c r="H219" s="15"/>
      <c r="I219" s="113">
        <f>SUM(I215:I218)</f>
        <v>58561.607149999996</v>
      </c>
      <c r="J219" s="15"/>
      <c r="K219" s="15"/>
      <c r="L219" s="15"/>
      <c r="M219" s="113">
        <f>SUM(M215:M218)</f>
        <v>58561.607149999996</v>
      </c>
      <c r="N219" s="113">
        <f>M219-I219</f>
        <v>0</v>
      </c>
      <c r="O219" s="121">
        <v>0</v>
      </c>
    </row>
    <row r="220" spans="1:20" s="7" customFormat="1" ht="26.4" customHeight="1" thickBot="1" x14ac:dyDescent="0.3">
      <c r="A220" s="29">
        <f t="shared" si="167"/>
        <v>211</v>
      </c>
      <c r="C220" s="17"/>
      <c r="D220" s="8" t="s">
        <v>20</v>
      </c>
      <c r="E220" s="8"/>
      <c r="F220" s="8"/>
      <c r="G220" s="114">
        <f>G214+G219</f>
        <v>346528.64898000006</v>
      </c>
      <c r="H220" s="8"/>
      <c r="I220" s="132">
        <f>I219+I214</f>
        <v>346528.64898</v>
      </c>
      <c r="J220" s="8"/>
      <c r="K220" s="8"/>
      <c r="L220" s="8"/>
      <c r="M220" s="114">
        <f>M219+M214</f>
        <v>362994.002759</v>
      </c>
      <c r="N220" s="114">
        <f>M220-I220</f>
        <v>16465.353778999997</v>
      </c>
      <c r="O220" s="122">
        <f>N220/I220</f>
        <v>4.7515129924943958E-2</v>
      </c>
      <c r="P220" s="2"/>
      <c r="Q220" s="2"/>
      <c r="R220" s="2"/>
    </row>
    <row r="221" spans="1:20" ht="13.8" thickTop="1" x14ac:dyDescent="0.25">
      <c r="A221" s="29">
        <f t="shared" si="167"/>
        <v>212</v>
      </c>
      <c r="D221" s="2" t="s">
        <v>19</v>
      </c>
      <c r="E221" s="67">
        <f>(E210+E211)/E209</f>
        <v>1509.1950926148666</v>
      </c>
      <c r="G221" s="124">
        <f>G220/E209</f>
        <v>83.360271585277857</v>
      </c>
      <c r="I221" s="124">
        <f>I220/E209</f>
        <v>83.360271585277843</v>
      </c>
      <c r="M221" s="124">
        <f>M220/E209</f>
        <v>87.32114572023093</v>
      </c>
      <c r="N221" s="124">
        <f>M221-I221</f>
        <v>3.9608741349530874</v>
      </c>
      <c r="O221" s="101">
        <f>N221/I221</f>
        <v>4.7515129924943916E-2</v>
      </c>
    </row>
    <row r="222" spans="1:20" ht="13.8" thickBot="1" x14ac:dyDescent="0.3">
      <c r="A222" s="29">
        <f t="shared" si="167"/>
        <v>213</v>
      </c>
    </row>
    <row r="223" spans="1:20" ht="16.2" customHeight="1" x14ac:dyDescent="0.25">
      <c r="A223" s="29">
        <f t="shared" si="167"/>
        <v>214</v>
      </c>
      <c r="B223" s="139" t="s">
        <v>62</v>
      </c>
      <c r="C223" s="25">
        <v>46</v>
      </c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</row>
    <row r="224" spans="1:20" x14ac:dyDescent="0.25">
      <c r="A224" s="29">
        <f t="shared" si="167"/>
        <v>215</v>
      </c>
      <c r="B224" s="140"/>
      <c r="D224" s="2" t="s">
        <v>18</v>
      </c>
      <c r="E224" s="110">
        <v>12</v>
      </c>
      <c r="F224" s="67">
        <v>25.84</v>
      </c>
      <c r="G224" s="99">
        <f>F224*E224</f>
        <v>310.08</v>
      </c>
      <c r="H224" s="67">
        <f>H34</f>
        <v>25.84</v>
      </c>
      <c r="I224" s="99">
        <f>H224*E224</f>
        <v>310.08</v>
      </c>
      <c r="J224" s="101">
        <f>I224/I$229</f>
        <v>1.0000000000000002</v>
      </c>
      <c r="K224" s="101"/>
      <c r="L224" s="67">
        <f>L34</f>
        <v>27.32</v>
      </c>
      <c r="M224" s="99">
        <f>L224*E224</f>
        <v>327.84000000000003</v>
      </c>
      <c r="N224" s="99">
        <f t="shared" ref="N224:N232" si="177">M224-I224</f>
        <v>17.760000000000048</v>
      </c>
      <c r="O224" s="101">
        <f>IF(I224=0,0,N224/I224)</f>
        <v>5.7275541795665789E-2</v>
      </c>
      <c r="P224" s="101">
        <f>M224/M$229</f>
        <v>1.0000000000000004</v>
      </c>
      <c r="Q224" s="100">
        <f>P224-J224</f>
        <v>0</v>
      </c>
      <c r="R224" s="100"/>
      <c r="T224" s="6">
        <f>L224/H224-1</f>
        <v>5.727554179566563E-2</v>
      </c>
    </row>
    <row r="225" spans="1:20" x14ac:dyDescent="0.25">
      <c r="A225" s="29">
        <f t="shared" si="167"/>
        <v>216</v>
      </c>
      <c r="B225" s="67"/>
      <c r="D225" s="2" t="s">
        <v>76</v>
      </c>
      <c r="E225" s="110">
        <v>17953</v>
      </c>
      <c r="F225" s="111">
        <v>8.5089999999999999E-2</v>
      </c>
      <c r="G225" s="99">
        <f t="shared" ref="G225:G226" si="178">F225*E225</f>
        <v>1527.62077</v>
      </c>
      <c r="H225" s="111">
        <f>H35</f>
        <v>9.6740000000000007E-2</v>
      </c>
      <c r="I225" s="99">
        <f t="shared" ref="I225:I226" si="179">H225*E225</f>
        <v>1736.77322</v>
      </c>
      <c r="J225" s="101">
        <f t="shared" ref="J225:J228" si="180">I225/I$229</f>
        <v>5.6010488261093929</v>
      </c>
      <c r="K225" s="101"/>
      <c r="L225" s="111">
        <f>L35</f>
        <v>0.102275</v>
      </c>
      <c r="M225" s="99">
        <f t="shared" ref="M225:M226" si="181">L225*E225</f>
        <v>1836.1430750000002</v>
      </c>
      <c r="N225" s="99">
        <f t="shared" ref="N225:N226" si="182">M225-I225</f>
        <v>99.369855000000143</v>
      </c>
      <c r="O225" s="101">
        <f t="shared" ref="O225:O226" si="183">IF(I225=0,0,N225/I225)</f>
        <v>5.7215216043001942E-2</v>
      </c>
      <c r="P225" s="101">
        <f t="shared" ref="P225:P228" si="184">M225/M$229</f>
        <v>5.6007292429233795</v>
      </c>
      <c r="Q225" s="100">
        <f t="shared" ref="Q225:Q226" si="185">P225-J225</f>
        <v>-3.1958318601343905E-4</v>
      </c>
      <c r="R225" s="100"/>
      <c r="T225" s="6">
        <f>L225/H225-1</f>
        <v>5.7215216043001949E-2</v>
      </c>
    </row>
    <row r="226" spans="1:20" x14ac:dyDescent="0.25">
      <c r="A226" s="29">
        <f t="shared" si="167"/>
        <v>217</v>
      </c>
      <c r="B226" s="67"/>
      <c r="D226" s="2" t="s">
        <v>77</v>
      </c>
      <c r="E226" s="110">
        <v>20109</v>
      </c>
      <c r="F226" s="111">
        <v>-8.5089999999999999E-2</v>
      </c>
      <c r="G226" s="99">
        <f t="shared" si="178"/>
        <v>-1711.0748100000001</v>
      </c>
      <c r="H226" s="111">
        <f>-H225</f>
        <v>-9.6740000000000007E-2</v>
      </c>
      <c r="I226" s="99">
        <f t="shared" si="179"/>
        <v>-1945.3446600000002</v>
      </c>
      <c r="J226" s="101">
        <f t="shared" si="180"/>
        <v>-6.2736863390092896</v>
      </c>
      <c r="K226" s="101"/>
      <c r="L226" s="111">
        <f>-L225</f>
        <v>-0.102275</v>
      </c>
      <c r="M226" s="99">
        <f t="shared" si="181"/>
        <v>-2056.6479750000003</v>
      </c>
      <c r="N226" s="99">
        <f t="shared" si="182"/>
        <v>-111.30331500000011</v>
      </c>
      <c r="O226" s="101">
        <f t="shared" si="183"/>
        <v>5.7215216043001914E-2</v>
      </c>
      <c r="P226" s="101">
        <f t="shared" si="184"/>
        <v>-6.2733283766471475</v>
      </c>
      <c r="Q226" s="100">
        <f t="shared" si="185"/>
        <v>3.5796236214213906E-4</v>
      </c>
      <c r="R226" s="100"/>
      <c r="T226" s="6">
        <f>L226/H226-1</f>
        <v>5.7215216043001949E-2</v>
      </c>
    </row>
    <row r="227" spans="1:20" x14ac:dyDescent="0.25">
      <c r="A227" s="29">
        <f t="shared" si="167"/>
        <v>218</v>
      </c>
      <c r="B227" s="67"/>
      <c r="D227" s="2" t="s">
        <v>122</v>
      </c>
      <c r="E227" s="110">
        <v>17953</v>
      </c>
      <c r="F227" s="111">
        <v>-8.5089999999999999E-2</v>
      </c>
      <c r="G227" s="99">
        <f t="shared" ref="G227:G228" si="186">F227*E227</f>
        <v>-1527.62077</v>
      </c>
      <c r="H227" s="111">
        <f>H226</f>
        <v>-9.6740000000000007E-2</v>
      </c>
      <c r="I227" s="99">
        <f t="shared" ref="I227:I228" si="187">H227*E227</f>
        <v>-1736.77322</v>
      </c>
      <c r="J227" s="101">
        <f t="shared" si="180"/>
        <v>-5.6010488261093929</v>
      </c>
      <c r="K227" s="101"/>
      <c r="L227" s="111">
        <f>L226</f>
        <v>-0.102275</v>
      </c>
      <c r="M227" s="99">
        <f t="shared" ref="M227:M228" si="188">L227*E227</f>
        <v>-1836.1430750000002</v>
      </c>
      <c r="N227" s="99">
        <f t="shared" si="177"/>
        <v>-99.369855000000143</v>
      </c>
      <c r="O227" s="101">
        <f t="shared" ref="O227:O228" si="189">IF(I227=0,0,N227/I227)</f>
        <v>5.7215216043001942E-2</v>
      </c>
      <c r="P227" s="101">
        <f t="shared" si="184"/>
        <v>-5.6007292429233795</v>
      </c>
      <c r="Q227" s="100">
        <f t="shared" ref="Q227:Q229" si="190">P227-J227</f>
        <v>3.1958318601343905E-4</v>
      </c>
      <c r="R227" s="100"/>
      <c r="T227" s="6">
        <f>L227/H227-1</f>
        <v>5.7215216043001949E-2</v>
      </c>
    </row>
    <row r="228" spans="1:20" x14ac:dyDescent="0.25">
      <c r="A228" s="29">
        <f t="shared" si="167"/>
        <v>219</v>
      </c>
      <c r="B228" s="67"/>
      <c r="D228" s="2" t="s">
        <v>123</v>
      </c>
      <c r="E228" s="110">
        <v>20109</v>
      </c>
      <c r="F228" s="111">
        <v>8.5089999999999999E-2</v>
      </c>
      <c r="G228" s="99">
        <f t="shared" si="186"/>
        <v>1711.0748100000001</v>
      </c>
      <c r="H228" s="115">
        <f>-H227</f>
        <v>9.6740000000000007E-2</v>
      </c>
      <c r="I228" s="99">
        <f t="shared" si="187"/>
        <v>1945.3446600000002</v>
      </c>
      <c r="J228" s="101">
        <f t="shared" si="180"/>
        <v>6.2736863390092896</v>
      </c>
      <c r="K228" s="101"/>
      <c r="L228" s="115">
        <f>-L227</f>
        <v>0.102275</v>
      </c>
      <c r="M228" s="99">
        <f t="shared" si="188"/>
        <v>2056.6479750000003</v>
      </c>
      <c r="N228" s="99">
        <f t="shared" si="177"/>
        <v>111.30331500000011</v>
      </c>
      <c r="O228" s="101">
        <f t="shared" si="189"/>
        <v>5.7215216043001914E-2</v>
      </c>
      <c r="P228" s="101">
        <f t="shared" si="184"/>
        <v>6.2733283766471475</v>
      </c>
      <c r="Q228" s="100">
        <f t="shared" si="190"/>
        <v>-3.5796236214213906E-4</v>
      </c>
      <c r="R228" s="100"/>
      <c r="T228" s="6">
        <f>L228/H228-1</f>
        <v>5.7215216043001949E-2</v>
      </c>
    </row>
    <row r="229" spans="1:20" s="7" customFormat="1" ht="20.399999999999999" customHeight="1" x14ac:dyDescent="0.3">
      <c r="A229" s="29">
        <f t="shared" si="167"/>
        <v>220</v>
      </c>
      <c r="C229" s="17"/>
      <c r="D229" s="19" t="s">
        <v>7</v>
      </c>
      <c r="E229" s="19"/>
      <c r="F229" s="123"/>
      <c r="G229" s="112">
        <f>SUM(G224:G228)</f>
        <v>310.07999999999993</v>
      </c>
      <c r="H229" s="19"/>
      <c r="I229" s="112">
        <f>SUM(I224:I228)</f>
        <v>310.07999999999993</v>
      </c>
      <c r="J229" s="117">
        <f>SUM(J224:J228)</f>
        <v>1</v>
      </c>
      <c r="K229" s="118">
        <f>I229+Summary!I24</f>
        <v>327.81999999999994</v>
      </c>
      <c r="L229" s="19"/>
      <c r="M229" s="112">
        <f>SUM(M224:M228)</f>
        <v>327.83999999999992</v>
      </c>
      <c r="N229" s="112">
        <f t="shared" si="177"/>
        <v>17.759999999999991</v>
      </c>
      <c r="O229" s="117">
        <f t="shared" ref="O229" si="191">N229/I229</f>
        <v>5.7275541795665616E-2</v>
      </c>
      <c r="P229" s="117">
        <f>SUM(P224:P228)</f>
        <v>1.0000000000000009</v>
      </c>
      <c r="Q229" s="131">
        <f t="shared" si="190"/>
        <v>0</v>
      </c>
      <c r="R229" s="119">
        <f>M229-K229</f>
        <v>1.999999999998181E-2</v>
      </c>
      <c r="S229" s="7">
        <f>K229/I229</f>
        <v>1.0572110423116616</v>
      </c>
    </row>
    <row r="230" spans="1:20" x14ac:dyDescent="0.25">
      <c r="A230" s="29">
        <f t="shared" si="167"/>
        <v>221</v>
      </c>
      <c r="D230" s="2" t="s">
        <v>27</v>
      </c>
      <c r="G230" s="13">
        <v>245.68</v>
      </c>
      <c r="I230" s="13">
        <f>G230-($H$390*(E225-E226-E227+E228))</f>
        <v>245.68</v>
      </c>
      <c r="K230" s="13"/>
      <c r="M230" s="99">
        <f>I230</f>
        <v>245.68</v>
      </c>
      <c r="N230" s="99">
        <f t="shared" si="177"/>
        <v>0</v>
      </c>
      <c r="O230" s="67">
        <v>0</v>
      </c>
      <c r="R230" s="120"/>
    </row>
    <row r="231" spans="1:20" x14ac:dyDescent="0.25">
      <c r="A231" s="29">
        <f t="shared" si="167"/>
        <v>222</v>
      </c>
      <c r="D231" s="2" t="s">
        <v>28</v>
      </c>
      <c r="G231" s="13">
        <v>54.77</v>
      </c>
      <c r="I231" s="13">
        <f>G231</f>
        <v>54.77</v>
      </c>
      <c r="M231" s="99">
        <f t="shared" ref="M231:M233" si="192">I231</f>
        <v>54.77</v>
      </c>
      <c r="N231" s="99">
        <f t="shared" si="177"/>
        <v>0</v>
      </c>
      <c r="O231" s="67">
        <v>0</v>
      </c>
    </row>
    <row r="232" spans="1:20" x14ac:dyDescent="0.25">
      <c r="A232" s="29">
        <f t="shared" si="167"/>
        <v>223</v>
      </c>
      <c r="D232" s="2" t="s">
        <v>30</v>
      </c>
      <c r="E232" s="110"/>
      <c r="F232" s="67"/>
      <c r="G232" s="99">
        <v>0</v>
      </c>
      <c r="I232" s="13">
        <f>G232</f>
        <v>0</v>
      </c>
      <c r="M232" s="99">
        <f t="shared" si="192"/>
        <v>0</v>
      </c>
      <c r="N232" s="99">
        <f t="shared" si="177"/>
        <v>0</v>
      </c>
      <c r="O232" s="67">
        <v>0</v>
      </c>
    </row>
    <row r="233" spans="1:20" x14ac:dyDescent="0.25">
      <c r="A233" s="29">
        <f t="shared" si="167"/>
        <v>224</v>
      </c>
      <c r="B233" s="54"/>
      <c r="D233" s="2" t="s">
        <v>40</v>
      </c>
      <c r="G233" s="99">
        <v>0</v>
      </c>
      <c r="I233" s="13">
        <f>G233</f>
        <v>0</v>
      </c>
      <c r="M233" s="99">
        <f t="shared" si="192"/>
        <v>0</v>
      </c>
      <c r="N233" s="99"/>
      <c r="O233" s="67">
        <v>0</v>
      </c>
    </row>
    <row r="234" spans="1:20" x14ac:dyDescent="0.25">
      <c r="A234" s="29">
        <f t="shared" si="167"/>
        <v>225</v>
      </c>
      <c r="D234" s="15" t="s">
        <v>9</v>
      </c>
      <c r="E234" s="15"/>
      <c r="F234" s="15"/>
      <c r="G234" s="113">
        <f>SUM(G230:G233)</f>
        <v>300.45</v>
      </c>
      <c r="H234" s="15"/>
      <c r="I234" s="113">
        <f>SUM(I230:I233)</f>
        <v>300.45</v>
      </c>
      <c r="J234" s="15"/>
      <c r="K234" s="15"/>
      <c r="L234" s="15"/>
      <c r="M234" s="113">
        <f>SUM(M230:M233)</f>
        <v>300.45</v>
      </c>
      <c r="N234" s="113">
        <f>M234-I234</f>
        <v>0</v>
      </c>
      <c r="O234" s="121">
        <v>0</v>
      </c>
    </row>
    <row r="235" spans="1:20" s="7" customFormat="1" ht="26.4" customHeight="1" thickBot="1" x14ac:dyDescent="0.3">
      <c r="A235" s="29">
        <f t="shared" si="167"/>
        <v>226</v>
      </c>
      <c r="C235" s="17"/>
      <c r="D235" s="8" t="s">
        <v>20</v>
      </c>
      <c r="E235" s="8"/>
      <c r="F235" s="8"/>
      <c r="G235" s="114">
        <f>G229+G234</f>
        <v>610.53</v>
      </c>
      <c r="H235" s="8"/>
      <c r="I235" s="132">
        <f>I234+I229</f>
        <v>610.53</v>
      </c>
      <c r="J235" s="8"/>
      <c r="K235" s="8"/>
      <c r="L235" s="8"/>
      <c r="M235" s="114">
        <f>M234+M229</f>
        <v>628.29</v>
      </c>
      <c r="N235" s="114">
        <f>M235-I235</f>
        <v>17.759999999999991</v>
      </c>
      <c r="O235" s="122">
        <f>N235/I235</f>
        <v>2.9089479632450479E-2</v>
      </c>
      <c r="P235" s="2"/>
      <c r="Q235" s="2"/>
      <c r="R235" s="2"/>
    </row>
    <row r="236" spans="1:20" ht="13.8" thickTop="1" x14ac:dyDescent="0.25">
      <c r="A236" s="29">
        <f t="shared" si="167"/>
        <v>227</v>
      </c>
      <c r="D236" s="2" t="s">
        <v>19</v>
      </c>
      <c r="E236" s="67">
        <f>(E227+E228)/E224</f>
        <v>3171.8333333333335</v>
      </c>
      <c r="G236" s="124">
        <f>G235/E224</f>
        <v>50.877499999999998</v>
      </c>
      <c r="I236" s="124">
        <f>I235/E224</f>
        <v>50.877499999999998</v>
      </c>
      <c r="M236" s="124">
        <f>M235/E224</f>
        <v>52.357499999999995</v>
      </c>
      <c r="N236" s="124">
        <f>M236-I236</f>
        <v>1.4799999999999969</v>
      </c>
      <c r="O236" s="101">
        <f>N236/I236</f>
        <v>2.9089479632450434E-2</v>
      </c>
    </row>
    <row r="237" spans="1:20" ht="13.8" thickBot="1" x14ac:dyDescent="0.3">
      <c r="A237" s="29">
        <f t="shared" si="167"/>
        <v>228</v>
      </c>
    </row>
    <row r="238" spans="1:20" x14ac:dyDescent="0.25">
      <c r="A238" s="29">
        <f t="shared" si="167"/>
        <v>229</v>
      </c>
      <c r="B238" s="139" t="s">
        <v>63</v>
      </c>
      <c r="C238" s="25">
        <v>50</v>
      </c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</row>
    <row r="239" spans="1:20" x14ac:dyDescent="0.25">
      <c r="A239" s="29">
        <f t="shared" si="167"/>
        <v>230</v>
      </c>
      <c r="B239" s="140"/>
      <c r="D239" s="2" t="s">
        <v>18</v>
      </c>
      <c r="E239" s="110">
        <v>24</v>
      </c>
      <c r="F239" s="67">
        <v>22.03</v>
      </c>
      <c r="G239" s="99">
        <f>F239*E239</f>
        <v>528.72</v>
      </c>
      <c r="H239" s="67">
        <f>H46</f>
        <v>22.03</v>
      </c>
      <c r="I239" s="99">
        <f>H239*E239</f>
        <v>528.72</v>
      </c>
      <c r="J239" s="101">
        <f>I239/I$245</f>
        <v>1.045589439853579E-2</v>
      </c>
      <c r="K239" s="101"/>
      <c r="L239" s="67">
        <f>L46</f>
        <v>23.29</v>
      </c>
      <c r="M239" s="99">
        <f>L239*E239</f>
        <v>558.96</v>
      </c>
      <c r="N239" s="99">
        <f t="shared" ref="N239:N248" si="193">M239-I239</f>
        <v>30.240000000000009</v>
      </c>
      <c r="O239" s="101">
        <f>IF(I239=0,0,N239/I239)</f>
        <v>5.7194734453018627E-2</v>
      </c>
      <c r="P239" s="101">
        <f>M239/M$245</f>
        <v>1.0456946094914319E-2</v>
      </c>
      <c r="Q239" s="100">
        <f>P239-J239</f>
        <v>1.0516963785296707E-6</v>
      </c>
      <c r="R239" s="100"/>
      <c r="T239" s="6">
        <f t="shared" ref="T239:T244" si="194">L239/H239-1</f>
        <v>5.7194734453018592E-2</v>
      </c>
    </row>
    <row r="240" spans="1:20" x14ac:dyDescent="0.25">
      <c r="A240" s="29">
        <f t="shared" si="167"/>
        <v>231</v>
      </c>
      <c r="B240" s="67"/>
      <c r="D240" s="2" t="s">
        <v>50</v>
      </c>
      <c r="E240" s="110">
        <v>2026.08</v>
      </c>
      <c r="F240" s="67">
        <v>6.34</v>
      </c>
      <c r="G240" s="99">
        <f t="shared" ref="G240" si="195">F240*E240</f>
        <v>12845.3472</v>
      </c>
      <c r="H240" s="67">
        <f>H48</f>
        <v>6.34</v>
      </c>
      <c r="I240" s="99">
        <f>H240*E240</f>
        <v>12845.3472</v>
      </c>
      <c r="J240" s="101">
        <f t="shared" ref="J240:J244" si="196">I240/I$245</f>
        <v>0.2540278291642597</v>
      </c>
      <c r="K240" s="101"/>
      <c r="L240" s="67">
        <f>L48</f>
        <v>6.7</v>
      </c>
      <c r="M240" s="99">
        <f t="shared" ref="M240" si="197">L240*E240</f>
        <v>13574.735999999999</v>
      </c>
      <c r="N240" s="99">
        <f t="shared" si="193"/>
        <v>729.38879999999881</v>
      </c>
      <c r="O240" s="101">
        <f t="shared" ref="O240" si="198">IF(I240=0,0,N240/I240)</f>
        <v>5.6782334384857948E-2</v>
      </c>
      <c r="P240" s="101">
        <f t="shared" ref="P240:P244" si="199">M240/M$245</f>
        <v>0.2539542768797281</v>
      </c>
      <c r="Q240" s="100">
        <f t="shared" ref="Q240" si="200">P240-J240</f>
        <v>-7.3552284531597234E-5</v>
      </c>
      <c r="R240" s="100"/>
      <c r="T240" s="6">
        <f t="shared" si="194"/>
        <v>5.6782334384858135E-2</v>
      </c>
    </row>
    <row r="241" spans="1:20" x14ac:dyDescent="0.25">
      <c r="A241" s="29">
        <f t="shared" si="167"/>
        <v>232</v>
      </c>
      <c r="B241" s="67"/>
      <c r="D241" s="2" t="s">
        <v>76</v>
      </c>
      <c r="E241" s="110">
        <v>520800</v>
      </c>
      <c r="F241" s="111">
        <v>6.3009999999999997E-2</v>
      </c>
      <c r="G241" s="99">
        <f t="shared" ref="G241:G244" si="201">F241*E241</f>
        <v>32815.608</v>
      </c>
      <c r="H241" s="111">
        <f>H47</f>
        <v>7.4660000000000004E-2</v>
      </c>
      <c r="I241" s="99">
        <f t="shared" ref="I241:I244" si="202">H241*E241</f>
        <v>38882.928</v>
      </c>
      <c r="J241" s="101">
        <f t="shared" si="196"/>
        <v>0.76894346548999548</v>
      </c>
      <c r="K241" s="101"/>
      <c r="L241" s="111">
        <f>L47</f>
        <v>7.893E-2</v>
      </c>
      <c r="M241" s="99">
        <f t="shared" ref="M241:M244" si="203">L241*E241</f>
        <v>41106.743999999999</v>
      </c>
      <c r="N241" s="99">
        <f t="shared" si="193"/>
        <v>2223.8159999999989</v>
      </c>
      <c r="O241" s="101">
        <f t="shared" ref="O241:O244" si="204">IF(I241=0,0,N241/I241)</f>
        <v>5.719260648272164E-2</v>
      </c>
      <c r="P241" s="101">
        <f t="shared" si="199"/>
        <v>0.76901926103020357</v>
      </c>
      <c r="Q241" s="100">
        <f t="shared" ref="Q241:Q245" si="205">P241-J241</f>
        <v>7.5795540208090095E-5</v>
      </c>
      <c r="R241" s="100"/>
      <c r="T241" s="6">
        <f t="shared" si="194"/>
        <v>5.7192606482721509E-2</v>
      </c>
    </row>
    <row r="242" spans="1:20" x14ac:dyDescent="0.25">
      <c r="A242" s="29">
        <f t="shared" si="167"/>
        <v>233</v>
      </c>
      <c r="B242" s="67"/>
      <c r="D242" s="2" t="s">
        <v>77</v>
      </c>
      <c r="E242" s="110">
        <v>22640</v>
      </c>
      <c r="F242" s="111">
        <v>-6.3009999999999997E-2</v>
      </c>
      <c r="G242" s="99">
        <f t="shared" si="201"/>
        <v>-1426.5463999999999</v>
      </c>
      <c r="H242" s="115">
        <f>-H241</f>
        <v>-7.4660000000000004E-2</v>
      </c>
      <c r="I242" s="99">
        <f t="shared" si="202"/>
        <v>-1690.3024</v>
      </c>
      <c r="J242" s="101">
        <f t="shared" si="196"/>
        <v>-3.3427189052790893E-2</v>
      </c>
      <c r="K242" s="101"/>
      <c r="L242" s="115">
        <f>-L241</f>
        <v>-7.893E-2</v>
      </c>
      <c r="M242" s="99">
        <f t="shared" si="203"/>
        <v>-1786.9752000000001</v>
      </c>
      <c r="N242" s="99">
        <f t="shared" si="193"/>
        <v>-96.672800000000052</v>
      </c>
      <c r="O242" s="101">
        <f t="shared" si="204"/>
        <v>5.7192606482721703E-2</v>
      </c>
      <c r="P242" s="101">
        <f t="shared" si="199"/>
        <v>-3.3430484004846023E-2</v>
      </c>
      <c r="Q242" s="100">
        <f t="shared" si="205"/>
        <v>-3.2949520551300848E-6</v>
      </c>
      <c r="R242" s="100"/>
      <c r="T242" s="6">
        <f t="shared" si="194"/>
        <v>5.7192606482721509E-2</v>
      </c>
    </row>
    <row r="243" spans="1:20" x14ac:dyDescent="0.25">
      <c r="A243" s="29">
        <f t="shared" si="167"/>
        <v>234</v>
      </c>
      <c r="B243" s="67"/>
      <c r="D243" s="2" t="s">
        <v>122</v>
      </c>
      <c r="E243" s="110">
        <v>0</v>
      </c>
      <c r="F243" s="111">
        <f>F242</f>
        <v>-6.3009999999999997E-2</v>
      </c>
      <c r="G243" s="99">
        <f t="shared" si="201"/>
        <v>0</v>
      </c>
      <c r="H243" s="115">
        <f>H242</f>
        <v>-7.4660000000000004E-2</v>
      </c>
      <c r="I243" s="99">
        <f t="shared" si="202"/>
        <v>0</v>
      </c>
      <c r="J243" s="101">
        <f t="shared" si="196"/>
        <v>0</v>
      </c>
      <c r="K243" s="101"/>
      <c r="L243" s="115">
        <f>L242</f>
        <v>-7.893E-2</v>
      </c>
      <c r="M243" s="99">
        <f t="shared" si="203"/>
        <v>0</v>
      </c>
      <c r="N243" s="99">
        <f t="shared" si="193"/>
        <v>0</v>
      </c>
      <c r="O243" s="101">
        <f t="shared" si="204"/>
        <v>0</v>
      </c>
      <c r="P243" s="101">
        <f t="shared" si="199"/>
        <v>0</v>
      </c>
      <c r="Q243" s="100">
        <f t="shared" si="205"/>
        <v>0</v>
      </c>
      <c r="R243" s="100"/>
      <c r="T243" s="6">
        <f t="shared" si="194"/>
        <v>5.7192606482721509E-2</v>
      </c>
    </row>
    <row r="244" spans="1:20" x14ac:dyDescent="0.25">
      <c r="A244" s="29">
        <f t="shared" si="167"/>
        <v>235</v>
      </c>
      <c r="B244" s="67"/>
      <c r="D244" s="2" t="s">
        <v>123</v>
      </c>
      <c r="E244" s="110">
        <v>0</v>
      </c>
      <c r="F244" s="111">
        <f>-F243</f>
        <v>6.3009999999999997E-2</v>
      </c>
      <c r="G244" s="99">
        <f t="shared" si="201"/>
        <v>0</v>
      </c>
      <c r="H244" s="115">
        <f>-H243</f>
        <v>7.4660000000000004E-2</v>
      </c>
      <c r="I244" s="99">
        <f t="shared" si="202"/>
        <v>0</v>
      </c>
      <c r="J244" s="101">
        <f t="shared" si="196"/>
        <v>0</v>
      </c>
      <c r="K244" s="101"/>
      <c r="L244" s="115">
        <f>-L243</f>
        <v>7.893E-2</v>
      </c>
      <c r="M244" s="99">
        <f t="shared" si="203"/>
        <v>0</v>
      </c>
      <c r="N244" s="99">
        <f t="shared" si="193"/>
        <v>0</v>
      </c>
      <c r="O244" s="101">
        <f t="shared" si="204"/>
        <v>0</v>
      </c>
      <c r="P244" s="101">
        <f t="shared" si="199"/>
        <v>0</v>
      </c>
      <c r="Q244" s="100">
        <f t="shared" si="205"/>
        <v>0</v>
      </c>
      <c r="R244" s="100"/>
      <c r="T244" s="6">
        <f t="shared" si="194"/>
        <v>5.7192606482721509E-2</v>
      </c>
    </row>
    <row r="245" spans="1:20" s="7" customFormat="1" ht="20.399999999999999" customHeight="1" x14ac:dyDescent="0.3">
      <c r="A245" s="29">
        <f>A242+1</f>
        <v>234</v>
      </c>
      <c r="C245" s="17"/>
      <c r="D245" s="19" t="s">
        <v>7</v>
      </c>
      <c r="E245" s="19"/>
      <c r="F245" s="123"/>
      <c r="G245" s="112">
        <f>SUM(G239:G244)</f>
        <v>44763.128799999999</v>
      </c>
      <c r="H245" s="19"/>
      <c r="I245" s="112">
        <f>SUM(I239:I244)</f>
        <v>50566.692799999997</v>
      </c>
      <c r="J245" s="117">
        <f>SUM(J239:J242)</f>
        <v>1</v>
      </c>
      <c r="K245" s="118">
        <f>I245+Summary!I25</f>
        <v>53459.952799999999</v>
      </c>
      <c r="L245" s="19"/>
      <c r="M245" s="112">
        <f>SUM(M239:M244)</f>
        <v>53453.464800000002</v>
      </c>
      <c r="N245" s="112">
        <f t="shared" si="193"/>
        <v>2886.7720000000045</v>
      </c>
      <c r="O245" s="117">
        <f t="shared" ref="O245" si="206">N245/I245</f>
        <v>5.7088408202167505E-2</v>
      </c>
      <c r="P245" s="117">
        <f>SUM(P239:P242)</f>
        <v>1</v>
      </c>
      <c r="Q245" s="131">
        <f t="shared" si="205"/>
        <v>0</v>
      </c>
      <c r="R245" s="119">
        <f>M245-K245</f>
        <v>-6.4879999999975553</v>
      </c>
      <c r="S245" s="7">
        <f>K245/I245</f>
        <v>1.0572167140027002</v>
      </c>
    </row>
    <row r="246" spans="1:20" x14ac:dyDescent="0.25">
      <c r="A246" s="29">
        <f t="shared" si="167"/>
        <v>235</v>
      </c>
      <c r="D246" s="2" t="s">
        <v>27</v>
      </c>
      <c r="G246" s="13">
        <v>6555.07</v>
      </c>
      <c r="I246" s="13">
        <f>G246-($H$390*(E241-E242-E243+E244))</f>
        <v>751.5059999999994</v>
      </c>
      <c r="M246" s="99">
        <f>I246</f>
        <v>751.5059999999994</v>
      </c>
      <c r="N246" s="99">
        <f t="shared" si="193"/>
        <v>0</v>
      </c>
      <c r="O246" s="67">
        <v>0</v>
      </c>
      <c r="R246" s="120"/>
    </row>
    <row r="247" spans="1:20" x14ac:dyDescent="0.25">
      <c r="A247" s="29">
        <f t="shared" si="167"/>
        <v>236</v>
      </c>
      <c r="D247" s="2" t="s">
        <v>28</v>
      </c>
      <c r="G247" s="13">
        <v>5147.67</v>
      </c>
      <c r="I247" s="13">
        <f>G247</f>
        <v>5147.67</v>
      </c>
      <c r="M247" s="99">
        <f t="shared" ref="M247:M249" si="207">I247</f>
        <v>5147.67</v>
      </c>
      <c r="N247" s="99">
        <f t="shared" si="193"/>
        <v>0</v>
      </c>
      <c r="O247" s="67">
        <v>0</v>
      </c>
    </row>
    <row r="248" spans="1:20" x14ac:dyDescent="0.25">
      <c r="A248" s="29">
        <f t="shared" si="167"/>
        <v>237</v>
      </c>
      <c r="D248" s="2" t="s">
        <v>30</v>
      </c>
      <c r="E248" s="110"/>
      <c r="F248" s="67"/>
      <c r="G248" s="99">
        <v>0</v>
      </c>
      <c r="I248" s="13">
        <f>G248</f>
        <v>0</v>
      </c>
      <c r="M248" s="99">
        <f t="shared" si="207"/>
        <v>0</v>
      </c>
      <c r="N248" s="99">
        <f t="shared" si="193"/>
        <v>0</v>
      </c>
      <c r="O248" s="67">
        <v>0</v>
      </c>
    </row>
    <row r="249" spans="1:20" x14ac:dyDescent="0.25">
      <c r="A249" s="29">
        <f t="shared" si="167"/>
        <v>238</v>
      </c>
      <c r="B249" s="54"/>
      <c r="D249" s="2" t="s">
        <v>40</v>
      </c>
      <c r="G249" s="99">
        <v>0</v>
      </c>
      <c r="I249" s="13">
        <f>G249</f>
        <v>0</v>
      </c>
      <c r="M249" s="99">
        <f t="shared" si="207"/>
        <v>0</v>
      </c>
      <c r="N249" s="99"/>
      <c r="O249" s="67">
        <v>0</v>
      </c>
    </row>
    <row r="250" spans="1:20" x14ac:dyDescent="0.25">
      <c r="A250" s="29">
        <f t="shared" si="167"/>
        <v>239</v>
      </c>
      <c r="D250" s="15" t="s">
        <v>9</v>
      </c>
      <c r="E250" s="15"/>
      <c r="F250" s="15"/>
      <c r="G250" s="113">
        <f>SUM(G246:G249)</f>
        <v>11702.74</v>
      </c>
      <c r="H250" s="15"/>
      <c r="I250" s="113">
        <f>SUM(I246:I249)</f>
        <v>5899.1759999999995</v>
      </c>
      <c r="J250" s="15"/>
      <c r="K250" s="15"/>
      <c r="L250" s="15"/>
      <c r="M250" s="113">
        <f>SUM(M246:M249)</f>
        <v>5899.1759999999995</v>
      </c>
      <c r="N250" s="113">
        <f>M250-I250</f>
        <v>0</v>
      </c>
      <c r="O250" s="121">
        <v>0</v>
      </c>
    </row>
    <row r="251" spans="1:20" s="7" customFormat="1" ht="26.4" customHeight="1" thickBot="1" x14ac:dyDescent="0.3">
      <c r="A251" s="29">
        <f t="shared" si="167"/>
        <v>240</v>
      </c>
      <c r="C251" s="17"/>
      <c r="D251" s="8" t="s">
        <v>20</v>
      </c>
      <c r="E251" s="8"/>
      <c r="F251" s="8"/>
      <c r="G251" s="114">
        <f>G245+G250</f>
        <v>56465.868799999997</v>
      </c>
      <c r="H251" s="8"/>
      <c r="I251" s="132">
        <f>I250+I245</f>
        <v>56465.868799999997</v>
      </c>
      <c r="J251" s="8"/>
      <c r="K251" s="8"/>
      <c r="L251" s="8"/>
      <c r="M251" s="114">
        <f>M250+M245</f>
        <v>59352.640800000001</v>
      </c>
      <c r="N251" s="114">
        <f>M251-I251</f>
        <v>2886.7720000000045</v>
      </c>
      <c r="O251" s="122">
        <f>N251/I251</f>
        <v>5.1124193452594224E-2</v>
      </c>
      <c r="P251" s="2"/>
      <c r="Q251" s="2"/>
      <c r="R251" s="2"/>
    </row>
    <row r="252" spans="1:20" ht="13.8" thickTop="1" x14ac:dyDescent="0.25">
      <c r="A252" s="29">
        <f t="shared" si="167"/>
        <v>241</v>
      </c>
      <c r="D252" s="2" t="s">
        <v>19</v>
      </c>
      <c r="E252" s="67">
        <f>(E241+E242)/E239</f>
        <v>22643.333333333332</v>
      </c>
      <c r="G252" s="124">
        <f>G251/E239</f>
        <v>2352.744533333333</v>
      </c>
      <c r="I252" s="124">
        <f>I251/E239</f>
        <v>2352.744533333333</v>
      </c>
      <c r="M252" s="124">
        <f>M251/E239</f>
        <v>2473.0266999999999</v>
      </c>
      <c r="N252" s="124">
        <f>M252-I252</f>
        <v>120.28216666666685</v>
      </c>
      <c r="O252" s="101">
        <f>N252/I252</f>
        <v>5.1124193452594231E-2</v>
      </c>
    </row>
    <row r="253" spans="1:20" ht="13.8" thickBot="1" x14ac:dyDescent="0.3">
      <c r="A253" s="29">
        <f t="shared" si="167"/>
        <v>242</v>
      </c>
    </row>
    <row r="254" spans="1:20" x14ac:dyDescent="0.25">
      <c r="A254" s="29">
        <f t="shared" si="167"/>
        <v>243</v>
      </c>
      <c r="B254" s="24" t="s">
        <v>64</v>
      </c>
      <c r="C254" s="25">
        <v>60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</row>
    <row r="255" spans="1:20" x14ac:dyDescent="0.25">
      <c r="A255" s="29">
        <f t="shared" si="167"/>
        <v>244</v>
      </c>
      <c r="D255" s="2" t="s">
        <v>18</v>
      </c>
      <c r="E255" s="110">
        <v>3782</v>
      </c>
      <c r="F255" s="67">
        <f>F8</f>
        <v>20.67</v>
      </c>
      <c r="G255" s="99">
        <f>F255*E255</f>
        <v>78173.94</v>
      </c>
      <c r="H255" s="67">
        <f>H8</f>
        <v>20.67</v>
      </c>
      <c r="I255" s="99">
        <f>H255*E255</f>
        <v>78173.94</v>
      </c>
      <c r="J255" s="101">
        <f>I255/I258</f>
        <v>0.13560027442363112</v>
      </c>
      <c r="K255" s="101"/>
      <c r="L255" s="67">
        <f>L8</f>
        <v>21.85</v>
      </c>
      <c r="M255" s="99">
        <f>L255*E255</f>
        <v>82636.700000000012</v>
      </c>
      <c r="N255" s="99">
        <f t="shared" ref="N255:N261" si="208">M255-I255</f>
        <v>4462.7600000000093</v>
      </c>
      <c r="O255" s="101">
        <f>IF(I255=0,0,N255/I255)</f>
        <v>5.7087566521528903E-2</v>
      </c>
      <c r="P255" s="101">
        <f>M255/M258</f>
        <v>0.13592381149063376</v>
      </c>
      <c r="Q255" s="100">
        <f>P255-J255</f>
        <v>3.2353706700263829E-4</v>
      </c>
      <c r="R255" s="100"/>
      <c r="T255" s="6">
        <f>L255/H255-1</f>
        <v>5.7087566521528688E-2</v>
      </c>
    </row>
    <row r="256" spans="1:20" x14ac:dyDescent="0.25">
      <c r="A256" s="29">
        <f t="shared" si="167"/>
        <v>245</v>
      </c>
      <c r="B256" s="67"/>
      <c r="D256" s="2" t="s">
        <v>49</v>
      </c>
      <c r="E256" s="110">
        <v>4952817</v>
      </c>
      <c r="F256" s="111">
        <f>F9</f>
        <v>8.362E-2</v>
      </c>
      <c r="G256" s="99">
        <f t="shared" ref="G256:G257" si="209">F256*E256</f>
        <v>414154.55754000001</v>
      </c>
      <c r="H256" s="115">
        <f>H9</f>
        <v>9.5269999999999994E-2</v>
      </c>
      <c r="I256" s="99">
        <f t="shared" ref="I256:I257" si="210">H256*E256</f>
        <v>471854.87558999995</v>
      </c>
      <c r="J256" s="101">
        <f>I256/I258</f>
        <v>0.81847800709715168</v>
      </c>
      <c r="K256" s="101"/>
      <c r="L256" s="115">
        <f>L9</f>
        <v>0.100721</v>
      </c>
      <c r="M256" s="99">
        <f t="shared" ref="M256:M257" si="211">L256*E256</f>
        <v>498852.68105700001</v>
      </c>
      <c r="N256" s="99">
        <f t="shared" si="208"/>
        <v>26997.805467000057</v>
      </c>
      <c r="O256" s="101">
        <f t="shared" ref="O256:O257" si="212">IF(I256=0,0,N256/I256)</f>
        <v>5.7216332528603045E-2</v>
      </c>
      <c r="P256" s="101">
        <f>M256/M258</f>
        <v>0.82053080267712664</v>
      </c>
      <c r="Q256" s="100">
        <f t="shared" ref="Q256:Q258" si="213">P256-J256</f>
        <v>2.0527955799749531E-3</v>
      </c>
      <c r="R256" s="100"/>
      <c r="T256" s="6">
        <f>L256/H256-1</f>
        <v>5.7216332528603031E-2</v>
      </c>
    </row>
    <row r="257" spans="1:20" x14ac:dyDescent="0.25">
      <c r="A257" s="29">
        <f t="shared" si="167"/>
        <v>246</v>
      </c>
      <c r="B257" s="67"/>
      <c r="D257" s="2" t="s">
        <v>78</v>
      </c>
      <c r="E257" s="110">
        <v>3782</v>
      </c>
      <c r="F257" s="67">
        <v>7</v>
      </c>
      <c r="G257" s="99">
        <f t="shared" si="209"/>
        <v>26474</v>
      </c>
      <c r="H257" s="67">
        <v>7</v>
      </c>
      <c r="I257" s="99">
        <f t="shared" si="210"/>
        <v>26474</v>
      </c>
      <c r="J257" s="101">
        <f>I257/I258</f>
        <v>4.5921718479217118E-2</v>
      </c>
      <c r="K257" s="101"/>
      <c r="L257" s="67">
        <f>H257</f>
        <v>7</v>
      </c>
      <c r="M257" s="99">
        <f t="shared" si="211"/>
        <v>26474</v>
      </c>
      <c r="N257" s="99">
        <f t="shared" si="208"/>
        <v>0</v>
      </c>
      <c r="O257" s="101">
        <f t="shared" si="212"/>
        <v>0</v>
      </c>
      <c r="P257" s="101">
        <f>M257/M258</f>
        <v>4.3545385832239644E-2</v>
      </c>
      <c r="Q257" s="100">
        <f t="shared" si="213"/>
        <v>-2.3763326469774734E-3</v>
      </c>
      <c r="R257" s="100"/>
      <c r="T257" s="6">
        <f>L257/H257-1</f>
        <v>0</v>
      </c>
    </row>
    <row r="258" spans="1:20" s="7" customFormat="1" ht="20.399999999999999" customHeight="1" x14ac:dyDescent="0.3">
      <c r="A258" s="29">
        <f t="shared" si="167"/>
        <v>247</v>
      </c>
      <c r="C258" s="17"/>
      <c r="D258" s="19" t="s">
        <v>7</v>
      </c>
      <c r="E258" s="19"/>
      <c r="F258" s="123"/>
      <c r="G258" s="112">
        <f>SUM(G255:G257)</f>
        <v>518802.49754000001</v>
      </c>
      <c r="H258" s="19"/>
      <c r="I258" s="112">
        <f>SUM(I255:I257)</f>
        <v>576502.81559000001</v>
      </c>
      <c r="J258" s="117">
        <f>SUM(J255:J257)</f>
        <v>0.99999999999999989</v>
      </c>
      <c r="K258" s="118">
        <f>I258+Summary!I26</f>
        <v>609488.39558999997</v>
      </c>
      <c r="L258" s="19"/>
      <c r="M258" s="112">
        <f>SUM(M255:M257)</f>
        <v>607963.38105700002</v>
      </c>
      <c r="N258" s="112">
        <f t="shared" si="208"/>
        <v>31460.565467000008</v>
      </c>
      <c r="O258" s="117">
        <f t="shared" ref="O258" si="214">N258/I258</f>
        <v>5.4571399507915466E-2</v>
      </c>
      <c r="P258" s="117">
        <f>SUM(P255:P257)</f>
        <v>1</v>
      </c>
      <c r="Q258" s="131">
        <f t="shared" si="213"/>
        <v>0</v>
      </c>
      <c r="R258" s="119">
        <f>M258-K258</f>
        <v>-1525.0145329999505</v>
      </c>
      <c r="S258" s="7">
        <f>K258/I258</f>
        <v>1.057216684997873</v>
      </c>
    </row>
    <row r="259" spans="1:20" x14ac:dyDescent="0.25">
      <c r="A259" s="29">
        <f t="shared" si="167"/>
        <v>248</v>
      </c>
      <c r="D259" s="2" t="s">
        <v>27</v>
      </c>
      <c r="G259" s="13">
        <v>61748.61</v>
      </c>
      <c r="I259" s="13">
        <f>G259-($H$390*(E256))</f>
        <v>4048.2919499999989</v>
      </c>
      <c r="M259" s="99">
        <f>I259</f>
        <v>4048.2919499999989</v>
      </c>
      <c r="N259" s="99">
        <f t="shared" si="208"/>
        <v>0</v>
      </c>
      <c r="O259" s="67">
        <v>0</v>
      </c>
      <c r="R259" s="120"/>
    </row>
    <row r="260" spans="1:20" x14ac:dyDescent="0.25">
      <c r="A260" s="29">
        <f t="shared" si="167"/>
        <v>249</v>
      </c>
      <c r="D260" s="2" t="s">
        <v>28</v>
      </c>
      <c r="G260" s="13">
        <v>61058.27</v>
      </c>
      <c r="I260" s="13">
        <f>G260</f>
        <v>61058.27</v>
      </c>
      <c r="M260" s="99">
        <f t="shared" ref="M260:M262" si="215">I260</f>
        <v>61058.27</v>
      </c>
      <c r="N260" s="99">
        <f t="shared" si="208"/>
        <v>0</v>
      </c>
      <c r="O260" s="67">
        <v>0</v>
      </c>
    </row>
    <row r="261" spans="1:20" x14ac:dyDescent="0.25">
      <c r="A261" s="29">
        <f t="shared" si="167"/>
        <v>250</v>
      </c>
      <c r="D261" s="2" t="s">
        <v>30</v>
      </c>
      <c r="E261" s="110"/>
      <c r="F261" s="67"/>
      <c r="G261" s="99">
        <v>0</v>
      </c>
      <c r="I261" s="13">
        <f>G261</f>
        <v>0</v>
      </c>
      <c r="M261" s="99">
        <f t="shared" si="215"/>
        <v>0</v>
      </c>
      <c r="N261" s="99">
        <f t="shared" si="208"/>
        <v>0</v>
      </c>
      <c r="O261" s="67">
        <v>0</v>
      </c>
    </row>
    <row r="262" spans="1:20" x14ac:dyDescent="0.25">
      <c r="A262" s="29">
        <f t="shared" si="167"/>
        <v>251</v>
      </c>
      <c r="B262" s="54"/>
      <c r="D262" s="2" t="s">
        <v>40</v>
      </c>
      <c r="G262" s="99">
        <v>0</v>
      </c>
      <c r="I262" s="13">
        <f>G262</f>
        <v>0</v>
      </c>
      <c r="M262" s="99">
        <f t="shared" si="215"/>
        <v>0</v>
      </c>
      <c r="N262" s="99"/>
      <c r="O262" s="67">
        <v>0</v>
      </c>
    </row>
    <row r="263" spans="1:20" x14ac:dyDescent="0.25">
      <c r="A263" s="29">
        <f t="shared" si="167"/>
        <v>252</v>
      </c>
      <c r="D263" s="15" t="s">
        <v>9</v>
      </c>
      <c r="E263" s="15"/>
      <c r="F263" s="15"/>
      <c r="G263" s="113">
        <f>SUM(G259:G262)</f>
        <v>122806.88</v>
      </c>
      <c r="H263" s="15"/>
      <c r="I263" s="113">
        <f>SUM(I259:I262)</f>
        <v>65106.561949999996</v>
      </c>
      <c r="J263" s="15"/>
      <c r="K263" s="15"/>
      <c r="L263" s="15"/>
      <c r="M263" s="113">
        <f>SUM(M259:M262)</f>
        <v>65106.561949999996</v>
      </c>
      <c r="N263" s="113">
        <f>M263-I263</f>
        <v>0</v>
      </c>
      <c r="O263" s="121">
        <v>0</v>
      </c>
    </row>
    <row r="264" spans="1:20" s="7" customFormat="1" ht="26.4" customHeight="1" thickBot="1" x14ac:dyDescent="0.3">
      <c r="A264" s="29">
        <f t="shared" si="167"/>
        <v>253</v>
      </c>
      <c r="C264" s="17"/>
      <c r="D264" s="8" t="s">
        <v>20</v>
      </c>
      <c r="E264" s="8"/>
      <c r="F264" s="8"/>
      <c r="G264" s="114">
        <f>G258+G263</f>
        <v>641609.37754000002</v>
      </c>
      <c r="H264" s="8"/>
      <c r="I264" s="132">
        <f>I263+I258</f>
        <v>641609.37754000002</v>
      </c>
      <c r="J264" s="8"/>
      <c r="K264" s="8"/>
      <c r="L264" s="8"/>
      <c r="M264" s="114">
        <f>M263+M258</f>
        <v>673069.94300700002</v>
      </c>
      <c r="N264" s="114">
        <f>M264-I264</f>
        <v>31460.565467000008</v>
      </c>
      <c r="O264" s="122">
        <f>N264/I264</f>
        <v>4.903383050232718E-2</v>
      </c>
      <c r="P264" s="2"/>
      <c r="Q264" s="2"/>
      <c r="R264" s="2"/>
    </row>
    <row r="265" spans="1:20" ht="13.8" thickTop="1" x14ac:dyDescent="0.25">
      <c r="A265" s="29">
        <f t="shared" si="167"/>
        <v>254</v>
      </c>
      <c r="D265" s="2" t="s">
        <v>19</v>
      </c>
      <c r="E265" s="67">
        <f>E256/E255</f>
        <v>1309.5761501850873</v>
      </c>
      <c r="G265" s="124">
        <f>G264/E255</f>
        <v>169.6481696298255</v>
      </c>
      <c r="I265" s="124">
        <f>I264/E255</f>
        <v>169.6481696298255</v>
      </c>
      <c r="M265" s="124">
        <f>M264/E255</f>
        <v>177.96666922448441</v>
      </c>
      <c r="N265" s="124">
        <f>M265-I265</f>
        <v>8.3184995946589027</v>
      </c>
      <c r="O265" s="101">
        <f>N265/I265</f>
        <v>4.9033830502327118E-2</v>
      </c>
    </row>
    <row r="266" spans="1:20" ht="13.8" thickBot="1" x14ac:dyDescent="0.3">
      <c r="A266" s="29">
        <f t="shared" si="167"/>
        <v>255</v>
      </c>
    </row>
    <row r="267" spans="1:20" x14ac:dyDescent="0.25">
      <c r="A267" s="29">
        <f t="shared" si="167"/>
        <v>256</v>
      </c>
      <c r="B267" s="141" t="s">
        <v>152</v>
      </c>
      <c r="C267" s="25">
        <v>62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</row>
    <row r="268" spans="1:20" x14ac:dyDescent="0.25">
      <c r="A268" s="29">
        <f t="shared" si="167"/>
        <v>257</v>
      </c>
      <c r="B268" s="142"/>
      <c r="D268" s="2" t="s">
        <v>18</v>
      </c>
      <c r="E268" s="110">
        <v>9</v>
      </c>
      <c r="F268" s="67">
        <v>16.309999999999999</v>
      </c>
      <c r="G268" s="99">
        <f>F268*E268</f>
        <v>146.79</v>
      </c>
      <c r="H268" s="67">
        <f>H20</f>
        <v>16.309999999999999</v>
      </c>
      <c r="I268" s="99">
        <f>H268*E268</f>
        <v>146.79</v>
      </c>
      <c r="J268" s="101">
        <f>I268/I273</f>
        <v>0.1252248955179571</v>
      </c>
      <c r="K268" s="101"/>
      <c r="L268" s="67">
        <f>L20</f>
        <v>17.239999999999998</v>
      </c>
      <c r="M268" s="99">
        <f>L268*E268</f>
        <v>155.16</v>
      </c>
      <c r="N268" s="99">
        <f t="shared" ref="N268:N276" si="216">M268-I268</f>
        <v>8.3700000000000045</v>
      </c>
      <c r="O268" s="101">
        <f>IF(I268=0,0,N268/I268)</f>
        <v>5.7020232985898256E-2</v>
      </c>
      <c r="P268" s="101">
        <f>M268/M273</f>
        <v>0.12556992446543352</v>
      </c>
      <c r="Q268" s="100">
        <f>P268-J268</f>
        <v>3.4502894747642787E-4</v>
      </c>
      <c r="R268" s="100"/>
      <c r="T268" s="6">
        <f>L268/H268-1</f>
        <v>5.70202329858982E-2</v>
      </c>
    </row>
    <row r="269" spans="1:20" x14ac:dyDescent="0.25">
      <c r="A269" s="29">
        <f t="shared" si="167"/>
        <v>258</v>
      </c>
      <c r="B269" s="67"/>
      <c r="D269" s="2" t="s">
        <v>78</v>
      </c>
      <c r="E269" s="110">
        <v>9</v>
      </c>
      <c r="F269" s="67">
        <v>7</v>
      </c>
      <c r="G269" s="99">
        <f t="shared" ref="G269:G272" si="217">F269*E269</f>
        <v>63</v>
      </c>
      <c r="H269" s="67">
        <f>H257</f>
        <v>7</v>
      </c>
      <c r="I269" s="99">
        <f t="shared" ref="I269:I272" si="218">H269*E269</f>
        <v>63</v>
      </c>
      <c r="J269" s="101">
        <f>I269/I273</f>
        <v>5.3744590351054548E-2</v>
      </c>
      <c r="K269" s="101"/>
      <c r="L269" s="67">
        <f>L257</f>
        <v>7</v>
      </c>
      <c r="M269" s="99">
        <f t="shared" ref="M269:M272" si="219">L269*E269</f>
        <v>63</v>
      </c>
      <c r="N269" s="99">
        <f t="shared" si="216"/>
        <v>0</v>
      </c>
      <c r="O269" s="101">
        <f t="shared" ref="O269:O272" si="220">IF(I269=0,0,N269/I269)</f>
        <v>0</v>
      </c>
      <c r="P269" s="101">
        <f>M269/M273</f>
        <v>5.098546817041965E-2</v>
      </c>
      <c r="Q269" s="100">
        <f t="shared" ref="Q269:Q273" si="221">P269-J269</f>
        <v>-2.7591221806348987E-3</v>
      </c>
      <c r="R269" s="100"/>
      <c r="T269" s="6">
        <f>L269/H269-1</f>
        <v>0</v>
      </c>
    </row>
    <row r="270" spans="1:20" x14ac:dyDescent="0.25">
      <c r="A270" s="29">
        <f t="shared" si="167"/>
        <v>259</v>
      </c>
      <c r="B270" s="67"/>
      <c r="D270" s="2" t="s">
        <v>65</v>
      </c>
      <c r="E270" s="110">
        <v>2700</v>
      </c>
      <c r="F270" s="111">
        <v>6.608E-2</v>
      </c>
      <c r="G270" s="99">
        <f t="shared" si="217"/>
        <v>178.416</v>
      </c>
      <c r="H270" s="115">
        <f>H21</f>
        <v>7.7729999999999994E-2</v>
      </c>
      <c r="I270" s="99">
        <f t="shared" si="218"/>
        <v>209.87099999999998</v>
      </c>
      <c r="J270" s="101">
        <f>I270/I273</f>
        <v>0.17903858605660583</v>
      </c>
      <c r="K270" s="101"/>
      <c r="L270" s="115">
        <f>L21</f>
        <v>8.2180000000000003E-2</v>
      </c>
      <c r="M270" s="99">
        <f t="shared" si="219"/>
        <v>221.886</v>
      </c>
      <c r="N270" s="99">
        <f t="shared" si="216"/>
        <v>12.015000000000015</v>
      </c>
      <c r="O270" s="101">
        <f t="shared" si="220"/>
        <v>5.7249453235559064E-2</v>
      </c>
      <c r="P270" s="101">
        <f>M270/M273</f>
        <v>0.17957081889621801</v>
      </c>
      <c r="Q270" s="100">
        <f t="shared" si="221"/>
        <v>5.3223283961217893E-4</v>
      </c>
      <c r="R270" s="100"/>
      <c r="T270" s="6">
        <f>L270/H270-1</f>
        <v>5.7249453235559189E-2</v>
      </c>
    </row>
    <row r="271" spans="1:20" x14ac:dyDescent="0.25">
      <c r="A271" s="29">
        <f t="shared" si="167"/>
        <v>260</v>
      </c>
      <c r="B271" s="67"/>
      <c r="D271" s="2" t="s">
        <v>66</v>
      </c>
      <c r="E271" s="110">
        <v>1800</v>
      </c>
      <c r="F271" s="111">
        <v>8.9340000000000003E-2</v>
      </c>
      <c r="G271" s="99">
        <f t="shared" si="217"/>
        <v>160.81200000000001</v>
      </c>
      <c r="H271" s="115">
        <f t="shared" ref="H271:H272" si="222">H22</f>
        <v>0.10099</v>
      </c>
      <c r="I271" s="99">
        <f t="shared" si="218"/>
        <v>181.78199999999998</v>
      </c>
      <c r="J271" s="101">
        <f>I271/I273</f>
        <v>0.15507617655865708</v>
      </c>
      <c r="K271" s="101"/>
      <c r="L271" s="115">
        <f t="shared" ref="L271:L272" si="223">L22</f>
        <v>0.10677</v>
      </c>
      <c r="M271" s="99">
        <f t="shared" si="219"/>
        <v>192.18600000000001</v>
      </c>
      <c r="N271" s="99">
        <f t="shared" si="216"/>
        <v>10.404000000000025</v>
      </c>
      <c r="O271" s="101">
        <f t="shared" si="220"/>
        <v>5.7233389444499599E-2</v>
      </c>
      <c r="P271" s="101">
        <f>M271/M273</f>
        <v>0.15553481247302017</v>
      </c>
      <c r="Q271" s="100">
        <f t="shared" si="221"/>
        <v>4.5863591436309803E-4</v>
      </c>
      <c r="R271" s="100"/>
      <c r="T271" s="6">
        <f>L271/H271-1</f>
        <v>5.7233389444499627E-2</v>
      </c>
    </row>
    <row r="272" spans="1:20" x14ac:dyDescent="0.25">
      <c r="A272" s="29">
        <f t="shared" si="167"/>
        <v>261</v>
      </c>
      <c r="B272" s="67"/>
      <c r="D272" s="2" t="s">
        <v>67</v>
      </c>
      <c r="E272" s="110">
        <v>4324</v>
      </c>
      <c r="F272" s="111">
        <v>0.12035</v>
      </c>
      <c r="G272" s="99">
        <f t="shared" si="217"/>
        <v>520.39340000000004</v>
      </c>
      <c r="H272" s="115">
        <f t="shared" si="222"/>
        <v>0.13200000000000001</v>
      </c>
      <c r="I272" s="99">
        <f t="shared" si="218"/>
        <v>570.76800000000003</v>
      </c>
      <c r="J272" s="101">
        <f>I272/I273</f>
        <v>0.48691575151572541</v>
      </c>
      <c r="K272" s="101"/>
      <c r="L272" s="115">
        <f t="shared" si="223"/>
        <v>0.13955000000000001</v>
      </c>
      <c r="M272" s="99">
        <f t="shared" si="219"/>
        <v>603.41420000000005</v>
      </c>
      <c r="N272" s="99">
        <f t="shared" si="216"/>
        <v>32.646200000000022</v>
      </c>
      <c r="O272" s="101">
        <f t="shared" si="220"/>
        <v>5.7196969696969732E-2</v>
      </c>
      <c r="P272" s="101">
        <f>M272/M273</f>
        <v>0.48833897599490855</v>
      </c>
      <c r="Q272" s="100">
        <f t="shared" si="221"/>
        <v>1.4232244791831383E-3</v>
      </c>
      <c r="R272" s="100"/>
      <c r="T272" s="6">
        <f>L272/H272-1</f>
        <v>5.7196969696969635E-2</v>
      </c>
    </row>
    <row r="273" spans="1:20" s="7" customFormat="1" ht="20.399999999999999" customHeight="1" x14ac:dyDescent="0.3">
      <c r="A273" s="29">
        <f t="shared" si="167"/>
        <v>262</v>
      </c>
      <c r="C273" s="17"/>
      <c r="D273" s="19" t="s">
        <v>7</v>
      </c>
      <c r="E273" s="19"/>
      <c r="F273" s="123"/>
      <c r="G273" s="112">
        <f>SUM(G268:G272)</f>
        <v>1069.4114</v>
      </c>
      <c r="H273" s="19"/>
      <c r="I273" s="112">
        <f>SUM(I268:I272)</f>
        <v>1172.211</v>
      </c>
      <c r="J273" s="117">
        <f>SUM(J268:J269)</f>
        <v>0.17896948586901165</v>
      </c>
      <c r="K273" s="118">
        <f>I273+Summary!I27</f>
        <v>1239.2809999999999</v>
      </c>
      <c r="L273" s="19"/>
      <c r="M273" s="112">
        <f>SUM(M268:M272)</f>
        <v>1235.6462000000001</v>
      </c>
      <c r="N273" s="112">
        <f t="shared" si="216"/>
        <v>63.435200000000123</v>
      </c>
      <c r="O273" s="117">
        <f t="shared" ref="O273" si="224">N273/I273</f>
        <v>5.4115854568844789E-2</v>
      </c>
      <c r="P273" s="117">
        <f>SUM(P268:P269)</f>
        <v>0.17655539263585318</v>
      </c>
      <c r="Q273" s="131">
        <f t="shared" si="221"/>
        <v>-2.4140932331584708E-3</v>
      </c>
      <c r="R273" s="119">
        <f>M273-K273</f>
        <v>-3.6347999999998137</v>
      </c>
      <c r="S273" s="7">
        <f>K273/I273</f>
        <v>1.0572166615054797</v>
      </c>
    </row>
    <row r="274" spans="1:20" x14ac:dyDescent="0.25">
      <c r="A274" s="29">
        <f t="shared" si="167"/>
        <v>263</v>
      </c>
      <c r="D274" s="2" t="s">
        <v>27</v>
      </c>
      <c r="G274" s="13">
        <v>90.87</v>
      </c>
      <c r="I274" s="13">
        <f>G274-($H$390*(E271+E270+E272))</f>
        <v>-11.929600000000008</v>
      </c>
      <c r="M274" s="99">
        <f>I274</f>
        <v>-11.929600000000008</v>
      </c>
      <c r="N274" s="99">
        <f t="shared" si="216"/>
        <v>0</v>
      </c>
      <c r="O274" s="67">
        <v>0</v>
      </c>
      <c r="R274" s="120"/>
    </row>
    <row r="275" spans="1:20" x14ac:dyDescent="0.25">
      <c r="A275" s="29">
        <f t="shared" si="167"/>
        <v>264</v>
      </c>
      <c r="D275" s="2" t="s">
        <v>28</v>
      </c>
      <c r="G275" s="13">
        <v>142.5</v>
      </c>
      <c r="I275" s="13">
        <f>G275</f>
        <v>142.5</v>
      </c>
      <c r="M275" s="99">
        <f t="shared" ref="M275:M277" si="225">I275</f>
        <v>142.5</v>
      </c>
      <c r="N275" s="99">
        <f t="shared" si="216"/>
        <v>0</v>
      </c>
      <c r="O275" s="67">
        <v>0</v>
      </c>
    </row>
    <row r="276" spans="1:20" x14ac:dyDescent="0.25">
      <c r="A276" s="29">
        <f t="shared" si="167"/>
        <v>265</v>
      </c>
      <c r="D276" s="2" t="s">
        <v>30</v>
      </c>
      <c r="E276" s="110"/>
      <c r="F276" s="67"/>
      <c r="G276" s="99">
        <v>0</v>
      </c>
      <c r="I276" s="13">
        <f>G276</f>
        <v>0</v>
      </c>
      <c r="M276" s="99">
        <f t="shared" si="225"/>
        <v>0</v>
      </c>
      <c r="N276" s="99">
        <f t="shared" si="216"/>
        <v>0</v>
      </c>
      <c r="O276" s="67">
        <v>0</v>
      </c>
    </row>
    <row r="277" spans="1:20" x14ac:dyDescent="0.25">
      <c r="A277" s="29">
        <f t="shared" si="167"/>
        <v>266</v>
      </c>
      <c r="B277" s="54"/>
      <c r="D277" s="2" t="s">
        <v>40</v>
      </c>
      <c r="G277" s="99">
        <v>0</v>
      </c>
      <c r="I277" s="13">
        <f>G277</f>
        <v>0</v>
      </c>
      <c r="M277" s="99">
        <f t="shared" si="225"/>
        <v>0</v>
      </c>
      <c r="N277" s="99"/>
      <c r="O277" s="67">
        <v>0</v>
      </c>
    </row>
    <row r="278" spans="1:20" x14ac:dyDescent="0.25">
      <c r="A278" s="29">
        <f t="shared" si="167"/>
        <v>267</v>
      </c>
      <c r="D278" s="15" t="s">
        <v>9</v>
      </c>
      <c r="E278" s="15"/>
      <c r="F278" s="15"/>
      <c r="G278" s="113">
        <f>SUM(G274:G277)</f>
        <v>233.37</v>
      </c>
      <c r="H278" s="15"/>
      <c r="I278" s="113">
        <f>SUM(I274:I277)</f>
        <v>130.57040000000001</v>
      </c>
      <c r="J278" s="15"/>
      <c r="K278" s="15"/>
      <c r="L278" s="15"/>
      <c r="M278" s="113">
        <f>SUM(M274:M277)</f>
        <v>130.57040000000001</v>
      </c>
      <c r="N278" s="113">
        <f>M278-I278</f>
        <v>0</v>
      </c>
      <c r="O278" s="121">
        <v>0</v>
      </c>
    </row>
    <row r="279" spans="1:20" s="7" customFormat="1" ht="26.4" customHeight="1" thickBot="1" x14ac:dyDescent="0.3">
      <c r="A279" s="29">
        <f t="shared" si="167"/>
        <v>268</v>
      </c>
      <c r="C279" s="17"/>
      <c r="D279" s="8" t="s">
        <v>20</v>
      </c>
      <c r="E279" s="8"/>
      <c r="F279" s="8"/>
      <c r="G279" s="114">
        <f>G273+G278</f>
        <v>1302.7813999999998</v>
      </c>
      <c r="H279" s="8"/>
      <c r="I279" s="132">
        <f>I278+I273</f>
        <v>1302.7814000000001</v>
      </c>
      <c r="J279" s="8"/>
      <c r="K279" s="8"/>
      <c r="L279" s="8"/>
      <c r="M279" s="114">
        <f>M278+M273</f>
        <v>1366.2166000000002</v>
      </c>
      <c r="N279" s="114">
        <f>M279-I279</f>
        <v>63.435200000000123</v>
      </c>
      <c r="O279" s="122">
        <f>N279/I279</f>
        <v>4.8692129009517728E-2</v>
      </c>
      <c r="P279" s="2"/>
      <c r="Q279" s="2"/>
      <c r="R279" s="2"/>
    </row>
    <row r="280" spans="1:20" ht="13.8" thickTop="1" x14ac:dyDescent="0.25">
      <c r="A280" s="29">
        <f t="shared" si="167"/>
        <v>269</v>
      </c>
      <c r="D280" s="2" t="s">
        <v>19</v>
      </c>
      <c r="E280" s="67">
        <f>(E270+E271+E272)</f>
        <v>8824</v>
      </c>
      <c r="G280" s="124">
        <f>G279/E268</f>
        <v>144.75348888888888</v>
      </c>
      <c r="I280" s="124">
        <f>I279/E268</f>
        <v>144.75348888888891</v>
      </c>
      <c r="M280" s="124">
        <f>M279/E268</f>
        <v>151.80184444444447</v>
      </c>
      <c r="N280" s="124">
        <f>M280-I280</f>
        <v>7.0483555555555597</v>
      </c>
      <c r="O280" s="101">
        <f>N280/I280</f>
        <v>4.8692129009517658E-2</v>
      </c>
    </row>
    <row r="281" spans="1:20" ht="13.8" thickBot="1" x14ac:dyDescent="0.3">
      <c r="A281" s="29">
        <f t="shared" si="167"/>
        <v>270</v>
      </c>
    </row>
    <row r="282" spans="1:20" x14ac:dyDescent="0.25">
      <c r="A282" s="29">
        <f t="shared" si="167"/>
        <v>271</v>
      </c>
      <c r="B282" s="24" t="s">
        <v>31</v>
      </c>
      <c r="C282" s="25" t="s">
        <v>116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</row>
    <row r="283" spans="1:20" x14ac:dyDescent="0.25">
      <c r="A283" s="29">
        <f t="shared" si="167"/>
        <v>272</v>
      </c>
      <c r="B283" s="128"/>
      <c r="C283" s="129" t="s">
        <v>82</v>
      </c>
      <c r="E283" s="110"/>
      <c r="F283" s="67"/>
      <c r="G283" s="99"/>
      <c r="H283" s="67"/>
      <c r="I283" s="99"/>
      <c r="J283" s="101"/>
      <c r="K283" s="101"/>
      <c r="L283" s="67"/>
      <c r="M283" s="99"/>
      <c r="N283" s="99"/>
      <c r="O283" s="101"/>
      <c r="P283" s="101"/>
      <c r="Q283" s="100"/>
      <c r="R283" s="100"/>
      <c r="T283" s="6"/>
    </row>
    <row r="284" spans="1:20" x14ac:dyDescent="0.25">
      <c r="A284" s="29">
        <f t="shared" si="167"/>
        <v>273</v>
      </c>
      <c r="B284" s="128"/>
      <c r="C284" s="130" t="s">
        <v>83</v>
      </c>
      <c r="E284" s="110"/>
      <c r="F284" s="67"/>
      <c r="G284" s="99"/>
      <c r="H284" s="67"/>
      <c r="I284" s="99"/>
      <c r="J284" s="101"/>
      <c r="K284" s="101"/>
      <c r="L284" s="67"/>
      <c r="M284" s="99"/>
      <c r="N284" s="99"/>
      <c r="O284" s="101"/>
      <c r="P284" s="101"/>
      <c r="Q284" s="100"/>
      <c r="R284" s="100"/>
      <c r="T284" s="6"/>
    </row>
    <row r="285" spans="1:20" x14ac:dyDescent="0.25">
      <c r="A285" s="29">
        <f t="shared" ref="A285:A349" si="226">A284+1</f>
        <v>274</v>
      </c>
      <c r="B285" s="130">
        <v>11</v>
      </c>
      <c r="C285" s="130" t="s">
        <v>84</v>
      </c>
      <c r="E285" s="110">
        <v>58999</v>
      </c>
      <c r="F285" s="67">
        <v>11.3</v>
      </c>
      <c r="G285" s="99">
        <f t="shared" ref="G285:G297" si="227">F285*E285</f>
        <v>666688.70000000007</v>
      </c>
      <c r="H285" s="67">
        <v>11.52</v>
      </c>
      <c r="I285" s="99">
        <f t="shared" ref="I285:I297" si="228">H285*E285</f>
        <v>679668.48</v>
      </c>
      <c r="J285" s="101">
        <f t="shared" ref="J285:J321" si="229">I285/I$324</f>
        <v>0.30356150840219243</v>
      </c>
      <c r="K285" s="101"/>
      <c r="L285" s="67">
        <f t="shared" ref="L285:L321" si="230">ROUND(H285*S$324,2)</f>
        <v>12.18</v>
      </c>
      <c r="M285" s="99">
        <f t="shared" ref="M285:M297" si="231">L285*E285</f>
        <v>718607.82</v>
      </c>
      <c r="N285" s="99">
        <f t="shared" ref="N285:N297" si="232">M285-I285</f>
        <v>38939.339999999967</v>
      </c>
      <c r="O285" s="101">
        <f t="shared" ref="O285:O297" si="233">IF(I285=0,0,N285/I285)</f>
        <v>5.7291666666666623E-2</v>
      </c>
      <c r="P285" s="101">
        <f t="shared" ref="P285:P321" si="234">M285/M$324</f>
        <v>0.30360314753356654</v>
      </c>
      <c r="Q285" s="100">
        <f t="shared" ref="Q285:Q297" si="235">P285-J285</f>
        <v>4.1639131374116012E-5</v>
      </c>
      <c r="R285" s="100"/>
      <c r="T285" s="6">
        <f t="shared" ref="T285:T297" si="236">L285/H285-1</f>
        <v>5.7291666666666741E-2</v>
      </c>
    </row>
    <row r="286" spans="1:20" x14ac:dyDescent="0.25">
      <c r="A286" s="29">
        <f t="shared" si="226"/>
        <v>275</v>
      </c>
      <c r="B286" s="130">
        <v>12</v>
      </c>
      <c r="C286" s="130" t="s">
        <v>85</v>
      </c>
      <c r="E286" s="110">
        <v>11985</v>
      </c>
      <c r="F286" s="67">
        <v>16.47</v>
      </c>
      <c r="G286" s="99">
        <f t="shared" si="227"/>
        <v>197392.94999999998</v>
      </c>
      <c r="H286" s="67">
        <v>16.690000000000001</v>
      </c>
      <c r="I286" s="99">
        <f t="shared" si="228"/>
        <v>200029.65000000002</v>
      </c>
      <c r="J286" s="101">
        <f t="shared" si="229"/>
        <v>8.9339588440474127E-2</v>
      </c>
      <c r="K286" s="101"/>
      <c r="L286" s="67">
        <f t="shared" si="230"/>
        <v>17.64</v>
      </c>
      <c r="M286" s="99">
        <f t="shared" si="231"/>
        <v>211415.4</v>
      </c>
      <c r="N286" s="99">
        <f t="shared" si="232"/>
        <v>11385.749999999971</v>
      </c>
      <c r="O286" s="101">
        <f t="shared" si="233"/>
        <v>5.6920311563810513E-2</v>
      </c>
      <c r="P286" s="101">
        <f t="shared" si="234"/>
        <v>8.9320459770487873E-2</v>
      </c>
      <c r="Q286" s="100">
        <f t="shared" si="235"/>
        <v>-1.9128669986254176E-5</v>
      </c>
      <c r="R286" s="100"/>
      <c r="T286" s="6">
        <f t="shared" si="236"/>
        <v>5.6920311563810611E-2</v>
      </c>
    </row>
    <row r="287" spans="1:20" x14ac:dyDescent="0.25">
      <c r="A287" s="29">
        <f t="shared" si="226"/>
        <v>276</v>
      </c>
      <c r="B287" s="130">
        <v>21</v>
      </c>
      <c r="C287" s="130" t="s">
        <v>86</v>
      </c>
      <c r="E287" s="110">
        <v>45794</v>
      </c>
      <c r="F287" s="67">
        <v>11.3</v>
      </c>
      <c r="G287" s="99">
        <f t="shared" si="227"/>
        <v>517472.2</v>
      </c>
      <c r="H287" s="67">
        <v>11.77</v>
      </c>
      <c r="I287" s="99">
        <f t="shared" si="228"/>
        <v>538995.38</v>
      </c>
      <c r="J287" s="101">
        <f t="shared" si="229"/>
        <v>0.2407324385185744</v>
      </c>
      <c r="K287" s="101"/>
      <c r="L287" s="67">
        <f t="shared" si="230"/>
        <v>12.44</v>
      </c>
      <c r="M287" s="99">
        <f t="shared" si="231"/>
        <v>569677.36</v>
      </c>
      <c r="N287" s="99">
        <f t="shared" si="232"/>
        <v>30681.979999999981</v>
      </c>
      <c r="O287" s="101">
        <f t="shared" si="233"/>
        <v>5.6924384027187733E-2</v>
      </c>
      <c r="P287" s="101">
        <f t="shared" si="234"/>
        <v>0.24068182221369747</v>
      </c>
      <c r="Q287" s="100">
        <f t="shared" si="235"/>
        <v>-5.0616304876932583E-5</v>
      </c>
      <c r="R287" s="100"/>
      <c r="T287" s="6">
        <f t="shared" si="236"/>
        <v>5.6924384027187802E-2</v>
      </c>
    </row>
    <row r="288" spans="1:20" x14ac:dyDescent="0.25">
      <c r="A288" s="29">
        <f t="shared" si="226"/>
        <v>277</v>
      </c>
      <c r="B288" s="130">
        <v>22</v>
      </c>
      <c r="C288" s="130" t="s">
        <v>87</v>
      </c>
      <c r="E288" s="110">
        <v>7926</v>
      </c>
      <c r="F288" s="67">
        <v>16.47</v>
      </c>
      <c r="G288" s="99">
        <f t="shared" si="227"/>
        <v>130541.21999999999</v>
      </c>
      <c r="H288" s="67">
        <v>16.940000000000001</v>
      </c>
      <c r="I288" s="99">
        <f t="shared" si="228"/>
        <v>134266.44</v>
      </c>
      <c r="J288" s="101">
        <f t="shared" si="229"/>
        <v>5.996765225039194E-2</v>
      </c>
      <c r="K288" s="101"/>
      <c r="L288" s="67">
        <f t="shared" si="230"/>
        <v>17.91</v>
      </c>
      <c r="M288" s="99">
        <f t="shared" si="231"/>
        <v>141954.66</v>
      </c>
      <c r="N288" s="99">
        <f t="shared" si="232"/>
        <v>7688.2200000000012</v>
      </c>
      <c r="O288" s="101">
        <f t="shared" si="233"/>
        <v>5.7260920897284538E-2</v>
      </c>
      <c r="P288" s="101">
        <f t="shared" si="234"/>
        <v>5.9974133851002739E-2</v>
      </c>
      <c r="Q288" s="100">
        <f t="shared" si="235"/>
        <v>6.4816006107998314E-6</v>
      </c>
      <c r="R288" s="100"/>
      <c r="T288" s="6">
        <f t="shared" si="236"/>
        <v>5.7260920897284517E-2</v>
      </c>
    </row>
    <row r="289" spans="1:20" x14ac:dyDescent="0.25">
      <c r="A289" s="29">
        <f t="shared" si="226"/>
        <v>278</v>
      </c>
      <c r="B289" s="130"/>
      <c r="C289" s="130" t="s">
        <v>88</v>
      </c>
      <c r="E289" s="110"/>
      <c r="F289" s="67"/>
      <c r="G289" s="99">
        <f t="shared" si="227"/>
        <v>0</v>
      </c>
      <c r="H289" s="67"/>
      <c r="I289" s="99">
        <f t="shared" si="228"/>
        <v>0</v>
      </c>
      <c r="J289" s="101">
        <f t="shared" si="229"/>
        <v>0</v>
      </c>
      <c r="K289" s="101"/>
      <c r="L289" s="67">
        <f t="shared" si="230"/>
        <v>0</v>
      </c>
      <c r="M289" s="99">
        <f t="shared" si="231"/>
        <v>0</v>
      </c>
      <c r="N289" s="99">
        <f t="shared" si="232"/>
        <v>0</v>
      </c>
      <c r="O289" s="101">
        <f t="shared" si="233"/>
        <v>0</v>
      </c>
      <c r="P289" s="101">
        <f t="shared" si="234"/>
        <v>0</v>
      </c>
      <c r="Q289" s="100">
        <f t="shared" si="235"/>
        <v>0</v>
      </c>
      <c r="R289" s="100"/>
      <c r="T289" s="6"/>
    </row>
    <row r="290" spans="1:20" x14ac:dyDescent="0.25">
      <c r="A290" s="29">
        <f t="shared" si="226"/>
        <v>279</v>
      </c>
      <c r="B290" s="130">
        <v>31</v>
      </c>
      <c r="C290" s="130" t="s">
        <v>89</v>
      </c>
      <c r="E290" s="110">
        <v>1569</v>
      </c>
      <c r="F290" s="67">
        <v>16.850000000000001</v>
      </c>
      <c r="G290" s="99">
        <f t="shared" si="227"/>
        <v>26437.65</v>
      </c>
      <c r="H290" s="67">
        <v>17.32</v>
      </c>
      <c r="I290" s="99">
        <f t="shared" si="228"/>
        <v>27175.08</v>
      </c>
      <c r="J290" s="101">
        <f t="shared" si="229"/>
        <v>1.2137252967432377E-2</v>
      </c>
      <c r="K290" s="101"/>
      <c r="L290" s="67">
        <f t="shared" si="230"/>
        <v>18.309999999999999</v>
      </c>
      <c r="M290" s="99">
        <f t="shared" si="231"/>
        <v>28728.39</v>
      </c>
      <c r="N290" s="99">
        <f t="shared" si="232"/>
        <v>1553.3099999999977</v>
      </c>
      <c r="O290" s="101">
        <f t="shared" si="233"/>
        <v>5.7159353348729701E-2</v>
      </c>
      <c r="P290" s="101">
        <f t="shared" si="234"/>
        <v>1.2137398710150188E-2</v>
      </c>
      <c r="Q290" s="100">
        <f t="shared" si="235"/>
        <v>1.4574271781087056E-7</v>
      </c>
      <c r="R290" s="100"/>
      <c r="T290" s="6">
        <f t="shared" si="236"/>
        <v>5.7159353348729791E-2</v>
      </c>
    </row>
    <row r="291" spans="1:20" x14ac:dyDescent="0.25">
      <c r="A291" s="29">
        <f t="shared" si="226"/>
        <v>280</v>
      </c>
      <c r="B291" s="130">
        <v>32</v>
      </c>
      <c r="C291" s="130" t="s">
        <v>90</v>
      </c>
      <c r="E291" s="110">
        <v>513</v>
      </c>
      <c r="F291" s="67">
        <v>23.09</v>
      </c>
      <c r="G291" s="99">
        <f t="shared" si="227"/>
        <v>11845.17</v>
      </c>
      <c r="H291" s="67">
        <v>23.56</v>
      </c>
      <c r="I291" s="99">
        <f t="shared" si="228"/>
        <v>12086.279999999999</v>
      </c>
      <c r="J291" s="101">
        <f t="shared" si="229"/>
        <v>5.3981161341647771E-3</v>
      </c>
      <c r="K291" s="101"/>
      <c r="L291" s="67">
        <f t="shared" si="230"/>
        <v>24.91</v>
      </c>
      <c r="M291" s="99">
        <f t="shared" si="231"/>
        <v>12778.83</v>
      </c>
      <c r="N291" s="99">
        <f t="shared" si="232"/>
        <v>692.55000000000109</v>
      </c>
      <c r="O291" s="101">
        <f t="shared" si="233"/>
        <v>5.7300509337860878E-2</v>
      </c>
      <c r="P291" s="101">
        <f t="shared" si="234"/>
        <v>5.3989017400288891E-3</v>
      </c>
      <c r="Q291" s="100">
        <f t="shared" si="235"/>
        <v>7.8560586411202671E-7</v>
      </c>
      <c r="R291" s="100"/>
      <c r="T291" s="6">
        <f t="shared" si="236"/>
        <v>5.7300509337860905E-2</v>
      </c>
    </row>
    <row r="292" spans="1:20" x14ac:dyDescent="0.25">
      <c r="A292" s="29">
        <f t="shared" si="226"/>
        <v>281</v>
      </c>
      <c r="B292" s="130">
        <v>33</v>
      </c>
      <c r="C292" s="130" t="s">
        <v>91</v>
      </c>
      <c r="E292" s="110">
        <v>96</v>
      </c>
      <c r="F292" s="67">
        <v>22.76</v>
      </c>
      <c r="G292" s="99">
        <f t="shared" si="227"/>
        <v>2184.96</v>
      </c>
      <c r="H292" s="67">
        <v>23.73</v>
      </c>
      <c r="I292" s="99">
        <f t="shared" si="228"/>
        <v>2278.08</v>
      </c>
      <c r="J292" s="101">
        <f t="shared" si="229"/>
        <v>1.0174628093108961E-3</v>
      </c>
      <c r="K292" s="101"/>
      <c r="L292" s="67">
        <f t="shared" si="230"/>
        <v>25.09</v>
      </c>
      <c r="M292" s="99">
        <f t="shared" si="231"/>
        <v>2408.64</v>
      </c>
      <c r="N292" s="99">
        <f t="shared" si="232"/>
        <v>130.55999999999995</v>
      </c>
      <c r="O292" s="101">
        <f t="shared" si="233"/>
        <v>5.731142014327853E-2</v>
      </c>
      <c r="P292" s="101">
        <f t="shared" si="234"/>
        <v>1.0176213852992162E-3</v>
      </c>
      <c r="Q292" s="100">
        <f t="shared" si="235"/>
        <v>1.5857598832007616E-7</v>
      </c>
      <c r="R292" s="100"/>
      <c r="T292" s="6">
        <f t="shared" si="236"/>
        <v>5.7311420143278502E-2</v>
      </c>
    </row>
    <row r="293" spans="1:20" x14ac:dyDescent="0.25">
      <c r="A293" s="29">
        <f t="shared" si="226"/>
        <v>282</v>
      </c>
      <c r="B293" s="130">
        <v>34</v>
      </c>
      <c r="C293" s="130" t="s">
        <v>92</v>
      </c>
      <c r="E293" s="110">
        <v>48</v>
      </c>
      <c r="F293" s="67">
        <v>29.01</v>
      </c>
      <c r="G293" s="99">
        <f t="shared" si="227"/>
        <v>1392.48</v>
      </c>
      <c r="H293" s="67">
        <v>29.98</v>
      </c>
      <c r="I293" s="99">
        <f t="shared" si="228"/>
        <v>1439.04</v>
      </c>
      <c r="J293" s="101">
        <f t="shared" si="229"/>
        <v>6.4272092337000974E-4</v>
      </c>
      <c r="K293" s="101"/>
      <c r="L293" s="67">
        <f t="shared" si="230"/>
        <v>31.7</v>
      </c>
      <c r="M293" s="99">
        <f t="shared" si="231"/>
        <v>1521.6</v>
      </c>
      <c r="N293" s="99">
        <f t="shared" si="232"/>
        <v>82.559999999999945</v>
      </c>
      <c r="O293" s="101">
        <f t="shared" si="233"/>
        <v>5.7371581054035989E-2</v>
      </c>
      <c r="P293" s="101">
        <f t="shared" si="234"/>
        <v>6.4285767066530794E-4</v>
      </c>
      <c r="Q293" s="100">
        <f t="shared" si="235"/>
        <v>1.3674729529820646E-7</v>
      </c>
      <c r="R293" s="100"/>
      <c r="T293" s="6">
        <f t="shared" si="236"/>
        <v>5.7371581054036058E-2</v>
      </c>
    </row>
    <row r="294" spans="1:20" x14ac:dyDescent="0.25">
      <c r="A294" s="29">
        <f t="shared" si="226"/>
        <v>283</v>
      </c>
      <c r="B294" s="130">
        <v>35</v>
      </c>
      <c r="C294" s="130" t="s">
        <v>93</v>
      </c>
      <c r="E294" s="110">
        <v>266</v>
      </c>
      <c r="F294" s="67">
        <v>28.13</v>
      </c>
      <c r="G294" s="99">
        <f t="shared" si="227"/>
        <v>7482.58</v>
      </c>
      <c r="H294" s="67">
        <v>29.92</v>
      </c>
      <c r="I294" s="99">
        <f t="shared" si="228"/>
        <v>7958.72</v>
      </c>
      <c r="J294" s="101">
        <f t="shared" si="229"/>
        <v>3.5546168746131896E-3</v>
      </c>
      <c r="K294" s="101"/>
      <c r="L294" s="67">
        <f t="shared" si="230"/>
        <v>31.63</v>
      </c>
      <c r="M294" s="99">
        <f t="shared" si="231"/>
        <v>8413.58</v>
      </c>
      <c r="N294" s="99">
        <f t="shared" si="232"/>
        <v>454.85999999999967</v>
      </c>
      <c r="O294" s="101">
        <f t="shared" si="233"/>
        <v>5.7152406417112257E-2</v>
      </c>
      <c r="P294" s="101">
        <f t="shared" si="234"/>
        <v>3.5546361992351617E-3</v>
      </c>
      <c r="Q294" s="100">
        <f t="shared" si="235"/>
        <v>1.9324621972072187E-8</v>
      </c>
      <c r="R294" s="100"/>
      <c r="T294" s="6">
        <f t="shared" si="236"/>
        <v>5.7152406417112278E-2</v>
      </c>
    </row>
    <row r="295" spans="1:20" x14ac:dyDescent="0.25">
      <c r="A295" s="29">
        <f t="shared" si="226"/>
        <v>284</v>
      </c>
      <c r="B295" s="130">
        <v>36</v>
      </c>
      <c r="C295" s="130" t="s">
        <v>94</v>
      </c>
      <c r="E295" s="110">
        <v>36</v>
      </c>
      <c r="F295" s="67">
        <v>34.369999999999997</v>
      </c>
      <c r="G295" s="99">
        <f t="shared" si="227"/>
        <v>1237.32</v>
      </c>
      <c r="H295" s="67">
        <v>36.159999999999997</v>
      </c>
      <c r="I295" s="99">
        <f t="shared" si="228"/>
        <v>1301.7599999999998</v>
      </c>
      <c r="J295" s="101">
        <f t="shared" si="229"/>
        <v>5.8140731960622618E-4</v>
      </c>
      <c r="K295" s="101"/>
      <c r="L295" s="67">
        <f t="shared" si="230"/>
        <v>38.229999999999997</v>
      </c>
      <c r="M295" s="99">
        <f t="shared" si="231"/>
        <v>1376.28</v>
      </c>
      <c r="N295" s="99">
        <f t="shared" si="232"/>
        <v>74.520000000000209</v>
      </c>
      <c r="O295" s="101">
        <f t="shared" si="233"/>
        <v>5.724557522123911E-2</v>
      </c>
      <c r="P295" s="101">
        <f t="shared" si="234"/>
        <v>5.8146172120350286E-4</v>
      </c>
      <c r="Q295" s="100">
        <f t="shared" si="235"/>
        <v>5.4401597276683769E-8</v>
      </c>
      <c r="R295" s="100"/>
      <c r="T295" s="6">
        <f t="shared" si="236"/>
        <v>5.7245575221238854E-2</v>
      </c>
    </row>
    <row r="296" spans="1:20" x14ac:dyDescent="0.25">
      <c r="A296" s="29">
        <f t="shared" si="226"/>
        <v>285</v>
      </c>
      <c r="B296" s="130">
        <v>61</v>
      </c>
      <c r="C296" s="130" t="s">
        <v>145</v>
      </c>
      <c r="E296" s="110">
        <v>641</v>
      </c>
      <c r="F296" s="67">
        <v>16.71</v>
      </c>
      <c r="G296" s="99">
        <f t="shared" si="227"/>
        <v>10711.11</v>
      </c>
      <c r="H296" s="67">
        <v>16.95</v>
      </c>
      <c r="I296" s="99">
        <f t="shared" si="228"/>
        <v>10864.949999999999</v>
      </c>
      <c r="J296" s="101">
        <f t="shared" si="229"/>
        <v>4.8526314045259254E-3</v>
      </c>
      <c r="K296" s="101"/>
      <c r="L296" s="67">
        <f t="shared" si="230"/>
        <v>17.920000000000002</v>
      </c>
      <c r="M296" s="99">
        <f t="shared" si="231"/>
        <v>11486.720000000001</v>
      </c>
      <c r="N296" s="99">
        <f t="shared" si="232"/>
        <v>621.77000000000226</v>
      </c>
      <c r="O296" s="101">
        <f t="shared" si="233"/>
        <v>5.7227138643068061E-2</v>
      </c>
      <c r="P296" s="101">
        <f t="shared" si="234"/>
        <v>4.8530008299057618E-3</v>
      </c>
      <c r="Q296" s="100">
        <f t="shared" si="235"/>
        <v>3.6942537983645357E-7</v>
      </c>
      <c r="R296" s="100"/>
      <c r="T296" s="6">
        <f t="shared" si="236"/>
        <v>5.7227138643068054E-2</v>
      </c>
    </row>
    <row r="297" spans="1:20" x14ac:dyDescent="0.25">
      <c r="A297" s="29">
        <f t="shared" si="226"/>
        <v>286</v>
      </c>
      <c r="B297" s="130">
        <v>62</v>
      </c>
      <c r="C297" s="130" t="s">
        <v>146</v>
      </c>
      <c r="E297" s="110">
        <v>240</v>
      </c>
      <c r="F297" s="67">
        <v>21.88</v>
      </c>
      <c r="G297" s="99">
        <f t="shared" si="227"/>
        <v>5251.2</v>
      </c>
      <c r="H297" s="67">
        <v>22.12</v>
      </c>
      <c r="I297" s="99">
        <f t="shared" si="228"/>
        <v>5308.8</v>
      </c>
      <c r="J297" s="101">
        <f t="shared" si="229"/>
        <v>2.3710785231728848E-3</v>
      </c>
      <c r="K297" s="101"/>
      <c r="L297" s="67">
        <f t="shared" si="230"/>
        <v>23.39</v>
      </c>
      <c r="M297" s="99">
        <f t="shared" si="231"/>
        <v>5613.6</v>
      </c>
      <c r="N297" s="99">
        <f t="shared" si="232"/>
        <v>304.80000000000018</v>
      </c>
      <c r="O297" s="101">
        <f t="shared" si="233"/>
        <v>5.7414104882459342E-2</v>
      </c>
      <c r="P297" s="101">
        <f t="shared" si="234"/>
        <v>2.3716783780538728E-3</v>
      </c>
      <c r="Q297" s="100">
        <f t="shared" si="235"/>
        <v>5.9985488098804676E-7</v>
      </c>
      <c r="R297" s="100"/>
      <c r="T297" s="6">
        <f t="shared" si="236"/>
        <v>5.7414104882459238E-2</v>
      </c>
    </row>
    <row r="298" spans="1:20" x14ac:dyDescent="0.25">
      <c r="A298" s="29">
        <f t="shared" si="226"/>
        <v>287</v>
      </c>
      <c r="B298" s="130">
        <v>63</v>
      </c>
      <c r="C298" s="130" t="s">
        <v>147</v>
      </c>
      <c r="E298" s="110">
        <v>135</v>
      </c>
      <c r="F298" s="67">
        <v>19.87</v>
      </c>
      <c r="G298" s="99">
        <f t="shared" ref="G298:G311" si="237">F298*E298</f>
        <v>2682.4500000000003</v>
      </c>
      <c r="H298" s="67">
        <v>20.350000000000001</v>
      </c>
      <c r="I298" s="99">
        <f t="shared" ref="I298:I311" si="238">H298*E298</f>
        <v>2747.25</v>
      </c>
      <c r="J298" s="101">
        <f t="shared" si="229"/>
        <v>1.2270090176285991E-3</v>
      </c>
      <c r="K298" s="101"/>
      <c r="L298" s="67">
        <f t="shared" si="230"/>
        <v>21.51</v>
      </c>
      <c r="M298" s="99">
        <f t="shared" ref="M298:M311" si="239">L298*E298</f>
        <v>2903.8500000000004</v>
      </c>
      <c r="N298" s="99">
        <f t="shared" ref="N298:N311" si="240">M298-I298</f>
        <v>156.60000000000036</v>
      </c>
      <c r="O298" s="101">
        <f t="shared" ref="O298:O311" si="241">IF(I298=0,0,N298/I298)</f>
        <v>5.7002457002457138E-2</v>
      </c>
      <c r="P298" s="101">
        <f t="shared" si="234"/>
        <v>1.2268416449536374E-3</v>
      </c>
      <c r="Q298" s="100">
        <f t="shared" ref="Q298:Q311" si="242">P298-J298</f>
        <v>-1.6737267496177294E-7</v>
      </c>
      <c r="R298" s="100"/>
      <c r="T298" s="6">
        <f t="shared" ref="T298:T311" si="243">L298/H298-1</f>
        <v>5.7002457002456985E-2</v>
      </c>
    </row>
    <row r="299" spans="1:20" x14ac:dyDescent="0.25">
      <c r="A299" s="29">
        <f t="shared" si="226"/>
        <v>288</v>
      </c>
      <c r="B299" s="130">
        <v>64</v>
      </c>
      <c r="C299" s="130" t="s">
        <v>148</v>
      </c>
      <c r="E299" s="110">
        <v>74</v>
      </c>
      <c r="F299" s="67">
        <v>25.04</v>
      </c>
      <c r="G299" s="99">
        <f t="shared" si="237"/>
        <v>1852.96</v>
      </c>
      <c r="H299" s="67">
        <v>25.52</v>
      </c>
      <c r="I299" s="99">
        <f t="shared" si="238"/>
        <v>1888.48</v>
      </c>
      <c r="J299" s="101">
        <f t="shared" si="229"/>
        <v>8.434550876735852E-4</v>
      </c>
      <c r="K299" s="101"/>
      <c r="L299" s="67">
        <f t="shared" si="230"/>
        <v>26.98</v>
      </c>
      <c r="M299" s="99">
        <f t="shared" si="239"/>
        <v>1996.52</v>
      </c>
      <c r="N299" s="99">
        <f t="shared" si="240"/>
        <v>108.03999999999996</v>
      </c>
      <c r="O299" s="101">
        <f t="shared" si="241"/>
        <v>5.7210031347962362E-2</v>
      </c>
      <c r="P299" s="101">
        <f t="shared" si="234"/>
        <v>8.4350564973495045E-4</v>
      </c>
      <c r="Q299" s="100">
        <f t="shared" si="242"/>
        <v>5.0562061365251945E-8</v>
      </c>
      <c r="R299" s="100"/>
      <c r="T299" s="6">
        <f t="shared" si="243"/>
        <v>5.7210031347962431E-2</v>
      </c>
    </row>
    <row r="300" spans="1:20" x14ac:dyDescent="0.25">
      <c r="A300" s="29">
        <f t="shared" si="226"/>
        <v>289</v>
      </c>
      <c r="B300" s="130">
        <v>65</v>
      </c>
      <c r="C300" s="130" t="s">
        <v>149</v>
      </c>
      <c r="E300" s="110">
        <v>95</v>
      </c>
      <c r="F300" s="67">
        <v>26.54</v>
      </c>
      <c r="G300" s="99">
        <f t="shared" si="237"/>
        <v>2521.2999999999997</v>
      </c>
      <c r="H300" s="67">
        <v>27.48</v>
      </c>
      <c r="I300" s="99">
        <f t="shared" si="238"/>
        <v>2610.6</v>
      </c>
      <c r="J300" s="101">
        <f t="shared" si="229"/>
        <v>1.1659767918541163E-3</v>
      </c>
      <c r="K300" s="101"/>
      <c r="L300" s="67">
        <f t="shared" si="230"/>
        <v>29.05</v>
      </c>
      <c r="M300" s="99">
        <f t="shared" si="239"/>
        <v>2759.75</v>
      </c>
      <c r="N300" s="99">
        <f t="shared" si="240"/>
        <v>149.15000000000009</v>
      </c>
      <c r="O300" s="101">
        <f t="shared" si="241"/>
        <v>5.7132459970887957E-2</v>
      </c>
      <c r="P300" s="101">
        <f t="shared" si="234"/>
        <v>1.1659611307955993E-3</v>
      </c>
      <c r="Q300" s="100">
        <f t="shared" si="242"/>
        <v>-1.5661058517081952E-8</v>
      </c>
      <c r="R300" s="100"/>
      <c r="T300" s="6">
        <f t="shared" si="243"/>
        <v>5.7132459970888005E-2</v>
      </c>
    </row>
    <row r="301" spans="1:20" x14ac:dyDescent="0.25">
      <c r="A301" s="29">
        <f t="shared" si="226"/>
        <v>290</v>
      </c>
      <c r="B301" s="130">
        <v>66</v>
      </c>
      <c r="C301" s="130" t="s">
        <v>150</v>
      </c>
      <c r="E301" s="110">
        <v>1</v>
      </c>
      <c r="F301" s="67">
        <v>31.7</v>
      </c>
      <c r="G301" s="99">
        <f t="shared" si="237"/>
        <v>31.7</v>
      </c>
      <c r="H301" s="67">
        <v>32.64</v>
      </c>
      <c r="I301" s="99">
        <f t="shared" si="238"/>
        <v>32.64</v>
      </c>
      <c r="J301" s="101">
        <f t="shared" si="229"/>
        <v>1.4578059636144318E-5</v>
      </c>
      <c r="K301" s="101"/>
      <c r="L301" s="67">
        <f t="shared" si="230"/>
        <v>34.51</v>
      </c>
      <c r="M301" s="99">
        <f t="shared" si="239"/>
        <v>34.51</v>
      </c>
      <c r="N301" s="99">
        <f t="shared" si="240"/>
        <v>1.8699999999999974</v>
      </c>
      <c r="O301" s="101">
        <f t="shared" si="241"/>
        <v>5.7291666666666588E-2</v>
      </c>
      <c r="P301" s="101">
        <f t="shared" si="234"/>
        <v>1.4580059289340021E-5</v>
      </c>
      <c r="Q301" s="100">
        <f t="shared" si="242"/>
        <v>1.999653195703207E-9</v>
      </c>
      <c r="R301" s="100"/>
      <c r="T301" s="6">
        <f t="shared" si="243"/>
        <v>5.7291666666666519E-2</v>
      </c>
    </row>
    <row r="302" spans="1:20" x14ac:dyDescent="0.25">
      <c r="A302" s="29">
        <f t="shared" si="226"/>
        <v>291</v>
      </c>
      <c r="B302" s="130"/>
      <c r="C302" s="130" t="s">
        <v>135</v>
      </c>
      <c r="E302" s="110"/>
      <c r="F302" s="67"/>
      <c r="G302" s="99"/>
      <c r="H302" s="67"/>
      <c r="I302" s="99"/>
      <c r="J302" s="101"/>
      <c r="K302" s="101"/>
      <c r="L302" s="67"/>
      <c r="M302" s="99"/>
      <c r="N302" s="99"/>
      <c r="O302" s="101"/>
      <c r="P302" s="101"/>
      <c r="Q302" s="100"/>
      <c r="R302" s="100"/>
      <c r="T302" s="6"/>
    </row>
    <row r="303" spans="1:20" x14ac:dyDescent="0.25">
      <c r="A303" s="29">
        <f t="shared" si="226"/>
        <v>292</v>
      </c>
      <c r="B303" s="130">
        <v>41</v>
      </c>
      <c r="C303" s="130" t="s">
        <v>95</v>
      </c>
      <c r="E303" s="110">
        <v>617</v>
      </c>
      <c r="F303" s="67">
        <v>15.76</v>
      </c>
      <c r="G303" s="99">
        <f t="shared" si="237"/>
        <v>9723.92</v>
      </c>
      <c r="H303" s="67">
        <v>16.23</v>
      </c>
      <c r="I303" s="99">
        <f t="shared" si="238"/>
        <v>10013.91</v>
      </c>
      <c r="J303" s="101">
        <f t="shared" si="229"/>
        <v>4.4725299378364563E-3</v>
      </c>
      <c r="K303" s="101"/>
      <c r="L303" s="67">
        <f t="shared" si="230"/>
        <v>17.16</v>
      </c>
      <c r="M303" s="99">
        <f t="shared" si="239"/>
        <v>10587.72</v>
      </c>
      <c r="N303" s="99">
        <f t="shared" si="240"/>
        <v>573.80999999999949</v>
      </c>
      <c r="O303" s="101">
        <f t="shared" si="241"/>
        <v>5.7301293900184791E-2</v>
      </c>
      <c r="P303" s="101">
        <f t="shared" si="234"/>
        <v>4.4731841593431219E-3</v>
      </c>
      <c r="Q303" s="100">
        <f t="shared" si="242"/>
        <v>6.5422150666554629E-7</v>
      </c>
      <c r="R303" s="100"/>
      <c r="T303" s="6">
        <f t="shared" si="243"/>
        <v>5.7301293900184902E-2</v>
      </c>
    </row>
    <row r="304" spans="1:20" x14ac:dyDescent="0.25">
      <c r="A304" s="29">
        <f t="shared" si="226"/>
        <v>293</v>
      </c>
      <c r="B304" s="130">
        <v>42</v>
      </c>
      <c r="C304" s="130" t="s">
        <v>96</v>
      </c>
      <c r="E304" s="110">
        <v>161</v>
      </c>
      <c r="F304" s="67">
        <v>22.01</v>
      </c>
      <c r="G304" s="99">
        <f t="shared" si="237"/>
        <v>3543.61</v>
      </c>
      <c r="H304" s="67">
        <v>22.48</v>
      </c>
      <c r="I304" s="99">
        <f t="shared" si="238"/>
        <v>3619.28</v>
      </c>
      <c r="J304" s="101">
        <f t="shared" si="229"/>
        <v>1.6164852843107969E-3</v>
      </c>
      <c r="K304" s="101"/>
      <c r="L304" s="67">
        <f t="shared" si="230"/>
        <v>23.77</v>
      </c>
      <c r="M304" s="99">
        <f t="shared" si="239"/>
        <v>3826.97</v>
      </c>
      <c r="N304" s="99">
        <f t="shared" si="240"/>
        <v>207.6899999999996</v>
      </c>
      <c r="O304" s="101">
        <f t="shared" si="241"/>
        <v>5.7384341637010561E-2</v>
      </c>
      <c r="P304" s="101">
        <f t="shared" si="234"/>
        <v>1.61684872496452E-3</v>
      </c>
      <c r="Q304" s="100">
        <f t="shared" si="242"/>
        <v>3.6344065372311517E-7</v>
      </c>
      <c r="R304" s="100"/>
      <c r="T304" s="6">
        <f t="shared" si="243"/>
        <v>5.7384341637010561E-2</v>
      </c>
    </row>
    <row r="305" spans="1:20" x14ac:dyDescent="0.25">
      <c r="A305" s="29">
        <f t="shared" si="226"/>
        <v>294</v>
      </c>
      <c r="B305" s="130">
        <v>43</v>
      </c>
      <c r="C305" s="130" t="s">
        <v>97</v>
      </c>
      <c r="E305" s="110">
        <v>493</v>
      </c>
      <c r="F305" s="67">
        <v>19.23</v>
      </c>
      <c r="G305" s="99">
        <f t="shared" si="237"/>
        <v>9480.39</v>
      </c>
      <c r="H305" s="67">
        <v>20.2</v>
      </c>
      <c r="I305" s="99">
        <f t="shared" si="238"/>
        <v>9958.6</v>
      </c>
      <c r="J305" s="101">
        <f t="shared" si="229"/>
        <v>4.4478267369027821E-3</v>
      </c>
      <c r="K305" s="101"/>
      <c r="L305" s="67">
        <f t="shared" si="230"/>
        <v>21.36</v>
      </c>
      <c r="M305" s="99">
        <f t="shared" si="239"/>
        <v>10530.48</v>
      </c>
      <c r="N305" s="99">
        <f t="shared" si="240"/>
        <v>571.8799999999992</v>
      </c>
      <c r="O305" s="101">
        <f t="shared" si="241"/>
        <v>5.7425742574257345E-2</v>
      </c>
      <c r="P305" s="101">
        <f t="shared" si="234"/>
        <v>4.4490009488614693E-3</v>
      </c>
      <c r="Q305" s="100">
        <f t="shared" si="242"/>
        <v>1.1742119586872005E-6</v>
      </c>
      <c r="R305" s="100"/>
      <c r="T305" s="6">
        <f t="shared" si="243"/>
        <v>5.7425742574257477E-2</v>
      </c>
    </row>
    <row r="306" spans="1:20" x14ac:dyDescent="0.25">
      <c r="A306" s="29">
        <f t="shared" si="226"/>
        <v>295</v>
      </c>
      <c r="B306" s="130">
        <v>44</v>
      </c>
      <c r="C306" s="130" t="s">
        <v>98</v>
      </c>
      <c r="E306" s="110">
        <v>286</v>
      </c>
      <c r="F306" s="67">
        <v>25.47</v>
      </c>
      <c r="G306" s="99">
        <f t="shared" si="237"/>
        <v>7284.42</v>
      </c>
      <c r="H306" s="67">
        <v>26.44</v>
      </c>
      <c r="I306" s="99">
        <f t="shared" si="238"/>
        <v>7561.84</v>
      </c>
      <c r="J306" s="101">
        <f t="shared" si="229"/>
        <v>3.3773576739884056E-3</v>
      </c>
      <c r="K306" s="101"/>
      <c r="L306" s="67">
        <f t="shared" si="230"/>
        <v>27.95</v>
      </c>
      <c r="M306" s="99">
        <f t="shared" si="239"/>
        <v>7993.7</v>
      </c>
      <c r="N306" s="99">
        <f t="shared" si="240"/>
        <v>431.85999999999967</v>
      </c>
      <c r="O306" s="101">
        <f t="shared" si="241"/>
        <v>5.7110438729198139E-2</v>
      </c>
      <c r="P306" s="101">
        <f t="shared" si="234"/>
        <v>3.3772419571485753E-3</v>
      </c>
      <c r="Q306" s="100">
        <f t="shared" si="242"/>
        <v>-1.1571683983030087E-7</v>
      </c>
      <c r="R306" s="100"/>
      <c r="T306" s="6">
        <f t="shared" si="243"/>
        <v>5.7110438729198076E-2</v>
      </c>
    </row>
    <row r="307" spans="1:20" x14ac:dyDescent="0.25">
      <c r="A307" s="29">
        <f t="shared" si="226"/>
        <v>296</v>
      </c>
      <c r="B307" s="130">
        <v>45</v>
      </c>
      <c r="C307" s="130" t="s">
        <v>99</v>
      </c>
      <c r="E307" s="110">
        <v>631</v>
      </c>
      <c r="F307" s="67">
        <v>24.28</v>
      </c>
      <c r="G307" s="99">
        <f t="shared" si="237"/>
        <v>15320.68</v>
      </c>
      <c r="H307" s="67">
        <v>26.07</v>
      </c>
      <c r="I307" s="99">
        <f t="shared" si="238"/>
        <v>16450.170000000002</v>
      </c>
      <c r="J307" s="101">
        <f t="shared" si="229"/>
        <v>7.3471678702424085E-3</v>
      </c>
      <c r="K307" s="101"/>
      <c r="L307" s="67">
        <f t="shared" si="230"/>
        <v>27.56</v>
      </c>
      <c r="M307" s="99">
        <f t="shared" si="239"/>
        <v>17390.36</v>
      </c>
      <c r="N307" s="99">
        <f t="shared" si="240"/>
        <v>940.18999999999869</v>
      </c>
      <c r="O307" s="101">
        <f t="shared" si="241"/>
        <v>5.7153816647487449E-2</v>
      </c>
      <c r="P307" s="101">
        <f t="shared" si="234"/>
        <v>7.3472176141108998E-3</v>
      </c>
      <c r="Q307" s="100">
        <f t="shared" si="242"/>
        <v>4.9743868491339271E-8</v>
      </c>
      <c r="R307" s="100"/>
      <c r="T307" s="6">
        <f t="shared" si="243"/>
        <v>5.7153816647487421E-2</v>
      </c>
    </row>
    <row r="308" spans="1:20" x14ac:dyDescent="0.25">
      <c r="A308" s="29">
        <f t="shared" si="226"/>
        <v>297</v>
      </c>
      <c r="B308" s="130">
        <v>46</v>
      </c>
      <c r="C308" s="130" t="s">
        <v>100</v>
      </c>
      <c r="E308" s="110">
        <v>224</v>
      </c>
      <c r="F308" s="67">
        <v>30.53</v>
      </c>
      <c r="G308" s="99">
        <f t="shared" si="237"/>
        <v>6838.72</v>
      </c>
      <c r="H308" s="67">
        <v>32.32</v>
      </c>
      <c r="I308" s="99">
        <f t="shared" si="238"/>
        <v>7239.68</v>
      </c>
      <c r="J308" s="101">
        <f t="shared" si="229"/>
        <v>3.2334707961581281E-3</v>
      </c>
      <c r="K308" s="101"/>
      <c r="L308" s="67">
        <f t="shared" si="230"/>
        <v>34.17</v>
      </c>
      <c r="M308" s="99">
        <f t="shared" si="239"/>
        <v>7654.08</v>
      </c>
      <c r="N308" s="99">
        <f t="shared" si="240"/>
        <v>414.39999999999964</v>
      </c>
      <c r="O308" s="101">
        <f t="shared" si="241"/>
        <v>5.7240099009900937E-2</v>
      </c>
      <c r="P308" s="101">
        <f t="shared" si="234"/>
        <v>3.2337565982425869E-3</v>
      </c>
      <c r="Q308" s="100">
        <f t="shared" si="242"/>
        <v>2.8580208445878885E-7</v>
      </c>
      <c r="R308" s="100"/>
      <c r="T308" s="6">
        <f t="shared" si="243"/>
        <v>5.7240099009901124E-2</v>
      </c>
    </row>
    <row r="309" spans="1:20" x14ac:dyDescent="0.25">
      <c r="A309" s="29">
        <f t="shared" si="226"/>
        <v>298</v>
      </c>
      <c r="B309" s="130">
        <v>71</v>
      </c>
      <c r="C309" s="130" t="s">
        <v>101</v>
      </c>
      <c r="E309" s="110">
        <v>337</v>
      </c>
      <c r="F309" s="67">
        <v>14.73</v>
      </c>
      <c r="G309" s="99">
        <f t="shared" si="237"/>
        <v>4964.01</v>
      </c>
      <c r="H309" s="67">
        <v>14.94</v>
      </c>
      <c r="I309" s="99">
        <f t="shared" si="238"/>
        <v>5034.78</v>
      </c>
      <c r="J309" s="101">
        <f t="shared" si="229"/>
        <v>2.2486924967790038E-3</v>
      </c>
      <c r="K309" s="101"/>
      <c r="L309" s="67">
        <f t="shared" si="230"/>
        <v>15.79</v>
      </c>
      <c r="M309" s="99">
        <f t="shared" si="239"/>
        <v>5321.23</v>
      </c>
      <c r="N309" s="99">
        <f t="shared" si="240"/>
        <v>286.44999999999982</v>
      </c>
      <c r="O309" s="101">
        <f t="shared" si="241"/>
        <v>5.6894243641231558E-2</v>
      </c>
      <c r="P309" s="101">
        <f t="shared" si="234"/>
        <v>2.248155574970003E-3</v>
      </c>
      <c r="Q309" s="100">
        <f t="shared" si="242"/>
        <v>-5.3692180900085859E-7</v>
      </c>
      <c r="R309" s="100"/>
      <c r="T309" s="6">
        <f t="shared" si="243"/>
        <v>5.6894243641231634E-2</v>
      </c>
    </row>
    <row r="310" spans="1:20" x14ac:dyDescent="0.25">
      <c r="A310" s="29">
        <f t="shared" si="226"/>
        <v>299</v>
      </c>
      <c r="B310" s="130">
        <v>72</v>
      </c>
      <c r="C310" s="130" t="s">
        <v>102</v>
      </c>
      <c r="E310" s="110">
        <v>127</v>
      </c>
      <c r="F310" s="67">
        <v>19.899999999999999</v>
      </c>
      <c r="G310" s="99">
        <f t="shared" si="237"/>
        <v>2527.2999999999997</v>
      </c>
      <c r="H310" s="67">
        <v>20.11</v>
      </c>
      <c r="I310" s="99">
        <f t="shared" si="238"/>
        <v>2553.9699999999998</v>
      </c>
      <c r="J310" s="101">
        <f t="shared" si="229"/>
        <v>1.1406840370380975E-3</v>
      </c>
      <c r="K310" s="101"/>
      <c r="L310" s="67">
        <f t="shared" si="230"/>
        <v>21.26</v>
      </c>
      <c r="M310" s="99">
        <f t="shared" si="239"/>
        <v>2700.02</v>
      </c>
      <c r="N310" s="99">
        <f t="shared" si="240"/>
        <v>146.05000000000018</v>
      </c>
      <c r="O310" s="101">
        <f t="shared" si="241"/>
        <v>5.7185479860765866E-2</v>
      </c>
      <c r="P310" s="101">
        <f t="shared" si="234"/>
        <v>1.1407259253087177E-3</v>
      </c>
      <c r="Q310" s="100">
        <f t="shared" si="242"/>
        <v>4.1888270620139487E-8</v>
      </c>
      <c r="R310" s="100"/>
      <c r="T310" s="6">
        <f t="shared" si="243"/>
        <v>5.7185479860765831E-2</v>
      </c>
    </row>
    <row r="311" spans="1:20" x14ac:dyDescent="0.25">
      <c r="A311" s="29">
        <f t="shared" si="226"/>
        <v>300</v>
      </c>
      <c r="B311" s="130">
        <v>73</v>
      </c>
      <c r="C311" s="130" t="s">
        <v>103</v>
      </c>
      <c r="E311" s="110">
        <v>170</v>
      </c>
      <c r="F311" s="67">
        <v>17.309999999999999</v>
      </c>
      <c r="G311" s="99">
        <f t="shared" si="237"/>
        <v>2942.7</v>
      </c>
      <c r="H311" s="67">
        <v>17.670000000000002</v>
      </c>
      <c r="I311" s="99">
        <f t="shared" si="238"/>
        <v>3003.9</v>
      </c>
      <c r="J311" s="101">
        <f t="shared" si="229"/>
        <v>1.3416370508889069E-3</v>
      </c>
      <c r="K311" s="101"/>
      <c r="L311" s="67">
        <f t="shared" si="230"/>
        <v>18.68</v>
      </c>
      <c r="M311" s="99">
        <f t="shared" si="239"/>
        <v>3175.6</v>
      </c>
      <c r="N311" s="99">
        <f t="shared" si="240"/>
        <v>171.69999999999982</v>
      </c>
      <c r="O311" s="101">
        <f t="shared" si="241"/>
        <v>5.7159026598754888E-2</v>
      </c>
      <c r="P311" s="101">
        <f t="shared" si="234"/>
        <v>1.341652746427939E-3</v>
      </c>
      <c r="Q311" s="100">
        <f t="shared" si="242"/>
        <v>1.5695539032096334E-8</v>
      </c>
      <c r="R311" s="100"/>
      <c r="T311" s="6">
        <f t="shared" si="243"/>
        <v>5.7159026598754936E-2</v>
      </c>
    </row>
    <row r="312" spans="1:20" x14ac:dyDescent="0.25">
      <c r="A312" s="29">
        <f t="shared" si="226"/>
        <v>301</v>
      </c>
      <c r="B312" s="130">
        <v>74</v>
      </c>
      <c r="C312" s="130" t="s">
        <v>104</v>
      </c>
      <c r="E312" s="110">
        <v>30</v>
      </c>
      <c r="F312" s="67">
        <v>22.48</v>
      </c>
      <c r="G312" s="99">
        <f t="shared" ref="G312:G314" si="244">F312*E312</f>
        <v>674.4</v>
      </c>
      <c r="H312" s="67">
        <v>22.84</v>
      </c>
      <c r="I312" s="99">
        <f t="shared" ref="I312:I314" si="245">H312*E312</f>
        <v>685.2</v>
      </c>
      <c r="J312" s="101">
        <f t="shared" si="229"/>
        <v>3.0603206074405906E-4</v>
      </c>
      <c r="K312" s="101"/>
      <c r="L312" s="67">
        <f t="shared" si="230"/>
        <v>24.15</v>
      </c>
      <c r="M312" s="99">
        <f t="shared" ref="M312:M314" si="246">L312*E312</f>
        <v>724.5</v>
      </c>
      <c r="N312" s="99">
        <f t="shared" ref="N312:N314" si="247">M312-I312</f>
        <v>39.299999999999955</v>
      </c>
      <c r="O312" s="101">
        <f t="shared" ref="O312:O314" si="248">IF(I312=0,0,N312/I312)</f>
        <v>5.7355516637478038E-2</v>
      </c>
      <c r="P312" s="101">
        <f t="shared" si="234"/>
        <v>3.0609252260581994E-4</v>
      </c>
      <c r="Q312" s="100">
        <f t="shared" ref="Q312:Q314" si="249">P312-J312</f>
        <v>6.0461861760882207E-8</v>
      </c>
      <c r="R312" s="100"/>
      <c r="T312" s="6">
        <f t="shared" ref="T312:T321" si="250">L312/H312-1</f>
        <v>5.7355516637477955E-2</v>
      </c>
    </row>
    <row r="313" spans="1:20" x14ac:dyDescent="0.25">
      <c r="A313" s="29">
        <f t="shared" si="226"/>
        <v>302</v>
      </c>
      <c r="B313" s="130">
        <v>75</v>
      </c>
      <c r="C313" s="130" t="s">
        <v>105</v>
      </c>
      <c r="E313" s="110">
        <v>1538</v>
      </c>
      <c r="F313" s="67">
        <v>19.45</v>
      </c>
      <c r="G313" s="99">
        <f t="shared" si="244"/>
        <v>29914.1</v>
      </c>
      <c r="H313" s="67">
        <v>19.989999999999998</v>
      </c>
      <c r="I313" s="99">
        <f t="shared" si="245"/>
        <v>30744.62</v>
      </c>
      <c r="J313" s="101">
        <f t="shared" si="229"/>
        <v>1.3731522789540297E-2</v>
      </c>
      <c r="K313" s="101"/>
      <c r="L313" s="67">
        <f t="shared" si="230"/>
        <v>21.13</v>
      </c>
      <c r="M313" s="99">
        <f t="shared" si="246"/>
        <v>32497.94</v>
      </c>
      <c r="N313" s="99">
        <f t="shared" si="247"/>
        <v>1753.3199999999997</v>
      </c>
      <c r="O313" s="101">
        <f t="shared" si="248"/>
        <v>5.7028514257128557E-2</v>
      </c>
      <c r="P313" s="101">
        <f t="shared" si="234"/>
        <v>1.3729988176801352E-2</v>
      </c>
      <c r="Q313" s="100">
        <f t="shared" si="249"/>
        <v>-1.5346127389456038E-6</v>
      </c>
      <c r="R313" s="100"/>
      <c r="T313" s="6">
        <f t="shared" si="250"/>
        <v>5.7028514257128515E-2</v>
      </c>
    </row>
    <row r="314" spans="1:20" x14ac:dyDescent="0.25">
      <c r="A314" s="29">
        <f t="shared" si="226"/>
        <v>303</v>
      </c>
      <c r="B314" s="130">
        <v>76</v>
      </c>
      <c r="C314" s="130" t="s">
        <v>106</v>
      </c>
      <c r="E314" s="110">
        <v>431</v>
      </c>
      <c r="F314" s="67">
        <v>24.62</v>
      </c>
      <c r="G314" s="99">
        <f t="shared" si="244"/>
        <v>10611.220000000001</v>
      </c>
      <c r="H314" s="67">
        <v>25.16</v>
      </c>
      <c r="I314" s="99">
        <f t="shared" si="245"/>
        <v>10843.960000000001</v>
      </c>
      <c r="J314" s="101">
        <f t="shared" si="229"/>
        <v>4.8432566045331976E-3</v>
      </c>
      <c r="K314" s="101"/>
      <c r="L314" s="67">
        <f t="shared" si="230"/>
        <v>26.6</v>
      </c>
      <c r="M314" s="99">
        <f t="shared" si="246"/>
        <v>11464.6</v>
      </c>
      <c r="N314" s="99">
        <f t="shared" si="247"/>
        <v>620.63999999999942</v>
      </c>
      <c r="O314" s="101">
        <f t="shared" si="248"/>
        <v>5.7233704292527762E-2</v>
      </c>
      <c r="P314" s="101">
        <f t="shared" si="234"/>
        <v>4.8436553963653326E-3</v>
      </c>
      <c r="Q314" s="100">
        <f t="shared" si="249"/>
        <v>3.9879183213499536E-7</v>
      </c>
      <c r="R314" s="100"/>
      <c r="T314" s="6">
        <f t="shared" si="250"/>
        <v>5.7233704292527943E-2</v>
      </c>
    </row>
    <row r="315" spans="1:20" x14ac:dyDescent="0.25">
      <c r="A315" s="29">
        <f t="shared" si="226"/>
        <v>304</v>
      </c>
      <c r="B315" s="130"/>
      <c r="C315" s="129" t="s">
        <v>107</v>
      </c>
      <c r="E315" s="110"/>
      <c r="F315" s="67"/>
      <c r="G315" s="99"/>
      <c r="H315" s="67"/>
      <c r="I315" s="99"/>
      <c r="J315" s="101"/>
      <c r="K315" s="101"/>
      <c r="L315" s="67"/>
      <c r="M315" s="99"/>
      <c r="N315" s="99"/>
      <c r="O315" s="101"/>
      <c r="P315" s="101"/>
      <c r="Q315" s="100"/>
      <c r="R315" s="100"/>
      <c r="T315" s="6"/>
    </row>
    <row r="316" spans="1:20" x14ac:dyDescent="0.25">
      <c r="A316" s="29">
        <f t="shared" si="226"/>
        <v>305</v>
      </c>
      <c r="B316" s="130">
        <v>51</v>
      </c>
      <c r="C316" s="130" t="s">
        <v>108</v>
      </c>
      <c r="E316" s="110">
        <v>10516</v>
      </c>
      <c r="F316" s="67">
        <v>16.64</v>
      </c>
      <c r="G316" s="99">
        <f t="shared" ref="G316:G321" si="251">F316*E316</f>
        <v>174986.24000000002</v>
      </c>
      <c r="H316" s="67">
        <v>17.11</v>
      </c>
      <c r="I316" s="99">
        <f t="shared" ref="I316:I321" si="252">H316*E316</f>
        <v>179928.75999999998</v>
      </c>
      <c r="J316" s="101">
        <f t="shared" si="229"/>
        <v>8.0361893184359628E-2</v>
      </c>
      <c r="K316" s="101"/>
      <c r="L316" s="67">
        <f t="shared" si="230"/>
        <v>18.09</v>
      </c>
      <c r="M316" s="99">
        <f t="shared" ref="M316:M321" si="253">L316*E316</f>
        <v>190234.44</v>
      </c>
      <c r="N316" s="99">
        <f t="shared" ref="N316:N321" si="254">M316-I316</f>
        <v>10305.680000000022</v>
      </c>
      <c r="O316" s="101">
        <f t="shared" ref="O316:O321" si="255">IF(I316=0,0,N316/I316)</f>
        <v>5.7276446522501592E-2</v>
      </c>
      <c r="P316" s="101">
        <f t="shared" si="234"/>
        <v>8.0371759318296057E-2</v>
      </c>
      <c r="Q316" s="100">
        <f t="shared" ref="Q316:Q321" si="256">P316-J316</f>
        <v>9.866133936428656E-6</v>
      </c>
      <c r="R316" s="100"/>
      <c r="T316" s="6">
        <f t="shared" si="250"/>
        <v>5.7276446522501523E-2</v>
      </c>
    </row>
    <row r="317" spans="1:20" x14ac:dyDescent="0.25">
      <c r="A317" s="29">
        <f t="shared" si="226"/>
        <v>306</v>
      </c>
      <c r="B317" s="130">
        <v>52</v>
      </c>
      <c r="C317" s="130" t="s">
        <v>109</v>
      </c>
      <c r="E317" s="110">
        <v>8723</v>
      </c>
      <c r="F317" s="67">
        <v>19.8</v>
      </c>
      <c r="G317" s="99">
        <f t="shared" si="251"/>
        <v>172715.4</v>
      </c>
      <c r="H317" s="67">
        <v>20.27</v>
      </c>
      <c r="I317" s="99">
        <f t="shared" si="252"/>
        <v>176815.21</v>
      </c>
      <c r="J317" s="101">
        <f t="shared" si="229"/>
        <v>7.8971282964380551E-2</v>
      </c>
      <c r="K317" s="101"/>
      <c r="L317" s="67">
        <f t="shared" si="230"/>
        <v>21.43</v>
      </c>
      <c r="M317" s="99">
        <f t="shared" si="253"/>
        <v>186933.88999999998</v>
      </c>
      <c r="N317" s="99">
        <f t="shared" si="254"/>
        <v>10118.679999999993</v>
      </c>
      <c r="O317" s="101">
        <f t="shared" si="255"/>
        <v>5.7227429699062617E-2</v>
      </c>
      <c r="P317" s="101">
        <f t="shared" si="234"/>
        <v>7.89773167020274E-2</v>
      </c>
      <c r="Q317" s="100">
        <f t="shared" si="256"/>
        <v>6.0337376468488912E-6</v>
      </c>
      <c r="R317" s="100"/>
      <c r="T317" s="6">
        <f t="shared" si="250"/>
        <v>5.7227429699062693E-2</v>
      </c>
    </row>
    <row r="318" spans="1:20" x14ac:dyDescent="0.25">
      <c r="A318" s="29">
        <f t="shared" si="226"/>
        <v>307</v>
      </c>
      <c r="B318" s="130">
        <v>53</v>
      </c>
      <c r="C318" s="130" t="s">
        <v>110</v>
      </c>
      <c r="E318" s="110">
        <v>168</v>
      </c>
      <c r="F318" s="67">
        <v>25.82</v>
      </c>
      <c r="G318" s="99">
        <f t="shared" si="251"/>
        <v>4337.76</v>
      </c>
      <c r="H318" s="67">
        <v>25.98</v>
      </c>
      <c r="I318" s="99">
        <f t="shared" si="252"/>
        <v>4364.6400000000003</v>
      </c>
      <c r="J318" s="101">
        <f t="shared" si="229"/>
        <v>1.9493867098744162E-3</v>
      </c>
      <c r="K318" s="101"/>
      <c r="L318" s="67">
        <f t="shared" si="230"/>
        <v>27.47</v>
      </c>
      <c r="M318" s="99">
        <f t="shared" si="253"/>
        <v>4614.96</v>
      </c>
      <c r="N318" s="99">
        <f t="shared" si="254"/>
        <v>250.31999999999971</v>
      </c>
      <c r="O318" s="101">
        <f t="shared" si="255"/>
        <v>5.7351809083910632E-2</v>
      </c>
      <c r="P318" s="101">
        <f t="shared" si="234"/>
        <v>1.9497650077639128E-3</v>
      </c>
      <c r="Q318" s="100">
        <f t="shared" si="256"/>
        <v>3.7829788949658716E-7</v>
      </c>
      <c r="R318" s="100"/>
      <c r="T318" s="6">
        <f t="shared" si="250"/>
        <v>5.7351809083910688E-2</v>
      </c>
    </row>
    <row r="319" spans="1:20" x14ac:dyDescent="0.25">
      <c r="A319" s="29">
        <f t="shared" si="226"/>
        <v>308</v>
      </c>
      <c r="B319" s="130">
        <v>54</v>
      </c>
      <c r="C319" s="130" t="s">
        <v>111</v>
      </c>
      <c r="E319" s="110">
        <v>2036</v>
      </c>
      <c r="F319" s="67">
        <v>32.24</v>
      </c>
      <c r="G319" s="99">
        <f t="shared" si="251"/>
        <v>65640.639999999999</v>
      </c>
      <c r="H319" s="67">
        <v>32.47</v>
      </c>
      <c r="I319" s="99">
        <f t="shared" si="252"/>
        <v>66108.92</v>
      </c>
      <c r="J319" s="101">
        <f t="shared" si="229"/>
        <v>2.9526341245131552E-2</v>
      </c>
      <c r="K319" s="101"/>
      <c r="L319" s="67">
        <f t="shared" si="230"/>
        <v>34.33</v>
      </c>
      <c r="M319" s="99">
        <f t="shared" si="253"/>
        <v>69895.87999999999</v>
      </c>
      <c r="N319" s="99">
        <f t="shared" si="254"/>
        <v>3786.9599999999919</v>
      </c>
      <c r="O319" s="101">
        <f t="shared" si="255"/>
        <v>5.728364644287022E-2</v>
      </c>
      <c r="P319" s="101">
        <f t="shared" si="234"/>
        <v>2.9530167327748342E-2</v>
      </c>
      <c r="Q319" s="100">
        <f t="shared" si="256"/>
        <v>3.8260826167903217E-6</v>
      </c>
      <c r="R319" s="100"/>
      <c r="T319" s="6">
        <f t="shared" si="250"/>
        <v>5.7283646442870317E-2</v>
      </c>
    </row>
    <row r="320" spans="1:20" x14ac:dyDescent="0.25">
      <c r="A320" s="29">
        <f t="shared" si="226"/>
        <v>309</v>
      </c>
      <c r="B320" s="130">
        <v>55</v>
      </c>
      <c r="C320" s="130" t="s">
        <v>112</v>
      </c>
      <c r="E320" s="110">
        <v>2519</v>
      </c>
      <c r="F320" s="67">
        <v>27.11</v>
      </c>
      <c r="G320" s="99">
        <f t="shared" si="251"/>
        <v>68290.09</v>
      </c>
      <c r="H320" s="67">
        <v>27.33</v>
      </c>
      <c r="I320" s="99">
        <f t="shared" si="252"/>
        <v>68844.26999999999</v>
      </c>
      <c r="J320" s="101">
        <f t="shared" si="229"/>
        <v>3.0748035345184468E-2</v>
      </c>
      <c r="K320" s="101"/>
      <c r="L320" s="67">
        <f t="shared" si="230"/>
        <v>28.89</v>
      </c>
      <c r="M320" s="99">
        <f t="shared" si="253"/>
        <v>72773.91</v>
      </c>
      <c r="N320" s="99">
        <f t="shared" si="254"/>
        <v>3929.640000000014</v>
      </c>
      <c r="O320" s="101">
        <f t="shared" si="255"/>
        <v>5.7080131723381111E-2</v>
      </c>
      <c r="P320" s="101">
        <f t="shared" si="234"/>
        <v>3.0746100333732099E-2</v>
      </c>
      <c r="Q320" s="100">
        <f t="shared" si="256"/>
        <v>-1.9350114523683515E-6</v>
      </c>
      <c r="R320" s="100"/>
      <c r="T320" s="6">
        <f t="shared" si="250"/>
        <v>5.7080131723380889E-2</v>
      </c>
    </row>
    <row r="321" spans="1:24" x14ac:dyDescent="0.25">
      <c r="A321" s="29">
        <f t="shared" si="226"/>
        <v>310</v>
      </c>
      <c r="B321" s="130">
        <v>56</v>
      </c>
      <c r="C321" s="130" t="s">
        <v>113</v>
      </c>
      <c r="E321" s="110">
        <v>144</v>
      </c>
      <c r="F321" s="67">
        <v>45.26</v>
      </c>
      <c r="G321" s="99">
        <f t="shared" si="251"/>
        <v>6517.44</v>
      </c>
      <c r="H321" s="67">
        <v>45.54</v>
      </c>
      <c r="I321" s="99">
        <f t="shared" si="252"/>
        <v>6557.76</v>
      </c>
      <c r="J321" s="101">
        <f t="shared" si="229"/>
        <v>2.9289036874853482E-3</v>
      </c>
      <c r="K321" s="101"/>
      <c r="L321" s="67">
        <f t="shared" si="230"/>
        <v>48.15</v>
      </c>
      <c r="M321" s="99">
        <f t="shared" si="253"/>
        <v>6933.5999999999995</v>
      </c>
      <c r="N321" s="99">
        <f t="shared" si="254"/>
        <v>375.83999999999924</v>
      </c>
      <c r="O321" s="101">
        <f t="shared" si="255"/>
        <v>5.7312252964426762E-2</v>
      </c>
      <c r="P321" s="101">
        <f t="shared" si="234"/>
        <v>2.9293624772114739E-3</v>
      </c>
      <c r="Q321" s="100">
        <f t="shared" si="256"/>
        <v>4.5878972612569541E-7</v>
      </c>
      <c r="R321" s="100"/>
      <c r="T321" s="6">
        <f t="shared" si="250"/>
        <v>5.7312252964426769E-2</v>
      </c>
    </row>
    <row r="322" spans="1:24" x14ac:dyDescent="0.25">
      <c r="A322" s="29">
        <f t="shared" si="226"/>
        <v>311</v>
      </c>
      <c r="B322" s="128"/>
      <c r="C322" s="129" t="s">
        <v>114</v>
      </c>
      <c r="E322" s="110"/>
      <c r="F322" s="67"/>
      <c r="G322" s="99"/>
      <c r="H322" s="67"/>
      <c r="I322" s="99"/>
      <c r="J322" s="101"/>
      <c r="K322" s="101"/>
      <c r="L322" s="67"/>
      <c r="M322" s="99"/>
      <c r="N322" s="99"/>
      <c r="O322" s="101"/>
      <c r="P322" s="101"/>
      <c r="Q322" s="100"/>
      <c r="R322" s="100"/>
      <c r="T322" s="6"/>
    </row>
    <row r="323" spans="1:24" x14ac:dyDescent="0.25">
      <c r="A323" s="29">
        <f t="shared" si="226"/>
        <v>312</v>
      </c>
      <c r="B323" s="128"/>
      <c r="C323" s="130" t="s">
        <v>115</v>
      </c>
      <c r="E323" s="110"/>
      <c r="F323" s="111">
        <v>5.7599999999999998E-2</v>
      </c>
      <c r="G323" s="99"/>
      <c r="H323" s="111">
        <v>6.9250000000000006E-2</v>
      </c>
      <c r="I323" s="99"/>
      <c r="J323" s="101"/>
      <c r="K323" s="101"/>
      <c r="L323" s="111">
        <f>H323*S324</f>
        <v>7.321225555008036E-2</v>
      </c>
      <c r="M323" s="99"/>
      <c r="N323" s="99"/>
      <c r="O323" s="101"/>
      <c r="P323" s="101"/>
      <c r="Q323" s="100"/>
      <c r="R323" s="100"/>
      <c r="T323" s="6"/>
    </row>
    <row r="324" spans="1:24" s="7" customFormat="1" ht="24.6" customHeight="1" x14ac:dyDescent="0.3">
      <c r="A324" s="29">
        <f t="shared" si="226"/>
        <v>313</v>
      </c>
      <c r="C324" s="17"/>
      <c r="D324" s="19" t="s">
        <v>7</v>
      </c>
      <c r="E324" s="19"/>
      <c r="F324" s="19"/>
      <c r="G324" s="112">
        <f>SUM(G283:G323)</f>
        <v>2182038.9899999993</v>
      </c>
      <c r="H324" s="19"/>
      <c r="I324" s="112">
        <f>SUM(I283:I323)</f>
        <v>2238981.0999999996</v>
      </c>
      <c r="J324" s="117">
        <f>SUM(J283:J323)</f>
        <v>1.0000000000000002</v>
      </c>
      <c r="K324" s="118">
        <f>I324+Summary!I28</f>
        <v>2367088.1799999997</v>
      </c>
      <c r="L324" s="19"/>
      <c r="M324" s="112">
        <f>SUM(M283:M323)</f>
        <v>2366931.3900000006</v>
      </c>
      <c r="N324" s="112">
        <f>M324-I324</f>
        <v>127950.29000000097</v>
      </c>
      <c r="O324" s="117">
        <f t="shared" ref="O324" si="257">N324/I324</f>
        <v>5.7146659254962442E-2</v>
      </c>
      <c r="P324" s="117">
        <f>SUM(P283:P323)</f>
        <v>0.99999999999999978</v>
      </c>
      <c r="Q324" s="131">
        <f t="shared" ref="Q324" si="258">P324-J324</f>
        <v>0</v>
      </c>
      <c r="R324" s="119">
        <f>M324-K324</f>
        <v>-156.78999999910593</v>
      </c>
      <c r="S324" s="7">
        <f>K324/I324</f>
        <v>1.0572166866437596</v>
      </c>
    </row>
    <row r="325" spans="1:24" x14ac:dyDescent="0.25">
      <c r="A325" s="29">
        <f t="shared" si="226"/>
        <v>314</v>
      </c>
      <c r="D325" s="2" t="s">
        <v>27</v>
      </c>
      <c r="G325" s="13">
        <v>58584.46</v>
      </c>
      <c r="I325" s="13">
        <f>G325</f>
        <v>58584.46</v>
      </c>
      <c r="M325" s="99">
        <f>I325</f>
        <v>58584.46</v>
      </c>
      <c r="N325" s="99">
        <f>M325-I325</f>
        <v>0</v>
      </c>
      <c r="O325" s="67">
        <v>0</v>
      </c>
    </row>
    <row r="326" spans="1:24" x14ac:dyDescent="0.25">
      <c r="A326" s="29">
        <f t="shared" si="226"/>
        <v>315</v>
      </c>
      <c r="D326" s="2" t="s">
        <v>28</v>
      </c>
      <c r="E326" s="126"/>
      <c r="G326" s="13">
        <v>67953.98</v>
      </c>
      <c r="I326" s="13">
        <f>G326</f>
        <v>67953.98</v>
      </c>
      <c r="M326" s="99">
        <f t="shared" ref="M326:M327" si="259">I326</f>
        <v>67953.98</v>
      </c>
      <c r="N326" s="99">
        <f>M326-I326</f>
        <v>0</v>
      </c>
      <c r="O326" s="67">
        <v>0</v>
      </c>
    </row>
    <row r="327" spans="1:24" x14ac:dyDescent="0.25">
      <c r="A327" s="29">
        <f t="shared" si="226"/>
        <v>316</v>
      </c>
      <c r="D327" s="2" t="s">
        <v>30</v>
      </c>
      <c r="G327" s="13">
        <v>0</v>
      </c>
      <c r="I327" s="13">
        <f>G327</f>
        <v>0</v>
      </c>
      <c r="M327" s="99">
        <f t="shared" si="259"/>
        <v>0</v>
      </c>
      <c r="N327" s="99">
        <f>M327-I327</f>
        <v>0</v>
      </c>
      <c r="O327" s="67">
        <v>0</v>
      </c>
    </row>
    <row r="328" spans="1:24" x14ac:dyDescent="0.25">
      <c r="A328" s="29">
        <f t="shared" si="226"/>
        <v>317</v>
      </c>
      <c r="D328" s="2" t="s">
        <v>40</v>
      </c>
      <c r="G328" s="99"/>
      <c r="I328" s="13">
        <f>G328</f>
        <v>0</v>
      </c>
      <c r="M328" s="99"/>
      <c r="N328" s="99"/>
      <c r="O328" s="67"/>
    </row>
    <row r="329" spans="1:24" x14ac:dyDescent="0.25">
      <c r="A329" s="29">
        <f t="shared" si="226"/>
        <v>318</v>
      </c>
      <c r="D329" s="15" t="s">
        <v>9</v>
      </c>
      <c r="E329" s="15"/>
      <c r="F329" s="15"/>
      <c r="G329" s="113">
        <f>SUM(G325:G327)</f>
        <v>126538.44</v>
      </c>
      <c r="H329" s="15"/>
      <c r="I329" s="113">
        <f>SUM(I325:I327)</f>
        <v>126538.44</v>
      </c>
      <c r="J329" s="15"/>
      <c r="K329" s="15"/>
      <c r="L329" s="15"/>
      <c r="M329" s="113">
        <f>SUM(M325:M327)</f>
        <v>126538.44</v>
      </c>
      <c r="N329" s="113">
        <f>M329-I329</f>
        <v>0</v>
      </c>
      <c r="O329" s="121">
        <f>N329-J329</f>
        <v>0</v>
      </c>
    </row>
    <row r="330" spans="1:24" s="7" customFormat="1" ht="26.4" customHeight="1" thickBot="1" x14ac:dyDescent="0.3">
      <c r="A330" s="29">
        <f t="shared" si="226"/>
        <v>319</v>
      </c>
      <c r="C330" s="17"/>
      <c r="D330" s="8" t="s">
        <v>20</v>
      </c>
      <c r="E330" s="8"/>
      <c r="F330" s="8"/>
      <c r="G330" s="114">
        <f>G324+G329</f>
        <v>2308577.4299999992</v>
      </c>
      <c r="H330" s="8"/>
      <c r="I330" s="132">
        <f>I329+I324</f>
        <v>2365519.5399999996</v>
      </c>
      <c r="J330" s="8"/>
      <c r="K330" s="8"/>
      <c r="L330" s="8"/>
      <c r="M330" s="114">
        <f>M329+M324</f>
        <v>2493469.8300000005</v>
      </c>
      <c r="N330" s="114">
        <f>M330-I330</f>
        <v>127950.29000000097</v>
      </c>
      <c r="O330" s="122">
        <f>N330/I330</f>
        <v>5.4089720180455998E-2</v>
      </c>
      <c r="P330" s="2"/>
      <c r="Q330" s="2"/>
      <c r="R330" s="2"/>
      <c r="V330" s="2"/>
      <c r="W330" s="2"/>
      <c r="X330" s="2"/>
    </row>
    <row r="331" spans="1:24" ht="12.6" customHeight="1" thickTop="1" thickBot="1" x14ac:dyDescent="0.3">
      <c r="A331" s="29">
        <f t="shared" si="226"/>
        <v>320</v>
      </c>
    </row>
    <row r="332" spans="1:24" x14ac:dyDescent="0.25">
      <c r="A332" s="29">
        <f t="shared" si="226"/>
        <v>321</v>
      </c>
      <c r="B332" s="24" t="s">
        <v>138</v>
      </c>
      <c r="C332" s="25" t="s">
        <v>41</v>
      </c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</row>
    <row r="333" spans="1:24" x14ac:dyDescent="0.25">
      <c r="A333" s="29">
        <f t="shared" si="226"/>
        <v>322</v>
      </c>
      <c r="D333" s="2" t="s">
        <v>81</v>
      </c>
      <c r="E333" s="110">
        <v>3387379</v>
      </c>
      <c r="F333" s="67">
        <v>7.15</v>
      </c>
      <c r="G333" s="99">
        <f>F333*E333</f>
        <v>24219759.850000001</v>
      </c>
      <c r="H333" s="67">
        <v>7.15</v>
      </c>
      <c r="I333" s="99">
        <f>H333*E333</f>
        <v>24219759.850000001</v>
      </c>
      <c r="J333" s="101">
        <f>I333/I$342</f>
        <v>0.33356280577569458</v>
      </c>
      <c r="K333" s="101"/>
      <c r="L333" s="67">
        <v>8.48</v>
      </c>
      <c r="M333" s="99">
        <f>L333*E333</f>
        <v>28724973.920000002</v>
      </c>
      <c r="N333" s="99">
        <f>M333-I333</f>
        <v>4505214.07</v>
      </c>
      <c r="O333" s="101">
        <f>IF(I333=0,0,N333/I333)</f>
        <v>0.18601398601398603</v>
      </c>
      <c r="P333" s="101">
        <f>M333/M$342</f>
        <v>0.35214799308235767</v>
      </c>
      <c r="Q333" s="100">
        <f>P333-J333</f>
        <v>1.8585187306663087E-2</v>
      </c>
      <c r="R333" s="100"/>
      <c r="S333" s="138"/>
      <c r="T333" s="6">
        <f>L333/H333-1</f>
        <v>0.186013986013986</v>
      </c>
    </row>
    <row r="334" spans="1:24" x14ac:dyDescent="0.25">
      <c r="A334" s="29">
        <f t="shared" si="226"/>
        <v>323</v>
      </c>
      <c r="B334" s="67"/>
      <c r="D334" s="2" t="s">
        <v>71</v>
      </c>
      <c r="E334" s="110">
        <v>419904989</v>
      </c>
      <c r="F334" s="108">
        <v>3.9566999999999998E-2</v>
      </c>
      <c r="G334" s="99">
        <f t="shared" ref="G334:G337" si="260">F334*E334</f>
        <v>16614380.699763</v>
      </c>
      <c r="H334" s="135">
        <v>5.0817000000000001E-2</v>
      </c>
      <c r="I334" s="99">
        <f>H334*E334</f>
        <v>21338311.826012999</v>
      </c>
      <c r="J334" s="101">
        <f>I334/I$342</f>
        <v>0.29387851932815845</v>
      </c>
      <c r="K334" s="101"/>
      <c r="L334" s="135">
        <v>5.4240999999999998E-2</v>
      </c>
      <c r="M334" s="99">
        <f>L334*E334</f>
        <v>22776066.508348998</v>
      </c>
      <c r="N334" s="99">
        <f t="shared" ref="N334:N339" si="261">M334-I334</f>
        <v>1437754.6823359989</v>
      </c>
      <c r="O334" s="101">
        <f t="shared" ref="O334:O339" si="262">IF(I334=0,0,N334/I334)</f>
        <v>6.7379026703662109E-2</v>
      </c>
      <c r="P334" s="101">
        <f>M334/M$342</f>
        <v>0.27921856895546315</v>
      </c>
      <c r="Q334" s="100">
        <f>P334-J334</f>
        <v>-1.4659950372695296E-2</v>
      </c>
      <c r="R334" s="100"/>
      <c r="S334" s="138"/>
      <c r="T334" s="6">
        <f t="shared" ref="T334:T341" si="263">L334/H334-1</f>
        <v>6.7379026703662026E-2</v>
      </c>
    </row>
    <row r="335" spans="1:24" x14ac:dyDescent="0.25">
      <c r="A335" s="29">
        <f t="shared" si="226"/>
        <v>324</v>
      </c>
      <c r="B335" s="67"/>
      <c r="D335" s="2" t="s">
        <v>72</v>
      </c>
      <c r="E335" s="110">
        <v>945336112</v>
      </c>
      <c r="F335" s="108">
        <v>3.6138999999999998E-2</v>
      </c>
      <c r="G335" s="99">
        <f t="shared" si="260"/>
        <v>34163501.751567997</v>
      </c>
      <c r="H335" s="135">
        <v>4.7389000000000001E-2</v>
      </c>
      <c r="I335" s="99">
        <f>H335*E335</f>
        <v>44798533.011568002</v>
      </c>
      <c r="J335" s="101">
        <f>I335/I$342</f>
        <v>0.61698069916963694</v>
      </c>
      <c r="K335" s="101"/>
      <c r="L335" s="135">
        <v>5.0582024696459844E-2</v>
      </c>
      <c r="M335" s="99">
        <f>L335*E335</f>
        <v>47817014.563639328</v>
      </c>
      <c r="N335" s="99">
        <f t="shared" si="261"/>
        <v>3018481.5520713255</v>
      </c>
      <c r="O335" s="101">
        <f t="shared" si="262"/>
        <v>6.7379026703662026E-2</v>
      </c>
      <c r="P335" s="101">
        <f>M335/M$342</f>
        <v>0.58620299397561493</v>
      </c>
      <c r="Q335" s="100">
        <f>P335-J335</f>
        <v>-3.0777705194022009E-2</v>
      </c>
      <c r="R335" s="100"/>
      <c r="S335" s="138"/>
      <c r="T335" s="6">
        <f t="shared" si="263"/>
        <v>6.7379026703662026E-2</v>
      </c>
    </row>
    <row r="336" spans="1:24" x14ac:dyDescent="0.25">
      <c r="A336" s="29">
        <f t="shared" si="226"/>
        <v>325</v>
      </c>
      <c r="B336" s="67"/>
      <c r="D336" s="2" t="s">
        <v>79</v>
      </c>
      <c r="E336" s="110">
        <v>2502163</v>
      </c>
      <c r="F336" s="67">
        <v>-6.22</v>
      </c>
      <c r="G336" s="99">
        <f t="shared" si="260"/>
        <v>-15563453.859999999</v>
      </c>
      <c r="H336" s="67">
        <v>-6.22</v>
      </c>
      <c r="I336" s="99">
        <f>H336*E336</f>
        <v>-15563453.859999999</v>
      </c>
      <c r="J336" s="101">
        <f>I336/I$342</f>
        <v>-0.214345202811834</v>
      </c>
      <c r="K336" s="101"/>
      <c r="L336" s="67">
        <f>H336</f>
        <v>-6.22</v>
      </c>
      <c r="M336" s="99">
        <f>L336*E336</f>
        <v>-15563453.859999999</v>
      </c>
      <c r="N336" s="99">
        <f t="shared" si="261"/>
        <v>0</v>
      </c>
      <c r="O336" s="101">
        <f t="shared" si="262"/>
        <v>0</v>
      </c>
      <c r="P336" s="101">
        <f>M336/M$342</f>
        <v>-0.19079700672636407</v>
      </c>
      <c r="Q336" s="100">
        <f t="shared" ref="Q336:Q341" si="264">P336-J336</f>
        <v>2.354819608546993E-2</v>
      </c>
      <c r="R336" s="100"/>
      <c r="T336" s="6">
        <f t="shared" ref="T336:T337" si="265">L336/H336-1</f>
        <v>0</v>
      </c>
    </row>
    <row r="337" spans="1:20" x14ac:dyDescent="0.25">
      <c r="A337" s="29">
        <f t="shared" si="226"/>
        <v>326</v>
      </c>
      <c r="B337" s="67"/>
      <c r="D337" s="2" t="s">
        <v>80</v>
      </c>
      <c r="E337" s="110">
        <v>525216</v>
      </c>
      <c r="F337" s="67">
        <v>-4.2</v>
      </c>
      <c r="G337" s="99">
        <f t="shared" si="260"/>
        <v>-2205907.2000000002</v>
      </c>
      <c r="H337" s="67">
        <v>-4.2</v>
      </c>
      <c r="I337" s="99">
        <f>H337*E337</f>
        <v>-2205907.2000000002</v>
      </c>
      <c r="J337" s="101">
        <f t="shared" ref="J337:J341" si="266">I337/I$342</f>
        <v>-3.0380507464561269E-2</v>
      </c>
      <c r="K337" s="101"/>
      <c r="L337" s="67">
        <f>H337</f>
        <v>-4.2</v>
      </c>
      <c r="M337" s="99">
        <f>L337*E337</f>
        <v>-2205907.2000000002</v>
      </c>
      <c r="N337" s="99">
        <f t="shared" si="261"/>
        <v>0</v>
      </c>
      <c r="O337" s="101">
        <f t="shared" si="262"/>
        <v>0</v>
      </c>
      <c r="P337" s="101">
        <f t="shared" ref="P337:P341" si="267">M337/M$342</f>
        <v>-2.7042872016850312E-2</v>
      </c>
      <c r="Q337" s="100">
        <f t="shared" si="264"/>
        <v>3.3376354477109571E-3</v>
      </c>
      <c r="R337" s="100"/>
      <c r="T337" s="6">
        <f t="shared" si="265"/>
        <v>0</v>
      </c>
    </row>
    <row r="338" spans="1:20" x14ac:dyDescent="0.25">
      <c r="A338" s="29"/>
      <c r="B338" s="108"/>
      <c r="D338" s="2" t="s">
        <v>163</v>
      </c>
      <c r="E338" s="110"/>
      <c r="F338" s="67"/>
      <c r="G338" s="99">
        <f>1158394*0-414532</f>
        <v>-414532</v>
      </c>
      <c r="H338" s="67"/>
      <c r="I338" s="99">
        <f>G338</f>
        <v>-414532</v>
      </c>
      <c r="J338" s="101">
        <f t="shared" si="266"/>
        <v>-5.7090763021669776E-3</v>
      </c>
      <c r="K338" s="101"/>
      <c r="L338" s="67"/>
      <c r="M338" s="99">
        <f>I338</f>
        <v>-414532</v>
      </c>
      <c r="N338" s="99">
        <f t="shared" si="261"/>
        <v>0</v>
      </c>
      <c r="O338" s="101">
        <f t="shared" si="262"/>
        <v>0</v>
      </c>
      <c r="P338" s="101">
        <f t="shared" si="267"/>
        <v>-5.0818709975147605E-3</v>
      </c>
      <c r="Q338" s="100"/>
      <c r="R338" s="100"/>
      <c r="T338" s="6"/>
    </row>
    <row r="339" spans="1:20" x14ac:dyDescent="0.25">
      <c r="A339" s="29"/>
      <c r="B339" s="108"/>
      <c r="D339" s="2" t="s">
        <v>164</v>
      </c>
      <c r="E339" s="110"/>
      <c r="F339" s="67"/>
      <c r="G339" s="99">
        <f>152040*0-79538</f>
        <v>-79538</v>
      </c>
      <c r="H339" s="67"/>
      <c r="I339" s="99">
        <f>G339</f>
        <v>-79538</v>
      </c>
      <c r="J339" s="101">
        <f t="shared" si="266"/>
        <v>-1.0954245050364196E-3</v>
      </c>
      <c r="K339" s="101"/>
      <c r="L339" s="67"/>
      <c r="M339" s="99">
        <f>I339</f>
        <v>-79538</v>
      </c>
      <c r="N339" s="99">
        <f t="shared" si="261"/>
        <v>0</v>
      </c>
      <c r="O339" s="101">
        <f t="shared" si="262"/>
        <v>0</v>
      </c>
      <c r="P339" s="101">
        <f t="shared" si="267"/>
        <v>-9.7507998272830325E-4</v>
      </c>
      <c r="Q339" s="100"/>
      <c r="R339" s="100"/>
      <c r="T339" s="6"/>
    </row>
    <row r="340" spans="1:20" x14ac:dyDescent="0.25">
      <c r="A340" s="29">
        <f>A337+1</f>
        <v>327</v>
      </c>
      <c r="B340" s="67"/>
      <c r="D340" s="2" t="s">
        <v>124</v>
      </c>
      <c r="E340" s="110">
        <f>E333</f>
        <v>3387379</v>
      </c>
      <c r="F340" s="108">
        <v>3.7499999999999999E-2</v>
      </c>
      <c r="G340" s="99">
        <f>F340*E340</f>
        <v>127026.71249999999</v>
      </c>
      <c r="H340" s="108">
        <v>3.7499999999999999E-2</v>
      </c>
      <c r="I340" s="99">
        <f t="shared" ref="I340:I341" si="268">H340*E340</f>
        <v>127026.71249999999</v>
      </c>
      <c r="J340" s="101">
        <f t="shared" si="266"/>
        <v>1.7494552750473491E-3</v>
      </c>
      <c r="K340" s="101"/>
      <c r="L340" s="108">
        <f>H340</f>
        <v>3.7499999999999999E-2</v>
      </c>
      <c r="M340" s="99">
        <f t="shared" ref="M340:M341" si="269">L340*E340</f>
        <v>127026.71249999999</v>
      </c>
      <c r="N340" s="99">
        <f t="shared" ref="N340:N345" si="270">M340-I340</f>
        <v>0</v>
      </c>
      <c r="O340" s="101">
        <f t="shared" ref="O340:O341" si="271">IF(I340=0,0,N340/I340)</f>
        <v>0</v>
      </c>
      <c r="P340" s="101">
        <f t="shared" si="267"/>
        <v>1.5572582241259918E-3</v>
      </c>
      <c r="Q340" s="100">
        <f t="shared" si="264"/>
        <v>-1.9219705092135726E-4</v>
      </c>
      <c r="R340" s="100"/>
      <c r="T340" s="6">
        <f t="shared" si="263"/>
        <v>0</v>
      </c>
    </row>
    <row r="341" spans="1:20" x14ac:dyDescent="0.25">
      <c r="A341" s="29">
        <f t="shared" si="226"/>
        <v>328</v>
      </c>
      <c r="B341" s="108"/>
      <c r="D341" s="2" t="s">
        <v>125</v>
      </c>
      <c r="E341" s="110">
        <f>E334+E335</f>
        <v>1365241101</v>
      </c>
      <c r="F341" s="108">
        <v>2.8499999999999999E-4</v>
      </c>
      <c r="G341" s="99">
        <f>F341*E341</f>
        <v>389093.71378499997</v>
      </c>
      <c r="H341" s="108">
        <v>2.8499999999999999E-4</v>
      </c>
      <c r="I341" s="99">
        <f t="shared" si="268"/>
        <v>389093.71378499997</v>
      </c>
      <c r="J341" s="101">
        <f t="shared" si="266"/>
        <v>5.3587315350614277E-3</v>
      </c>
      <c r="K341" s="101"/>
      <c r="L341" s="108">
        <f>H341</f>
        <v>2.8499999999999999E-4</v>
      </c>
      <c r="M341" s="99">
        <f t="shared" si="269"/>
        <v>389093.71378499997</v>
      </c>
      <c r="N341" s="99">
        <f t="shared" si="270"/>
        <v>0</v>
      </c>
      <c r="O341" s="101">
        <f t="shared" si="271"/>
        <v>0</v>
      </c>
      <c r="P341" s="101">
        <f t="shared" si="267"/>
        <v>4.7700154858956621E-3</v>
      </c>
      <c r="Q341" s="100">
        <f t="shared" si="264"/>
        <v>-5.8871604916576562E-4</v>
      </c>
      <c r="R341" s="100"/>
      <c r="T341" s="6">
        <f t="shared" si="263"/>
        <v>0</v>
      </c>
    </row>
    <row r="342" spans="1:20" s="7" customFormat="1" ht="20.399999999999999" customHeight="1" x14ac:dyDescent="0.25">
      <c r="A342" s="29">
        <f t="shared" si="226"/>
        <v>329</v>
      </c>
      <c r="C342" s="17"/>
      <c r="D342" s="19" t="s">
        <v>7</v>
      </c>
      <c r="E342" s="19"/>
      <c r="F342" s="123"/>
      <c r="G342" s="112">
        <f>SUM(G333:G341)</f>
        <v>57250331.667615995</v>
      </c>
      <c r="H342" s="19"/>
      <c r="I342" s="112">
        <f>SUM(I333:I341)</f>
        <v>72609294.053865999</v>
      </c>
      <c r="J342" s="117">
        <f>SUM(J333:J341)</f>
        <v>1.0000000000000002</v>
      </c>
      <c r="K342" s="118">
        <f>I342+Summary!I36</f>
        <v>81672578.50421901</v>
      </c>
      <c r="L342" s="19"/>
      <c r="M342" s="112">
        <f>SUM(M333:M341)</f>
        <v>81570744.358273327</v>
      </c>
      <c r="N342" s="112">
        <f t="shared" si="270"/>
        <v>8961450.3044073284</v>
      </c>
      <c r="O342" s="117">
        <f t="shared" ref="O342" si="272">N342/I342</f>
        <v>0.12342015469478575</v>
      </c>
      <c r="P342" s="117">
        <f>SUM(P333:P341)</f>
        <v>1.0000000000000002</v>
      </c>
      <c r="Q342" s="131">
        <f t="shared" ref="Q342" si="273">P342-J342</f>
        <v>0</v>
      </c>
      <c r="R342" s="112">
        <f>M342-K342</f>
        <v>-101834.14594568312</v>
      </c>
      <c r="S342" s="7">
        <f>K342/I342</f>
        <v>1.1248226493378288</v>
      </c>
      <c r="T342" s="2"/>
    </row>
    <row r="343" spans="1:20" x14ac:dyDescent="0.25">
      <c r="A343" s="29">
        <f t="shared" si="226"/>
        <v>330</v>
      </c>
      <c r="B343" s="127"/>
      <c r="D343" s="2" t="s">
        <v>27</v>
      </c>
      <c r="G343" s="13">
        <v>14553805</v>
      </c>
      <c r="I343" s="13">
        <f>G343</f>
        <v>14553805</v>
      </c>
      <c r="K343" s="13"/>
      <c r="M343" s="99">
        <f>I343</f>
        <v>14553805</v>
      </c>
      <c r="N343" s="99">
        <f t="shared" si="270"/>
        <v>0</v>
      </c>
      <c r="O343" s="67">
        <v>0</v>
      </c>
      <c r="R343" s="120"/>
    </row>
    <row r="344" spans="1:20" x14ac:dyDescent="0.25">
      <c r="A344" s="29">
        <f t="shared" si="226"/>
        <v>331</v>
      </c>
      <c r="D344" s="2" t="s">
        <v>28</v>
      </c>
      <c r="E344" s="127"/>
      <c r="G344" s="13">
        <v>11055930</v>
      </c>
      <c r="I344" s="13">
        <f>G344</f>
        <v>11055930</v>
      </c>
      <c r="M344" s="99">
        <f>I344</f>
        <v>11055930</v>
      </c>
      <c r="N344" s="99">
        <f t="shared" si="270"/>
        <v>0</v>
      </c>
      <c r="O344" s="67">
        <v>0</v>
      </c>
    </row>
    <row r="345" spans="1:20" x14ac:dyDescent="0.25">
      <c r="A345" s="29">
        <f t="shared" si="226"/>
        <v>332</v>
      </c>
      <c r="D345" s="2" t="s">
        <v>30</v>
      </c>
      <c r="E345" s="110"/>
      <c r="F345" s="67"/>
      <c r="G345" s="13">
        <f>E345</f>
        <v>0</v>
      </c>
      <c r="I345" s="13">
        <f>G345</f>
        <v>0</v>
      </c>
      <c r="M345" s="99">
        <f t="shared" ref="M345:M346" si="274">I345</f>
        <v>0</v>
      </c>
      <c r="N345" s="99">
        <f t="shared" si="270"/>
        <v>0</v>
      </c>
      <c r="O345" s="67">
        <v>0</v>
      </c>
    </row>
    <row r="346" spans="1:20" x14ac:dyDescent="0.25">
      <c r="A346" s="29">
        <f t="shared" si="226"/>
        <v>333</v>
      </c>
      <c r="B346" s="54"/>
      <c r="D346" s="2" t="s">
        <v>40</v>
      </c>
      <c r="G346" s="99">
        <v>0</v>
      </c>
      <c r="I346" s="13">
        <f>G346</f>
        <v>0</v>
      </c>
      <c r="M346" s="99">
        <f t="shared" si="274"/>
        <v>0</v>
      </c>
      <c r="N346" s="99"/>
      <c r="O346" s="67">
        <v>0</v>
      </c>
    </row>
    <row r="347" spans="1:20" x14ac:dyDescent="0.25">
      <c r="A347" s="29">
        <f t="shared" si="226"/>
        <v>334</v>
      </c>
      <c r="D347" s="15" t="s">
        <v>9</v>
      </c>
      <c r="E347" s="15"/>
      <c r="F347" s="15"/>
      <c r="G347" s="113">
        <f>SUM(G343:G346)</f>
        <v>25609735</v>
      </c>
      <c r="H347" s="15"/>
      <c r="I347" s="113">
        <f>SUM(I343:I346)</f>
        <v>25609735</v>
      </c>
      <c r="J347" s="15"/>
      <c r="K347" s="15"/>
      <c r="L347" s="15"/>
      <c r="M347" s="113">
        <f>SUM(M343:M346)</f>
        <v>25609735</v>
      </c>
      <c r="N347" s="113">
        <f>M347-I347</f>
        <v>0</v>
      </c>
      <c r="O347" s="121">
        <v>0</v>
      </c>
    </row>
    <row r="348" spans="1:20" s="7" customFormat="1" ht="26.4" customHeight="1" thickBot="1" x14ac:dyDescent="0.3">
      <c r="A348" s="29">
        <f t="shared" si="226"/>
        <v>335</v>
      </c>
      <c r="C348" s="17"/>
      <c r="D348" s="8" t="s">
        <v>20</v>
      </c>
      <c r="E348" s="8"/>
      <c r="F348" s="8"/>
      <c r="G348" s="114">
        <f>G342+G347</f>
        <v>82860066.667615995</v>
      </c>
      <c r="H348" s="8"/>
      <c r="I348" s="132">
        <f>I347+I342</f>
        <v>98219029.053865999</v>
      </c>
      <c r="J348" s="8"/>
      <c r="K348" s="8"/>
      <c r="L348" s="8"/>
      <c r="M348" s="114">
        <f>M347+M342</f>
        <v>107180479.35827333</v>
      </c>
      <c r="N348" s="114">
        <f>M348-I348</f>
        <v>8961450.3044073284</v>
      </c>
      <c r="O348" s="122">
        <f>N348/I348</f>
        <v>9.1239451160656695E-2</v>
      </c>
      <c r="P348" s="2"/>
      <c r="Q348" s="2"/>
      <c r="R348" s="2"/>
    </row>
    <row r="349" spans="1:20" ht="13.8" thickTop="1" x14ac:dyDescent="0.25">
      <c r="A349" s="29">
        <f t="shared" si="226"/>
        <v>336</v>
      </c>
      <c r="D349" s="2" t="s">
        <v>19</v>
      </c>
      <c r="E349" s="67">
        <f>(E334+E335)/E333</f>
        <v>403.03759957182234</v>
      </c>
      <c r="G349" s="124">
        <f>G348/E333</f>
        <v>24.461410036377977</v>
      </c>
      <c r="I349" s="124">
        <f>I348/E333</f>
        <v>28.995583031560979</v>
      </c>
      <c r="M349" s="124">
        <f>M348/E333</f>
        <v>31.641124113443855</v>
      </c>
      <c r="N349" s="124">
        <f>M349-I349</f>
        <v>2.6455410818828753</v>
      </c>
      <c r="O349" s="101">
        <f>N349/I349</f>
        <v>9.1239451160656737E-2</v>
      </c>
    </row>
    <row r="350" spans="1:20" x14ac:dyDescent="0.25">
      <c r="A350" s="29">
        <f t="shared" ref="A350:A388" si="275">A349+1</f>
        <v>337</v>
      </c>
    </row>
    <row r="351" spans="1:20" x14ac:dyDescent="0.25">
      <c r="A351" s="29">
        <f t="shared" si="275"/>
        <v>338</v>
      </c>
      <c r="B351" s="20"/>
      <c r="C351" s="21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</row>
    <row r="352" spans="1:20" x14ac:dyDescent="0.25">
      <c r="A352" s="29">
        <f t="shared" si="275"/>
        <v>339</v>
      </c>
    </row>
    <row r="353" spans="1:22" s="7" customFormat="1" ht="19.95" customHeight="1" x14ac:dyDescent="0.3">
      <c r="A353" s="29">
        <f t="shared" si="275"/>
        <v>340</v>
      </c>
      <c r="B353" s="7" t="s">
        <v>29</v>
      </c>
      <c r="C353" s="17"/>
      <c r="D353" s="19" t="s">
        <v>7</v>
      </c>
      <c r="E353" s="19"/>
      <c r="F353" s="19"/>
      <c r="G353" s="136">
        <f t="shared" ref="G353:G359" si="276">G10+G24+G36+G49+G62+G77+G90+G104+G120+G133+G146+G159+G172+G185+G199+G214+G229+G245+G258+G342+G324+G273</f>
        <v>178197889.98990598</v>
      </c>
      <c r="H353" s="136"/>
      <c r="I353" s="136">
        <f t="shared" ref="I353:I359" si="277">I10+I24+I36+I49+I62+I77+I90+I104+I120+I133+I146+I159+I172+I185+I199+I214+I229+I245+I258+I342+I324+I273</f>
        <v>209103578.69586599</v>
      </c>
      <c r="J353" s="19"/>
      <c r="K353" s="19"/>
      <c r="L353" s="19"/>
      <c r="M353" s="136">
        <f>M10+M24+M36+M49+M62+M77+M90+M104+M120+M133+M146+M159+M172+M185+M199+M214+M229+M245+M258+M342+M324+M273</f>
        <v>226597806.93580532</v>
      </c>
      <c r="N353" s="136">
        <f>N10+N24+N36+N49+N62+N77+N90+N104+N120+N133+N146+N159+N172+N185+N199+N214+N229+N245+N258+N342+N324+N273</f>
        <v>17494228.239939332</v>
      </c>
      <c r="O353" s="117">
        <f t="shared" ref="O353" si="278">N353/I353</f>
        <v>8.3662978649371125E-2</v>
      </c>
    </row>
    <row r="354" spans="1:22" x14ac:dyDescent="0.25">
      <c r="A354" s="29">
        <f t="shared" si="275"/>
        <v>341</v>
      </c>
      <c r="D354" s="2" t="s">
        <v>27</v>
      </c>
      <c r="G354" s="13">
        <f>G11+G25+G37+G50+G63+G78+G91+G105+G121+G134+G147+G160+G173+G186+G200+G215+G230+G246+G259+G343+G325+G274</f>
        <v>30437294.27</v>
      </c>
      <c r="H354" s="13"/>
      <c r="I354" s="13">
        <f t="shared" si="277"/>
        <v>14946654.82973</v>
      </c>
      <c r="M354" s="13">
        <f t="shared" ref="M354:N354" si="279">M11+M25+M37+M50+M63+M78+M91+M105+M121+M134+M147+M160+M173+M186+M200+M215+M230+M246+M259+M343+M325+M274</f>
        <v>14946654.82973</v>
      </c>
      <c r="N354" s="13">
        <f t="shared" si="279"/>
        <v>0</v>
      </c>
    </row>
    <row r="355" spans="1:22" x14ac:dyDescent="0.25">
      <c r="A355" s="29">
        <f t="shared" si="275"/>
        <v>342</v>
      </c>
      <c r="D355" s="2" t="s">
        <v>28</v>
      </c>
      <c r="G355" s="13">
        <f t="shared" si="276"/>
        <v>26088036.699999999</v>
      </c>
      <c r="H355" s="13"/>
      <c r="I355" s="13">
        <f t="shared" si="277"/>
        <v>26088036.699999999</v>
      </c>
      <c r="M355" s="13">
        <f t="shared" ref="M355:N355" si="280">M12+M26+M38+M51+M64+M79+M92+M106+M122+M135+M148+M161+M174+M187+M201+M216+M231+M247+M260+M344+M326+M275</f>
        <v>26088036.699999999</v>
      </c>
      <c r="N355" s="13">
        <f t="shared" si="280"/>
        <v>0</v>
      </c>
    </row>
    <row r="356" spans="1:22" x14ac:dyDescent="0.25">
      <c r="A356" s="29">
        <f t="shared" si="275"/>
        <v>343</v>
      </c>
      <c r="D356" s="2" t="s">
        <v>30</v>
      </c>
      <c r="G356" s="13">
        <f t="shared" si="276"/>
        <v>-41775.639999999985</v>
      </c>
      <c r="H356" s="13"/>
      <c r="I356" s="13">
        <f t="shared" si="277"/>
        <v>-41775.639999999985</v>
      </c>
      <c r="M356" s="13">
        <f t="shared" ref="M356:N356" si="281">M13+M27+M39+M52+M65+M80+M93+M107+M123+M136+M149+M162+M175+M188+M202+M217+M232+M248+M261+M345+M327+M276</f>
        <v>-41775.639999999985</v>
      </c>
      <c r="N356" s="13">
        <f t="shared" si="281"/>
        <v>0</v>
      </c>
    </row>
    <row r="357" spans="1:22" x14ac:dyDescent="0.25">
      <c r="A357" s="29">
        <f t="shared" si="275"/>
        <v>344</v>
      </c>
      <c r="D357" s="2" t="s">
        <v>40</v>
      </c>
      <c r="G357" s="13">
        <f t="shared" si="276"/>
        <v>5798.0400000000009</v>
      </c>
      <c r="I357" s="13">
        <f t="shared" si="277"/>
        <v>5798.0400000000009</v>
      </c>
      <c r="M357" s="13">
        <f t="shared" ref="M357:N357" si="282">M14+M28+M40+M53+M66+M81+M94+M108+M124+M137+M150+M163+M176+M189+M203+M218+M233+M249+M262+M346+M328+M277</f>
        <v>5798.0400000000009</v>
      </c>
      <c r="N357" s="13">
        <f t="shared" si="282"/>
        <v>0</v>
      </c>
      <c r="O357" s="67"/>
    </row>
    <row r="358" spans="1:22" x14ac:dyDescent="0.25">
      <c r="A358" s="29">
        <f t="shared" si="275"/>
        <v>345</v>
      </c>
      <c r="D358" s="15" t="s">
        <v>9</v>
      </c>
      <c r="E358" s="15"/>
      <c r="F358" s="15"/>
      <c r="G358" s="137">
        <f t="shared" si="276"/>
        <v>56489353.369999997</v>
      </c>
      <c r="H358" s="137"/>
      <c r="I358" s="137">
        <f t="shared" si="277"/>
        <v>40998713.929729998</v>
      </c>
      <c r="J358" s="15"/>
      <c r="K358" s="15"/>
      <c r="L358" s="15"/>
      <c r="M358" s="137">
        <f t="shared" ref="M358:N358" si="283">M15+M29+M41+M54+M67+M82+M95+M109+M125+M138+M151+M164+M177+M190+M204+M219+M234+M250+M263+M347+M329+M278</f>
        <v>40998713.929729998</v>
      </c>
      <c r="N358" s="137">
        <f t="shared" si="283"/>
        <v>0</v>
      </c>
      <c r="O358" s="15"/>
    </row>
    <row r="359" spans="1:22" s="7" customFormat="1" ht="21" customHeight="1" thickBot="1" x14ac:dyDescent="0.35">
      <c r="A359" s="29">
        <f t="shared" si="275"/>
        <v>346</v>
      </c>
      <c r="C359" s="17"/>
      <c r="D359" s="8" t="s">
        <v>20</v>
      </c>
      <c r="E359" s="8"/>
      <c r="F359" s="8"/>
      <c r="G359" s="132">
        <f t="shared" si="276"/>
        <v>234687243.35990599</v>
      </c>
      <c r="H359" s="132"/>
      <c r="I359" s="132">
        <f t="shared" si="277"/>
        <v>250102292.62559596</v>
      </c>
      <c r="J359" s="132"/>
      <c r="K359" s="132"/>
      <c r="L359" s="8"/>
      <c r="M359" s="132">
        <f t="shared" ref="M359:N359" si="284">M16+M30+M42+M55+M68+M83+M96+M110+M126+M139+M152+M165+M178+M191+M205+M220+M235+M251+M264+M348+M330+M279</f>
        <v>267596520.86553535</v>
      </c>
      <c r="N359" s="132">
        <f t="shared" si="284"/>
        <v>17494228.239939347</v>
      </c>
      <c r="O359" s="122">
        <f>N359/I359</f>
        <v>6.9948292181904431E-2</v>
      </c>
    </row>
    <row r="360" spans="1:22" ht="13.8" thickTop="1" x14ac:dyDescent="0.25">
      <c r="A360" s="29">
        <f t="shared" si="275"/>
        <v>347</v>
      </c>
    </row>
    <row r="361" spans="1:22" x14ac:dyDescent="0.25">
      <c r="A361" s="29">
        <f t="shared" si="275"/>
        <v>348</v>
      </c>
      <c r="D361" s="2" t="s">
        <v>38</v>
      </c>
      <c r="N361" s="13">
        <f>N359-Summary!L4</f>
        <v>-108240.97486464679</v>
      </c>
    </row>
    <row r="362" spans="1:22" x14ac:dyDescent="0.25">
      <c r="A362" s="29">
        <f t="shared" si="275"/>
        <v>349</v>
      </c>
      <c r="N362" s="13"/>
    </row>
    <row r="363" spans="1:22" x14ac:dyDescent="0.25">
      <c r="A363" s="29">
        <f t="shared" si="275"/>
        <v>350</v>
      </c>
      <c r="B363" s="20"/>
      <c r="C363" s="21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</row>
    <row r="364" spans="1:22" ht="13.8" thickBot="1" x14ac:dyDescent="0.3">
      <c r="A364" s="29">
        <f t="shared" si="275"/>
        <v>351</v>
      </c>
    </row>
    <row r="365" spans="1:22" x14ac:dyDescent="0.25">
      <c r="A365" s="29">
        <f t="shared" si="275"/>
        <v>352</v>
      </c>
      <c r="B365" s="139" t="s">
        <v>140</v>
      </c>
      <c r="C365" s="25">
        <v>7</v>
      </c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</row>
    <row r="366" spans="1:22" x14ac:dyDescent="0.25">
      <c r="A366" s="29">
        <f t="shared" si="275"/>
        <v>353</v>
      </c>
      <c r="B366" s="140"/>
      <c r="D366" s="2" t="s">
        <v>18</v>
      </c>
      <c r="E366" s="110">
        <v>0</v>
      </c>
      <c r="F366" s="67">
        <v>1521.83</v>
      </c>
      <c r="G366" s="99">
        <f>F366*E366</f>
        <v>0</v>
      </c>
      <c r="H366" s="67">
        <v>1573.12</v>
      </c>
      <c r="I366" s="99">
        <f>H366*E366</f>
        <v>0</v>
      </c>
      <c r="J366" s="101">
        <v>0</v>
      </c>
      <c r="K366" s="101"/>
      <c r="L366" s="67">
        <f>H366*(1+T366)</f>
        <v>1714.7008000000001</v>
      </c>
      <c r="M366" s="99">
        <v>0</v>
      </c>
      <c r="N366" s="99">
        <f t="shared" ref="N366:N369" si="285">M366-I366</f>
        <v>0</v>
      </c>
      <c r="O366" s="101">
        <f>IF(I366=0,0,N366/I366)</f>
        <v>0</v>
      </c>
      <c r="P366" s="101">
        <v>0</v>
      </c>
      <c r="Q366" s="100">
        <f>P366-J366</f>
        <v>0</v>
      </c>
      <c r="R366" s="100"/>
      <c r="T366" s="6">
        <v>0.09</v>
      </c>
      <c r="V366" s="88" t="s">
        <v>171</v>
      </c>
    </row>
    <row r="367" spans="1:22" x14ac:dyDescent="0.25">
      <c r="A367" s="29">
        <f t="shared" si="275"/>
        <v>354</v>
      </c>
      <c r="B367" s="14"/>
      <c r="D367" s="2" t="s">
        <v>69</v>
      </c>
      <c r="E367" s="110">
        <v>0</v>
      </c>
      <c r="F367" s="115">
        <v>4.7039999999999998E-2</v>
      </c>
      <c r="G367" s="99">
        <f t="shared" ref="G367:G369" si="286">F367*E367</f>
        <v>0</v>
      </c>
      <c r="H367" s="115">
        <v>5.8659999999999997E-2</v>
      </c>
      <c r="I367" s="99">
        <f t="shared" ref="I367:I369" si="287">H367*E367</f>
        <v>0</v>
      </c>
      <c r="J367" s="101">
        <v>0</v>
      </c>
      <c r="K367" s="101"/>
      <c r="L367" s="111">
        <f t="shared" ref="L367:L369" si="288">H367*(1+T367)</f>
        <v>6.3939400000000007E-2</v>
      </c>
      <c r="M367" s="99">
        <v>0</v>
      </c>
      <c r="N367" s="99">
        <f t="shared" si="285"/>
        <v>0</v>
      </c>
      <c r="O367" s="101">
        <f t="shared" ref="O367:O369" si="289">IF(I367=0,0,N367/I367)</f>
        <v>0</v>
      </c>
      <c r="P367" s="101">
        <v>0</v>
      </c>
      <c r="Q367" s="100">
        <f t="shared" ref="Q367:Q369" si="290">P367-J367</f>
        <v>0</v>
      </c>
      <c r="R367" s="100"/>
      <c r="T367" s="6">
        <v>0.09</v>
      </c>
      <c r="V367" s="88"/>
    </row>
    <row r="368" spans="1:22" x14ac:dyDescent="0.25">
      <c r="A368" s="29">
        <f t="shared" si="275"/>
        <v>355</v>
      </c>
      <c r="B368" s="14"/>
      <c r="D368" s="2" t="s">
        <v>70</v>
      </c>
      <c r="E368" s="110">
        <v>0</v>
      </c>
      <c r="F368" s="115">
        <v>4.3389999999999998E-2</v>
      </c>
      <c r="G368" s="99">
        <f t="shared" si="286"/>
        <v>0</v>
      </c>
      <c r="H368" s="115">
        <v>5.4890000000000001E-2</v>
      </c>
      <c r="I368" s="99">
        <f t="shared" si="287"/>
        <v>0</v>
      </c>
      <c r="J368" s="101">
        <v>0</v>
      </c>
      <c r="K368" s="101"/>
      <c r="L368" s="111">
        <f t="shared" si="288"/>
        <v>5.9830100000000004E-2</v>
      </c>
      <c r="M368" s="99">
        <v>0</v>
      </c>
      <c r="N368" s="99">
        <f t="shared" si="285"/>
        <v>0</v>
      </c>
      <c r="O368" s="101">
        <f t="shared" si="289"/>
        <v>0</v>
      </c>
      <c r="P368" s="101">
        <v>0</v>
      </c>
      <c r="Q368" s="100">
        <f t="shared" si="290"/>
        <v>0</v>
      </c>
      <c r="R368" s="100"/>
      <c r="T368" s="6">
        <v>0.09</v>
      </c>
      <c r="V368" s="88"/>
    </row>
    <row r="369" spans="1:22" x14ac:dyDescent="0.25">
      <c r="A369" s="29">
        <f t="shared" si="275"/>
        <v>356</v>
      </c>
      <c r="B369" s="14"/>
      <c r="D369" s="2" t="s">
        <v>50</v>
      </c>
      <c r="E369" s="110">
        <v>0</v>
      </c>
      <c r="F369" s="67">
        <v>7.25</v>
      </c>
      <c r="G369" s="99">
        <f t="shared" si="286"/>
        <v>0</v>
      </c>
      <c r="H369" s="67">
        <v>7.49</v>
      </c>
      <c r="I369" s="99">
        <f t="shared" si="287"/>
        <v>0</v>
      </c>
      <c r="J369" s="101">
        <v>0</v>
      </c>
      <c r="K369" s="101"/>
      <c r="L369" s="67">
        <f t="shared" si="288"/>
        <v>8.1641000000000012</v>
      </c>
      <c r="M369" s="99">
        <v>0</v>
      </c>
      <c r="N369" s="99">
        <f t="shared" si="285"/>
        <v>0</v>
      </c>
      <c r="O369" s="101">
        <f t="shared" si="289"/>
        <v>0</v>
      </c>
      <c r="P369" s="101">
        <v>0</v>
      </c>
      <c r="Q369" s="100">
        <f t="shared" si="290"/>
        <v>0</v>
      </c>
      <c r="R369" s="100"/>
      <c r="T369" s="6">
        <v>0.09</v>
      </c>
      <c r="V369" s="88"/>
    </row>
    <row r="370" spans="1:22" ht="13.8" thickBot="1" x14ac:dyDescent="0.3">
      <c r="A370" s="29">
        <f t="shared" si="275"/>
        <v>357</v>
      </c>
    </row>
    <row r="371" spans="1:22" x14ac:dyDescent="0.25">
      <c r="A371" s="29">
        <f t="shared" si="275"/>
        <v>358</v>
      </c>
      <c r="B371" s="139" t="s">
        <v>126</v>
      </c>
      <c r="C371" s="25">
        <v>8</v>
      </c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</row>
    <row r="372" spans="1:22" x14ac:dyDescent="0.25">
      <c r="A372" s="29">
        <f t="shared" si="275"/>
        <v>359</v>
      </c>
      <c r="B372" s="140"/>
      <c r="D372" s="2" t="s">
        <v>18</v>
      </c>
      <c r="E372" s="110">
        <v>0</v>
      </c>
      <c r="F372" s="67">
        <f>H372</f>
        <v>1573.12</v>
      </c>
      <c r="G372" s="99">
        <f>F372*E372</f>
        <v>0</v>
      </c>
      <c r="H372" s="67">
        <v>1573.12</v>
      </c>
      <c r="I372" s="99">
        <f>H372*E372</f>
        <v>0</v>
      </c>
      <c r="J372" s="101">
        <v>0</v>
      </c>
      <c r="K372" s="101"/>
      <c r="L372" s="67">
        <f>H372*(1+T372)</f>
        <v>1714.7008000000001</v>
      </c>
      <c r="M372" s="99">
        <v>0</v>
      </c>
      <c r="N372" s="99">
        <f t="shared" ref="N372:N375" si="291">M372-I372</f>
        <v>0</v>
      </c>
      <c r="O372" s="101">
        <f>IF(I372=0,0,N372/I372)</f>
        <v>0</v>
      </c>
      <c r="P372" s="101">
        <v>0</v>
      </c>
      <c r="Q372" s="100">
        <f>P372-J372</f>
        <v>0</v>
      </c>
      <c r="R372" s="100"/>
      <c r="T372" s="6">
        <f>T366</f>
        <v>0.09</v>
      </c>
      <c r="V372" s="88" t="s">
        <v>171</v>
      </c>
    </row>
    <row r="373" spans="1:22" x14ac:dyDescent="0.25">
      <c r="A373" s="29">
        <f t="shared" si="275"/>
        <v>360</v>
      </c>
      <c r="B373" s="14"/>
      <c r="D373" s="2" t="s">
        <v>69</v>
      </c>
      <c r="E373" s="110">
        <v>0</v>
      </c>
      <c r="F373" s="115">
        <v>4.2540000000000001E-2</v>
      </c>
      <c r="G373" s="99">
        <f t="shared" ref="G373:G375" si="292">F373*E373</f>
        <v>0</v>
      </c>
      <c r="H373" s="115">
        <v>5.3960000000000001E-2</v>
      </c>
      <c r="I373" s="99">
        <f t="shared" ref="I373:I375" si="293">H373*E373</f>
        <v>0</v>
      </c>
      <c r="J373" s="101">
        <v>0</v>
      </c>
      <c r="K373" s="101"/>
      <c r="L373" s="111">
        <f t="shared" ref="L373:L375" si="294">H373*(1+T373)</f>
        <v>5.8816400000000005E-2</v>
      </c>
      <c r="M373" s="99">
        <v>0</v>
      </c>
      <c r="N373" s="99">
        <f t="shared" si="291"/>
        <v>0</v>
      </c>
      <c r="O373" s="101">
        <f t="shared" ref="O373:O375" si="295">IF(I373=0,0,N373/I373)</f>
        <v>0</v>
      </c>
      <c r="P373" s="101">
        <v>0</v>
      </c>
      <c r="Q373" s="100">
        <f t="shared" ref="Q373:Q375" si="296">P373-J373</f>
        <v>0</v>
      </c>
      <c r="R373" s="100"/>
      <c r="T373" s="6">
        <f t="shared" ref="T373:T375" si="297">T367</f>
        <v>0.09</v>
      </c>
    </row>
    <row r="374" spans="1:22" x14ac:dyDescent="0.25">
      <c r="A374" s="29">
        <f t="shared" si="275"/>
        <v>361</v>
      </c>
      <c r="B374" s="14"/>
      <c r="D374" s="2" t="s">
        <v>70</v>
      </c>
      <c r="E374" s="110">
        <v>0</v>
      </c>
      <c r="F374" s="115">
        <v>4.1239999999999999E-2</v>
      </c>
      <c r="G374" s="99">
        <f t="shared" si="292"/>
        <v>0</v>
      </c>
      <c r="H374" s="115">
        <v>5.2609999999999997E-2</v>
      </c>
      <c r="I374" s="99">
        <f t="shared" si="293"/>
        <v>0</v>
      </c>
      <c r="J374" s="101">
        <v>0</v>
      </c>
      <c r="K374" s="101"/>
      <c r="L374" s="111">
        <f t="shared" si="294"/>
        <v>5.7344900000000004E-2</v>
      </c>
      <c r="M374" s="99">
        <v>0</v>
      </c>
      <c r="N374" s="99">
        <f t="shared" si="291"/>
        <v>0</v>
      </c>
      <c r="O374" s="101">
        <f t="shared" si="295"/>
        <v>0</v>
      </c>
      <c r="P374" s="101">
        <v>0</v>
      </c>
      <c r="Q374" s="100">
        <f t="shared" si="296"/>
        <v>0</v>
      </c>
      <c r="R374" s="100"/>
      <c r="T374" s="6">
        <f t="shared" si="297"/>
        <v>0.09</v>
      </c>
    </row>
    <row r="375" spans="1:22" x14ac:dyDescent="0.25">
      <c r="A375" s="29">
        <f t="shared" si="275"/>
        <v>362</v>
      </c>
      <c r="B375" s="14"/>
      <c r="D375" s="2" t="s">
        <v>50</v>
      </c>
      <c r="E375" s="110">
        <v>0</v>
      </c>
      <c r="F375" s="67">
        <f>H375</f>
        <v>7.49</v>
      </c>
      <c r="G375" s="99">
        <f t="shared" si="292"/>
        <v>0</v>
      </c>
      <c r="H375" s="67">
        <v>7.49</v>
      </c>
      <c r="I375" s="99">
        <f t="shared" si="293"/>
        <v>0</v>
      </c>
      <c r="J375" s="101">
        <v>0</v>
      </c>
      <c r="K375" s="101"/>
      <c r="L375" s="67">
        <f t="shared" si="294"/>
        <v>8.1641000000000012</v>
      </c>
      <c r="M375" s="99">
        <v>0</v>
      </c>
      <c r="N375" s="99">
        <f t="shared" si="291"/>
        <v>0</v>
      </c>
      <c r="O375" s="101">
        <f t="shared" si="295"/>
        <v>0</v>
      </c>
      <c r="P375" s="101">
        <v>0</v>
      </c>
      <c r="Q375" s="100">
        <f t="shared" si="296"/>
        <v>0</v>
      </c>
      <c r="R375" s="100"/>
      <c r="T375" s="6">
        <f t="shared" si="297"/>
        <v>0.09</v>
      </c>
    </row>
    <row r="376" spans="1:22" ht="13.8" thickBot="1" x14ac:dyDescent="0.3">
      <c r="A376" s="29">
        <f t="shared" si="275"/>
        <v>363</v>
      </c>
    </row>
    <row r="377" spans="1:22" x14ac:dyDescent="0.25">
      <c r="A377" s="29">
        <f t="shared" si="275"/>
        <v>364</v>
      </c>
      <c r="B377" s="139" t="s">
        <v>127</v>
      </c>
      <c r="C377" s="25">
        <v>14</v>
      </c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</row>
    <row r="378" spans="1:22" x14ac:dyDescent="0.25">
      <c r="A378" s="29">
        <f t="shared" si="275"/>
        <v>365</v>
      </c>
      <c r="B378" s="140"/>
      <c r="D378" s="2" t="str">
        <f>D114</f>
        <v>Customer Charge</v>
      </c>
      <c r="E378" s="110">
        <v>0</v>
      </c>
      <c r="F378" s="67">
        <f>H378</f>
        <v>3136.91</v>
      </c>
      <c r="G378" s="99">
        <f>F378*E378</f>
        <v>0</v>
      </c>
      <c r="H378" s="67">
        <v>3136.91</v>
      </c>
      <c r="I378" s="99">
        <f>H378*E378</f>
        <v>0</v>
      </c>
      <c r="J378" s="101">
        <v>0</v>
      </c>
      <c r="K378" s="101"/>
      <c r="L378" s="67">
        <f>H378*(1+T378)</f>
        <v>3419.2319000000002</v>
      </c>
      <c r="M378" s="99">
        <v>0</v>
      </c>
      <c r="N378" s="99">
        <f t="shared" ref="N378:N381" si="298">M378-I378</f>
        <v>0</v>
      </c>
      <c r="O378" s="101">
        <f>IF(I378=0,0,N378/I378)</f>
        <v>0</v>
      </c>
      <c r="P378" s="101">
        <v>0</v>
      </c>
      <c r="Q378" s="100">
        <f>P378-J378</f>
        <v>0</v>
      </c>
      <c r="R378" s="100"/>
      <c r="T378" s="101">
        <f>T372</f>
        <v>0.09</v>
      </c>
      <c r="V378" s="88" t="s">
        <v>171</v>
      </c>
    </row>
    <row r="379" spans="1:22" x14ac:dyDescent="0.25">
      <c r="A379" s="29">
        <f t="shared" si="275"/>
        <v>366</v>
      </c>
      <c r="B379" s="14"/>
      <c r="D379" s="2" t="str">
        <f>D115</f>
        <v>Energy Charge per kWh first 425</v>
      </c>
      <c r="E379" s="110">
        <v>0</v>
      </c>
      <c r="F379" s="111">
        <v>4.2040000000000001E-2</v>
      </c>
      <c r="G379" s="99">
        <f t="shared" ref="G379:G381" si="299">F379*E379</f>
        <v>0</v>
      </c>
      <c r="H379" s="111">
        <v>5.339E-2</v>
      </c>
      <c r="I379" s="99">
        <f t="shared" ref="I379:I381" si="300">H379*E379</f>
        <v>0</v>
      </c>
      <c r="J379" s="101">
        <v>0</v>
      </c>
      <c r="K379" s="101"/>
      <c r="L379" s="111">
        <f t="shared" ref="L379:L381" si="301">H379*(1+T379)</f>
        <v>5.8195100000000007E-2</v>
      </c>
      <c r="M379" s="99">
        <v>0</v>
      </c>
      <c r="N379" s="99">
        <f t="shared" si="298"/>
        <v>0</v>
      </c>
      <c r="O379" s="101">
        <f t="shared" ref="O379:O381" si="302">IF(I379=0,0,N379/I379)</f>
        <v>0</v>
      </c>
      <c r="P379" s="101">
        <v>0</v>
      </c>
      <c r="Q379" s="100">
        <f t="shared" ref="Q379:Q381" si="303">P379-J379</f>
        <v>0</v>
      </c>
      <c r="R379" s="100"/>
      <c r="T379" s="101">
        <f t="shared" ref="T379:T381" si="304">T373</f>
        <v>0.09</v>
      </c>
    </row>
    <row r="380" spans="1:22" x14ac:dyDescent="0.25">
      <c r="A380" s="29">
        <f t="shared" si="275"/>
        <v>367</v>
      </c>
      <c r="B380" s="14"/>
      <c r="D380" s="2" t="str">
        <f>D116</f>
        <v>Energy Charge per kWh over 425</v>
      </c>
      <c r="E380" s="110">
        <v>0</v>
      </c>
      <c r="F380" s="111">
        <v>4.1169999999999998E-2</v>
      </c>
      <c r="G380" s="99">
        <f t="shared" si="299"/>
        <v>0</v>
      </c>
      <c r="H380" s="111">
        <v>5.2490000000000002E-2</v>
      </c>
      <c r="I380" s="99">
        <f t="shared" si="300"/>
        <v>0</v>
      </c>
      <c r="J380" s="101">
        <v>0</v>
      </c>
      <c r="K380" s="101"/>
      <c r="L380" s="111">
        <f t="shared" si="301"/>
        <v>5.7214100000000004E-2</v>
      </c>
      <c r="M380" s="99">
        <v>0</v>
      </c>
      <c r="N380" s="99">
        <f t="shared" si="298"/>
        <v>0</v>
      </c>
      <c r="O380" s="101">
        <f t="shared" si="302"/>
        <v>0</v>
      </c>
      <c r="P380" s="101">
        <v>0</v>
      </c>
      <c r="Q380" s="100">
        <f t="shared" si="303"/>
        <v>0</v>
      </c>
      <c r="R380" s="100"/>
      <c r="T380" s="101">
        <f t="shared" si="304"/>
        <v>0.09</v>
      </c>
    </row>
    <row r="381" spans="1:22" x14ac:dyDescent="0.25">
      <c r="A381" s="29">
        <f t="shared" si="275"/>
        <v>368</v>
      </c>
      <c r="B381" s="14"/>
      <c r="D381" s="2" t="str">
        <f>D117</f>
        <v>Demand Charge per kW</v>
      </c>
      <c r="E381" s="110">
        <v>0</v>
      </c>
      <c r="F381" s="67">
        <v>7.25</v>
      </c>
      <c r="G381" s="99">
        <f t="shared" si="299"/>
        <v>0</v>
      </c>
      <c r="H381" s="67">
        <v>7.47</v>
      </c>
      <c r="I381" s="99">
        <f t="shared" si="300"/>
        <v>0</v>
      </c>
      <c r="J381" s="101">
        <v>0</v>
      </c>
      <c r="K381" s="101"/>
      <c r="L381" s="67">
        <f t="shared" si="301"/>
        <v>8.1423000000000005</v>
      </c>
      <c r="M381" s="99">
        <v>0</v>
      </c>
      <c r="N381" s="99">
        <f t="shared" si="298"/>
        <v>0</v>
      </c>
      <c r="O381" s="101">
        <f t="shared" si="302"/>
        <v>0</v>
      </c>
      <c r="P381" s="101">
        <v>0</v>
      </c>
      <c r="Q381" s="100">
        <f t="shared" si="303"/>
        <v>0</v>
      </c>
      <c r="R381" s="100"/>
      <c r="T381" s="101">
        <f t="shared" si="304"/>
        <v>0.09</v>
      </c>
    </row>
    <row r="382" spans="1:22" ht="13.8" thickBot="1" x14ac:dyDescent="0.3">
      <c r="A382" s="29">
        <f t="shared" si="275"/>
        <v>369</v>
      </c>
    </row>
    <row r="383" spans="1:22" x14ac:dyDescent="0.25">
      <c r="A383" s="29">
        <f t="shared" si="275"/>
        <v>370</v>
      </c>
      <c r="B383" s="139" t="s">
        <v>141</v>
      </c>
      <c r="C383" s="25">
        <v>15</v>
      </c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</row>
    <row r="384" spans="1:22" x14ac:dyDescent="0.25">
      <c r="A384" s="29">
        <f t="shared" si="275"/>
        <v>371</v>
      </c>
      <c r="B384" s="140"/>
      <c r="D384" s="2" t="s">
        <v>18</v>
      </c>
      <c r="E384" s="110">
        <v>0</v>
      </c>
      <c r="F384" s="67">
        <f>H384</f>
        <v>1573.12</v>
      </c>
      <c r="G384" s="99">
        <f>F384*E384</f>
        <v>0</v>
      </c>
      <c r="H384" s="67">
        <v>1573.12</v>
      </c>
      <c r="I384" s="99">
        <f>H384*E384</f>
        <v>0</v>
      </c>
      <c r="J384" s="101">
        <v>0</v>
      </c>
      <c r="K384" s="101"/>
      <c r="L384" s="67">
        <f>L100</f>
        <v>1723.17</v>
      </c>
      <c r="M384" s="99">
        <v>0</v>
      </c>
      <c r="N384" s="99">
        <f t="shared" ref="N384:N388" si="305">M384-I384</f>
        <v>0</v>
      </c>
      <c r="O384" s="101">
        <f>IF(I384=0,0,N384/I384)</f>
        <v>0</v>
      </c>
      <c r="P384" s="101">
        <v>0</v>
      </c>
      <c r="Q384" s="100">
        <f>P384-J384</f>
        <v>0</v>
      </c>
      <c r="R384" s="100"/>
      <c r="T384" s="101">
        <f>L384/H384-1</f>
        <v>9.5383696094385906E-2</v>
      </c>
      <c r="V384" s="2" t="s">
        <v>172</v>
      </c>
    </row>
    <row r="385" spans="1:20" x14ac:dyDescent="0.25">
      <c r="A385" s="29">
        <f t="shared" si="275"/>
        <v>372</v>
      </c>
      <c r="B385" s="14"/>
      <c r="D385" s="2" t="s">
        <v>69</v>
      </c>
      <c r="E385" s="110">
        <v>0</v>
      </c>
      <c r="F385" s="111">
        <v>4.2540000000000001E-2</v>
      </c>
      <c r="G385" s="99">
        <f t="shared" ref="G385:G388" si="306">F385*E385</f>
        <v>0</v>
      </c>
      <c r="H385" s="115">
        <v>5.3960000000000001E-2</v>
      </c>
      <c r="I385" s="99">
        <f t="shared" ref="I385:I388" si="307">H385*E385</f>
        <v>0</v>
      </c>
      <c r="J385" s="101">
        <v>0</v>
      </c>
      <c r="K385" s="101"/>
      <c r="L385" s="111">
        <f>H385*(1+T385)</f>
        <v>5.9106347548669558E-2</v>
      </c>
      <c r="M385" s="99">
        <v>0</v>
      </c>
      <c r="N385" s="99">
        <f t="shared" si="305"/>
        <v>0</v>
      </c>
      <c r="O385" s="101">
        <f t="shared" ref="O385:O388" si="308">IF(I385=0,0,N385/I385)</f>
        <v>0</v>
      </c>
      <c r="P385" s="101">
        <v>0</v>
      </c>
      <c r="Q385" s="100">
        <f t="shared" ref="Q385:Q388" si="309">P385-J385</f>
        <v>0</v>
      </c>
      <c r="R385" s="100"/>
      <c r="T385" s="101">
        <f>O120</f>
        <v>9.537337933042174E-2</v>
      </c>
    </row>
    <row r="386" spans="1:20" x14ac:dyDescent="0.25">
      <c r="A386" s="29">
        <f t="shared" si="275"/>
        <v>373</v>
      </c>
      <c r="B386" s="14"/>
      <c r="D386" s="2" t="s">
        <v>70</v>
      </c>
      <c r="E386" s="110">
        <v>0</v>
      </c>
      <c r="F386" s="111">
        <v>4.1239999999999999E-2</v>
      </c>
      <c r="G386" s="99">
        <f t="shared" si="306"/>
        <v>0</v>
      </c>
      <c r="H386" s="115">
        <v>5.2609999999999997E-2</v>
      </c>
      <c r="I386" s="99">
        <f t="shared" si="307"/>
        <v>0</v>
      </c>
      <c r="J386" s="101">
        <v>0</v>
      </c>
      <c r="K386" s="101"/>
      <c r="L386" s="111">
        <f>H386*(1+T386)</f>
        <v>5.7627593486573481E-2</v>
      </c>
      <c r="M386" s="99">
        <v>0</v>
      </c>
      <c r="N386" s="99">
        <f t="shared" si="305"/>
        <v>0</v>
      </c>
      <c r="O386" s="101">
        <f t="shared" si="308"/>
        <v>0</v>
      </c>
      <c r="P386" s="101">
        <v>0</v>
      </c>
      <c r="Q386" s="100">
        <f t="shared" si="309"/>
        <v>0</v>
      </c>
      <c r="R386" s="100"/>
      <c r="T386" s="101">
        <f>T385</f>
        <v>9.537337933042174E-2</v>
      </c>
    </row>
    <row r="387" spans="1:20" x14ac:dyDescent="0.25">
      <c r="A387" s="29">
        <f t="shared" si="275"/>
        <v>374</v>
      </c>
      <c r="B387" s="14"/>
      <c r="D387" s="2" t="s">
        <v>50</v>
      </c>
      <c r="E387" s="110">
        <v>0</v>
      </c>
      <c r="F387" s="67">
        <f>H387</f>
        <v>7.49</v>
      </c>
      <c r="G387" s="99">
        <f t="shared" si="306"/>
        <v>0</v>
      </c>
      <c r="H387" s="67">
        <v>7.49</v>
      </c>
      <c r="I387" s="99">
        <f t="shared" si="307"/>
        <v>0</v>
      </c>
      <c r="J387" s="101">
        <v>0</v>
      </c>
      <c r="K387" s="101"/>
      <c r="L387" s="67">
        <f>L117</f>
        <v>8.11</v>
      </c>
      <c r="M387" s="99">
        <v>0</v>
      </c>
      <c r="N387" s="99">
        <f t="shared" si="305"/>
        <v>0</v>
      </c>
      <c r="O387" s="101">
        <f t="shared" si="308"/>
        <v>0</v>
      </c>
      <c r="P387" s="101">
        <v>0</v>
      </c>
      <c r="Q387" s="100">
        <f t="shared" si="309"/>
        <v>0</v>
      </c>
      <c r="R387" s="100"/>
      <c r="T387" s="6">
        <f>L387/H387-1</f>
        <v>8.2777036048063968E-2</v>
      </c>
    </row>
    <row r="388" spans="1:20" x14ac:dyDescent="0.25">
      <c r="A388" s="29">
        <f t="shared" si="275"/>
        <v>375</v>
      </c>
      <c r="B388" s="14"/>
      <c r="D388" s="2" t="s">
        <v>68</v>
      </c>
      <c r="E388" s="110">
        <v>0</v>
      </c>
      <c r="F388" s="67">
        <f>H388</f>
        <v>10.32</v>
      </c>
      <c r="G388" s="99">
        <f t="shared" si="306"/>
        <v>0</v>
      </c>
      <c r="H388" s="67">
        <v>10.32</v>
      </c>
      <c r="I388" s="99">
        <f t="shared" si="307"/>
        <v>0</v>
      </c>
      <c r="J388" s="101">
        <v>0</v>
      </c>
      <c r="K388" s="101"/>
      <c r="L388" s="67">
        <f>L118</f>
        <v>11.17</v>
      </c>
      <c r="M388" s="99">
        <v>0</v>
      </c>
      <c r="N388" s="99">
        <f t="shared" si="305"/>
        <v>0</v>
      </c>
      <c r="O388" s="101">
        <f t="shared" si="308"/>
        <v>0</v>
      </c>
      <c r="P388" s="101">
        <v>0</v>
      </c>
      <c r="Q388" s="100">
        <f t="shared" si="309"/>
        <v>0</v>
      </c>
      <c r="R388" s="100"/>
      <c r="T388" s="6">
        <f>L388/H388-1</f>
        <v>8.2364341085271242E-2</v>
      </c>
    </row>
    <row r="389" spans="1:20" x14ac:dyDescent="0.25">
      <c r="S389" s="87"/>
    </row>
    <row r="390" spans="1:20" x14ac:dyDescent="0.25">
      <c r="G390" s="2" t="s">
        <v>157</v>
      </c>
      <c r="H390" s="84">
        <v>1.1650000000000001E-2</v>
      </c>
      <c r="I390" s="2" t="s">
        <v>173</v>
      </c>
    </row>
    <row r="394" spans="1:20" x14ac:dyDescent="0.25">
      <c r="E394" s="93">
        <v>2778902230</v>
      </c>
      <c r="G394" s="115"/>
    </row>
    <row r="395" spans="1:20" x14ac:dyDescent="0.25">
      <c r="E395" s="93">
        <f>E9+E21+E22+E23+E35+E47+E60+E73+E74+E88+E89+E101+E115+E116+E131+E132+E144+E145+E157+E158+E170+E171+E183+E184+E196+E197+E198+E210-E211+E225-E226+E241-E242+E256+E270+E271+E272+E334+E335</f>
        <v>2695686843</v>
      </c>
    </row>
    <row r="396" spans="1:20" x14ac:dyDescent="0.25">
      <c r="E396" s="93">
        <f>E395-E394</f>
        <v>-83215387</v>
      </c>
    </row>
    <row r="397" spans="1:20" x14ac:dyDescent="0.25">
      <c r="E397" s="6">
        <f>E396/E394</f>
        <v>-2.9945417331217156E-2</v>
      </c>
    </row>
  </sheetData>
  <mergeCells count="20">
    <mergeCell ref="B377:B378"/>
    <mergeCell ref="B383:B384"/>
    <mergeCell ref="B223:B224"/>
    <mergeCell ref="B238:B239"/>
    <mergeCell ref="B365:B366"/>
    <mergeCell ref="B371:B372"/>
    <mergeCell ref="B267:B268"/>
    <mergeCell ref="B7:B8"/>
    <mergeCell ref="B33:B34"/>
    <mergeCell ref="B45:B46"/>
    <mergeCell ref="B129:B130"/>
    <mergeCell ref="B208:B209"/>
    <mergeCell ref="B142:B143"/>
    <mergeCell ref="B19:B20"/>
    <mergeCell ref="B58:B59"/>
    <mergeCell ref="B155:B156"/>
    <mergeCell ref="B168:B169"/>
    <mergeCell ref="B181:B182"/>
    <mergeCell ref="B194:B195"/>
    <mergeCell ref="B86:B87"/>
  </mergeCells>
  <phoneticPr fontId="9" type="noConversion"/>
  <printOptions horizontalCentered="1"/>
  <pageMargins left="0.7" right="0.7" top="0.75" bottom="0.75" header="0.3" footer="0.3"/>
  <pageSetup paperSize="5" scale="54" fitToHeight="8" orientation="landscape" r:id="rId1"/>
  <headerFooter>
    <oddHeader>&amp;R&amp;"Arial,Bold"&amp;10Exhibit  4
Page &amp;P of &amp;N</oddHeader>
  </headerFooter>
  <rowBreaks count="6" manualBreakCount="6">
    <brk id="57" max="17" man="1"/>
    <brk id="112" max="17" man="1"/>
    <brk id="167" max="17" man="1"/>
    <brk id="222" max="17" man="1"/>
    <brk id="281" max="17" man="1"/>
    <brk id="331" max="17" man="1"/>
  </rowBreaks>
  <ignoredErrors>
    <ignoredError sqref="M10 N90:O96 N352 O352:O362 N282:O331 N10:O88 N245:O266 N215:O242 N98:O209 G212:G213 L227 L243 L212 G88 H227 H243 G243:G244 H212 O214 N210:N2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9F6A-0C00-45DF-9E95-0B4131F0E938}">
  <sheetPr>
    <pageSetUpPr fitToPage="1"/>
  </sheetPr>
  <dimension ref="A1:M181"/>
  <sheetViews>
    <sheetView view="pageBreakPreview" topLeftCell="A147" zoomScaleNormal="100" zoomScaleSheetLayoutView="100" workbookViewId="0">
      <selection activeCell="I158" sqref="I158"/>
    </sheetView>
  </sheetViews>
  <sheetFormatPr defaultColWidth="8.88671875" defaultRowHeight="13.2" x14ac:dyDescent="0.25"/>
  <cols>
    <col min="1" max="1" width="2.33203125" style="2" customWidth="1"/>
    <col min="2" max="2" width="2.44140625" style="2" customWidth="1"/>
    <col min="3" max="3" width="7" style="4" customWidth="1"/>
    <col min="4" max="4" width="39.6640625" style="2" customWidth="1"/>
    <col min="5" max="5" width="51.88671875" style="2" bestFit="1" customWidth="1"/>
    <col min="6" max="6" width="14.109375" style="63" bestFit="1" customWidth="1"/>
    <col min="7" max="7" width="13.6640625" style="63" customWidth="1"/>
    <col min="8" max="8" width="12.6640625" style="2" customWidth="1"/>
    <col min="9" max="9" width="10.44140625" style="2" customWidth="1"/>
    <col min="10" max="11" width="8.88671875" style="2"/>
    <col min="12" max="13" width="13.6640625" style="2" bestFit="1" customWidth="1"/>
    <col min="14" max="16384" width="8.88671875" style="2"/>
  </cols>
  <sheetData>
    <row r="1" spans="1:12" ht="14.4" x14ac:dyDescent="0.3">
      <c r="A1" s="1" t="str">
        <f>Summary!A1</f>
        <v>Owen Electric Cooperative</v>
      </c>
      <c r="F1" s="69"/>
    </row>
    <row r="2" spans="1:12" x14ac:dyDescent="0.25">
      <c r="A2" s="1" t="s">
        <v>142</v>
      </c>
    </row>
    <row r="3" spans="1:12" x14ac:dyDescent="0.25">
      <c r="F3" s="94"/>
    </row>
    <row r="4" spans="1:12" x14ac:dyDescent="0.25">
      <c r="C4" s="80" t="s">
        <v>47</v>
      </c>
      <c r="D4" s="68"/>
      <c r="E4" s="62" t="s">
        <v>2</v>
      </c>
      <c r="F4" s="95" t="s">
        <v>46</v>
      </c>
      <c r="G4" s="70" t="s">
        <v>48</v>
      </c>
      <c r="H4" s="70" t="s">
        <v>154</v>
      </c>
    </row>
    <row r="5" spans="1:12" x14ac:dyDescent="0.25">
      <c r="C5" s="4">
        <f>'Billing Detail'!C7</f>
        <v>1</v>
      </c>
      <c r="D5" s="72" t="str">
        <f>'Billing Detail'!B7</f>
        <v>Schedule I-Farm and Home</v>
      </c>
    </row>
    <row r="6" spans="1:12" x14ac:dyDescent="0.25">
      <c r="E6" s="2" t="str">
        <f>'Billing Detail'!D8</f>
        <v>Customer Charge</v>
      </c>
      <c r="F6" s="63">
        <f>'Billing Detail'!H8</f>
        <v>20.67</v>
      </c>
      <c r="G6" s="63">
        <f>'Billing Detail'!L8</f>
        <v>21.85</v>
      </c>
      <c r="H6" s="63">
        <f>G6-F6</f>
        <v>1.1799999999999997</v>
      </c>
      <c r="I6" s="6">
        <f>H6/F6</f>
        <v>5.7087566521528764E-2</v>
      </c>
      <c r="L6" s="94"/>
    </row>
    <row r="7" spans="1:12" x14ac:dyDescent="0.25">
      <c r="E7" s="2" t="str">
        <f>'Billing Detail'!D9</f>
        <v>Energy Charge per kWh</v>
      </c>
      <c r="F7" s="64">
        <f>'Billing Detail'!H9</f>
        <v>9.5269999999999994E-2</v>
      </c>
      <c r="G7" s="64">
        <f>'Billing Detail'!L9</f>
        <v>0.100721</v>
      </c>
      <c r="H7" s="64">
        <f t="shared" ref="H7:H67" si="0">G7-F7</f>
        <v>5.4510000000000114E-3</v>
      </c>
      <c r="I7" s="6">
        <f t="shared" ref="I7:I67" si="1">H7/F7</f>
        <v>5.7216332528603038E-2</v>
      </c>
      <c r="L7" s="96"/>
    </row>
    <row r="8" spans="1:12" x14ac:dyDescent="0.25">
      <c r="C8" s="4" t="s">
        <v>161</v>
      </c>
      <c r="D8" s="72" t="str">
        <f>'Billing Detail'!B254</f>
        <v>Prepay Metering Program</v>
      </c>
      <c r="F8" s="64"/>
      <c r="G8" s="64"/>
      <c r="H8" s="64"/>
      <c r="I8" s="6"/>
      <c r="L8" s="96"/>
    </row>
    <row r="9" spans="1:12" x14ac:dyDescent="0.25">
      <c r="E9" s="2" t="str">
        <f>'Billing Detail'!D257</f>
        <v>Program Fee</v>
      </c>
      <c r="F9" s="63">
        <f>'Billing Detail'!H257</f>
        <v>7</v>
      </c>
      <c r="G9" s="63">
        <f>'Billing Detail'!L257</f>
        <v>7</v>
      </c>
      <c r="H9" s="63">
        <f t="shared" ref="H9" si="2">G9-F9</f>
        <v>0</v>
      </c>
      <c r="I9" s="6">
        <f t="shared" ref="I9" si="3">H9/F9</f>
        <v>0</v>
      </c>
      <c r="L9" s="96"/>
    </row>
    <row r="10" spans="1:12" x14ac:dyDescent="0.25">
      <c r="C10" s="4">
        <f>'Billing Detail'!C19</f>
        <v>2</v>
      </c>
      <c r="D10" s="72" t="str">
        <f>'Billing Detail'!B19</f>
        <v>Schedule 1-D Farm &amp; Home Inclining Block</v>
      </c>
      <c r="H10" s="63">
        <f t="shared" si="0"/>
        <v>0</v>
      </c>
      <c r="I10" s="6"/>
      <c r="L10" s="94"/>
    </row>
    <row r="11" spans="1:12" x14ac:dyDescent="0.25">
      <c r="E11" s="2" t="str">
        <f>'Billing Detail'!D20</f>
        <v>Customer Charge</v>
      </c>
      <c r="F11" s="63">
        <f>'Billing Detail'!H20</f>
        <v>16.309999999999999</v>
      </c>
      <c r="G11" s="63">
        <f>'Billing Detail'!L20</f>
        <v>17.239999999999998</v>
      </c>
      <c r="H11" s="63">
        <f t="shared" si="0"/>
        <v>0.92999999999999972</v>
      </c>
      <c r="I11" s="6">
        <f t="shared" si="1"/>
        <v>5.7020232985898207E-2</v>
      </c>
      <c r="L11" s="94"/>
    </row>
    <row r="12" spans="1:12" x14ac:dyDescent="0.25">
      <c r="E12" s="2" t="str">
        <f>'Billing Detail'!D21</f>
        <v>Energy Charge per kWh (0-300 kWh)</v>
      </c>
      <c r="F12" s="64">
        <f>'Billing Detail'!H21</f>
        <v>7.7729999999999994E-2</v>
      </c>
      <c r="G12" s="64">
        <f>'Billing Detail'!L21</f>
        <v>8.2180000000000003E-2</v>
      </c>
      <c r="H12" s="64">
        <f t="shared" si="0"/>
        <v>4.4500000000000095E-3</v>
      </c>
      <c r="I12" s="6">
        <f t="shared" si="1"/>
        <v>5.7249453235559113E-2</v>
      </c>
      <c r="L12" s="96"/>
    </row>
    <row r="13" spans="1:12" x14ac:dyDescent="0.25">
      <c r="E13" s="2" t="str">
        <f>'Billing Detail'!D22</f>
        <v>Energy Charge per kWh (301-500 kWh)</v>
      </c>
      <c r="F13" s="64">
        <f>'Billing Detail'!H22</f>
        <v>0.10099</v>
      </c>
      <c r="G13" s="64">
        <f>'Billing Detail'!L22</f>
        <v>0.10677</v>
      </c>
      <c r="H13" s="64">
        <f t="shared" si="0"/>
        <v>5.7800000000000074E-3</v>
      </c>
      <c r="I13" s="6">
        <f t="shared" si="1"/>
        <v>5.723338944449953E-2</v>
      </c>
      <c r="L13" s="96"/>
    </row>
    <row r="14" spans="1:12" x14ac:dyDescent="0.25">
      <c r="E14" s="2" t="str">
        <f>'Billing Detail'!D23</f>
        <v>Energy Charge per kWh (over 500 kWh)</v>
      </c>
      <c r="F14" s="64">
        <f>'Billing Detail'!H23</f>
        <v>0.13200000000000001</v>
      </c>
      <c r="G14" s="64">
        <f>'Billing Detail'!L23</f>
        <v>0.13955000000000001</v>
      </c>
      <c r="H14" s="64">
        <f t="shared" si="0"/>
        <v>7.5500000000000012E-3</v>
      </c>
      <c r="I14" s="6">
        <f t="shared" si="1"/>
        <v>5.7196969696969704E-2</v>
      </c>
      <c r="L14" s="96"/>
    </row>
    <row r="15" spans="1:12" x14ac:dyDescent="0.25">
      <c r="C15" s="4">
        <f>'Billing Detail'!C33</f>
        <v>3</v>
      </c>
      <c r="D15" s="72" t="str">
        <f>'Billing Detail'!B33</f>
        <v>Schedule 1-Small Commercial</v>
      </c>
      <c r="H15" s="63"/>
      <c r="I15" s="6"/>
      <c r="L15" s="94"/>
    </row>
    <row r="16" spans="1:12" x14ac:dyDescent="0.25">
      <c r="E16" s="2" t="str">
        <f>'Billing Detail'!D34</f>
        <v>Customer Charge</v>
      </c>
      <c r="F16" s="63">
        <f>'Billing Detail'!H34</f>
        <v>25.84</v>
      </c>
      <c r="G16" s="63">
        <f>'Billing Detail'!L34</f>
        <v>27.32</v>
      </c>
      <c r="H16" s="63">
        <f t="shared" si="0"/>
        <v>1.4800000000000004</v>
      </c>
      <c r="I16" s="6">
        <f t="shared" si="1"/>
        <v>5.7275541795665651E-2</v>
      </c>
      <c r="L16" s="94"/>
    </row>
    <row r="17" spans="3:12" x14ac:dyDescent="0.25">
      <c r="E17" s="2" t="str">
        <f>'Billing Detail'!D35</f>
        <v>Energy Charge per kWh</v>
      </c>
      <c r="F17" s="64">
        <f>'Billing Detail'!H35</f>
        <v>9.6740000000000007E-2</v>
      </c>
      <c r="G17" s="64">
        <f>'Billing Detail'!L35</f>
        <v>0.102275</v>
      </c>
      <c r="H17" s="64">
        <f t="shared" si="0"/>
        <v>5.5349999999999983E-3</v>
      </c>
      <c r="I17" s="6">
        <f t="shared" si="1"/>
        <v>5.7215216043001837E-2</v>
      </c>
      <c r="L17" s="96"/>
    </row>
    <row r="18" spans="3:12" x14ac:dyDescent="0.25">
      <c r="C18" s="4">
        <f>'Billing Detail'!C45</f>
        <v>4</v>
      </c>
      <c r="D18" s="72" t="str">
        <f>'Billing Detail'!B45</f>
        <v>Schedule II-Large Power</v>
      </c>
      <c r="H18" s="63"/>
      <c r="I18" s="6"/>
      <c r="L18" s="94"/>
    </row>
    <row r="19" spans="3:12" x14ac:dyDescent="0.25">
      <c r="E19" s="2" t="str">
        <f>'Billing Detail'!D46</f>
        <v>Customer Charge</v>
      </c>
      <c r="F19" s="63">
        <f>'Billing Detail'!H46</f>
        <v>22.03</v>
      </c>
      <c r="G19" s="63">
        <f>'Billing Detail'!L46</f>
        <v>23.29</v>
      </c>
      <c r="H19" s="63">
        <f t="shared" si="0"/>
        <v>1.259999999999998</v>
      </c>
      <c r="I19" s="6">
        <f t="shared" si="1"/>
        <v>5.7194734453018516E-2</v>
      </c>
      <c r="L19" s="94"/>
    </row>
    <row r="20" spans="3:12" x14ac:dyDescent="0.25">
      <c r="E20" s="2" t="str">
        <f>'Billing Detail'!D47</f>
        <v>Energy Charge per kWh</v>
      </c>
      <c r="F20" s="64">
        <f>'Billing Detail'!H47</f>
        <v>7.4660000000000004E-2</v>
      </c>
      <c r="G20" s="64">
        <f>'Billing Detail'!L47</f>
        <v>7.893E-2</v>
      </c>
      <c r="H20" s="64">
        <f t="shared" si="0"/>
        <v>4.269999999999996E-3</v>
      </c>
      <c r="I20" s="6">
        <f t="shared" si="1"/>
        <v>5.7192606482721613E-2</v>
      </c>
      <c r="L20" s="96"/>
    </row>
    <row r="21" spans="3:12" x14ac:dyDescent="0.25">
      <c r="E21" s="2" t="str">
        <f>'Billing Detail'!D48</f>
        <v>Demand Charge per kW</v>
      </c>
      <c r="F21" s="63">
        <f>'Billing Detail'!H48</f>
        <v>6.34</v>
      </c>
      <c r="G21" s="63">
        <f>'Billing Detail'!L48</f>
        <v>6.7</v>
      </c>
      <c r="H21" s="63">
        <f t="shared" si="0"/>
        <v>0.36000000000000032</v>
      </c>
      <c r="I21" s="6">
        <f t="shared" si="1"/>
        <v>5.6782334384858094E-2</v>
      </c>
      <c r="L21" s="94"/>
    </row>
    <row r="22" spans="3:12" x14ac:dyDescent="0.25">
      <c r="C22" s="4">
        <f>'Billing Detail'!C71</f>
        <v>9</v>
      </c>
      <c r="D22" s="72" t="str">
        <f>'Billing Detail'!B71</f>
        <v>Schedule XI- LPB1</v>
      </c>
      <c r="H22" s="63"/>
      <c r="I22" s="6"/>
      <c r="L22" s="94"/>
    </row>
    <row r="23" spans="3:12" x14ac:dyDescent="0.25">
      <c r="E23" s="2" t="str">
        <f>'Billing Detail'!D72</f>
        <v>Customer Charge</v>
      </c>
      <c r="F23" s="63">
        <f>'Billing Detail'!H72</f>
        <v>1573.12</v>
      </c>
      <c r="G23" s="63">
        <f>'Billing Detail'!L72</f>
        <v>1723.17</v>
      </c>
      <c r="H23" s="63">
        <f t="shared" si="0"/>
        <v>150.05000000000018</v>
      </c>
      <c r="I23" s="6">
        <f t="shared" si="1"/>
        <v>9.5383696094385795E-2</v>
      </c>
      <c r="L23" s="94"/>
    </row>
    <row r="24" spans="3:12" x14ac:dyDescent="0.25">
      <c r="E24" s="2" t="str">
        <f>'Billing Detail'!D73</f>
        <v>Energy Charge per kWh first 425</v>
      </c>
      <c r="F24" s="64">
        <f>'Billing Detail'!H73</f>
        <v>5.8659999999999997E-2</v>
      </c>
      <c r="G24" s="64">
        <f>'Billing Detail'!L73</f>
        <v>6.4259999999999998E-2</v>
      </c>
      <c r="H24" s="64">
        <f t="shared" si="0"/>
        <v>5.6000000000000008E-3</v>
      </c>
      <c r="I24" s="6">
        <f t="shared" si="1"/>
        <v>9.5465393794749429E-2</v>
      </c>
      <c r="L24" s="96"/>
    </row>
    <row r="25" spans="3:12" x14ac:dyDescent="0.25">
      <c r="E25" s="2" t="str">
        <f>'Billing Detail'!D74</f>
        <v>Energy Charge per kWh over 425</v>
      </c>
      <c r="F25" s="64">
        <f>'Billing Detail'!H74</f>
        <v>5.4890000000000001E-2</v>
      </c>
      <c r="G25" s="64">
        <f>'Billing Detail'!L74</f>
        <v>6.0130000000000003E-2</v>
      </c>
      <c r="H25" s="64">
        <f t="shared" si="0"/>
        <v>5.2400000000000016E-3</v>
      </c>
      <c r="I25" s="6">
        <f t="shared" si="1"/>
        <v>9.5463654581891086E-2</v>
      </c>
      <c r="L25" s="96"/>
    </row>
    <row r="26" spans="3:12" x14ac:dyDescent="0.25">
      <c r="E26" s="2" t="str">
        <f>'Billing Detail'!D75</f>
        <v>Demand Charge per kW</v>
      </c>
      <c r="F26" s="63">
        <f>'Billing Detail'!H75</f>
        <v>7.49</v>
      </c>
      <c r="G26" s="63">
        <f>'Billing Detail'!L75</f>
        <v>8.1999999999999993</v>
      </c>
      <c r="H26" s="63">
        <f t="shared" si="0"/>
        <v>0.70999999999999908</v>
      </c>
      <c r="I26" s="6">
        <f t="shared" si="1"/>
        <v>9.4793057409879714E-2</v>
      </c>
      <c r="L26" s="94"/>
    </row>
    <row r="27" spans="3:12" x14ac:dyDescent="0.25">
      <c r="E27" s="2" t="str">
        <f>'Billing Detail'!D76</f>
        <v>Demand Charge Excess per kW</v>
      </c>
      <c r="F27" s="63">
        <f>'Billing Detail'!H76</f>
        <v>10.32</v>
      </c>
      <c r="G27" s="63">
        <f>'Billing Detail'!L76</f>
        <v>11.3</v>
      </c>
      <c r="H27" s="63">
        <f t="shared" si="0"/>
        <v>0.98000000000000043</v>
      </c>
      <c r="I27" s="6">
        <f t="shared" si="1"/>
        <v>9.4961240310077563E-2</v>
      </c>
      <c r="L27" s="94"/>
    </row>
    <row r="28" spans="3:12" x14ac:dyDescent="0.25">
      <c r="C28" s="4">
        <f>'Billing Detail'!C99</f>
        <v>12</v>
      </c>
      <c r="D28" s="72" t="str">
        <f>'Billing Detail'!B99</f>
        <v>Schedule XIV LPB</v>
      </c>
      <c r="H28" s="63"/>
      <c r="I28" s="6"/>
    </row>
    <row r="29" spans="3:12" x14ac:dyDescent="0.25">
      <c r="E29" s="2" t="str">
        <f>'Billing Detail'!D100</f>
        <v>Customer Charge</v>
      </c>
      <c r="F29" s="63">
        <f>'Billing Detail'!H100</f>
        <v>1573.12</v>
      </c>
      <c r="G29" s="63">
        <f>'Billing Detail'!L100</f>
        <v>1723.17</v>
      </c>
      <c r="H29" s="63">
        <f t="shared" si="0"/>
        <v>150.05000000000018</v>
      </c>
      <c r="I29" s="6">
        <f t="shared" si="1"/>
        <v>9.5383696094385795E-2</v>
      </c>
      <c r="L29" s="94"/>
    </row>
    <row r="30" spans="3:12" x14ac:dyDescent="0.25">
      <c r="E30" s="2" t="str">
        <f>'Billing Detail'!D101</f>
        <v>Energy Charge per kWh</v>
      </c>
      <c r="F30" s="64">
        <f>'Billing Detail'!H101</f>
        <v>6.028E-2</v>
      </c>
      <c r="G30" s="64">
        <f>'Billing Detail'!L101</f>
        <v>6.6030000000000005E-2</v>
      </c>
      <c r="H30" s="64">
        <f t="shared" si="0"/>
        <v>5.7500000000000051E-3</v>
      </c>
      <c r="I30" s="6">
        <f t="shared" si="1"/>
        <v>9.5388188453881972E-2</v>
      </c>
      <c r="L30" s="94"/>
    </row>
    <row r="31" spans="3:12" x14ac:dyDescent="0.25">
      <c r="E31" s="2" t="str">
        <f>'Billing Detail'!D102</f>
        <v>Demand Charge per kW</v>
      </c>
      <c r="F31" s="63">
        <f>'Billing Detail'!H102</f>
        <v>7.49</v>
      </c>
      <c r="G31" s="63">
        <f>'Billing Detail'!L102</f>
        <v>8.1999999999999993</v>
      </c>
      <c r="H31" s="63">
        <f t="shared" si="0"/>
        <v>0.70999999999999908</v>
      </c>
      <c r="I31" s="6">
        <f t="shared" si="1"/>
        <v>9.4793057409879714E-2</v>
      </c>
      <c r="L31" s="94"/>
    </row>
    <row r="32" spans="3:12" x14ac:dyDescent="0.25">
      <c r="E32" s="2" t="str">
        <f>'Billing Detail'!D103</f>
        <v>Demand Charge Excess per kW</v>
      </c>
      <c r="F32" s="63">
        <f>'Billing Detail'!H103</f>
        <v>10.32</v>
      </c>
      <c r="G32" s="63">
        <f>'Billing Detail'!L103</f>
        <v>11.3</v>
      </c>
      <c r="H32" s="63">
        <f t="shared" si="0"/>
        <v>0.98000000000000043</v>
      </c>
      <c r="I32" s="6">
        <f t="shared" si="1"/>
        <v>9.4961240310077563E-2</v>
      </c>
      <c r="L32" s="94"/>
    </row>
    <row r="33" spans="3:12" x14ac:dyDescent="0.25">
      <c r="C33" s="4">
        <f>'Billing Detail'!C113</f>
        <v>13</v>
      </c>
      <c r="D33" s="72" t="str">
        <f>'Billing Detail'!B113</f>
        <v>Schedule XIII-LPB2</v>
      </c>
      <c r="H33" s="63"/>
      <c r="I33" s="6"/>
      <c r="L33" s="94"/>
    </row>
    <row r="34" spans="3:12" x14ac:dyDescent="0.25">
      <c r="E34" s="2" t="str">
        <f>'Billing Detail'!D114</f>
        <v>Customer Charge</v>
      </c>
      <c r="F34" s="63">
        <f>'Billing Detail'!H114</f>
        <v>3136.91</v>
      </c>
      <c r="G34" s="63">
        <f>'Billing Detail'!L114</f>
        <v>3405.1</v>
      </c>
      <c r="H34" s="63">
        <f t="shared" si="0"/>
        <v>268.19000000000005</v>
      </c>
      <c r="I34" s="6">
        <f t="shared" si="1"/>
        <v>8.5494961602341185E-2</v>
      </c>
      <c r="L34" s="94"/>
    </row>
    <row r="35" spans="3:12" x14ac:dyDescent="0.25">
      <c r="E35" s="2" t="str">
        <f>'Billing Detail'!D115</f>
        <v>Energy Charge per kWh first 425</v>
      </c>
      <c r="F35" s="64">
        <f>'Billing Detail'!H115</f>
        <v>5.339E-2</v>
      </c>
      <c r="G35" s="64">
        <f>'Billing Detail'!L115</f>
        <v>5.7950000000000002E-2</v>
      </c>
      <c r="H35" s="64">
        <f t="shared" si="0"/>
        <v>4.5600000000000016E-3</v>
      </c>
      <c r="I35" s="6">
        <f t="shared" si="1"/>
        <v>8.5409252669039176E-2</v>
      </c>
      <c r="L35" s="96"/>
    </row>
    <row r="36" spans="3:12" x14ac:dyDescent="0.25">
      <c r="E36" s="2" t="str">
        <f>'Billing Detail'!D116</f>
        <v>Energy Charge per kWh over 425</v>
      </c>
      <c r="F36" s="64">
        <f>'Billing Detail'!H116</f>
        <v>5.2490000000000002E-2</v>
      </c>
      <c r="G36" s="64">
        <f>'Billing Detail'!L116</f>
        <v>5.6980000000000003E-2</v>
      </c>
      <c r="H36" s="64">
        <f t="shared" si="0"/>
        <v>4.4900000000000009E-3</v>
      </c>
      <c r="I36" s="6">
        <f t="shared" si="1"/>
        <v>8.5540102876738439E-2</v>
      </c>
      <c r="L36" s="96"/>
    </row>
    <row r="37" spans="3:12" x14ac:dyDescent="0.25">
      <c r="E37" s="2" t="str">
        <f>'Billing Detail'!D117</f>
        <v>Demand Charge per kW</v>
      </c>
      <c r="F37" s="63">
        <f>'Billing Detail'!H117</f>
        <v>7.47</v>
      </c>
      <c r="G37" s="63">
        <f>'Billing Detail'!L117</f>
        <v>8.11</v>
      </c>
      <c r="H37" s="63">
        <f t="shared" si="0"/>
        <v>0.63999999999999968</v>
      </c>
      <c r="I37" s="6">
        <f t="shared" si="1"/>
        <v>8.5676037483266354E-2</v>
      </c>
      <c r="L37" s="94"/>
    </row>
    <row r="38" spans="3:12" x14ac:dyDescent="0.25">
      <c r="E38" s="2" t="str">
        <f>'Billing Detail'!D118</f>
        <v>Demand Charge Excess per kW</v>
      </c>
      <c r="F38" s="63">
        <f>'Billing Detail'!H118</f>
        <v>10.29</v>
      </c>
      <c r="G38" s="63">
        <f>'Billing Detail'!L118</f>
        <v>11.17</v>
      </c>
      <c r="H38" s="63">
        <f t="shared" si="0"/>
        <v>0.88000000000000078</v>
      </c>
      <c r="I38" s="6">
        <f t="shared" si="1"/>
        <v>8.5519922254616215E-2</v>
      </c>
      <c r="L38" s="94"/>
    </row>
    <row r="39" spans="3:12" x14ac:dyDescent="0.25">
      <c r="C39" s="4">
        <f>'Billing Detail'!C129</f>
        <v>20</v>
      </c>
      <c r="D39" s="72" t="str">
        <f>'Billing Detail'!B129</f>
        <v xml:space="preserve">Sched. 2-A Large Power TOD  </v>
      </c>
      <c r="H39" s="63"/>
      <c r="I39" s="6"/>
      <c r="L39" s="94"/>
    </row>
    <row r="40" spans="3:12" x14ac:dyDescent="0.25">
      <c r="E40" s="2" t="str">
        <f>'Billing Detail'!D130</f>
        <v>Customer Charge</v>
      </c>
      <c r="F40" s="63">
        <f>'Billing Detail'!H130</f>
        <v>63.4</v>
      </c>
      <c r="G40" s="63">
        <f>'Billing Detail'!L130</f>
        <v>67.03</v>
      </c>
      <c r="H40" s="63">
        <f t="shared" si="0"/>
        <v>3.6300000000000026</v>
      </c>
      <c r="I40" s="6">
        <f t="shared" si="1"/>
        <v>5.7255520504731906E-2</v>
      </c>
      <c r="L40" s="94"/>
    </row>
    <row r="41" spans="3:12" x14ac:dyDescent="0.25">
      <c r="E41" s="2" t="str">
        <f>'Billing Detail'!D131</f>
        <v>Energy Charge per kWh On Peak</v>
      </c>
      <c r="F41" s="64">
        <f>'Billing Detail'!H131</f>
        <v>0.11443</v>
      </c>
      <c r="G41" s="64">
        <f>'Billing Detail'!L131</f>
        <v>0.12098</v>
      </c>
      <c r="H41" s="64">
        <f t="shared" si="0"/>
        <v>6.5500000000000003E-3</v>
      </c>
      <c r="I41" s="6">
        <f t="shared" si="1"/>
        <v>5.724023420431705E-2</v>
      </c>
      <c r="L41" s="96"/>
    </row>
    <row r="42" spans="3:12" x14ac:dyDescent="0.25">
      <c r="E42" s="2" t="str">
        <f>'Billing Detail'!D132</f>
        <v>Energy Charge per kWh Off Peak</v>
      </c>
      <c r="F42" s="64">
        <f>'Billing Detail'!H132</f>
        <v>6.9540000000000005E-2</v>
      </c>
      <c r="G42" s="64">
        <f>'Billing Detail'!L132</f>
        <v>7.3520000000000002E-2</v>
      </c>
      <c r="H42" s="64">
        <f t="shared" si="0"/>
        <v>3.9799999999999974E-3</v>
      </c>
      <c r="I42" s="6">
        <f t="shared" si="1"/>
        <v>5.7233247052056332E-2</v>
      </c>
      <c r="L42" s="96"/>
    </row>
    <row r="43" spans="3:12" x14ac:dyDescent="0.25">
      <c r="C43" s="4">
        <f>'Billing Detail'!C142</f>
        <v>22</v>
      </c>
      <c r="D43" s="72" t="str">
        <f>'Billing Detail'!B142</f>
        <v>Sched. 1-C Small Commercial TOD</v>
      </c>
      <c r="H43" s="63"/>
      <c r="I43" s="6"/>
      <c r="L43" s="94"/>
    </row>
    <row r="44" spans="3:12" x14ac:dyDescent="0.25">
      <c r="E44" s="2" t="str">
        <f>'Billing Detail'!D143</f>
        <v>Customer Charge</v>
      </c>
      <c r="F44" s="63">
        <f>'Billing Detail'!H143</f>
        <v>25.34</v>
      </c>
      <c r="G44" s="63">
        <f>'Billing Detail'!L143</f>
        <v>26.79</v>
      </c>
      <c r="H44" s="63">
        <f t="shared" si="0"/>
        <v>1.4499999999999993</v>
      </c>
      <c r="I44" s="6">
        <f t="shared" si="1"/>
        <v>5.7221783741120733E-2</v>
      </c>
      <c r="L44" s="94"/>
    </row>
    <row r="45" spans="3:12" x14ac:dyDescent="0.25">
      <c r="E45" s="2" t="str">
        <f>'Billing Detail'!D144</f>
        <v>Energy Charge per kWh On Peak</v>
      </c>
      <c r="F45" s="64">
        <f>'Billing Detail'!H144</f>
        <v>0.11513</v>
      </c>
      <c r="G45" s="64">
        <f>'Billing Detail'!L144</f>
        <v>0.12171999999999999</v>
      </c>
      <c r="H45" s="64">
        <f t="shared" si="0"/>
        <v>6.5899999999999986E-3</v>
      </c>
      <c r="I45" s="6">
        <f t="shared" si="1"/>
        <v>5.7239642143663672E-2</v>
      </c>
      <c r="L45" s="96"/>
    </row>
    <row r="46" spans="3:12" x14ac:dyDescent="0.25">
      <c r="E46" s="2" t="str">
        <f>'Billing Detail'!D145</f>
        <v>Energy Charge per kWh Off Peak</v>
      </c>
      <c r="F46" s="64">
        <f>'Billing Detail'!H145</f>
        <v>6.9790000000000005E-2</v>
      </c>
      <c r="G46" s="64">
        <f>'Billing Detail'!L145</f>
        <v>7.3779999999999998E-2</v>
      </c>
      <c r="H46" s="64">
        <f t="shared" si="0"/>
        <v>3.9899999999999936E-3</v>
      </c>
      <c r="I46" s="6">
        <f t="shared" si="1"/>
        <v>5.71715145436308E-2</v>
      </c>
      <c r="L46" s="96"/>
    </row>
    <row r="47" spans="3:12" x14ac:dyDescent="0.25">
      <c r="C47" s="4">
        <f>'Billing Detail'!C168</f>
        <v>31</v>
      </c>
      <c r="D47" s="72" t="str">
        <f>'Billing Detail'!B168</f>
        <v>Sched. 1-B1 Farm &amp; Home Time-of-Day</v>
      </c>
      <c r="H47" s="63"/>
      <c r="I47" s="6"/>
      <c r="L47" s="94"/>
    </row>
    <row r="48" spans="3:12" x14ac:dyDescent="0.25">
      <c r="E48" s="2" t="str">
        <f>'Billing Detail'!D169</f>
        <v>Customer Charge</v>
      </c>
      <c r="F48" s="63">
        <f>'Billing Detail'!H169</f>
        <v>20.67</v>
      </c>
      <c r="G48" s="63">
        <f>'Billing Detail'!L169</f>
        <v>21.85</v>
      </c>
      <c r="H48" s="63">
        <f t="shared" si="0"/>
        <v>1.1799999999999997</v>
      </c>
      <c r="I48" s="6">
        <f t="shared" si="1"/>
        <v>5.7087566521528764E-2</v>
      </c>
      <c r="L48" s="94"/>
    </row>
    <row r="49" spans="3:12" x14ac:dyDescent="0.25">
      <c r="E49" s="2" t="str">
        <f>'Billing Detail'!D170</f>
        <v>Energy Charge per kWh On Peak</v>
      </c>
      <c r="F49" s="64">
        <f>'Billing Detail'!H170</f>
        <v>0.1351</v>
      </c>
      <c r="G49" s="64">
        <f>'Billing Detail'!L170</f>
        <v>0.14283000000000001</v>
      </c>
      <c r="H49" s="64">
        <f t="shared" si="0"/>
        <v>7.7300000000000146E-3</v>
      </c>
      <c r="I49" s="6">
        <f t="shared" si="1"/>
        <v>5.7216876387860952E-2</v>
      </c>
      <c r="L49" s="96"/>
    </row>
    <row r="50" spans="3:12" x14ac:dyDescent="0.25">
      <c r="E50" s="2" t="str">
        <f>'Billing Detail'!D171</f>
        <v>Energy Charge per kWh Off Peak</v>
      </c>
      <c r="F50" s="64">
        <f>'Billing Detail'!H171</f>
        <v>7.2359999999999994E-2</v>
      </c>
      <c r="G50" s="64">
        <f>'Billing Detail'!L171</f>
        <v>7.6499999999999999E-2</v>
      </c>
      <c r="H50" s="64">
        <f t="shared" si="0"/>
        <v>4.1400000000000048E-3</v>
      </c>
      <c r="I50" s="6">
        <f t="shared" si="1"/>
        <v>5.7213930348258779E-2</v>
      </c>
      <c r="L50" s="96"/>
    </row>
    <row r="51" spans="3:12" x14ac:dyDescent="0.25">
      <c r="C51" s="4">
        <f>'Billing Detail'!C181</f>
        <v>33</v>
      </c>
      <c r="D51" s="72" t="str">
        <f>'Billing Detail'!B181</f>
        <v>Sched. 1-B2 Farm &amp; Home Time-of-Day</v>
      </c>
      <c r="H51" s="63"/>
      <c r="I51" s="6"/>
      <c r="L51" s="94"/>
    </row>
    <row r="52" spans="3:12" x14ac:dyDescent="0.25">
      <c r="E52" s="2" t="str">
        <f>'Billing Detail'!D182</f>
        <v>Customer Charge</v>
      </c>
      <c r="F52" s="63">
        <f>'Billing Detail'!H182</f>
        <v>20.67</v>
      </c>
      <c r="G52" s="63">
        <f>'Billing Detail'!L182</f>
        <v>21.85</v>
      </c>
      <c r="H52" s="63">
        <f t="shared" si="0"/>
        <v>1.1799999999999997</v>
      </c>
      <c r="I52" s="6">
        <f t="shared" si="1"/>
        <v>5.7087566521528764E-2</v>
      </c>
      <c r="L52" s="94"/>
    </row>
    <row r="53" spans="3:12" x14ac:dyDescent="0.25">
      <c r="E53" s="2" t="str">
        <f>'Billing Detail'!D183</f>
        <v>Energy Charge per kWh On Peak</v>
      </c>
      <c r="F53" s="64">
        <f>'Billing Detail'!H183</f>
        <v>0.11693000000000001</v>
      </c>
      <c r="G53" s="64">
        <f>'Billing Detail'!L183</f>
        <v>0.12361999999999999</v>
      </c>
      <c r="H53" s="64">
        <f t="shared" si="0"/>
        <v>6.6899999999999876E-3</v>
      </c>
      <c r="I53" s="6">
        <f t="shared" si="1"/>
        <v>5.7213717608825682E-2</v>
      </c>
      <c r="L53" s="96"/>
    </row>
    <row r="54" spans="3:12" x14ac:dyDescent="0.25">
      <c r="E54" s="2" t="str">
        <f>'Billing Detail'!D184</f>
        <v>Energy Charge per kWh Off Peak</v>
      </c>
      <c r="F54" s="64">
        <f>'Billing Detail'!H184</f>
        <v>7.2359999999999994E-2</v>
      </c>
      <c r="G54" s="64">
        <f>'Billing Detail'!L184</f>
        <v>7.6499999999999999E-2</v>
      </c>
      <c r="H54" s="64">
        <f t="shared" si="0"/>
        <v>4.1400000000000048E-3</v>
      </c>
      <c r="I54" s="6">
        <f t="shared" si="1"/>
        <v>5.7213930348258779E-2</v>
      </c>
      <c r="L54" s="96"/>
    </row>
    <row r="55" spans="3:12" x14ac:dyDescent="0.25">
      <c r="C55" s="4">
        <f>'Billing Detail'!C194</f>
        <v>35</v>
      </c>
      <c r="D55" s="72" t="str">
        <f>'Billing Detail'!B194</f>
        <v>Sched. 1-B3 Farm &amp; Home Time-of-Day</v>
      </c>
      <c r="F55" s="64"/>
      <c r="G55" s="64"/>
      <c r="H55" s="64"/>
      <c r="I55" s="6"/>
      <c r="L55" s="94"/>
    </row>
    <row r="56" spans="3:12" x14ac:dyDescent="0.25">
      <c r="E56" s="2" t="str">
        <f>'Billing Detail'!D195</f>
        <v>Customer Charge</v>
      </c>
      <c r="F56" s="63">
        <f>'Billing Detail'!H195</f>
        <v>20.67</v>
      </c>
      <c r="G56" s="63">
        <f>'Billing Detail'!L195</f>
        <v>21.85</v>
      </c>
      <c r="H56" s="63">
        <f t="shared" si="0"/>
        <v>1.1799999999999997</v>
      </c>
      <c r="I56" s="6">
        <f t="shared" si="1"/>
        <v>5.7087566521528764E-2</v>
      </c>
      <c r="L56" s="94"/>
    </row>
    <row r="57" spans="3:12" x14ac:dyDescent="0.25">
      <c r="E57" s="2" t="str">
        <f>'Billing Detail'!D196</f>
        <v>Energy On-Peak per kWh</v>
      </c>
      <c r="F57" s="64">
        <f>'Billing Detail'!H196</f>
        <v>0.11591</v>
      </c>
      <c r="G57" s="64">
        <f>'Billing Detail'!L196</f>
        <v>0.12254</v>
      </c>
      <c r="H57" s="64">
        <f t="shared" si="0"/>
        <v>6.629999999999997E-3</v>
      </c>
      <c r="I57" s="6">
        <f t="shared" si="1"/>
        <v>5.7199551376067616E-2</v>
      </c>
      <c r="L57" s="96"/>
    </row>
    <row r="58" spans="3:12" x14ac:dyDescent="0.25">
      <c r="E58" s="2" t="str">
        <f>'Billing Detail'!D197</f>
        <v>Energy Off-Peak per kWh</v>
      </c>
      <c r="F58" s="64">
        <f>'Billing Detail'!H197</f>
        <v>7.2359999999999994E-2</v>
      </c>
      <c r="G58" s="64">
        <f>'Billing Detail'!L197</f>
        <v>7.6499999999999999E-2</v>
      </c>
      <c r="H58" s="64">
        <f t="shared" si="0"/>
        <v>4.1400000000000048E-3</v>
      </c>
      <c r="I58" s="6">
        <f t="shared" si="1"/>
        <v>5.7213930348258779E-2</v>
      </c>
      <c r="L58" s="96"/>
    </row>
    <row r="59" spans="3:12" x14ac:dyDescent="0.25">
      <c r="E59" s="2" t="str">
        <f>'Billing Detail'!D198</f>
        <v>Energy Shoulder per kWh</v>
      </c>
      <c r="F59" s="64">
        <f>'Billing Detail'!H198</f>
        <v>9.0450000000000003E-2</v>
      </c>
      <c r="G59" s="64">
        <f>'Billing Detail'!L198</f>
        <v>9.5630000000000007E-2</v>
      </c>
      <c r="H59" s="64">
        <f t="shared" si="0"/>
        <v>5.180000000000004E-3</v>
      </c>
      <c r="I59" s="6">
        <f t="shared" si="1"/>
        <v>5.726920950801552E-2</v>
      </c>
      <c r="L59" s="96"/>
    </row>
    <row r="60" spans="3:12" x14ac:dyDescent="0.25">
      <c r="C60" s="4" t="s">
        <v>41</v>
      </c>
      <c r="D60" s="72" t="s">
        <v>138</v>
      </c>
      <c r="H60" s="63"/>
      <c r="I60" s="6"/>
      <c r="L60" s="94"/>
    </row>
    <row r="61" spans="3:12" x14ac:dyDescent="0.25">
      <c r="E61" s="2" t="str">
        <f>'Billing Detail'!D333</f>
        <v xml:space="preserve">Demand Charge per kW  </v>
      </c>
      <c r="F61" s="63">
        <f>'Billing Detail'!H333</f>
        <v>7.15</v>
      </c>
      <c r="G61" s="63">
        <f>'Billing Detail'!L333</f>
        <v>8.48</v>
      </c>
      <c r="H61" s="63">
        <f t="shared" si="0"/>
        <v>1.33</v>
      </c>
      <c r="I61" s="6">
        <f t="shared" si="1"/>
        <v>0.18601398601398603</v>
      </c>
      <c r="L61" s="94"/>
    </row>
    <row r="62" spans="3:12" x14ac:dyDescent="0.25">
      <c r="E62" s="2" t="str">
        <f>'Billing Detail'!D334</f>
        <v>Energy Charge per kWh On Peak</v>
      </c>
      <c r="F62" s="71">
        <f>'Billing Detail'!H334</f>
        <v>5.0817000000000001E-2</v>
      </c>
      <c r="G62" s="97">
        <f>'Billing Detail'!L334</f>
        <v>5.4240999999999998E-2</v>
      </c>
      <c r="H62" s="71">
        <f t="shared" si="0"/>
        <v>3.4239999999999965E-3</v>
      </c>
      <c r="I62" s="6">
        <f t="shared" si="1"/>
        <v>6.7379026703662095E-2</v>
      </c>
      <c r="L62" s="97"/>
    </row>
    <row r="63" spans="3:12" x14ac:dyDescent="0.25">
      <c r="E63" s="2" t="str">
        <f>'Billing Detail'!D335</f>
        <v>Energy Charge per kWh Off Peak</v>
      </c>
      <c r="F63" s="71">
        <f>'Billing Detail'!H335</f>
        <v>4.7389000000000001E-2</v>
      </c>
      <c r="G63" s="71">
        <f>'Billing Detail'!L335</f>
        <v>5.0582024696459844E-2</v>
      </c>
      <c r="H63" s="71">
        <f t="shared" si="0"/>
        <v>3.1930246964598438E-3</v>
      </c>
      <c r="I63" s="6">
        <f t="shared" si="1"/>
        <v>6.7379026703662109E-2</v>
      </c>
      <c r="L63" s="97"/>
    </row>
    <row r="64" spans="3:12" x14ac:dyDescent="0.25">
      <c r="E64" s="2" t="str">
        <f>'Billing Detail'!D336</f>
        <v>Demand Credit Interruptible 10 Min</v>
      </c>
      <c r="F64" s="63">
        <f>'Billing Detail'!H336</f>
        <v>-6.22</v>
      </c>
      <c r="G64" s="63">
        <f>'Billing Detail'!L336</f>
        <v>-6.22</v>
      </c>
      <c r="H64" s="63">
        <f t="shared" si="0"/>
        <v>0</v>
      </c>
      <c r="I64" s="6">
        <f t="shared" si="1"/>
        <v>0</v>
      </c>
      <c r="L64" s="94"/>
    </row>
    <row r="65" spans="3:12" x14ac:dyDescent="0.25">
      <c r="E65" s="2" t="str">
        <f>'Billing Detail'!D337</f>
        <v>Demand Credit Interruptible 90 Min</v>
      </c>
      <c r="F65" s="63">
        <f>'Billing Detail'!H337</f>
        <v>-4.2</v>
      </c>
      <c r="G65" s="63">
        <f>'Billing Detail'!L337</f>
        <v>-4.2</v>
      </c>
      <c r="H65" s="63">
        <f t="shared" si="0"/>
        <v>0</v>
      </c>
      <c r="I65" s="6">
        <f t="shared" si="1"/>
        <v>0</v>
      </c>
      <c r="L65" s="94"/>
    </row>
    <row r="66" spans="3:12" x14ac:dyDescent="0.25">
      <c r="E66" s="2" t="str">
        <f>'Billing Detail'!D340</f>
        <v>Distribution Demand per kW</v>
      </c>
      <c r="F66" s="71">
        <f>'Billing Detail'!H340</f>
        <v>3.7499999999999999E-2</v>
      </c>
      <c r="G66" s="71">
        <f>'Billing Detail'!L340</f>
        <v>3.7499999999999999E-2</v>
      </c>
      <c r="H66" s="71">
        <f t="shared" si="0"/>
        <v>0</v>
      </c>
      <c r="I66" s="6">
        <f t="shared" si="1"/>
        <v>0</v>
      </c>
      <c r="L66" s="97"/>
    </row>
    <row r="67" spans="3:12" x14ac:dyDescent="0.25">
      <c r="E67" s="2" t="str">
        <f>'Billing Detail'!D341</f>
        <v>Distribution Energy per kWh</v>
      </c>
      <c r="F67" s="71">
        <f>'Billing Detail'!H341</f>
        <v>2.8499999999999999E-4</v>
      </c>
      <c r="G67" s="71">
        <f>'Billing Detail'!L341</f>
        <v>2.8499999999999999E-4</v>
      </c>
      <c r="H67" s="71">
        <f t="shared" si="0"/>
        <v>0</v>
      </c>
      <c r="I67" s="6">
        <f t="shared" si="1"/>
        <v>0</v>
      </c>
      <c r="L67" s="97"/>
    </row>
    <row r="68" spans="3:12" x14ac:dyDescent="0.25">
      <c r="C68" s="4" t="str">
        <f>'Billing Detail'!C282</f>
        <v>OLS</v>
      </c>
      <c r="D68" s="72" t="str">
        <f>'Billing Detail'!B282</f>
        <v>Lighting</v>
      </c>
      <c r="H68" s="63"/>
      <c r="I68" s="6"/>
      <c r="L68" s="94"/>
    </row>
    <row r="69" spans="3:12" x14ac:dyDescent="0.25">
      <c r="E69" s="72" t="str">
        <f>'Billing Detail'!C283</f>
        <v>Schedule I OLS - Outdoor Lighting Service</v>
      </c>
      <c r="H69" s="63"/>
      <c r="I69" s="6"/>
      <c r="L69" s="94"/>
    </row>
    <row r="70" spans="3:12" x14ac:dyDescent="0.25">
      <c r="E70" s="72" t="str">
        <f>'Billing Detail'!C284</f>
        <v>Rate 2</v>
      </c>
      <c r="H70" s="63"/>
      <c r="I70" s="6"/>
      <c r="L70" s="94"/>
    </row>
    <row r="71" spans="3:12" x14ac:dyDescent="0.25">
      <c r="D71" s="2">
        <f>'Billing Detail'!B285</f>
        <v>11</v>
      </c>
      <c r="E71" s="2" t="str">
        <f>'Billing Detail'!C285</f>
        <v>LED Outdoor Light on existing pole</v>
      </c>
      <c r="F71" s="63">
        <f>'Billing Detail'!H285</f>
        <v>11.52</v>
      </c>
      <c r="G71" s="63">
        <f>'Billing Detail'!L285</f>
        <v>12.18</v>
      </c>
      <c r="H71" s="63">
        <f t="shared" ref="H71:H130" si="4">G71-F71</f>
        <v>0.66000000000000014</v>
      </c>
      <c r="I71" s="6">
        <f t="shared" ref="I71:I130" si="5">H71/F71</f>
        <v>5.7291666666666678E-2</v>
      </c>
      <c r="L71" s="94"/>
    </row>
    <row r="72" spans="3:12" x14ac:dyDescent="0.25">
      <c r="D72" s="2">
        <f>'Billing Detail'!B286</f>
        <v>12</v>
      </c>
      <c r="E72" s="2" t="str">
        <f>'Billing Detail'!C286</f>
        <v>LED Outdoor Light one pole added</v>
      </c>
      <c r="F72" s="63">
        <f>'Billing Detail'!H286</f>
        <v>16.690000000000001</v>
      </c>
      <c r="G72" s="63">
        <f>'Billing Detail'!L286</f>
        <v>17.64</v>
      </c>
      <c r="H72" s="63">
        <f t="shared" si="4"/>
        <v>0.94999999999999929</v>
      </c>
      <c r="I72" s="6">
        <f t="shared" si="5"/>
        <v>5.6920311563810617E-2</v>
      </c>
      <c r="L72" s="94"/>
    </row>
    <row r="73" spans="3:12" x14ac:dyDescent="0.25">
      <c r="D73" s="2">
        <f>'Billing Detail'!B287</f>
        <v>21</v>
      </c>
      <c r="E73" s="2" t="str">
        <f>'Billing Detail'!C287</f>
        <v>100 Watt, S/L on existing pole</v>
      </c>
      <c r="F73" s="63">
        <f>'Billing Detail'!H287</f>
        <v>11.77</v>
      </c>
      <c r="G73" s="63">
        <f>'Billing Detail'!L287</f>
        <v>12.44</v>
      </c>
      <c r="H73" s="63">
        <f t="shared" si="4"/>
        <v>0.66999999999999993</v>
      </c>
      <c r="I73" s="6">
        <f t="shared" si="5"/>
        <v>5.692438402718776E-2</v>
      </c>
      <c r="L73" s="94"/>
    </row>
    <row r="74" spans="3:12" x14ac:dyDescent="0.25">
      <c r="D74" s="2">
        <f>'Billing Detail'!B288</f>
        <v>22</v>
      </c>
      <c r="E74" s="2" t="str">
        <f>'Billing Detail'!C288</f>
        <v>100 Watt, S/L one pole added</v>
      </c>
      <c r="F74" s="63">
        <f>'Billing Detail'!H288</f>
        <v>16.940000000000001</v>
      </c>
      <c r="G74" s="63">
        <f>'Billing Detail'!L288</f>
        <v>17.91</v>
      </c>
      <c r="H74" s="63">
        <f t="shared" si="4"/>
        <v>0.96999999999999886</v>
      </c>
      <c r="I74" s="6">
        <f t="shared" si="5"/>
        <v>5.7260920897284462E-2</v>
      </c>
      <c r="L74" s="94"/>
    </row>
    <row r="75" spans="3:12" x14ac:dyDescent="0.25">
      <c r="E75" s="72" t="str">
        <f>'Billing Detail'!C289</f>
        <v>Rate 3</v>
      </c>
      <c r="H75" s="63"/>
      <c r="I75" s="6"/>
      <c r="L75" s="94"/>
    </row>
    <row r="76" spans="3:12" x14ac:dyDescent="0.25">
      <c r="D76" s="2">
        <f>'Billing Detail'!B290</f>
        <v>31</v>
      </c>
      <c r="E76" s="2" t="str">
        <f>'Billing Detail'!C290</f>
        <v>Cobrahead 100 Watt on existing pole</v>
      </c>
      <c r="F76" s="63">
        <f>'Billing Detail'!H290</f>
        <v>17.32</v>
      </c>
      <c r="G76" s="63">
        <f>'Billing Detail'!L290</f>
        <v>18.309999999999999</v>
      </c>
      <c r="H76" s="63">
        <f t="shared" si="4"/>
        <v>0.98999999999999844</v>
      </c>
      <c r="I76" s="6">
        <f t="shared" si="5"/>
        <v>5.7159353348729701E-2</v>
      </c>
      <c r="L76" s="94"/>
    </row>
    <row r="77" spans="3:12" x14ac:dyDescent="0.25">
      <c r="D77" s="2">
        <f>'Billing Detail'!B291</f>
        <v>32</v>
      </c>
      <c r="E77" s="2" t="str">
        <f>'Billing Detail'!C291</f>
        <v>Cobrahead 100 Watt, 1 pole added</v>
      </c>
      <c r="F77" s="63">
        <f>'Billing Detail'!H291</f>
        <v>23.56</v>
      </c>
      <c r="G77" s="63">
        <f>'Billing Detail'!L291</f>
        <v>24.91</v>
      </c>
      <c r="H77" s="63">
        <f t="shared" si="4"/>
        <v>1.3500000000000014</v>
      </c>
      <c r="I77" s="6">
        <f t="shared" si="5"/>
        <v>5.7300509337860843E-2</v>
      </c>
      <c r="L77" s="94"/>
    </row>
    <row r="78" spans="3:12" x14ac:dyDescent="0.25">
      <c r="D78" s="2">
        <f>'Billing Detail'!B292</f>
        <v>33</v>
      </c>
      <c r="E78" s="2" t="str">
        <f>'Billing Detail'!C292</f>
        <v>Cobrahead 250 Watt on existing pole</v>
      </c>
      <c r="F78" s="63">
        <f>'Billing Detail'!H292</f>
        <v>23.73</v>
      </c>
      <c r="G78" s="63">
        <f>'Billing Detail'!L292</f>
        <v>25.09</v>
      </c>
      <c r="H78" s="63">
        <f t="shared" si="4"/>
        <v>1.3599999999999994</v>
      </c>
      <c r="I78" s="6">
        <f t="shared" si="5"/>
        <v>5.7311420143278523E-2</v>
      </c>
      <c r="L78" s="94"/>
    </row>
    <row r="79" spans="3:12" x14ac:dyDescent="0.25">
      <c r="D79" s="2">
        <f>'Billing Detail'!B293</f>
        <v>34</v>
      </c>
      <c r="E79" s="2" t="str">
        <f>'Billing Detail'!C293</f>
        <v>Cobrahead 250 Watt, 1 pole added</v>
      </c>
      <c r="F79" s="63">
        <f>'Billing Detail'!H293</f>
        <v>29.98</v>
      </c>
      <c r="G79" s="63">
        <f>'Billing Detail'!L293</f>
        <v>31.7</v>
      </c>
      <c r="H79" s="63">
        <f t="shared" si="4"/>
        <v>1.7199999999999989</v>
      </c>
      <c r="I79" s="6">
        <f t="shared" si="5"/>
        <v>5.7371581054035982E-2</v>
      </c>
      <c r="L79" s="94"/>
    </row>
    <row r="80" spans="3:12" x14ac:dyDescent="0.25">
      <c r="D80" s="2">
        <f>'Billing Detail'!B294</f>
        <v>35</v>
      </c>
      <c r="E80" s="2" t="str">
        <f>'Billing Detail'!C294</f>
        <v>Cobrahead 400 Watt on existing pole</v>
      </c>
      <c r="F80" s="63">
        <f>'Billing Detail'!H294</f>
        <v>29.92</v>
      </c>
      <c r="G80" s="63">
        <f>'Billing Detail'!L294</f>
        <v>31.63</v>
      </c>
      <c r="H80" s="63">
        <f t="shared" si="4"/>
        <v>1.7099999999999973</v>
      </c>
      <c r="I80" s="6">
        <f t="shared" si="5"/>
        <v>5.7152406417112209E-2</v>
      </c>
      <c r="L80" s="94"/>
    </row>
    <row r="81" spans="4:12" x14ac:dyDescent="0.25">
      <c r="D81" s="2">
        <f>'Billing Detail'!B295</f>
        <v>36</v>
      </c>
      <c r="E81" s="2" t="str">
        <f>'Billing Detail'!C295</f>
        <v>Cobrahead 400 Watt, 1 pole added</v>
      </c>
      <c r="F81" s="63">
        <f>'Billing Detail'!H295</f>
        <v>36.159999999999997</v>
      </c>
      <c r="G81" s="63">
        <f>'Billing Detail'!L295</f>
        <v>38.229999999999997</v>
      </c>
      <c r="H81" s="63">
        <f t="shared" si="4"/>
        <v>2.0700000000000003</v>
      </c>
      <c r="I81" s="6">
        <f t="shared" si="5"/>
        <v>5.7245575221238951E-2</v>
      </c>
      <c r="L81" s="94"/>
    </row>
    <row r="82" spans="4:12" x14ac:dyDescent="0.25">
      <c r="D82" s="2">
        <f>'Billing Detail'!B296</f>
        <v>61</v>
      </c>
      <c r="E82" s="2" t="str">
        <f>'Billing Detail'!C296</f>
        <v>Cobrahead - LED on existing pole (59 watt or equiv)</v>
      </c>
      <c r="F82" s="63">
        <f>'Billing Detail'!H296</f>
        <v>16.95</v>
      </c>
      <c r="G82" s="63">
        <f>'Billing Detail'!L296</f>
        <v>17.920000000000002</v>
      </c>
      <c r="H82" s="63">
        <f t="shared" si="4"/>
        <v>0.97000000000000242</v>
      </c>
      <c r="I82" s="6">
        <f t="shared" si="5"/>
        <v>5.7227138643067992E-2</v>
      </c>
      <c r="L82" s="94"/>
    </row>
    <row r="83" spans="4:12" x14ac:dyDescent="0.25">
      <c r="D83" s="2">
        <f>'Billing Detail'!B297</f>
        <v>62</v>
      </c>
      <c r="E83" s="2" t="str">
        <f>'Billing Detail'!C297</f>
        <v>Cobrahead - LED one pole added (59 watt or equiv)</v>
      </c>
      <c r="F83" s="63">
        <f>'Billing Detail'!H297</f>
        <v>22.12</v>
      </c>
      <c r="G83" s="63">
        <f>'Billing Detail'!L297</f>
        <v>23.39</v>
      </c>
      <c r="H83" s="63">
        <f t="shared" si="4"/>
        <v>1.2699999999999996</v>
      </c>
      <c r="I83" s="6">
        <f t="shared" si="5"/>
        <v>5.7414104882459294E-2</v>
      </c>
      <c r="L83" s="94"/>
    </row>
    <row r="84" spans="4:12" x14ac:dyDescent="0.25">
      <c r="D84" s="2">
        <f>'Billing Detail'!B298</f>
        <v>63</v>
      </c>
      <c r="E84" s="2" t="str">
        <f>'Billing Detail'!C298</f>
        <v>Cobrahead - LED on existing pole (113 watt or equiv)</v>
      </c>
      <c r="F84" s="63">
        <f>'Billing Detail'!H298</f>
        <v>20.350000000000001</v>
      </c>
      <c r="G84" s="63">
        <f>'Billing Detail'!L298</f>
        <v>21.51</v>
      </c>
      <c r="H84" s="63">
        <f t="shared" si="4"/>
        <v>1.1600000000000001</v>
      </c>
      <c r="I84" s="6">
        <f t="shared" si="5"/>
        <v>5.7002457002457006E-2</v>
      </c>
      <c r="L84" s="94"/>
    </row>
    <row r="85" spans="4:12" x14ac:dyDescent="0.25">
      <c r="D85" s="2">
        <f>'Billing Detail'!B299</f>
        <v>64</v>
      </c>
      <c r="E85" s="2" t="str">
        <f>'Billing Detail'!C299</f>
        <v>Cobrahead - LED one pole added (113 watt or equiv)</v>
      </c>
      <c r="F85" s="63">
        <f>'Billing Detail'!H299</f>
        <v>25.52</v>
      </c>
      <c r="G85" s="63">
        <f>'Billing Detail'!L299</f>
        <v>26.98</v>
      </c>
      <c r="H85" s="63">
        <f t="shared" si="4"/>
        <v>1.4600000000000009</v>
      </c>
      <c r="I85" s="6">
        <f t="shared" si="5"/>
        <v>5.7210031347962417E-2</v>
      </c>
      <c r="L85" s="94"/>
    </row>
    <row r="86" spans="4:12" x14ac:dyDescent="0.25">
      <c r="D86" s="2">
        <f>'Billing Detail'!B300</f>
        <v>65</v>
      </c>
      <c r="E86" s="2" t="str">
        <f>'Billing Detail'!C300</f>
        <v>Cobrahead - LED on existing pole (225 watt or equiv)</v>
      </c>
      <c r="F86" s="63">
        <f>'Billing Detail'!H300</f>
        <v>27.48</v>
      </c>
      <c r="G86" s="63">
        <f>'Billing Detail'!L300</f>
        <v>29.05</v>
      </c>
      <c r="H86" s="63">
        <f t="shared" si="4"/>
        <v>1.5700000000000003</v>
      </c>
      <c r="I86" s="6">
        <f t="shared" si="5"/>
        <v>5.7132459970887929E-2</v>
      </c>
      <c r="L86" s="94"/>
    </row>
    <row r="87" spans="4:12" x14ac:dyDescent="0.25">
      <c r="D87" s="2">
        <f>'Billing Detail'!B301</f>
        <v>66</v>
      </c>
      <c r="E87" s="2" t="str">
        <f>'Billing Detail'!C301</f>
        <v>Cobrahead - LED one pole added (225 watt or equiv)</v>
      </c>
      <c r="F87" s="63">
        <f>'Billing Detail'!H301</f>
        <v>32.64</v>
      </c>
      <c r="G87" s="63">
        <f>'Billing Detail'!L301</f>
        <v>34.51</v>
      </c>
      <c r="H87" s="63">
        <f t="shared" si="4"/>
        <v>1.8699999999999974</v>
      </c>
      <c r="I87" s="6">
        <f t="shared" si="5"/>
        <v>5.7291666666666588E-2</v>
      </c>
      <c r="L87" s="94"/>
    </row>
    <row r="88" spans="4:12" x14ac:dyDescent="0.25">
      <c r="E88" s="72" t="str">
        <f>'Billing Detail'!C302</f>
        <v>Rate 4</v>
      </c>
      <c r="H88" s="63"/>
      <c r="I88" s="6"/>
      <c r="L88" s="94"/>
    </row>
    <row r="89" spans="4:12" x14ac:dyDescent="0.25">
      <c r="D89" s="2">
        <f>'Billing Detail'!B303</f>
        <v>41</v>
      </c>
      <c r="E89" s="2" t="str">
        <f>'Billing Detail'!C303</f>
        <v>Directional 100 Watt on existing pole</v>
      </c>
      <c r="F89" s="63">
        <f>'Billing Detail'!H303</f>
        <v>16.23</v>
      </c>
      <c r="G89" s="63">
        <f>'Billing Detail'!L303</f>
        <v>17.16</v>
      </c>
      <c r="H89" s="63">
        <f t="shared" si="4"/>
        <v>0.92999999999999972</v>
      </c>
      <c r="I89" s="6">
        <f t="shared" si="5"/>
        <v>5.7301293900184826E-2</v>
      </c>
      <c r="L89" s="94"/>
    </row>
    <row r="90" spans="4:12" x14ac:dyDescent="0.25">
      <c r="D90" s="2">
        <f>'Billing Detail'!B304</f>
        <v>42</v>
      </c>
      <c r="E90" s="2" t="str">
        <f>'Billing Detail'!C304</f>
        <v>Directional 100 Watt, 1 pole added</v>
      </c>
      <c r="F90" s="63">
        <f>'Billing Detail'!H304</f>
        <v>22.48</v>
      </c>
      <c r="G90" s="63">
        <f>'Billing Detail'!L304</f>
        <v>23.77</v>
      </c>
      <c r="H90" s="63">
        <f t="shared" si="4"/>
        <v>1.2899999999999991</v>
      </c>
      <c r="I90" s="6">
        <f t="shared" si="5"/>
        <v>5.7384341637010637E-2</v>
      </c>
      <c r="L90" s="94"/>
    </row>
    <row r="91" spans="4:12" x14ac:dyDescent="0.25">
      <c r="D91" s="2">
        <f>'Billing Detail'!B305</f>
        <v>43</v>
      </c>
      <c r="E91" s="2" t="str">
        <f>'Billing Detail'!C305</f>
        <v>Directional 250 Watt on existing pole</v>
      </c>
      <c r="F91" s="63">
        <f>'Billing Detail'!H305</f>
        <v>20.2</v>
      </c>
      <c r="G91" s="63">
        <f>'Billing Detail'!L305</f>
        <v>21.36</v>
      </c>
      <c r="H91" s="63">
        <f t="shared" si="4"/>
        <v>1.1600000000000001</v>
      </c>
      <c r="I91" s="6">
        <f t="shared" si="5"/>
        <v>5.7425742574257435E-2</v>
      </c>
      <c r="L91" s="94"/>
    </row>
    <row r="92" spans="4:12" x14ac:dyDescent="0.25">
      <c r="D92" s="2">
        <f>'Billing Detail'!B306</f>
        <v>44</v>
      </c>
      <c r="E92" s="2" t="str">
        <f>'Billing Detail'!C306</f>
        <v>Directional 250 Watt, 1 pole added</v>
      </c>
      <c r="F92" s="63">
        <f>'Billing Detail'!H306</f>
        <v>26.44</v>
      </c>
      <c r="G92" s="63">
        <f>'Billing Detail'!L306</f>
        <v>27.95</v>
      </c>
      <c r="H92" s="63">
        <f t="shared" si="4"/>
        <v>1.509999999999998</v>
      </c>
      <c r="I92" s="6">
        <f t="shared" si="5"/>
        <v>5.7110438729198104E-2</v>
      </c>
      <c r="L92" s="94"/>
    </row>
    <row r="93" spans="4:12" x14ac:dyDescent="0.25">
      <c r="D93" s="2">
        <f>'Billing Detail'!B307</f>
        <v>45</v>
      </c>
      <c r="E93" s="2" t="str">
        <f>'Billing Detail'!C307</f>
        <v>Directional 400 Watt on existing pole</v>
      </c>
      <c r="F93" s="63">
        <f>'Billing Detail'!H307</f>
        <v>26.07</v>
      </c>
      <c r="G93" s="63">
        <f>'Billing Detail'!L307</f>
        <v>27.56</v>
      </c>
      <c r="H93" s="63">
        <f t="shared" si="4"/>
        <v>1.4899999999999984</v>
      </c>
      <c r="I93" s="6">
        <f t="shared" si="5"/>
        <v>5.715381664748747E-2</v>
      </c>
      <c r="L93" s="94"/>
    </row>
    <row r="94" spans="4:12" x14ac:dyDescent="0.25">
      <c r="D94" s="2">
        <f>'Billing Detail'!B308</f>
        <v>46</v>
      </c>
      <c r="E94" s="2" t="str">
        <f>'Billing Detail'!C308</f>
        <v>Directional 400 Watt, 1 pole added</v>
      </c>
      <c r="F94" s="63">
        <f>'Billing Detail'!H308</f>
        <v>32.32</v>
      </c>
      <c r="G94" s="63">
        <f>'Billing Detail'!L308</f>
        <v>34.17</v>
      </c>
      <c r="H94" s="63">
        <f t="shared" si="4"/>
        <v>1.8500000000000014</v>
      </c>
      <c r="I94" s="6">
        <f t="shared" si="5"/>
        <v>5.7240099009901034E-2</v>
      </c>
      <c r="L94" s="94"/>
    </row>
    <row r="95" spans="4:12" x14ac:dyDescent="0.25">
      <c r="D95" s="2">
        <f>'Billing Detail'!B309</f>
        <v>71</v>
      </c>
      <c r="E95" s="2" t="str">
        <f>'Billing Detail'!C309</f>
        <v>Directional - LED on existing pole (51 watt or equivalent)</v>
      </c>
      <c r="F95" s="63">
        <f>'Billing Detail'!H309</f>
        <v>14.94</v>
      </c>
      <c r="G95" s="63">
        <f>'Billing Detail'!L309</f>
        <v>15.79</v>
      </c>
      <c r="H95" s="63">
        <f t="shared" si="4"/>
        <v>0.84999999999999964</v>
      </c>
      <c r="I95" s="6">
        <f t="shared" si="5"/>
        <v>5.6894243641231572E-2</v>
      </c>
      <c r="L95" s="94"/>
    </row>
    <row r="96" spans="4:12" x14ac:dyDescent="0.25">
      <c r="D96" s="2">
        <f>'Billing Detail'!B310</f>
        <v>72</v>
      </c>
      <c r="E96" s="2" t="str">
        <f>'Billing Detail'!C310</f>
        <v>Directional - LED one pole added (51 watt or equivalent)</v>
      </c>
      <c r="F96" s="63">
        <f>'Billing Detail'!H310</f>
        <v>20.11</v>
      </c>
      <c r="G96" s="63">
        <f>'Billing Detail'!L310</f>
        <v>21.26</v>
      </c>
      <c r="H96" s="63">
        <f t="shared" si="4"/>
        <v>1.1500000000000021</v>
      </c>
      <c r="I96" s="6">
        <f t="shared" si="5"/>
        <v>5.7185479860765893E-2</v>
      </c>
      <c r="L96" s="94"/>
    </row>
    <row r="97" spans="3:12" x14ac:dyDescent="0.25">
      <c r="D97" s="2">
        <f>'Billing Detail'!B311</f>
        <v>73</v>
      </c>
      <c r="E97" s="2" t="str">
        <f>'Billing Detail'!C311</f>
        <v>Directional- LED on existing pole (85 watt or equivalent)</v>
      </c>
      <c r="F97" s="63">
        <f>'Billing Detail'!H311</f>
        <v>17.670000000000002</v>
      </c>
      <c r="G97" s="63">
        <f>'Billing Detail'!L311</f>
        <v>18.68</v>
      </c>
      <c r="H97" s="63">
        <f t="shared" si="4"/>
        <v>1.009999999999998</v>
      </c>
      <c r="I97" s="6">
        <f t="shared" si="5"/>
        <v>5.7159026598754832E-2</v>
      </c>
      <c r="L97" s="94"/>
    </row>
    <row r="98" spans="3:12" x14ac:dyDescent="0.25">
      <c r="D98" s="2">
        <f>'Billing Detail'!B312</f>
        <v>74</v>
      </c>
      <c r="E98" s="2" t="str">
        <f>'Billing Detail'!C312</f>
        <v>Directional - LED one pole added (85 watt or equivalent)</v>
      </c>
      <c r="F98" s="63">
        <f>'Billing Detail'!H312</f>
        <v>22.84</v>
      </c>
      <c r="G98" s="63">
        <f>'Billing Detail'!L312</f>
        <v>24.15</v>
      </c>
      <c r="H98" s="63">
        <f t="shared" si="4"/>
        <v>1.3099999999999987</v>
      </c>
      <c r="I98" s="6">
        <f t="shared" si="5"/>
        <v>5.7355516637478052E-2</v>
      </c>
      <c r="L98" s="94"/>
    </row>
    <row r="99" spans="3:12" x14ac:dyDescent="0.25">
      <c r="D99" s="2">
        <f>'Billing Detail'!B313</f>
        <v>75</v>
      </c>
      <c r="E99" s="2" t="str">
        <f>'Billing Detail'!C313</f>
        <v>Directional - LED on existing pole (129 watt or equivalent)</v>
      </c>
      <c r="F99" s="63">
        <f>'Billing Detail'!H313</f>
        <v>19.989999999999998</v>
      </c>
      <c r="G99" s="63">
        <f>'Billing Detail'!L313</f>
        <v>21.13</v>
      </c>
      <c r="H99" s="63">
        <f t="shared" si="4"/>
        <v>1.1400000000000006</v>
      </c>
      <c r="I99" s="6">
        <f t="shared" si="5"/>
        <v>5.7028514257128599E-2</v>
      </c>
      <c r="L99" s="94"/>
    </row>
    <row r="100" spans="3:12" x14ac:dyDescent="0.25">
      <c r="D100" s="2">
        <f>'Billing Detail'!B314</f>
        <v>76</v>
      </c>
      <c r="E100" s="2" t="str">
        <f>'Billing Detail'!C314</f>
        <v>Directional - LED one pole added (129 watt or equivalent)</v>
      </c>
      <c r="F100" s="63">
        <f>'Billing Detail'!H314</f>
        <v>25.16</v>
      </c>
      <c r="G100" s="63">
        <f>'Billing Detail'!L314</f>
        <v>26.6</v>
      </c>
      <c r="H100" s="63">
        <f t="shared" si="4"/>
        <v>1.4400000000000013</v>
      </c>
      <c r="I100" s="6">
        <f t="shared" si="5"/>
        <v>5.7233704292527873E-2</v>
      </c>
      <c r="L100" s="94"/>
    </row>
    <row r="101" spans="3:12" x14ac:dyDescent="0.25">
      <c r="E101" s="72" t="str">
        <f>'Billing Detail'!C315</f>
        <v>Schedule II SOLS - Special Outdoor Lighting Service</v>
      </c>
      <c r="H101" s="63"/>
      <c r="I101" s="6"/>
      <c r="L101" s="94"/>
    </row>
    <row r="102" spans="3:12" x14ac:dyDescent="0.25">
      <c r="D102" s="2">
        <f>'Billing Detail'!B316</f>
        <v>51</v>
      </c>
      <c r="E102" s="2" t="str">
        <f>'Billing Detail'!C316</f>
        <v>Traditional light, w/ fiberglass pole</v>
      </c>
      <c r="F102" s="63">
        <f>'Billing Detail'!H316</f>
        <v>17.11</v>
      </c>
      <c r="G102" s="63">
        <f>'Billing Detail'!L316</f>
        <v>18.09</v>
      </c>
      <c r="H102" s="63">
        <f t="shared" si="4"/>
        <v>0.98000000000000043</v>
      </c>
      <c r="I102" s="6">
        <f t="shared" si="5"/>
        <v>5.7276446522501488E-2</v>
      </c>
      <c r="L102" s="94"/>
    </row>
    <row r="103" spans="3:12" x14ac:dyDescent="0.25">
      <c r="D103" s="2">
        <f>'Billing Detail'!B317</f>
        <v>52</v>
      </c>
      <c r="E103" s="2" t="str">
        <f>'Billing Detail'!C317</f>
        <v>Holophane light, w/ fiberglass pole</v>
      </c>
      <c r="F103" s="63">
        <f>'Billing Detail'!H317</f>
        <v>20.27</v>
      </c>
      <c r="G103" s="63">
        <f>'Billing Detail'!L317</f>
        <v>21.43</v>
      </c>
      <c r="H103" s="63">
        <f t="shared" si="4"/>
        <v>1.1600000000000001</v>
      </c>
      <c r="I103" s="6">
        <f t="shared" si="5"/>
        <v>5.7227429699062665E-2</v>
      </c>
      <c r="L103" s="94"/>
    </row>
    <row r="104" spans="3:12" x14ac:dyDescent="0.25">
      <c r="D104" s="2">
        <f>'Billing Detail'!B318</f>
        <v>53</v>
      </c>
      <c r="E104" s="2" t="str">
        <f>'Billing Detail'!C318</f>
        <v>Acorn - LED w/ fiberglass pole</v>
      </c>
      <c r="F104" s="63">
        <f>'Billing Detail'!H318</f>
        <v>25.98</v>
      </c>
      <c r="G104" s="63">
        <f>'Billing Detail'!L318</f>
        <v>27.47</v>
      </c>
      <c r="H104" s="63">
        <f t="shared" si="4"/>
        <v>1.4899999999999984</v>
      </c>
      <c r="I104" s="6">
        <f t="shared" si="5"/>
        <v>5.7351809083910639E-2</v>
      </c>
      <c r="L104" s="94"/>
    </row>
    <row r="105" spans="3:12" x14ac:dyDescent="0.25">
      <c r="D105" s="2">
        <f>'Billing Detail'!B319</f>
        <v>54</v>
      </c>
      <c r="E105" s="2" t="str">
        <f>'Billing Detail'!C319</f>
        <v>Holophane LED, w/ fiberglass pole</v>
      </c>
      <c r="F105" s="63">
        <f>'Billing Detail'!H319</f>
        <v>32.47</v>
      </c>
      <c r="G105" s="63">
        <f>'Billing Detail'!L319</f>
        <v>34.33</v>
      </c>
      <c r="H105" s="63">
        <f t="shared" si="4"/>
        <v>1.8599999999999994</v>
      </c>
      <c r="I105" s="6">
        <f t="shared" si="5"/>
        <v>5.7283646442870324E-2</v>
      </c>
      <c r="L105" s="94"/>
    </row>
    <row r="106" spans="3:12" x14ac:dyDescent="0.25">
      <c r="D106" s="2">
        <f>'Billing Detail'!B320</f>
        <v>55</v>
      </c>
      <c r="E106" s="2" t="str">
        <f>'Billing Detail'!C320</f>
        <v>Traditionaire LED, w/ fiberglass pole</v>
      </c>
      <c r="F106" s="63">
        <f>'Billing Detail'!H320</f>
        <v>27.33</v>
      </c>
      <c r="G106" s="63">
        <f>'Billing Detail'!L320</f>
        <v>28.89</v>
      </c>
      <c r="H106" s="63">
        <f t="shared" si="4"/>
        <v>1.5600000000000023</v>
      </c>
      <c r="I106" s="6">
        <f t="shared" si="5"/>
        <v>5.7080131723380986E-2</v>
      </c>
      <c r="L106" s="94"/>
    </row>
    <row r="107" spans="3:12" x14ac:dyDescent="0.25">
      <c r="D107" s="2">
        <f>'Billing Detail'!B321</f>
        <v>56</v>
      </c>
      <c r="E107" s="2" t="str">
        <f>'Billing Detail'!C321</f>
        <v>Holophane LED, w/ aluminum pole</v>
      </c>
      <c r="F107" s="63">
        <f>'Billing Detail'!H321</f>
        <v>45.54</v>
      </c>
      <c r="G107" s="63">
        <f>'Billing Detail'!L321</f>
        <v>48.15</v>
      </c>
      <c r="H107" s="63">
        <f t="shared" si="4"/>
        <v>2.6099999999999994</v>
      </c>
      <c r="I107" s="6">
        <f t="shared" si="5"/>
        <v>5.7312252964426866E-2</v>
      </c>
      <c r="L107" s="94"/>
    </row>
    <row r="108" spans="3:12" x14ac:dyDescent="0.25">
      <c r="E108" s="72" t="str">
        <f>'Billing Detail'!C322</f>
        <v>Schedule III SOLS - Special Outdoor Lighting Service (none)</v>
      </c>
      <c r="H108" s="63"/>
      <c r="I108" s="6"/>
      <c r="L108" s="94"/>
    </row>
    <row r="109" spans="3:12" x14ac:dyDescent="0.25">
      <c r="E109" s="2" t="str">
        <f>'Billing Detail'!C323</f>
        <v>Energy</v>
      </c>
      <c r="F109" s="64">
        <f>'Billing Detail'!H323</f>
        <v>6.9250000000000006E-2</v>
      </c>
      <c r="G109" s="64">
        <f>'Billing Detail'!L323</f>
        <v>7.321225555008036E-2</v>
      </c>
      <c r="H109" s="64">
        <f t="shared" si="4"/>
        <v>3.9622555500803541E-3</v>
      </c>
      <c r="I109" s="6">
        <f t="shared" si="5"/>
        <v>5.7216686643759625E-2</v>
      </c>
      <c r="L109" s="96"/>
    </row>
    <row r="110" spans="3:12" x14ac:dyDescent="0.25">
      <c r="C110" s="4">
        <f>'Billing Detail'!C365</f>
        <v>7</v>
      </c>
      <c r="D110" s="72" t="str">
        <f>'Billing Detail'!B365</f>
        <v>Schedule VIII- Large Industrial Rate LPC1</v>
      </c>
      <c r="F110" s="94"/>
      <c r="H110" s="63"/>
      <c r="I110" s="6"/>
      <c r="L110" s="94"/>
    </row>
    <row r="111" spans="3:12" x14ac:dyDescent="0.25">
      <c r="E111" s="2" t="str">
        <f>'Billing Detail'!D366</f>
        <v>Customer Charge</v>
      </c>
      <c r="F111" s="94">
        <f>'Billing Detail'!H366</f>
        <v>1573.12</v>
      </c>
      <c r="G111" s="63">
        <f>'Billing Detail'!L366</f>
        <v>1714.7008000000001</v>
      </c>
      <c r="H111" s="63">
        <f t="shared" si="4"/>
        <v>141.58080000000018</v>
      </c>
      <c r="I111" s="6">
        <f t="shared" si="5"/>
        <v>9.0000000000000122E-2</v>
      </c>
      <c r="L111" s="94"/>
    </row>
    <row r="112" spans="3:12" x14ac:dyDescent="0.25">
      <c r="E112" s="2" t="str">
        <f>'Billing Detail'!D367</f>
        <v>Energy Charge per kWh first 425</v>
      </c>
      <c r="F112" s="96">
        <f>'Billing Detail'!H367</f>
        <v>5.8659999999999997E-2</v>
      </c>
      <c r="G112" s="64">
        <f>'Billing Detail'!L367</f>
        <v>6.3939400000000007E-2</v>
      </c>
      <c r="H112" s="64">
        <f t="shared" si="4"/>
        <v>5.2794000000000105E-3</v>
      </c>
      <c r="I112" s="6">
        <f t="shared" si="5"/>
        <v>9.0000000000000177E-2</v>
      </c>
      <c r="L112" s="96"/>
    </row>
    <row r="113" spans="3:12" x14ac:dyDescent="0.25">
      <c r="E113" s="2" t="str">
        <f>'Billing Detail'!D368</f>
        <v>Energy Charge per kWh over 425</v>
      </c>
      <c r="F113" s="96">
        <f>'Billing Detail'!H368</f>
        <v>5.4890000000000001E-2</v>
      </c>
      <c r="G113" s="64">
        <f>'Billing Detail'!L368</f>
        <v>5.9830100000000004E-2</v>
      </c>
      <c r="H113" s="64">
        <f t="shared" si="4"/>
        <v>4.9401000000000028E-3</v>
      </c>
      <c r="I113" s="6">
        <f t="shared" si="5"/>
        <v>9.0000000000000052E-2</v>
      </c>
      <c r="L113" s="96"/>
    </row>
    <row r="114" spans="3:12" x14ac:dyDescent="0.25">
      <c r="E114" s="2" t="str">
        <f>'Billing Detail'!D369</f>
        <v>Demand Charge per kW</v>
      </c>
      <c r="F114" s="94">
        <f>'Billing Detail'!H369</f>
        <v>7.49</v>
      </c>
      <c r="G114" s="63">
        <f>'Billing Detail'!L369</f>
        <v>8.1641000000000012</v>
      </c>
      <c r="H114" s="63">
        <f t="shared" si="4"/>
        <v>0.67410000000000103</v>
      </c>
      <c r="I114" s="6">
        <f t="shared" si="5"/>
        <v>9.0000000000000135E-2</v>
      </c>
      <c r="L114" s="94"/>
    </row>
    <row r="115" spans="3:12" x14ac:dyDescent="0.25">
      <c r="C115" s="4">
        <f>'Billing Detail'!C371</f>
        <v>8</v>
      </c>
      <c r="D115" s="72" t="str">
        <f>'Billing Detail'!B371</f>
        <v>Schedule X - Large Industrial Rate LPC1A</v>
      </c>
      <c r="F115" s="94"/>
      <c r="H115" s="63"/>
      <c r="I115" s="6"/>
      <c r="L115" s="94"/>
    </row>
    <row r="116" spans="3:12" x14ac:dyDescent="0.25">
      <c r="E116" s="2" t="str">
        <f>'Billing Detail'!D372</f>
        <v>Customer Charge</v>
      </c>
      <c r="F116" s="94">
        <f>'Billing Detail'!H372</f>
        <v>1573.12</v>
      </c>
      <c r="G116" s="63">
        <f>'Billing Detail'!L372</f>
        <v>1714.7008000000001</v>
      </c>
      <c r="H116" s="63">
        <f t="shared" si="4"/>
        <v>141.58080000000018</v>
      </c>
      <c r="I116" s="6">
        <f t="shared" si="5"/>
        <v>9.0000000000000122E-2</v>
      </c>
      <c r="L116" s="94"/>
    </row>
    <row r="117" spans="3:12" x14ac:dyDescent="0.25">
      <c r="E117" s="2" t="str">
        <f>'Billing Detail'!D373</f>
        <v>Energy Charge per kWh first 425</v>
      </c>
      <c r="F117" s="96">
        <f>'Billing Detail'!H373</f>
        <v>5.3960000000000001E-2</v>
      </c>
      <c r="G117" s="64">
        <f>'Billing Detail'!L373</f>
        <v>5.8816400000000005E-2</v>
      </c>
      <c r="H117" s="64">
        <f t="shared" si="4"/>
        <v>4.8564000000000038E-3</v>
      </c>
      <c r="I117" s="6">
        <f t="shared" si="5"/>
        <v>9.0000000000000066E-2</v>
      </c>
      <c r="L117" s="96"/>
    </row>
    <row r="118" spans="3:12" x14ac:dyDescent="0.25">
      <c r="E118" s="2" t="str">
        <f>'Billing Detail'!D374</f>
        <v>Energy Charge per kWh over 425</v>
      </c>
      <c r="F118" s="96">
        <f>'Billing Detail'!H374</f>
        <v>5.2609999999999997E-2</v>
      </c>
      <c r="G118" s="64">
        <f>'Billing Detail'!L374</f>
        <v>5.7344900000000004E-2</v>
      </c>
      <c r="H118" s="64">
        <f t="shared" si="4"/>
        <v>4.7349000000000072E-3</v>
      </c>
      <c r="I118" s="6">
        <f t="shared" si="5"/>
        <v>9.0000000000000135E-2</v>
      </c>
      <c r="L118" s="96"/>
    </row>
    <row r="119" spans="3:12" x14ac:dyDescent="0.25">
      <c r="E119" s="2" t="str">
        <f>'Billing Detail'!D375</f>
        <v>Demand Charge per kW</v>
      </c>
      <c r="F119" s="94">
        <f>'Billing Detail'!H375</f>
        <v>7.49</v>
      </c>
      <c r="G119" s="63">
        <f>'Billing Detail'!L375</f>
        <v>8.1641000000000012</v>
      </c>
      <c r="H119" s="63">
        <f t="shared" si="4"/>
        <v>0.67410000000000103</v>
      </c>
      <c r="I119" s="6">
        <f t="shared" si="5"/>
        <v>9.0000000000000135E-2</v>
      </c>
      <c r="L119" s="94"/>
    </row>
    <row r="120" spans="3:12" x14ac:dyDescent="0.25">
      <c r="C120" s="4">
        <f>'Billing Detail'!C377</f>
        <v>14</v>
      </c>
      <c r="D120" s="72" t="str">
        <f>'Billing Detail'!B377</f>
        <v>Schedule IX - Large Industrial Rate LPC2</v>
      </c>
      <c r="F120" s="94"/>
      <c r="H120" s="63"/>
      <c r="I120" s="6"/>
      <c r="L120" s="94"/>
    </row>
    <row r="121" spans="3:12" x14ac:dyDescent="0.25">
      <c r="E121" s="2" t="str">
        <f>'Billing Detail'!D378</f>
        <v>Customer Charge</v>
      </c>
      <c r="F121" s="94">
        <f>'Billing Detail'!H378</f>
        <v>3136.91</v>
      </c>
      <c r="G121" s="63">
        <f>'Billing Detail'!L378</f>
        <v>3419.2319000000002</v>
      </c>
      <c r="H121" s="63">
        <f t="shared" si="4"/>
        <v>282.32190000000037</v>
      </c>
      <c r="I121" s="6">
        <f t="shared" si="5"/>
        <v>9.0000000000000122E-2</v>
      </c>
      <c r="L121" s="94"/>
    </row>
    <row r="122" spans="3:12" x14ac:dyDescent="0.25">
      <c r="E122" s="2" t="str">
        <f>'Billing Detail'!D379</f>
        <v>Energy Charge per kWh first 425</v>
      </c>
      <c r="F122" s="96">
        <f>'Billing Detail'!H379</f>
        <v>5.339E-2</v>
      </c>
      <c r="G122" s="64">
        <f>'Billing Detail'!L379</f>
        <v>5.8195100000000007E-2</v>
      </c>
      <c r="H122" s="64">
        <f t="shared" si="4"/>
        <v>4.8051000000000066E-3</v>
      </c>
      <c r="I122" s="6">
        <f t="shared" si="5"/>
        <v>9.0000000000000122E-2</v>
      </c>
      <c r="L122" s="96"/>
    </row>
    <row r="123" spans="3:12" x14ac:dyDescent="0.25">
      <c r="E123" s="2" t="str">
        <f>'Billing Detail'!D380</f>
        <v>Energy Charge per kWh over 425</v>
      </c>
      <c r="F123" s="96">
        <f>'Billing Detail'!H380</f>
        <v>5.2490000000000002E-2</v>
      </c>
      <c r="G123" s="64">
        <f>'Billing Detail'!L380</f>
        <v>5.7214100000000004E-2</v>
      </c>
      <c r="H123" s="64">
        <f t="shared" si="4"/>
        <v>4.7241000000000019E-3</v>
      </c>
      <c r="I123" s="6">
        <f t="shared" si="5"/>
        <v>9.0000000000000038E-2</v>
      </c>
      <c r="L123" s="96"/>
    </row>
    <row r="124" spans="3:12" x14ac:dyDescent="0.25">
      <c r="E124" s="2" t="str">
        <f>'Billing Detail'!D381</f>
        <v>Demand Charge per kW</v>
      </c>
      <c r="F124" s="94">
        <f>'Billing Detail'!H381</f>
        <v>7.47</v>
      </c>
      <c r="G124" s="63">
        <f>'Billing Detail'!L381</f>
        <v>8.1423000000000005</v>
      </c>
      <c r="H124" s="63">
        <f t="shared" si="4"/>
        <v>0.67230000000000079</v>
      </c>
      <c r="I124" s="6">
        <f t="shared" si="5"/>
        <v>9.0000000000000108E-2</v>
      </c>
      <c r="L124" s="94"/>
    </row>
    <row r="125" spans="3:12" x14ac:dyDescent="0.25">
      <c r="C125" s="4">
        <f>'Billing Detail'!C383</f>
        <v>15</v>
      </c>
      <c r="D125" s="72" t="str">
        <f>'Billing Detail'!B383</f>
        <v>Schedule XII- Large Industrial Rate LPB1A</v>
      </c>
      <c r="F125" s="94"/>
      <c r="H125" s="63"/>
      <c r="I125" s="6"/>
      <c r="L125" s="94"/>
    </row>
    <row r="126" spans="3:12" x14ac:dyDescent="0.25">
      <c r="E126" s="2" t="str">
        <f>'Billing Detail'!D384</f>
        <v>Customer Charge</v>
      </c>
      <c r="F126" s="94">
        <f>'Billing Detail'!H384</f>
        <v>1573.12</v>
      </c>
      <c r="G126" s="63">
        <f>'Billing Detail'!L384</f>
        <v>1723.17</v>
      </c>
      <c r="H126" s="63">
        <f t="shared" si="4"/>
        <v>150.05000000000018</v>
      </c>
      <c r="I126" s="6">
        <f t="shared" si="5"/>
        <v>9.5383696094385795E-2</v>
      </c>
      <c r="L126" s="94"/>
    </row>
    <row r="127" spans="3:12" x14ac:dyDescent="0.25">
      <c r="E127" s="2" t="str">
        <f>'Billing Detail'!D385</f>
        <v>Energy Charge per kWh first 425</v>
      </c>
      <c r="F127" s="96">
        <f>'Billing Detail'!H385</f>
        <v>5.3960000000000001E-2</v>
      </c>
      <c r="G127" s="64">
        <f>'Billing Detail'!L385</f>
        <v>5.9106347548669558E-2</v>
      </c>
      <c r="H127" s="64">
        <f t="shared" si="4"/>
        <v>5.1463475486695567E-3</v>
      </c>
      <c r="I127" s="6">
        <f t="shared" si="5"/>
        <v>9.5373379330421726E-2</v>
      </c>
      <c r="L127" s="96"/>
    </row>
    <row r="128" spans="3:12" x14ac:dyDescent="0.25">
      <c r="E128" s="2" t="str">
        <f>'Billing Detail'!D386</f>
        <v>Energy Charge per kWh over 425</v>
      </c>
      <c r="F128" s="96">
        <f>'Billing Detail'!H386</f>
        <v>5.2609999999999997E-2</v>
      </c>
      <c r="G128" s="64">
        <f>'Billing Detail'!L386</f>
        <v>5.7627593486573481E-2</v>
      </c>
      <c r="H128" s="64">
        <f t="shared" si="4"/>
        <v>5.0175934865734836E-3</v>
      </c>
      <c r="I128" s="6">
        <f t="shared" si="5"/>
        <v>9.537337933042167E-2</v>
      </c>
      <c r="L128" s="96"/>
    </row>
    <row r="129" spans="3:13" x14ac:dyDescent="0.25">
      <c r="E129" s="2" t="str">
        <f>'Billing Detail'!D387</f>
        <v>Demand Charge per kW</v>
      </c>
      <c r="F129" s="94">
        <f>'Billing Detail'!H387</f>
        <v>7.49</v>
      </c>
      <c r="G129" s="63">
        <f>'Billing Detail'!L387</f>
        <v>8.11</v>
      </c>
      <c r="H129" s="63">
        <f t="shared" si="4"/>
        <v>0.61999999999999922</v>
      </c>
      <c r="I129" s="6">
        <f t="shared" si="5"/>
        <v>8.2777036048063982E-2</v>
      </c>
      <c r="L129" s="94"/>
    </row>
    <row r="130" spans="3:13" x14ac:dyDescent="0.25">
      <c r="E130" s="2" t="str">
        <f>'Billing Detail'!D388</f>
        <v>Demand Charge Excess per kW</v>
      </c>
      <c r="F130" s="94">
        <f>'Billing Detail'!H388</f>
        <v>10.32</v>
      </c>
      <c r="G130" s="63">
        <f>'Billing Detail'!L388</f>
        <v>11.17</v>
      </c>
      <c r="H130" s="63">
        <f t="shared" si="4"/>
        <v>0.84999999999999964</v>
      </c>
      <c r="I130" s="6">
        <f t="shared" si="5"/>
        <v>8.2364341085271284E-2</v>
      </c>
      <c r="L130" s="94"/>
    </row>
    <row r="131" spans="3:13" x14ac:dyDescent="0.25">
      <c r="F131" s="94"/>
      <c r="J131" s="6"/>
      <c r="M131" s="63"/>
    </row>
    <row r="132" spans="3:13" ht="27.6" customHeight="1" x14ac:dyDescent="0.25">
      <c r="C132" s="143" t="s">
        <v>128</v>
      </c>
      <c r="D132" s="143"/>
      <c r="E132" s="143"/>
      <c r="F132" s="143"/>
      <c r="G132" s="143"/>
      <c r="J132" s="6"/>
      <c r="M132" s="63"/>
    </row>
    <row r="133" spans="3:13" x14ac:dyDescent="0.25">
      <c r="F133" s="144" t="s">
        <v>129</v>
      </c>
      <c r="G133" s="144"/>
      <c r="J133" s="6"/>
      <c r="M133" s="63"/>
    </row>
    <row r="134" spans="3:13" x14ac:dyDescent="0.25">
      <c r="C134" s="81" t="s">
        <v>47</v>
      </c>
      <c r="D134" s="83"/>
      <c r="E134" s="68"/>
      <c r="F134" s="73" t="s">
        <v>130</v>
      </c>
      <c r="G134" s="73" t="s">
        <v>131</v>
      </c>
      <c r="J134" s="6"/>
      <c r="M134" s="63"/>
    </row>
    <row r="135" spans="3:13" x14ac:dyDescent="0.25">
      <c r="C135" s="82">
        <f>Summary!C11</f>
        <v>1</v>
      </c>
      <c r="D135" s="2" t="str">
        <f>Summary!B11</f>
        <v>Schedule I-Farm and Home</v>
      </c>
      <c r="F135" s="74">
        <f>Summary!L11</f>
        <v>4992719.4513580073</v>
      </c>
      <c r="G135" s="79">
        <f>Summary!N11</f>
        <v>5.1509298350558883E-2</v>
      </c>
      <c r="J135" s="6"/>
      <c r="M135" s="63"/>
    </row>
    <row r="136" spans="3:13" x14ac:dyDescent="0.25">
      <c r="C136" s="82">
        <f>Summary!C12</f>
        <v>2</v>
      </c>
      <c r="D136" s="2" t="str">
        <f>Summary!B12</f>
        <v>Schedule 1-D Farm &amp; Home Inclining Block</v>
      </c>
      <c r="F136" s="74">
        <f>Summary!L12</f>
        <v>28118.790320000044</v>
      </c>
      <c r="G136" s="79">
        <f>Summary!N12</f>
        <v>5.1338628215713084E-2</v>
      </c>
      <c r="J136" s="6"/>
      <c r="M136" s="63"/>
    </row>
    <row r="137" spans="3:13" x14ac:dyDescent="0.25">
      <c r="C137" s="82">
        <f>Summary!C13</f>
        <v>3</v>
      </c>
      <c r="D137" s="2" t="str">
        <f>Summary!B13</f>
        <v>Schedule 1-Small Commercial</v>
      </c>
      <c r="F137" s="74">
        <f>Summary!L13</f>
        <v>326155.02304999996</v>
      </c>
      <c r="G137" s="79">
        <f>Summary!N13</f>
        <v>5.1525708663900965E-2</v>
      </c>
      <c r="J137" s="6"/>
      <c r="M137" s="63"/>
    </row>
    <row r="138" spans="3:13" x14ac:dyDescent="0.25">
      <c r="C138" s="82">
        <f>Summary!C14</f>
        <v>4</v>
      </c>
      <c r="D138" s="2" t="str">
        <f>Summary!B14</f>
        <v>Schedule II-Large Power</v>
      </c>
      <c r="F138" s="74">
        <f>Summary!L14</f>
        <v>1042193.423930001</v>
      </c>
      <c r="G138" s="79">
        <f>Summary!N14</f>
        <v>5.1610050417287022E-2</v>
      </c>
      <c r="J138" s="6"/>
      <c r="M138" s="63"/>
    </row>
    <row r="139" spans="3:13" x14ac:dyDescent="0.25">
      <c r="C139" s="82">
        <f>Summary!C15</f>
        <v>5</v>
      </c>
      <c r="D139" s="2" t="str">
        <f>Summary!B15</f>
        <v>Schedule II-Large Power - Primary Metered</v>
      </c>
      <c r="F139" s="74">
        <f>Summary!L15</f>
        <v>96009.690299999944</v>
      </c>
      <c r="G139" s="79">
        <f>Summary!N15</f>
        <v>5.1196031210043846E-2</v>
      </c>
      <c r="J139" s="6"/>
      <c r="M139" s="63"/>
    </row>
    <row r="140" spans="3:13" x14ac:dyDescent="0.25">
      <c r="C140" s="82">
        <f>Summary!C31</f>
        <v>9</v>
      </c>
      <c r="D140" s="2" t="str">
        <f>Summary!B31</f>
        <v>Schedule XI- LPB1</v>
      </c>
      <c r="F140" s="74">
        <f>Summary!L31</f>
        <v>791802.15015999984</v>
      </c>
      <c r="G140" s="79">
        <f>Summary!N31</f>
        <v>8.5712225923674848E-2</v>
      </c>
      <c r="J140" s="6"/>
      <c r="M140" s="63"/>
    </row>
    <row r="141" spans="3:13" x14ac:dyDescent="0.25">
      <c r="C141" s="82">
        <f>Summary!C16</f>
        <v>38</v>
      </c>
      <c r="D141" s="2" t="str">
        <f>Summary!B16</f>
        <v>ETS Off-Peak - Special Contract</v>
      </c>
      <c r="F141" s="74">
        <f>Summary!L16</f>
        <v>30.787248000000091</v>
      </c>
      <c r="G141" s="79">
        <f>Summary!N16</f>
        <v>4.992912965245197E-2</v>
      </c>
      <c r="J141" s="6"/>
      <c r="M141" s="63"/>
    </row>
    <row r="142" spans="3:13" x14ac:dyDescent="0.25">
      <c r="C142" s="82">
        <f>Summary!C32</f>
        <v>12</v>
      </c>
      <c r="D142" s="2" t="str">
        <f>Summary!B32</f>
        <v>Schedule XIV LPB</v>
      </c>
      <c r="F142" s="74">
        <f>Summary!L32</f>
        <v>54850.68200000003</v>
      </c>
      <c r="G142" s="79">
        <f>Summary!N32</f>
        <v>8.5593789818333058E-2</v>
      </c>
      <c r="J142" s="6"/>
      <c r="M142" s="63"/>
    </row>
    <row r="143" spans="3:13" x14ac:dyDescent="0.25">
      <c r="C143" s="82">
        <f>Summary!C33</f>
        <v>13</v>
      </c>
      <c r="D143" s="2" t="str">
        <f>Summary!B33</f>
        <v>Schedule XIII-LPB2</v>
      </c>
      <c r="F143" s="74">
        <f>Summary!L33</f>
        <v>975699.89046000061</v>
      </c>
      <c r="G143" s="79">
        <f>Summary!N33</f>
        <v>8.257741323729105E-2</v>
      </c>
      <c r="J143" s="6"/>
      <c r="M143" s="63"/>
    </row>
    <row r="144" spans="3:13" x14ac:dyDescent="0.25">
      <c r="C144" s="82">
        <f>Summary!C17</f>
        <v>20</v>
      </c>
      <c r="D144" s="2" t="str">
        <f>Summary!B17</f>
        <v xml:space="preserve">Sched. 2-A Large Power TOD  </v>
      </c>
      <c r="F144" s="74">
        <f>Summary!L17</f>
        <v>19288.179119999986</v>
      </c>
      <c r="G144" s="79">
        <f>Summary!N17</f>
        <v>5.1323132063287737E-2</v>
      </c>
      <c r="J144" s="6"/>
      <c r="M144" s="63"/>
    </row>
    <row r="145" spans="3:13" x14ac:dyDescent="0.25">
      <c r="C145" s="82">
        <f>Summary!C18</f>
        <v>22</v>
      </c>
      <c r="D145" s="2" t="str">
        <f>Summary!B18</f>
        <v>Sched. 1-C Small Commercial TOD</v>
      </c>
      <c r="F145" s="74">
        <f>Summary!L18</f>
        <v>17123.173289999977</v>
      </c>
      <c r="G145" s="79">
        <f>Summary!N18</f>
        <v>5.1618765843221358E-2</v>
      </c>
      <c r="J145" s="6"/>
      <c r="M145" s="63"/>
    </row>
    <row r="146" spans="3:13" x14ac:dyDescent="0.25">
      <c r="C146" s="82">
        <f>Summary!C19</f>
        <v>24</v>
      </c>
      <c r="D146" s="2" t="str">
        <f>Summary!B19</f>
        <v>Sched. 2-A Large Power TOD Primary Mtrd</v>
      </c>
      <c r="F146" s="74">
        <f>Summary!L19</f>
        <v>8407.090800000009</v>
      </c>
      <c r="G146" s="79">
        <f>Summary!N19</f>
        <v>5.1306776126189536E-2</v>
      </c>
      <c r="J146" s="6"/>
      <c r="M146" s="63"/>
    </row>
    <row r="147" spans="3:13" x14ac:dyDescent="0.25">
      <c r="C147" s="82">
        <f>Summary!C20</f>
        <v>31</v>
      </c>
      <c r="D147" s="2" t="str">
        <f>Summary!B20</f>
        <v>Sched. 1-B1 Farm &amp; Home Time-of-Day</v>
      </c>
      <c r="F147" s="74">
        <f>Summary!L20</f>
        <v>212.06773000000055</v>
      </c>
      <c r="G147" s="79">
        <f>Summary!N20</f>
        <v>5.1517960511569455E-2</v>
      </c>
      <c r="J147" s="6"/>
      <c r="M147" s="63"/>
    </row>
    <row r="148" spans="3:13" x14ac:dyDescent="0.25">
      <c r="C148" s="82">
        <f>Summary!C21</f>
        <v>33</v>
      </c>
      <c r="D148" s="2" t="str">
        <f>Summary!B21</f>
        <v>Sched. 1-B2 Farm &amp; Home Time-of-Day</v>
      </c>
      <c r="F148" s="74">
        <f>Summary!L21</f>
        <v>611.86787999999979</v>
      </c>
      <c r="G148" s="79">
        <f>Summary!N21</f>
        <v>5.1670845233976297E-2</v>
      </c>
      <c r="J148" s="6"/>
      <c r="M148" s="63"/>
    </row>
    <row r="149" spans="3:13" x14ac:dyDescent="0.25">
      <c r="C149" s="82">
        <f>Summary!C22</f>
        <v>35</v>
      </c>
      <c r="D149" s="2" t="str">
        <f>Summary!B22</f>
        <v>Sched. 1-B3 Farm &amp; Home Time-of-Day</v>
      </c>
      <c r="F149" s="74">
        <f>Summary!L22</f>
        <v>711.49143999999956</v>
      </c>
      <c r="G149" s="79">
        <f>Summary!N22</f>
        <v>5.1493926513582991E-2</v>
      </c>
      <c r="J149" s="6"/>
      <c r="M149" s="63"/>
    </row>
    <row r="150" spans="3:13" x14ac:dyDescent="0.25">
      <c r="C150" s="82">
        <f>Summary!C23</f>
        <v>40</v>
      </c>
      <c r="D150" s="2" t="str">
        <f>Summary!B23</f>
        <v>Sched NM - Net Metering - Residential</v>
      </c>
      <c r="F150" s="74">
        <f>Summary!L23</f>
        <v>16465.353778999997</v>
      </c>
      <c r="G150" s="79">
        <f>Summary!N23</f>
        <v>4.7515129924943958E-2</v>
      </c>
      <c r="J150" s="6"/>
      <c r="M150" s="63"/>
    </row>
    <row r="151" spans="3:13" x14ac:dyDescent="0.25">
      <c r="C151" s="82">
        <f>Summary!C24</f>
        <v>46</v>
      </c>
      <c r="D151" s="2" t="str">
        <f>Summary!B24</f>
        <v>Sched NM - Net Metering - Small Commercial</v>
      </c>
      <c r="F151" s="74">
        <f>Summary!L24</f>
        <v>17.759999999999991</v>
      </c>
      <c r="G151" s="79">
        <f>Summary!N24</f>
        <v>2.9089479632450479E-2</v>
      </c>
      <c r="J151" s="6"/>
      <c r="M151" s="63"/>
    </row>
    <row r="152" spans="3:13" x14ac:dyDescent="0.25">
      <c r="C152" s="82">
        <f>Summary!C25</f>
        <v>50</v>
      </c>
      <c r="D152" s="2" t="str">
        <f>Summary!B25</f>
        <v>Sched NM - Net Metering - Large Commercial</v>
      </c>
      <c r="F152" s="74">
        <f>Summary!L25</f>
        <v>2886.7720000000045</v>
      </c>
      <c r="G152" s="79">
        <f>Summary!N25</f>
        <v>5.1124193452594224E-2</v>
      </c>
      <c r="H152" s="1"/>
      <c r="J152" s="6"/>
      <c r="M152" s="63"/>
    </row>
    <row r="153" spans="3:13" x14ac:dyDescent="0.25">
      <c r="C153" s="82">
        <f>Summary!C26</f>
        <v>60</v>
      </c>
      <c r="D153" s="2" t="str">
        <f>Summary!B26</f>
        <v>Prepay Metering Program</v>
      </c>
      <c r="F153" s="74">
        <f>Summary!L26</f>
        <v>31460.565467000008</v>
      </c>
      <c r="G153" s="79">
        <f>Summary!N26</f>
        <v>4.903383050232718E-2</v>
      </c>
      <c r="H153" s="1"/>
      <c r="J153" s="6"/>
      <c r="M153" s="63"/>
    </row>
    <row r="154" spans="3:13" x14ac:dyDescent="0.25">
      <c r="C154" s="82" t="str">
        <f>Summary!C28</f>
        <v>OLS</v>
      </c>
      <c r="D154" s="2" t="str">
        <f>Summary!B28</f>
        <v>Lighting</v>
      </c>
      <c r="F154" s="74">
        <f>Summary!L28</f>
        <v>127950.29000000097</v>
      </c>
      <c r="G154" s="79">
        <f>Summary!N28</f>
        <v>5.4089720180455998E-2</v>
      </c>
      <c r="H154" s="1"/>
      <c r="J154" s="6"/>
      <c r="M154" s="63"/>
    </row>
    <row r="155" spans="3:13" x14ac:dyDescent="0.25">
      <c r="C155" s="82" t="str">
        <f>Summary!C36</f>
        <v>Special</v>
      </c>
      <c r="D155" s="2" t="str">
        <f>Summary!B36</f>
        <v xml:space="preserve">Special Contract </v>
      </c>
      <c r="F155" s="74">
        <f>Summary!L36</f>
        <v>8961450.3044073284</v>
      </c>
      <c r="G155" s="79">
        <f>Summary!N36</f>
        <v>9.1239451160656695E-2</v>
      </c>
      <c r="H155" s="1"/>
      <c r="J155" s="6"/>
      <c r="M155" s="63"/>
    </row>
    <row r="156" spans="3:13" x14ac:dyDescent="0.25">
      <c r="C156" s="147" t="str">
        <f>Summary!B47</f>
        <v>Total Revenue</v>
      </c>
      <c r="D156" s="36"/>
      <c r="E156" s="36"/>
      <c r="F156" s="148">
        <f>Summary!L47</f>
        <v>17494228.239939332</v>
      </c>
      <c r="G156" s="149">
        <f>Summary!N47</f>
        <v>6.9948292181904362E-2</v>
      </c>
      <c r="H156" s="1"/>
      <c r="J156" s="6"/>
      <c r="M156" s="63"/>
    </row>
    <row r="157" spans="3:13" x14ac:dyDescent="0.25">
      <c r="F157" s="13"/>
      <c r="G157" s="2"/>
      <c r="M157" s="63"/>
    </row>
    <row r="158" spans="3:13" ht="30" customHeight="1" x14ac:dyDescent="0.25">
      <c r="C158" s="143" t="s">
        <v>132</v>
      </c>
      <c r="D158" s="143"/>
      <c r="E158" s="143"/>
      <c r="F158" s="143"/>
      <c r="G158" s="143"/>
      <c r="H158" s="98"/>
      <c r="M158" s="63"/>
    </row>
    <row r="159" spans="3:13" x14ac:dyDescent="0.25">
      <c r="E159" s="75" t="s">
        <v>19</v>
      </c>
      <c r="F159" s="144" t="s">
        <v>129</v>
      </c>
      <c r="G159" s="144"/>
      <c r="M159" s="63"/>
    </row>
    <row r="160" spans="3:13" x14ac:dyDescent="0.25">
      <c r="C160" s="81" t="s">
        <v>47</v>
      </c>
      <c r="D160" s="68"/>
      <c r="E160" s="76" t="s">
        <v>133</v>
      </c>
      <c r="F160" s="73" t="s">
        <v>130</v>
      </c>
      <c r="G160" s="73" t="s">
        <v>131</v>
      </c>
      <c r="M160" s="63"/>
    </row>
    <row r="161" spans="3:13" x14ac:dyDescent="0.25">
      <c r="C161" s="4">
        <f>Summary!C11</f>
        <v>1</v>
      </c>
      <c r="D161" s="84" t="str">
        <f>Summary!B11</f>
        <v>Schedule I-Farm and Home</v>
      </c>
      <c r="E161" s="86">
        <f>'Billing Detail'!E17</f>
        <v>1069.2526302638616</v>
      </c>
      <c r="F161" s="77">
        <f>'Billing Detail'!N17</f>
        <v>7.0084960875683464</v>
      </c>
      <c r="G161" s="6">
        <f>Summary!N11</f>
        <v>5.1509298350558883E-2</v>
      </c>
      <c r="M161" s="63"/>
    </row>
    <row r="162" spans="3:13" x14ac:dyDescent="0.25">
      <c r="C162" s="4">
        <f>Summary!C12</f>
        <v>2</v>
      </c>
      <c r="D162" s="84" t="str">
        <f>Summary!B12</f>
        <v>Schedule 1-D Farm &amp; Home Inclining Block</v>
      </c>
      <c r="E162" s="86">
        <f>'Billing Detail'!E31</f>
        <v>190.45139695334382</v>
      </c>
      <c r="F162" s="77">
        <f>'Billing Detail'!N31</f>
        <v>1.9208136020219939</v>
      </c>
      <c r="G162" s="6">
        <f>Summary!N12</f>
        <v>5.1338628215713084E-2</v>
      </c>
      <c r="M162" s="63"/>
    </row>
    <row r="163" spans="3:13" x14ac:dyDescent="0.25">
      <c r="C163" s="4">
        <f>Summary!C13</f>
        <v>3</v>
      </c>
      <c r="D163" s="84" t="str">
        <f>Summary!B13</f>
        <v>Schedule 1-Small Commercial</v>
      </c>
      <c r="E163" s="86">
        <f>'Billing Detail'!E43</f>
        <v>1636.5179321486269</v>
      </c>
      <c r="F163" s="77">
        <f>'Billing Detail'!N43</f>
        <v>10.538126754442629</v>
      </c>
      <c r="G163" s="6">
        <f>Summary!N13</f>
        <v>5.1525708663900965E-2</v>
      </c>
      <c r="M163" s="63"/>
    </row>
    <row r="164" spans="3:13" x14ac:dyDescent="0.25">
      <c r="C164" s="4">
        <f>Summary!C14</f>
        <v>4</v>
      </c>
      <c r="D164" s="84" t="str">
        <f>Summary!B14</f>
        <v>Schedule II-Large Power</v>
      </c>
      <c r="E164" s="86">
        <f>'Billing Detail'!E56</f>
        <v>45722.944984586196</v>
      </c>
      <c r="F164" s="77">
        <f>'Billing Detail'!N56</f>
        <v>247.14095895897572</v>
      </c>
      <c r="G164" s="6">
        <f>Summary!N14</f>
        <v>5.1610050417287022E-2</v>
      </c>
      <c r="M164" s="63"/>
    </row>
    <row r="165" spans="3:13" x14ac:dyDescent="0.25">
      <c r="C165" s="4">
        <f>Summary!C15</f>
        <v>5</v>
      </c>
      <c r="D165" s="84" t="str">
        <f>Summary!B15</f>
        <v>Schedule II-Large Power - Primary Metered</v>
      </c>
      <c r="E165" s="86">
        <f>'Billing Detail'!E69</f>
        <v>156793</v>
      </c>
      <c r="F165" s="77">
        <f>'Billing Detail'!N69</f>
        <v>800.08075250000002</v>
      </c>
      <c r="G165" s="6">
        <f>Summary!N15</f>
        <v>5.1196031210043846E-2</v>
      </c>
      <c r="M165" s="63"/>
    </row>
    <row r="166" spans="3:13" x14ac:dyDescent="0.25">
      <c r="C166" s="4">
        <f>Summary!C31</f>
        <v>9</v>
      </c>
      <c r="D166" s="84" t="str">
        <f>Summary!B31</f>
        <v>Schedule XI- LPB1</v>
      </c>
      <c r="E166" s="86">
        <f>'Billing Detail'!E84</f>
        <v>832510.10606060608</v>
      </c>
      <c r="F166" s="77">
        <f>'Billing Detail'!N84</f>
        <v>5998.5011375757604</v>
      </c>
      <c r="G166" s="6">
        <f>Summary!N31</f>
        <v>8.5712225923674848E-2</v>
      </c>
      <c r="M166" s="63"/>
    </row>
    <row r="167" spans="3:13" x14ac:dyDescent="0.25">
      <c r="C167" s="4">
        <f>Summary!C16</f>
        <v>38</v>
      </c>
      <c r="D167" s="84" t="str">
        <f>Summary!B16</f>
        <v>ETS Off-Peak - Special Contract</v>
      </c>
      <c r="E167" s="86">
        <f>'Billing Detail'!E97</f>
        <v>0</v>
      </c>
      <c r="F167" s="77">
        <f>'Billing Detail'!N97</f>
        <v>0</v>
      </c>
      <c r="G167" s="6">
        <f>Summary!N16</f>
        <v>4.992912965245197E-2</v>
      </c>
      <c r="M167" s="63"/>
    </row>
    <row r="168" spans="3:13" x14ac:dyDescent="0.25">
      <c r="C168" s="4">
        <f>Summary!C32</f>
        <v>12</v>
      </c>
      <c r="D168" s="84" t="str">
        <f>Summary!B32</f>
        <v>Schedule XIV LPB</v>
      </c>
      <c r="E168" s="86">
        <f>'Billing Detail'!E111</f>
        <v>289862.33333333331</v>
      </c>
      <c r="F168" s="77">
        <f>'Billing Detail'!N111</f>
        <v>2285.4450833333394</v>
      </c>
      <c r="G168" s="6">
        <f>Summary!N32</f>
        <v>8.5593789818333058E-2</v>
      </c>
      <c r="M168" s="63"/>
    </row>
    <row r="169" spans="3:13" x14ac:dyDescent="0.25">
      <c r="C169" s="4">
        <f>Summary!C33</f>
        <v>13</v>
      </c>
      <c r="D169" s="84" t="str">
        <f>Summary!B33</f>
        <v>Schedule XIII-LPB2</v>
      </c>
      <c r="E169" s="86">
        <f>'Billing Detail'!E127</f>
        <v>7439634.9565217393</v>
      </c>
      <c r="F169" s="77">
        <f>'Billing Detail'!N127</f>
        <v>42421.734367826255</v>
      </c>
      <c r="G169" s="6">
        <f>Summary!N33</f>
        <v>8.257741323729105E-2</v>
      </c>
      <c r="M169" s="63"/>
    </row>
    <row r="170" spans="3:13" x14ac:dyDescent="0.25">
      <c r="C170" s="4">
        <f>Summary!C17</f>
        <v>20</v>
      </c>
      <c r="D170" s="84" t="str">
        <f>Summary!B17</f>
        <v xml:space="preserve">Sched. 2-A Large Power TOD  </v>
      </c>
      <c r="E170" s="86">
        <f>'Billing Detail'!E140</f>
        <v>24971.858156028367</v>
      </c>
      <c r="F170" s="77">
        <f>'Billing Detail'!N140</f>
        <v>136.79559659574488</v>
      </c>
      <c r="G170" s="6">
        <f>Summary!N17</f>
        <v>5.1323132063287737E-2</v>
      </c>
      <c r="M170" s="63"/>
    </row>
    <row r="171" spans="3:13" x14ac:dyDescent="0.25">
      <c r="C171" s="4">
        <f>Summary!C18</f>
        <v>22</v>
      </c>
      <c r="D171" s="84" t="str">
        <f>Summary!B18</f>
        <v>Sched. 1-C Small Commercial TOD</v>
      </c>
      <c r="E171" s="86">
        <f>'Billing Detail'!E153</f>
        <v>1497.2965333333334</v>
      </c>
      <c r="F171" s="77">
        <f>'Billing Detail'!N153</f>
        <v>9.132359087999987</v>
      </c>
      <c r="G171" s="6">
        <f>Summary!N18</f>
        <v>5.1618765843221358E-2</v>
      </c>
      <c r="M171" s="63"/>
    </row>
    <row r="172" spans="3:13" x14ac:dyDescent="0.25">
      <c r="C172" s="4">
        <f>Summary!C19</f>
        <v>24</v>
      </c>
      <c r="D172" s="84" t="str">
        <f>Summary!B19</f>
        <v>Sched. 2-A Large Power TOD Primary Mtrd</v>
      </c>
      <c r="E172" s="86">
        <f>'Billing Detail'!E166</f>
        <v>70700</v>
      </c>
      <c r="F172" s="77">
        <f>'Billing Detail'!N166</f>
        <v>350.29545000000053</v>
      </c>
      <c r="G172" s="6">
        <f>Summary!N19</f>
        <v>5.1306776126189536E-2</v>
      </c>
      <c r="M172" s="63"/>
    </row>
    <row r="173" spans="3:13" x14ac:dyDescent="0.25">
      <c r="C173" s="4">
        <f>Summary!C20</f>
        <v>31</v>
      </c>
      <c r="D173" s="84" t="str">
        <f>Summary!B20</f>
        <v>Sched. 1-B1 Farm &amp; Home Time-of-Day</v>
      </c>
      <c r="E173" s="86">
        <f>'Billing Detail'!E179</f>
        <v>1462.1666666666667</v>
      </c>
      <c r="F173" s="77">
        <f>'Billing Detail'!N179</f>
        <v>8.8361554166666565</v>
      </c>
      <c r="G173" s="6">
        <f>Summary!N20</f>
        <v>5.1517960511569455E-2</v>
      </c>
      <c r="M173" s="63"/>
    </row>
    <row r="174" spans="3:13" x14ac:dyDescent="0.25">
      <c r="C174" s="4">
        <f>Summary!C21</f>
        <v>33</v>
      </c>
      <c r="D174" s="84" t="str">
        <f>Summary!B21</f>
        <v>Sched. 1-B2 Farm &amp; Home Time-of-Day</v>
      </c>
      <c r="E174" s="86">
        <f>'Billing Detail'!E192</f>
        <v>1382.0416666666667</v>
      </c>
      <c r="F174" s="77">
        <f>'Billing Detail'!N192</f>
        <v>8.4981649999999718</v>
      </c>
      <c r="G174" s="6">
        <f>Summary!N21</f>
        <v>5.1670845233976297E-2</v>
      </c>
      <c r="M174" s="63"/>
    </row>
    <row r="175" spans="3:13" x14ac:dyDescent="0.25">
      <c r="C175" s="4">
        <f>Summary!C22</f>
        <v>35</v>
      </c>
      <c r="D175" s="84" t="str">
        <f>Summary!B22</f>
        <v>Sched. 1-B3 Farm &amp; Home Time-of-Day</v>
      </c>
      <c r="E175" s="86">
        <f>'Billing Detail'!E206</f>
        <v>1568.3684210526317</v>
      </c>
      <c r="F175" s="77">
        <f>'Billing Detail'!N206</f>
        <v>9.3617294736842211</v>
      </c>
      <c r="G175" s="6">
        <f>Summary!N22</f>
        <v>5.1493926513582991E-2</v>
      </c>
      <c r="M175" s="63"/>
    </row>
    <row r="176" spans="3:13" x14ac:dyDescent="0.25">
      <c r="C176" s="4">
        <f>Summary!C23</f>
        <v>40</v>
      </c>
      <c r="D176" s="84" t="str">
        <f>Summary!B23</f>
        <v>Sched NM - Net Metering - Residential</v>
      </c>
      <c r="E176" s="86">
        <f>'Billing Detail'!E221</f>
        <v>1509.1950926148666</v>
      </c>
      <c r="F176" s="77">
        <f>'Billing Detail'!N221</f>
        <v>3.9608741349530874</v>
      </c>
      <c r="G176" s="6">
        <f>Summary!N23</f>
        <v>4.7515129924943958E-2</v>
      </c>
      <c r="M176" s="63"/>
    </row>
    <row r="177" spans="3:13" x14ac:dyDescent="0.25">
      <c r="C177" s="4">
        <f>Summary!C24</f>
        <v>46</v>
      </c>
      <c r="D177" s="84" t="str">
        <f>Summary!B24</f>
        <v>Sched NM - Net Metering - Small Commercial</v>
      </c>
      <c r="E177" s="86">
        <f>'Billing Detail'!E236</f>
        <v>3171.8333333333335</v>
      </c>
      <c r="F177" s="77">
        <f>'Billing Detail'!N236</f>
        <v>1.4799999999999969</v>
      </c>
      <c r="G177" s="6">
        <f>Summary!N24</f>
        <v>2.9089479632450479E-2</v>
      </c>
      <c r="M177" s="63"/>
    </row>
    <row r="178" spans="3:13" x14ac:dyDescent="0.25">
      <c r="C178" s="4">
        <f>Summary!C25</f>
        <v>50</v>
      </c>
      <c r="D178" s="84" t="str">
        <f>Summary!B25</f>
        <v>Sched NM - Net Metering - Large Commercial</v>
      </c>
      <c r="E178" s="86">
        <f>'Billing Detail'!E252</f>
        <v>22643.333333333332</v>
      </c>
      <c r="F178" s="77">
        <f>'Billing Detail'!N252</f>
        <v>120.28216666666685</v>
      </c>
      <c r="G178" s="6">
        <f>Summary!N25</f>
        <v>5.1124193452594224E-2</v>
      </c>
      <c r="M178" s="63"/>
    </row>
    <row r="179" spans="3:13" x14ac:dyDescent="0.25">
      <c r="C179" s="4">
        <f>Summary!C26</f>
        <v>60</v>
      </c>
      <c r="D179" s="84" t="str">
        <f>Summary!B26</f>
        <v>Prepay Metering Program</v>
      </c>
      <c r="E179" s="86">
        <f>'Billing Detail'!E265</f>
        <v>1309.5761501850873</v>
      </c>
      <c r="F179" s="77">
        <f>'Billing Detail'!N265</f>
        <v>8.3184995946589027</v>
      </c>
      <c r="G179" s="6">
        <f>Summary!N26</f>
        <v>4.903383050232718E-2</v>
      </c>
      <c r="M179" s="63"/>
    </row>
    <row r="180" spans="3:13" x14ac:dyDescent="0.25">
      <c r="C180" s="4" t="str">
        <f>Summary!C28</f>
        <v>OLS</v>
      </c>
      <c r="D180" s="84" t="str">
        <f>Summary!B28</f>
        <v>Lighting</v>
      </c>
      <c r="E180" s="78" t="s">
        <v>134</v>
      </c>
      <c r="F180" s="85" t="s">
        <v>134</v>
      </c>
      <c r="G180" s="6">
        <f>Summary!N28</f>
        <v>5.4089720180455998E-2</v>
      </c>
      <c r="M180" s="63"/>
    </row>
    <row r="181" spans="3:13" x14ac:dyDescent="0.25">
      <c r="C181" s="4" t="str">
        <f>C156</f>
        <v>Total Revenue</v>
      </c>
      <c r="D181" s="36"/>
      <c r="E181" s="36"/>
      <c r="F181" s="145"/>
      <c r="G181" s="146">
        <f>G156</f>
        <v>6.9948292181904362E-2</v>
      </c>
      <c r="M181" s="63"/>
    </row>
  </sheetData>
  <mergeCells count="4">
    <mergeCell ref="C132:G132"/>
    <mergeCell ref="F133:G133"/>
    <mergeCell ref="F159:G159"/>
    <mergeCell ref="C158:G158"/>
  </mergeCells>
  <printOptions horizontalCentered="1"/>
  <pageMargins left="0.7" right="0.7" top="0.75" bottom="0.75" header="0.3" footer="0.3"/>
  <pageSetup scale="69" fitToHeight="0" orientation="portrait" r:id="rId1"/>
  <headerFooter>
    <oddHeader>&amp;R&amp;"Arial,Bold"&amp;10Exhibit 3
Page &amp;P of &amp;N</oddHeader>
  </headerFooter>
  <rowBreaks count="2" manualBreakCount="2">
    <brk id="67" max="6" man="1"/>
    <brk id="13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2025-07-30T12:37:37Z</cp:lastPrinted>
  <dcterms:created xsi:type="dcterms:W3CDTF">2021-02-09T02:13:44Z</dcterms:created>
  <dcterms:modified xsi:type="dcterms:W3CDTF">2025-09-16T01:15:32Z</dcterms:modified>
</cp:coreProperties>
</file>