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Inter-County/Analysis/"/>
    </mc:Choice>
  </mc:AlternateContent>
  <xr:revisionPtr revIDLastSave="28" documentId="8_{7C0FC029-DEBC-457E-86BB-9596E4318987}" xr6:coauthVersionLast="47" xr6:coauthVersionMax="47" xr10:uidLastSave="{485D50F5-6D01-4E73-9FA3-BDC6D2E85D06}"/>
  <bookViews>
    <workbookView xWindow="-108" yWindow="-108" windowWidth="23256" windowHeight="12456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Detail'!$A$1:$R$173</definedName>
    <definedName name="_xlnm.Print_Area" localSheetId="2">'Notice Table'!$A$1:$G$67</definedName>
    <definedName name="_xlnm.Print_Area" localSheetId="0">Summary!$A$1:$O$34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6" i="1" l="1"/>
  <c r="L171" i="1"/>
  <c r="L170" i="1"/>
  <c r="L169" i="1"/>
  <c r="L167" i="1"/>
  <c r="L166" i="1"/>
  <c r="L165" i="1"/>
  <c r="L163" i="1"/>
  <c r="L162" i="1"/>
  <c r="L161" i="1"/>
  <c r="S170" i="1"/>
  <c r="S171" i="1"/>
  <c r="S169" i="1"/>
  <c r="S166" i="1"/>
  <c r="S167" i="1"/>
  <c r="S165" i="1"/>
  <c r="S163" i="1"/>
  <c r="S162" i="1"/>
  <c r="A16" i="2"/>
  <c r="I19" i="2"/>
  <c r="K86" i="1" s="1"/>
  <c r="L6" i="2"/>
  <c r="L32" i="2"/>
  <c r="E177" i="1"/>
  <c r="E178" i="1"/>
  <c r="E179" i="1" s="1"/>
  <c r="D20" i="2"/>
  <c r="L98" i="1"/>
  <c r="Q5" i="2" l="1"/>
  <c r="I20" i="2"/>
  <c r="N143" i="1"/>
  <c r="N142" i="1"/>
  <c r="N141" i="1"/>
  <c r="N140" i="1"/>
  <c r="N139" i="1"/>
  <c r="M143" i="1"/>
  <c r="M142" i="1"/>
  <c r="M141" i="1"/>
  <c r="M140" i="1"/>
  <c r="M139" i="1"/>
  <c r="I144" i="1"/>
  <c r="I143" i="1"/>
  <c r="I142" i="1"/>
  <c r="I141" i="1"/>
  <c r="I140" i="1"/>
  <c r="I139" i="1"/>
  <c r="I138" i="1"/>
  <c r="G139" i="1"/>
  <c r="G140" i="1"/>
  <c r="G141" i="1"/>
  <c r="G142" i="1"/>
  <c r="G143" i="1"/>
  <c r="G144" i="1"/>
  <c r="G138" i="1"/>
  <c r="I130" i="1"/>
  <c r="I129" i="1"/>
  <c r="A81" i="1"/>
  <c r="F127" i="1" l="1"/>
  <c r="F124" i="1"/>
  <c r="F122" i="1"/>
  <c r="F120" i="1"/>
  <c r="F118" i="1"/>
  <c r="F116" i="1"/>
  <c r="F114" i="1"/>
  <c r="F112" i="1"/>
  <c r="F111" i="1"/>
  <c r="I100" i="1" l="1"/>
  <c r="I87" i="1"/>
  <c r="I73" i="1"/>
  <c r="I61" i="1"/>
  <c r="I48" i="1"/>
  <c r="I23" i="1"/>
  <c r="I11" i="1"/>
  <c r="F33" i="3"/>
  <c r="F34" i="3"/>
  <c r="F32" i="3"/>
  <c r="E33" i="3"/>
  <c r="E34" i="3"/>
  <c r="E32" i="3"/>
  <c r="D31" i="3"/>
  <c r="C31" i="3"/>
  <c r="H127" i="1"/>
  <c r="H124" i="1"/>
  <c r="H122" i="1"/>
  <c r="H120" i="1"/>
  <c r="H118" i="1"/>
  <c r="H116" i="1"/>
  <c r="H114" i="1"/>
  <c r="H111" i="1"/>
  <c r="H112" i="1"/>
  <c r="I13" i="1"/>
  <c r="B20" i="2" l="1"/>
  <c r="C20" i="2"/>
  <c r="D79" i="3" l="1"/>
  <c r="D94" i="3"/>
  <c r="C94" i="3"/>
  <c r="C79" i="3"/>
  <c r="E106" i="1" l="1"/>
  <c r="E94" i="3" s="1"/>
  <c r="G104" i="1"/>
  <c r="I103" i="1"/>
  <c r="M103" i="1" s="1"/>
  <c r="I102" i="1"/>
  <c r="M102" i="1" s="1"/>
  <c r="N102" i="1" s="1"/>
  <c r="I101" i="1"/>
  <c r="M101" i="1" s="1"/>
  <c r="N101" i="1" s="1"/>
  <c r="M100" i="1"/>
  <c r="I98" i="1"/>
  <c r="G98" i="1"/>
  <c r="I97" i="1"/>
  <c r="G97" i="1"/>
  <c r="I96" i="1"/>
  <c r="G96" i="1"/>
  <c r="G36" i="1"/>
  <c r="G35" i="1"/>
  <c r="E33" i="1"/>
  <c r="G13" i="1"/>
  <c r="E8" i="1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36" i="3"/>
  <c r="I35" i="1" l="1"/>
  <c r="N100" i="1"/>
  <c r="M104" i="1"/>
  <c r="G99" i="1"/>
  <c r="G105" i="1" s="1"/>
  <c r="G106" i="1" s="1"/>
  <c r="I99" i="1"/>
  <c r="I104" i="1"/>
  <c r="I127" i="1"/>
  <c r="G127" i="1"/>
  <c r="I126" i="1"/>
  <c r="G126" i="1"/>
  <c r="I125" i="1"/>
  <c r="G125" i="1"/>
  <c r="I124" i="1"/>
  <c r="G124" i="1"/>
  <c r="I123" i="1"/>
  <c r="G123" i="1"/>
  <c r="J96" i="1" l="1"/>
  <c r="E20" i="2"/>
  <c r="I105" i="1"/>
  <c r="I106" i="1" s="1"/>
  <c r="J98" i="1"/>
  <c r="N104" i="1"/>
  <c r="O104" i="1" s="1"/>
  <c r="J97" i="1"/>
  <c r="E28" i="3"/>
  <c r="F28" i="3"/>
  <c r="E29" i="3"/>
  <c r="F29" i="3"/>
  <c r="E30" i="3"/>
  <c r="F30" i="3"/>
  <c r="E25" i="3"/>
  <c r="F25" i="3"/>
  <c r="F24" i="3"/>
  <c r="E24" i="3"/>
  <c r="E21" i="3"/>
  <c r="F21" i="3"/>
  <c r="E22" i="3"/>
  <c r="F22" i="3"/>
  <c r="E17" i="3"/>
  <c r="F17" i="3"/>
  <c r="E18" i="3"/>
  <c r="F18" i="3"/>
  <c r="F16" i="3"/>
  <c r="E16" i="3"/>
  <c r="E79" i="1"/>
  <c r="E92" i="3" s="1"/>
  <c r="F8" i="3"/>
  <c r="G8" i="3" s="1"/>
  <c r="H8" i="3" s="1"/>
  <c r="I8" i="3" s="1"/>
  <c r="H32" i="1"/>
  <c r="H21" i="1"/>
  <c r="H20" i="1"/>
  <c r="E29" i="1"/>
  <c r="G83" i="1"/>
  <c r="G58" i="1"/>
  <c r="G45" i="1"/>
  <c r="F21" i="1"/>
  <c r="F20" i="1"/>
  <c r="I83" i="1"/>
  <c r="I58" i="1"/>
  <c r="I45" i="1"/>
  <c r="G112" i="1"/>
  <c r="I112" i="1"/>
  <c r="G113" i="1"/>
  <c r="I113" i="1"/>
  <c r="G114" i="1"/>
  <c r="I114" i="1"/>
  <c r="G115" i="1"/>
  <c r="I115" i="1"/>
  <c r="G116" i="1"/>
  <c r="I116" i="1"/>
  <c r="G117" i="1"/>
  <c r="I117" i="1"/>
  <c r="G118" i="1"/>
  <c r="G119" i="1"/>
  <c r="I119" i="1"/>
  <c r="G120" i="1"/>
  <c r="I120" i="1"/>
  <c r="G121" i="1"/>
  <c r="I121" i="1"/>
  <c r="G122" i="1"/>
  <c r="I122" i="1"/>
  <c r="G20" i="2" l="1"/>
  <c r="J99" i="1"/>
  <c r="H20" i="2" l="1"/>
  <c r="E66" i="3"/>
  <c r="F66" i="3"/>
  <c r="E67" i="3"/>
  <c r="F67" i="3"/>
  <c r="F65" i="3"/>
  <c r="E65" i="3"/>
  <c r="D64" i="3"/>
  <c r="C64" i="3"/>
  <c r="E62" i="3"/>
  <c r="F62" i="3"/>
  <c r="E63" i="3"/>
  <c r="F63" i="3"/>
  <c r="F61" i="3"/>
  <c r="E61" i="3"/>
  <c r="D60" i="3"/>
  <c r="C60" i="3"/>
  <c r="E58" i="3"/>
  <c r="F58" i="3"/>
  <c r="E59" i="3"/>
  <c r="F59" i="3"/>
  <c r="F57" i="3"/>
  <c r="E57" i="3"/>
  <c r="D56" i="3"/>
  <c r="C56" i="3"/>
  <c r="E53" i="3"/>
  <c r="F53" i="3"/>
  <c r="E54" i="3"/>
  <c r="F54" i="3"/>
  <c r="E55" i="3"/>
  <c r="F55" i="3"/>
  <c r="F52" i="3"/>
  <c r="E52" i="3"/>
  <c r="D51" i="3"/>
  <c r="C51" i="3"/>
  <c r="E48" i="3"/>
  <c r="F48" i="3"/>
  <c r="E49" i="3"/>
  <c r="F49" i="3"/>
  <c r="E50" i="3"/>
  <c r="F50" i="3"/>
  <c r="F47" i="3"/>
  <c r="E47" i="3"/>
  <c r="D46" i="3"/>
  <c r="C46" i="3"/>
  <c r="I70" i="1" l="1"/>
  <c r="G70" i="1"/>
  <c r="E93" i="1"/>
  <c r="E93" i="3" s="1"/>
  <c r="E67" i="1"/>
  <c r="E91" i="3" s="1"/>
  <c r="E54" i="1"/>
  <c r="E90" i="3" s="1"/>
  <c r="E41" i="1"/>
  <c r="E89" i="3" s="1"/>
  <c r="E88" i="3"/>
  <c r="E17" i="1" l="1"/>
  <c r="E87" i="3" s="1"/>
  <c r="F36" i="3" l="1"/>
  <c r="C35" i="3"/>
  <c r="D35" i="3"/>
  <c r="F27" i="3"/>
  <c r="E27" i="3"/>
  <c r="C26" i="3"/>
  <c r="D26" i="3"/>
  <c r="C23" i="3"/>
  <c r="D23" i="3"/>
  <c r="F20" i="3"/>
  <c r="E20" i="3"/>
  <c r="C19" i="3"/>
  <c r="D19" i="3"/>
  <c r="C15" i="3"/>
  <c r="D15" i="3"/>
  <c r="E14" i="3"/>
  <c r="E13" i="3"/>
  <c r="C12" i="3"/>
  <c r="D12" i="3"/>
  <c r="E11" i="3"/>
  <c r="F11" i="3"/>
  <c r="F10" i="3"/>
  <c r="E10" i="3"/>
  <c r="C9" i="3"/>
  <c r="D9" i="3"/>
  <c r="E7" i="3"/>
  <c r="F7" i="3"/>
  <c r="F6" i="3"/>
  <c r="E6" i="3"/>
  <c r="C5" i="3"/>
  <c r="D5" i="3"/>
  <c r="F14" i="3" l="1"/>
  <c r="F13" i="3"/>
  <c r="A1" i="3" l="1"/>
  <c r="G75" i="1" l="1"/>
  <c r="C14" i="2" l="1"/>
  <c r="B14" i="2"/>
  <c r="C12" i="2"/>
  <c r="I84" i="1"/>
  <c r="G84" i="1"/>
  <c r="I71" i="1"/>
  <c r="G71" i="1"/>
  <c r="I59" i="1"/>
  <c r="G59" i="1"/>
  <c r="C91" i="3" l="1"/>
  <c r="C76" i="3"/>
  <c r="C89" i="3"/>
  <c r="C74" i="3"/>
  <c r="D91" i="3"/>
  <c r="D76" i="3"/>
  <c r="I46" i="1"/>
  <c r="G46" i="1"/>
  <c r="G65" i="1" l="1"/>
  <c r="I64" i="1"/>
  <c r="M64" i="1" s="1"/>
  <c r="I63" i="1"/>
  <c r="M63" i="1" s="1"/>
  <c r="N63" i="1" s="1"/>
  <c r="I62" i="1"/>
  <c r="M62" i="1" s="1"/>
  <c r="N62" i="1" s="1"/>
  <c r="M61" i="1"/>
  <c r="I57" i="1"/>
  <c r="G57" i="1"/>
  <c r="I33" i="1"/>
  <c r="G33" i="1"/>
  <c r="I21" i="1"/>
  <c r="G21" i="1"/>
  <c r="I60" i="1" l="1"/>
  <c r="J58" i="1" s="1"/>
  <c r="G60" i="1"/>
  <c r="N61" i="1"/>
  <c r="M65" i="1"/>
  <c r="I65" i="1"/>
  <c r="G66" i="1" l="1"/>
  <c r="G67" i="1" s="1"/>
  <c r="D14" i="2"/>
  <c r="E14" i="2"/>
  <c r="J59" i="1"/>
  <c r="I66" i="1"/>
  <c r="I67" i="1" s="1"/>
  <c r="J57" i="1"/>
  <c r="N65" i="1"/>
  <c r="O65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G14" i="2"/>
  <c r="J60" i="1"/>
  <c r="I51" i="1"/>
  <c r="M51" i="1" s="1"/>
  <c r="I50" i="1"/>
  <c r="M50" i="1" s="1"/>
  <c r="I49" i="1"/>
  <c r="M49" i="1" s="1"/>
  <c r="I90" i="1"/>
  <c r="M90" i="1" s="1"/>
  <c r="I88" i="1"/>
  <c r="M88" i="1" s="1"/>
  <c r="I76" i="1"/>
  <c r="M76" i="1" s="1"/>
  <c r="I75" i="1"/>
  <c r="I74" i="1"/>
  <c r="M74" i="1" s="1"/>
  <c r="I38" i="1"/>
  <c r="M38" i="1" s="1"/>
  <c r="I37" i="1"/>
  <c r="M37" i="1" s="1"/>
  <c r="I36" i="1"/>
  <c r="M36" i="1" s="1"/>
  <c r="I26" i="1"/>
  <c r="M26" i="1" s="1"/>
  <c r="I24" i="1"/>
  <c r="I14" i="1"/>
  <c r="I12" i="1"/>
  <c r="B28" i="2"/>
  <c r="E28" i="2" l="1"/>
  <c r="M13" i="1"/>
  <c r="M12" i="1"/>
  <c r="M14" i="1"/>
  <c r="M75" i="1"/>
  <c r="I39" i="1"/>
  <c r="M24" i="1"/>
  <c r="G27" i="1"/>
  <c r="G91" i="1"/>
  <c r="I25" i="1"/>
  <c r="M25" i="1" s="1"/>
  <c r="I89" i="1"/>
  <c r="G15" i="1"/>
  <c r="G52" i="1"/>
  <c r="D28" i="2"/>
  <c r="G77" i="1"/>
  <c r="G39" i="1"/>
  <c r="J28" i="2" l="1"/>
  <c r="I15" i="1"/>
  <c r="I52" i="1"/>
  <c r="I77" i="1"/>
  <c r="I91" i="1"/>
  <c r="M89" i="1"/>
  <c r="I27" i="1"/>
  <c r="I111" i="1"/>
  <c r="G111" i="1"/>
  <c r="I110" i="1"/>
  <c r="G110" i="1"/>
  <c r="E27" i="2" l="1"/>
  <c r="E26" i="2"/>
  <c r="D27" i="2"/>
  <c r="D26" i="2"/>
  <c r="C11" i="2"/>
  <c r="C15" i="2"/>
  <c r="C19" i="2"/>
  <c r="C13" i="2"/>
  <c r="C16" i="2"/>
  <c r="B16" i="2"/>
  <c r="B13" i="2"/>
  <c r="B19" i="2"/>
  <c r="B15" i="2"/>
  <c r="B12" i="2"/>
  <c r="B11" i="2"/>
  <c r="C10" i="2"/>
  <c r="B10" i="2"/>
  <c r="N75" i="1"/>
  <c r="N74" i="1"/>
  <c r="M73" i="1"/>
  <c r="N37" i="1"/>
  <c r="N36" i="1"/>
  <c r="M35" i="1"/>
  <c r="I32" i="1"/>
  <c r="G32" i="1"/>
  <c r="N24" i="1"/>
  <c r="M23" i="1"/>
  <c r="I20" i="1"/>
  <c r="G20" i="1"/>
  <c r="N89" i="1"/>
  <c r="N88" i="1"/>
  <c r="M87" i="1"/>
  <c r="I85" i="1"/>
  <c r="G85" i="1"/>
  <c r="I82" i="1"/>
  <c r="G82" i="1"/>
  <c r="N50" i="1"/>
  <c r="N49" i="1"/>
  <c r="M48" i="1"/>
  <c r="I44" i="1"/>
  <c r="G44" i="1"/>
  <c r="G47" i="1" s="1"/>
  <c r="C88" i="3" l="1"/>
  <c r="C73" i="3"/>
  <c r="C72" i="3"/>
  <c r="C87" i="3"/>
  <c r="D95" i="3"/>
  <c r="D80" i="3"/>
  <c r="C95" i="3"/>
  <c r="C80" i="3"/>
  <c r="D88" i="3"/>
  <c r="D73" i="3"/>
  <c r="C78" i="3"/>
  <c r="C93" i="3"/>
  <c r="C77" i="3"/>
  <c r="C92" i="3"/>
  <c r="C90" i="3"/>
  <c r="C75" i="3"/>
  <c r="D93" i="3"/>
  <c r="D78" i="3"/>
  <c r="D90" i="3"/>
  <c r="D75" i="3"/>
  <c r="D92" i="3"/>
  <c r="D77" i="3"/>
  <c r="D89" i="3"/>
  <c r="D74" i="3"/>
  <c r="D72" i="3"/>
  <c r="D87" i="3"/>
  <c r="N48" i="1"/>
  <c r="M52" i="1"/>
  <c r="N87" i="1"/>
  <c r="M91" i="1"/>
  <c r="N73" i="1"/>
  <c r="M77" i="1"/>
  <c r="N35" i="1"/>
  <c r="M39" i="1"/>
  <c r="N23" i="1"/>
  <c r="M27" i="1"/>
  <c r="N27" i="1" s="1"/>
  <c r="O27" i="1" s="1"/>
  <c r="E25" i="2"/>
  <c r="E29" i="2" s="1"/>
  <c r="G34" i="1"/>
  <c r="D12" i="2" s="1"/>
  <c r="D25" i="2"/>
  <c r="D29" i="2" s="1"/>
  <c r="G72" i="1"/>
  <c r="I72" i="1"/>
  <c r="J70" i="1" s="1"/>
  <c r="I34" i="1"/>
  <c r="G22" i="1"/>
  <c r="N25" i="1"/>
  <c r="I22" i="1"/>
  <c r="I47" i="1"/>
  <c r="J45" i="1" s="1"/>
  <c r="G86" i="1"/>
  <c r="D19" i="2" s="1"/>
  <c r="I86" i="1"/>
  <c r="J83" i="1" s="1"/>
  <c r="G109" i="1"/>
  <c r="I109" i="1"/>
  <c r="G133" i="1"/>
  <c r="M131" i="1"/>
  <c r="M130" i="1"/>
  <c r="M129" i="1"/>
  <c r="B26" i="2"/>
  <c r="B27" i="2"/>
  <c r="B25" i="2"/>
  <c r="M11" i="1"/>
  <c r="I9" i="1"/>
  <c r="I8" i="1"/>
  <c r="G9" i="1"/>
  <c r="G8" i="1"/>
  <c r="A2" i="1"/>
  <c r="A1" i="1"/>
  <c r="A10" i="2"/>
  <c r="A11" i="2" s="1"/>
  <c r="A12" i="2" s="1"/>
  <c r="A13" i="2" s="1"/>
  <c r="A14" i="2" s="1"/>
  <c r="A15" i="2" s="1"/>
  <c r="A17" i="2" s="1"/>
  <c r="A18" i="2" s="1"/>
  <c r="A19" i="2" s="1"/>
  <c r="A20" i="2" s="1"/>
  <c r="A21" i="2" s="1"/>
  <c r="A22" i="2" s="1"/>
  <c r="A23" i="2" s="1"/>
  <c r="J82" i="1" l="1"/>
  <c r="J71" i="1"/>
  <c r="M15" i="1"/>
  <c r="N129" i="1"/>
  <c r="J84" i="1"/>
  <c r="E12" i="2"/>
  <c r="J33" i="1"/>
  <c r="N130" i="1"/>
  <c r="J85" i="1"/>
  <c r="N131" i="1"/>
  <c r="J27" i="2"/>
  <c r="J21" i="1"/>
  <c r="J46" i="1"/>
  <c r="J32" i="1"/>
  <c r="J20" i="1"/>
  <c r="J44" i="1"/>
  <c r="G40" i="1"/>
  <c r="G41" i="1" s="1"/>
  <c r="N12" i="1"/>
  <c r="J26" i="2"/>
  <c r="N13" i="1"/>
  <c r="G78" i="1"/>
  <c r="G79" i="1" s="1"/>
  <c r="D15" i="2"/>
  <c r="G28" i="1"/>
  <c r="G29" i="1" s="1"/>
  <c r="D11" i="2"/>
  <c r="I40" i="1"/>
  <c r="I41" i="1" s="1"/>
  <c r="G53" i="1"/>
  <c r="G54" i="1" s="1"/>
  <c r="D13" i="2"/>
  <c r="I53" i="1"/>
  <c r="I54" i="1" s="1"/>
  <c r="E13" i="2"/>
  <c r="I28" i="1"/>
  <c r="I29" i="1" s="1"/>
  <c r="E11" i="2"/>
  <c r="I92" i="1"/>
  <c r="I93" i="1" s="1"/>
  <c r="E19" i="2"/>
  <c r="G19" i="2" s="1"/>
  <c r="G92" i="1"/>
  <c r="G93" i="1" s="1"/>
  <c r="I78" i="1"/>
  <c r="I79" i="1" s="1"/>
  <c r="E15" i="2"/>
  <c r="N39" i="1"/>
  <c r="O39" i="1" s="1"/>
  <c r="N77" i="1"/>
  <c r="O77" i="1" s="1"/>
  <c r="N91" i="1"/>
  <c r="O91" i="1" s="1"/>
  <c r="N52" i="1"/>
  <c r="O52" i="1" s="1"/>
  <c r="G10" i="1"/>
  <c r="I10" i="1"/>
  <c r="I133" i="1"/>
  <c r="G128" i="1"/>
  <c r="N11" i="1"/>
  <c r="G13" i="2" l="1"/>
  <c r="G15" i="2"/>
  <c r="G12" i="2"/>
  <c r="G11" i="2"/>
  <c r="D16" i="2"/>
  <c r="J47" i="1"/>
  <c r="J86" i="1"/>
  <c r="J34" i="1"/>
  <c r="J25" i="2"/>
  <c r="J29" i="2" s="1"/>
  <c r="J22" i="1"/>
  <c r="J9" i="1"/>
  <c r="J8" i="1"/>
  <c r="J72" i="1"/>
  <c r="G134" i="1"/>
  <c r="E10" i="2"/>
  <c r="G16" i="1"/>
  <c r="D10" i="2"/>
  <c r="M133" i="1"/>
  <c r="I16" i="1"/>
  <c r="I17" i="1" s="1"/>
  <c r="N15" i="1"/>
  <c r="G10" i="2" l="1"/>
  <c r="D17" i="2"/>
  <c r="D22" i="2" s="1"/>
  <c r="G17" i="1"/>
  <c r="N133" i="1"/>
  <c r="J10" i="1"/>
  <c r="D31" i="2" l="1"/>
  <c r="D33" i="2" s="1"/>
  <c r="D34" i="2" s="1"/>
  <c r="O133" i="1"/>
  <c r="O125" i="1"/>
  <c r="I118" i="1"/>
  <c r="I128" i="1"/>
  <c r="E16" i="2" l="1"/>
  <c r="I134" i="1"/>
  <c r="J125" i="1"/>
  <c r="J124" i="1"/>
  <c r="J123" i="1"/>
  <c r="J122" i="1"/>
  <c r="J121" i="1"/>
  <c r="J120" i="1"/>
  <c r="J119" i="1"/>
  <c r="J118" i="1"/>
  <c r="J127" i="1"/>
  <c r="J126" i="1"/>
  <c r="J117" i="1"/>
  <c r="J116" i="1"/>
  <c r="J115" i="1"/>
  <c r="J114" i="1"/>
  <c r="J113" i="1"/>
  <c r="J112" i="1"/>
  <c r="J111" i="1"/>
  <c r="J110" i="1"/>
  <c r="J109" i="1"/>
  <c r="G16" i="2" l="1"/>
  <c r="E17" i="2"/>
  <c r="E22" i="2" s="1"/>
  <c r="J128" i="1"/>
  <c r="E31" i="2" l="1"/>
  <c r="F13" i="2"/>
  <c r="F10" i="2"/>
  <c r="F14" i="2"/>
  <c r="F17" i="2"/>
  <c r="F11" i="2"/>
  <c r="F12" i="2"/>
  <c r="F16" i="2"/>
  <c r="F15" i="2"/>
  <c r="G17" i="2"/>
  <c r="G22" i="2" s="1"/>
  <c r="H16" i="2" l="1"/>
  <c r="I16" i="2" s="1"/>
  <c r="K128" i="1" s="1"/>
  <c r="S128" i="1" s="1"/>
  <c r="L124" i="1" s="1"/>
  <c r="H11" i="2"/>
  <c r="I11" i="2" s="1"/>
  <c r="K22" i="1" s="1"/>
  <c r="S22" i="1" s="1"/>
  <c r="S86" i="1"/>
  <c r="H12" i="2"/>
  <c r="I12" i="2" s="1"/>
  <c r="K34" i="1" s="1"/>
  <c r="S34" i="1" s="1"/>
  <c r="L33" i="1" s="1"/>
  <c r="H13" i="2"/>
  <c r="I13" i="2" s="1"/>
  <c r="K47" i="1" s="1"/>
  <c r="S47" i="1" s="1"/>
  <c r="H10" i="2"/>
  <c r="I10" i="2" s="1"/>
  <c r="K99" i="1"/>
  <c r="S99" i="1" s="1"/>
  <c r="H14" i="2"/>
  <c r="I14" i="2" s="1"/>
  <c r="K60" i="1" s="1"/>
  <c r="S60" i="1" s="1"/>
  <c r="H15" i="2"/>
  <c r="I15" i="2" s="1"/>
  <c r="K72" i="1" s="1"/>
  <c r="S72" i="1" s="1"/>
  <c r="L115" i="1" l="1"/>
  <c r="L114" i="1"/>
  <c r="L113" i="1"/>
  <c r="L109" i="1"/>
  <c r="T109" i="1" s="1"/>
  <c r="L125" i="1"/>
  <c r="M125" i="1" s="1"/>
  <c r="N125" i="1" s="1"/>
  <c r="L123" i="1"/>
  <c r="G43" i="3" s="1"/>
  <c r="H43" i="3" s="1"/>
  <c r="I43" i="3" s="1"/>
  <c r="L121" i="1"/>
  <c r="M121" i="1" s="1"/>
  <c r="N121" i="1" s="1"/>
  <c r="O121" i="1" s="1"/>
  <c r="L127" i="1"/>
  <c r="T127" i="1" s="1"/>
  <c r="L112" i="1"/>
  <c r="T112" i="1" s="1"/>
  <c r="L119" i="1"/>
  <c r="M119" i="1" s="1"/>
  <c r="L117" i="1"/>
  <c r="M117" i="1" s="1"/>
  <c r="L126" i="1"/>
  <c r="M126" i="1" s="1"/>
  <c r="N126" i="1" s="1"/>
  <c r="O126" i="1" s="1"/>
  <c r="L116" i="1"/>
  <c r="T116" i="1" s="1"/>
  <c r="L120" i="1"/>
  <c r="M120" i="1" s="1"/>
  <c r="N120" i="1" s="1"/>
  <c r="O120" i="1" s="1"/>
  <c r="L110" i="1"/>
  <c r="G37" i="3" s="1"/>
  <c r="H37" i="3" s="1"/>
  <c r="I37" i="3" s="1"/>
  <c r="L118" i="1"/>
  <c r="T118" i="1" s="1"/>
  <c r="L111" i="1"/>
  <c r="T111" i="1" s="1"/>
  <c r="L122" i="1"/>
  <c r="G42" i="3" s="1"/>
  <c r="H42" i="3" s="1"/>
  <c r="I42" i="3" s="1"/>
  <c r="M33" i="1"/>
  <c r="N33" i="1" s="1"/>
  <c r="O33" i="1" s="1"/>
  <c r="T33" i="1"/>
  <c r="G14" i="3"/>
  <c r="H14" i="3" s="1"/>
  <c r="I14" i="3" s="1"/>
  <c r="G39" i="3"/>
  <c r="H39" i="3" s="1"/>
  <c r="I39" i="3" s="1"/>
  <c r="M115" i="1"/>
  <c r="T115" i="1"/>
  <c r="M109" i="1"/>
  <c r="L44" i="1"/>
  <c r="L45" i="1"/>
  <c r="L46" i="1"/>
  <c r="L85" i="1"/>
  <c r="L82" i="1"/>
  <c r="L84" i="1"/>
  <c r="L83" i="1"/>
  <c r="G38" i="3"/>
  <c r="H38" i="3" s="1"/>
  <c r="I38" i="3" s="1"/>
  <c r="T113" i="1"/>
  <c r="M113" i="1"/>
  <c r="N113" i="1" s="1"/>
  <c r="O113" i="1" s="1"/>
  <c r="T125" i="1"/>
  <c r="G44" i="3"/>
  <c r="H44" i="3" s="1"/>
  <c r="I44" i="3" s="1"/>
  <c r="L71" i="1"/>
  <c r="L70" i="1"/>
  <c r="T121" i="1"/>
  <c r="M112" i="1"/>
  <c r="T124" i="1"/>
  <c r="M124" i="1"/>
  <c r="L59" i="1"/>
  <c r="L58" i="1"/>
  <c r="L57" i="1"/>
  <c r="G41" i="3"/>
  <c r="H41" i="3" s="1"/>
  <c r="I41" i="3" s="1"/>
  <c r="K10" i="1"/>
  <c r="S10" i="1" s="1"/>
  <c r="I17" i="2"/>
  <c r="I22" i="2" s="1"/>
  <c r="T114" i="1"/>
  <c r="M114" i="1"/>
  <c r="M111" i="1"/>
  <c r="T110" i="1"/>
  <c r="M110" i="1"/>
  <c r="T123" i="1" l="1"/>
  <c r="T119" i="1"/>
  <c r="G36" i="3"/>
  <c r="H36" i="3" s="1"/>
  <c r="I36" i="3" s="1"/>
  <c r="M123" i="1"/>
  <c r="T120" i="1"/>
  <c r="M118" i="1"/>
  <c r="N118" i="1" s="1"/>
  <c r="O118" i="1" s="1"/>
  <c r="M127" i="1"/>
  <c r="M116" i="1"/>
  <c r="N116" i="1" s="1"/>
  <c r="O116" i="1" s="1"/>
  <c r="M122" i="1"/>
  <c r="N122" i="1" s="1"/>
  <c r="O122" i="1" s="1"/>
  <c r="T117" i="1"/>
  <c r="T126" i="1"/>
  <c r="T122" i="1"/>
  <c r="G40" i="3"/>
  <c r="H40" i="3" s="1"/>
  <c r="I40" i="3" s="1"/>
  <c r="G45" i="3"/>
  <c r="H45" i="3" s="1"/>
  <c r="I45" i="3" s="1"/>
  <c r="M97" i="1"/>
  <c r="N97" i="1" s="1"/>
  <c r="G33" i="3"/>
  <c r="H33" i="3" s="1"/>
  <c r="I33" i="3" s="1"/>
  <c r="M98" i="1"/>
  <c r="N98" i="1" s="1"/>
  <c r="O98" i="1" s="1"/>
  <c r="G34" i="3"/>
  <c r="H34" i="3" s="1"/>
  <c r="I34" i="3" s="1"/>
  <c r="M96" i="1"/>
  <c r="N96" i="1" s="1"/>
  <c r="O96" i="1" s="1"/>
  <c r="G32" i="3"/>
  <c r="H32" i="3" s="1"/>
  <c r="I32" i="3" s="1"/>
  <c r="N114" i="1"/>
  <c r="O114" i="1" s="1"/>
  <c r="N117" i="1"/>
  <c r="O117" i="1" s="1"/>
  <c r="N124" i="1"/>
  <c r="O124" i="1" s="1"/>
  <c r="G27" i="3"/>
  <c r="H27" i="3" s="1"/>
  <c r="I27" i="3" s="1"/>
  <c r="T82" i="1"/>
  <c r="M82" i="1"/>
  <c r="T71" i="1"/>
  <c r="G25" i="3"/>
  <c r="H25" i="3" s="1"/>
  <c r="I25" i="3" s="1"/>
  <c r="M71" i="1"/>
  <c r="N71" i="1" s="1"/>
  <c r="O71" i="1" s="1"/>
  <c r="N123" i="1"/>
  <c r="O123" i="1" s="1"/>
  <c r="M85" i="1"/>
  <c r="T85" i="1"/>
  <c r="G30" i="3"/>
  <c r="H30" i="3" s="1"/>
  <c r="I30" i="3" s="1"/>
  <c r="M59" i="1"/>
  <c r="G22" i="3"/>
  <c r="H22" i="3" s="1"/>
  <c r="I22" i="3" s="1"/>
  <c r="T59" i="1"/>
  <c r="T84" i="1"/>
  <c r="M84" i="1"/>
  <c r="G29" i="3"/>
  <c r="H29" i="3" s="1"/>
  <c r="I29" i="3" s="1"/>
  <c r="N127" i="1"/>
  <c r="O127" i="1" s="1"/>
  <c r="N115" i="1"/>
  <c r="O115" i="1" s="1"/>
  <c r="L8" i="1"/>
  <c r="L9" i="1"/>
  <c r="M46" i="1"/>
  <c r="T46" i="1"/>
  <c r="G18" i="3"/>
  <c r="H18" i="3" s="1"/>
  <c r="I18" i="3" s="1"/>
  <c r="N110" i="1"/>
  <c r="O110" i="1" s="1"/>
  <c r="N112" i="1"/>
  <c r="O112" i="1" s="1"/>
  <c r="T45" i="1"/>
  <c r="M45" i="1"/>
  <c r="G17" i="3"/>
  <c r="H17" i="3" s="1"/>
  <c r="I17" i="3" s="1"/>
  <c r="N119" i="1"/>
  <c r="O119" i="1" s="1"/>
  <c r="G20" i="3"/>
  <c r="H20" i="3" s="1"/>
  <c r="I20" i="3" s="1"/>
  <c r="T57" i="1"/>
  <c r="M57" i="1"/>
  <c r="G16" i="3"/>
  <c r="H16" i="3" s="1"/>
  <c r="I16" i="3" s="1"/>
  <c r="M44" i="1"/>
  <c r="N111" i="1"/>
  <c r="O111" i="1" s="1"/>
  <c r="G21" i="3"/>
  <c r="H21" i="3" s="1"/>
  <c r="I21" i="3" s="1"/>
  <c r="T58" i="1"/>
  <c r="M58" i="1"/>
  <c r="G24" i="3"/>
  <c r="H24" i="3" s="1"/>
  <c r="I24" i="3" s="1"/>
  <c r="M70" i="1"/>
  <c r="T83" i="1"/>
  <c r="G28" i="3"/>
  <c r="H28" i="3" s="1"/>
  <c r="I28" i="3" s="1"/>
  <c r="M83" i="1"/>
  <c r="N109" i="1"/>
  <c r="M128" i="1" l="1"/>
  <c r="P114" i="1" s="1"/>
  <c r="Q114" i="1" s="1"/>
  <c r="M99" i="1"/>
  <c r="J20" i="2" s="1"/>
  <c r="P112" i="1"/>
  <c r="Q112" i="1" s="1"/>
  <c r="P123" i="1"/>
  <c r="Q123" i="1" s="1"/>
  <c r="P124" i="1"/>
  <c r="Q124" i="1" s="1"/>
  <c r="P110" i="1"/>
  <c r="Q110" i="1" s="1"/>
  <c r="P111" i="1"/>
  <c r="Q111" i="1" s="1"/>
  <c r="P115" i="1"/>
  <c r="Q115" i="1" s="1"/>
  <c r="P117" i="1"/>
  <c r="Q117" i="1" s="1"/>
  <c r="P119" i="1"/>
  <c r="Q119" i="1" s="1"/>
  <c r="P113" i="1"/>
  <c r="Q113" i="1" s="1"/>
  <c r="G6" i="3"/>
  <c r="H6" i="3" s="1"/>
  <c r="I6" i="3" s="1"/>
  <c r="L20" i="1"/>
  <c r="T8" i="1"/>
  <c r="M8" i="1"/>
  <c r="L32" i="1"/>
  <c r="N85" i="1"/>
  <c r="O85" i="1" s="1"/>
  <c r="N84" i="1"/>
  <c r="O84" i="1" s="1"/>
  <c r="G58" i="3"/>
  <c r="H58" i="3" s="1"/>
  <c r="I58" i="3" s="1"/>
  <c r="T162" i="1"/>
  <c r="O97" i="1"/>
  <c r="N99" i="1"/>
  <c r="M47" i="1"/>
  <c r="P46" i="1" s="1"/>
  <c r="Q46" i="1" s="1"/>
  <c r="N44" i="1"/>
  <c r="N45" i="1"/>
  <c r="O45" i="1" s="1"/>
  <c r="N46" i="1"/>
  <c r="O46" i="1" s="1"/>
  <c r="P127" i="1"/>
  <c r="Q127" i="1" s="1"/>
  <c r="N59" i="1"/>
  <c r="O59" i="1" s="1"/>
  <c r="N83" i="1"/>
  <c r="O83" i="1" s="1"/>
  <c r="O109" i="1"/>
  <c r="N128" i="1"/>
  <c r="O128" i="1" s="1"/>
  <c r="N58" i="1"/>
  <c r="O58" i="1" s="1"/>
  <c r="M60" i="1"/>
  <c r="P58" i="1" s="1"/>
  <c r="Q58" i="1" s="1"/>
  <c r="N57" i="1"/>
  <c r="N82" i="1"/>
  <c r="M86" i="1"/>
  <c r="P85" i="1" s="1"/>
  <c r="Q85" i="1" s="1"/>
  <c r="N70" i="1"/>
  <c r="M72" i="1"/>
  <c r="R128" i="1"/>
  <c r="P122" i="1"/>
  <c r="Q122" i="1" s="1"/>
  <c r="J16" i="2"/>
  <c r="M134" i="1"/>
  <c r="P126" i="1"/>
  <c r="Q126" i="1" s="1"/>
  <c r="P121" i="1"/>
  <c r="Q121" i="1" s="1"/>
  <c r="P125" i="1"/>
  <c r="Q125" i="1" s="1"/>
  <c r="P118" i="1"/>
  <c r="Q118" i="1" s="1"/>
  <c r="P116" i="1"/>
  <c r="Q116" i="1" s="1"/>
  <c r="P109" i="1"/>
  <c r="G7" i="3"/>
  <c r="H7" i="3" s="1"/>
  <c r="I7" i="3" s="1"/>
  <c r="L21" i="1"/>
  <c r="M9" i="1"/>
  <c r="T9" i="1"/>
  <c r="P120" i="1"/>
  <c r="Q120" i="1" s="1"/>
  <c r="G57" i="3"/>
  <c r="H57" i="3" s="1"/>
  <c r="I57" i="3" s="1"/>
  <c r="T161" i="1"/>
  <c r="O20" i="2" l="1"/>
  <c r="K20" i="2"/>
  <c r="R99" i="1"/>
  <c r="M105" i="1"/>
  <c r="M106" i="1" s="1"/>
  <c r="N106" i="1" s="1"/>
  <c r="N134" i="1"/>
  <c r="P59" i="1"/>
  <c r="Q59" i="1" s="1"/>
  <c r="P82" i="1"/>
  <c r="Q82" i="1" s="1"/>
  <c r="P70" i="1"/>
  <c r="Q70" i="1" s="1"/>
  <c r="R72" i="1"/>
  <c r="J15" i="2"/>
  <c r="O15" i="2" s="1"/>
  <c r="P71" i="1"/>
  <c r="Q71" i="1" s="1"/>
  <c r="M78" i="1"/>
  <c r="P57" i="1"/>
  <c r="M66" i="1"/>
  <c r="J14" i="2"/>
  <c r="O14" i="2" s="1"/>
  <c r="R60" i="1"/>
  <c r="O99" i="1"/>
  <c r="L20" i="2"/>
  <c r="O70" i="1"/>
  <c r="N72" i="1"/>
  <c r="O57" i="1"/>
  <c r="N60" i="1"/>
  <c r="R47" i="1"/>
  <c r="J13" i="2"/>
  <c r="O13" i="2" s="1"/>
  <c r="M53" i="1"/>
  <c r="N9" i="1"/>
  <c r="O9" i="1" s="1"/>
  <c r="T166" i="1"/>
  <c r="G62" i="3"/>
  <c r="H62" i="3" s="1"/>
  <c r="I62" i="3" s="1"/>
  <c r="M32" i="1"/>
  <c r="G13" i="3"/>
  <c r="H13" i="3" s="1"/>
  <c r="I13" i="3" s="1"/>
  <c r="M92" i="1"/>
  <c r="P98" i="1"/>
  <c r="Q98" i="1" s="1"/>
  <c r="R86" i="1"/>
  <c r="P96" i="1"/>
  <c r="J19" i="2"/>
  <c r="P97" i="1"/>
  <c r="Q97" i="1" s="1"/>
  <c r="P45" i="1"/>
  <c r="Q45" i="1" s="1"/>
  <c r="G66" i="3"/>
  <c r="H66" i="3" s="1"/>
  <c r="I66" i="3" s="1"/>
  <c r="T170" i="1"/>
  <c r="N8" i="1"/>
  <c r="M10" i="1"/>
  <c r="T21" i="1"/>
  <c r="M21" i="1"/>
  <c r="N21" i="1" s="1"/>
  <c r="O21" i="1" s="1"/>
  <c r="G11" i="3"/>
  <c r="H11" i="3" s="1"/>
  <c r="I11" i="3" s="1"/>
  <c r="L16" i="2"/>
  <c r="O16" i="2"/>
  <c r="O82" i="1"/>
  <c r="N86" i="1"/>
  <c r="Q109" i="1"/>
  <c r="P128" i="1"/>
  <c r="Q128" i="1" s="1"/>
  <c r="N47" i="1"/>
  <c r="O44" i="1"/>
  <c r="G10" i="3"/>
  <c r="H10" i="3" s="1"/>
  <c r="I10" i="3" s="1"/>
  <c r="T20" i="1"/>
  <c r="M20" i="1"/>
  <c r="P83" i="1"/>
  <c r="Q83" i="1" s="1"/>
  <c r="P44" i="1"/>
  <c r="P84" i="1"/>
  <c r="Q84" i="1" s="1"/>
  <c r="O19" i="2" l="1"/>
  <c r="N105" i="1"/>
  <c r="O105" i="1" s="1"/>
  <c r="N20" i="2" s="1"/>
  <c r="G79" i="3" s="1"/>
  <c r="P9" i="1"/>
  <c r="Q9" i="1" s="1"/>
  <c r="O134" i="1"/>
  <c r="N16" i="2" s="1"/>
  <c r="M20" i="2"/>
  <c r="F79" i="3"/>
  <c r="O106" i="1"/>
  <c r="F94" i="3"/>
  <c r="P72" i="1"/>
  <c r="Q72" i="1" s="1"/>
  <c r="N32" i="1"/>
  <c r="M34" i="1"/>
  <c r="N66" i="1"/>
  <c r="O66" i="1" s="1"/>
  <c r="N14" i="2" s="1"/>
  <c r="M67" i="1"/>
  <c r="N67" i="1" s="1"/>
  <c r="J10" i="2"/>
  <c r="M16" i="1"/>
  <c r="R10" i="1"/>
  <c r="P99" i="1"/>
  <c r="Q99" i="1" s="1"/>
  <c r="Q96" i="1"/>
  <c r="N53" i="1"/>
  <c r="O53" i="1" s="1"/>
  <c r="N13" i="2" s="1"/>
  <c r="M54" i="1"/>
  <c r="N54" i="1" s="1"/>
  <c r="Q57" i="1"/>
  <c r="P60" i="1"/>
  <c r="Q60" i="1" s="1"/>
  <c r="L19" i="2"/>
  <c r="O86" i="1"/>
  <c r="S151" i="1" s="1"/>
  <c r="L15" i="2"/>
  <c r="O72" i="1"/>
  <c r="N15" i="2" s="1"/>
  <c r="N78" i="1"/>
  <c r="O78" i="1" s="1"/>
  <c r="M79" i="1"/>
  <c r="N79" i="1" s="1"/>
  <c r="O8" i="1"/>
  <c r="N10" i="1"/>
  <c r="M22" i="1"/>
  <c r="P20" i="1" s="1"/>
  <c r="N20" i="1"/>
  <c r="M93" i="1"/>
  <c r="N93" i="1" s="1"/>
  <c r="N92" i="1"/>
  <c r="O92" i="1" s="1"/>
  <c r="N19" i="2" s="1"/>
  <c r="O60" i="1"/>
  <c r="L14" i="2"/>
  <c r="P8" i="1"/>
  <c r="Q44" i="1"/>
  <c r="P47" i="1"/>
  <c r="Q47" i="1" s="1"/>
  <c r="O47" i="1"/>
  <c r="L13" i="2"/>
  <c r="F80" i="3"/>
  <c r="M16" i="2"/>
  <c r="P86" i="1"/>
  <c r="Q86" i="1" s="1"/>
  <c r="S156" i="1" l="1"/>
  <c r="S152" i="1"/>
  <c r="M19" i="2"/>
  <c r="G94" i="3"/>
  <c r="M138" i="1"/>
  <c r="G95" i="3"/>
  <c r="G80" i="3"/>
  <c r="F76" i="3"/>
  <c r="M14" i="2"/>
  <c r="O79" i="1"/>
  <c r="F92" i="3"/>
  <c r="M17" i="1"/>
  <c r="N17" i="1" s="1"/>
  <c r="N16" i="1"/>
  <c r="P10" i="1"/>
  <c r="Q10" i="1" s="1"/>
  <c r="Q8" i="1"/>
  <c r="G78" i="3"/>
  <c r="G93" i="3"/>
  <c r="O10" i="2"/>
  <c r="G77" i="3"/>
  <c r="G92" i="3"/>
  <c r="F90" i="3"/>
  <c r="O54" i="1"/>
  <c r="F91" i="3"/>
  <c r="O67" i="1"/>
  <c r="F75" i="3"/>
  <c r="M13" i="2"/>
  <c r="O93" i="1"/>
  <c r="F93" i="3"/>
  <c r="N22" i="1"/>
  <c r="O20" i="1"/>
  <c r="M15" i="2"/>
  <c r="F77" i="3"/>
  <c r="G75" i="3"/>
  <c r="G90" i="3"/>
  <c r="G91" i="3"/>
  <c r="G76" i="3"/>
  <c r="P21" i="1"/>
  <c r="Q21" i="1" s="1"/>
  <c r="R22" i="1"/>
  <c r="M28" i="1"/>
  <c r="J11" i="2"/>
  <c r="P32" i="1"/>
  <c r="P33" i="1"/>
  <c r="Q33" i="1" s="1"/>
  <c r="R34" i="1"/>
  <c r="M40" i="1"/>
  <c r="J12" i="2"/>
  <c r="L10" i="2"/>
  <c r="O10" i="1"/>
  <c r="Q20" i="1"/>
  <c r="F78" i="3"/>
  <c r="N34" i="1"/>
  <c r="O32" i="1"/>
  <c r="S157" i="1" l="1"/>
  <c r="S153" i="1"/>
  <c r="M144" i="1"/>
  <c r="N138" i="1"/>
  <c r="O16" i="1"/>
  <c r="N10" i="2" s="1"/>
  <c r="G72" i="3" s="1"/>
  <c r="M41" i="1"/>
  <c r="N41" i="1" s="1"/>
  <c r="N40" i="1"/>
  <c r="O40" i="1" s="1"/>
  <c r="N12" i="2" s="1"/>
  <c r="G87" i="3"/>
  <c r="L12" i="2"/>
  <c r="O34" i="1"/>
  <c r="O22" i="1"/>
  <c r="L11" i="2"/>
  <c r="P22" i="1"/>
  <c r="Q22" i="1" s="1"/>
  <c r="F87" i="3"/>
  <c r="O17" i="1"/>
  <c r="O11" i="2"/>
  <c r="O12" i="2"/>
  <c r="J17" i="2"/>
  <c r="J22" i="2" s="1"/>
  <c r="N28" i="1"/>
  <c r="O28" i="1" s="1"/>
  <c r="N11" i="2" s="1"/>
  <c r="M29" i="1"/>
  <c r="N29" i="1" s="1"/>
  <c r="Q32" i="1"/>
  <c r="P34" i="1"/>
  <c r="Q34" i="1" s="1"/>
  <c r="M10" i="2"/>
  <c r="F72" i="3"/>
  <c r="S158" i="1" l="1"/>
  <c r="S154" i="1"/>
  <c r="S159" i="1" s="1"/>
  <c r="K11" i="2"/>
  <c r="O22" i="2"/>
  <c r="N144" i="1"/>
  <c r="K12" i="2"/>
  <c r="F74" i="3"/>
  <c r="M12" i="2"/>
  <c r="O138" i="1"/>
  <c r="F88" i="3"/>
  <c r="O29" i="1"/>
  <c r="G73" i="3"/>
  <c r="G88" i="3"/>
  <c r="G89" i="3"/>
  <c r="G74" i="3"/>
  <c r="M11" i="2"/>
  <c r="F73" i="3"/>
  <c r="K16" i="2"/>
  <c r="K15" i="2"/>
  <c r="K13" i="2"/>
  <c r="K17" i="2"/>
  <c r="O17" i="2"/>
  <c r="J31" i="2"/>
  <c r="L31" i="2" s="1"/>
  <c r="L17" i="2"/>
  <c r="K14" i="2"/>
  <c r="K10" i="2"/>
  <c r="O41" i="1"/>
  <c r="F89" i="3"/>
  <c r="L22" i="2" l="1"/>
  <c r="M22" i="2" s="1"/>
  <c r="O144" i="1"/>
  <c r="F81" i="3"/>
  <c r="N31" i="2"/>
  <c r="G81" i="3" s="1"/>
  <c r="L33" i="2"/>
  <c r="L34" i="2" s="1"/>
  <c r="M17" i="2"/>
  <c r="L159" i="1"/>
  <c r="L156" i="1"/>
  <c r="L151" i="1"/>
  <c r="L152" i="1"/>
  <c r="L154" i="1"/>
  <c r="L158" i="1"/>
  <c r="L153" i="1"/>
  <c r="L157" i="1"/>
  <c r="G49" i="3" l="1"/>
  <c r="H49" i="3" s="1"/>
  <c r="I49" i="3" s="1"/>
  <c r="T153" i="1"/>
  <c r="G65" i="3"/>
  <c r="H65" i="3" s="1"/>
  <c r="I65" i="3" s="1"/>
  <c r="T169" i="1"/>
  <c r="T157" i="1"/>
  <c r="G53" i="3"/>
  <c r="H53" i="3" s="1"/>
  <c r="I53" i="3" s="1"/>
  <c r="T167" i="1"/>
  <c r="G63" i="3"/>
  <c r="H63" i="3" s="1"/>
  <c r="I63" i="3" s="1"/>
  <c r="G48" i="3"/>
  <c r="H48" i="3" s="1"/>
  <c r="I48" i="3" s="1"/>
  <c r="T152" i="1"/>
  <c r="G55" i="3"/>
  <c r="H55" i="3" s="1"/>
  <c r="I55" i="3" s="1"/>
  <c r="T159" i="1"/>
  <c r="G67" i="3"/>
  <c r="H67" i="3" s="1"/>
  <c r="I67" i="3" s="1"/>
  <c r="T171" i="1"/>
  <c r="G59" i="3"/>
  <c r="H59" i="3" s="1"/>
  <c r="I59" i="3" s="1"/>
  <c r="T163" i="1"/>
  <c r="T158" i="1"/>
  <c r="G54" i="3"/>
  <c r="H54" i="3" s="1"/>
  <c r="I54" i="3" s="1"/>
  <c r="G47" i="3"/>
  <c r="H47" i="3" s="1"/>
  <c r="I47" i="3" s="1"/>
  <c r="T151" i="1"/>
  <c r="G61" i="3"/>
  <c r="H61" i="3" s="1"/>
  <c r="I61" i="3" s="1"/>
  <c r="T165" i="1"/>
  <c r="G52" i="3"/>
  <c r="H52" i="3" s="1"/>
  <c r="I52" i="3" s="1"/>
  <c r="T156" i="1"/>
  <c r="T154" i="1"/>
  <c r="G50" i="3"/>
  <c r="H50" i="3" s="1"/>
  <c r="I50" i="3" s="1"/>
  <c r="A24" i="2" l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<sst xmlns="http://schemas.openxmlformats.org/spreadsheetml/2006/main" count="238" uniqueCount="113">
  <si>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</si>
  <si>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</si>
  <si>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</si>
  <si>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</si>
  <si>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</si>
  <si>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</si>
  <si>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</si>
  <si>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</si>
  <si>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</si>
  <si>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</si>
  <si>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</si>
  <si>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</si>
  <si>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</si>
  <si>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</si>
  <si>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</si>
  <si>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</si>
  <si>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</si>
  <si>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</si>
  <si>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</si>
  <si>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</si>
  <si>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</si>
  <si>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</si>
  <si>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</si>
  <si>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</si>
  <si>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</si>
  <si>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</si>
  <si>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</si>
  <si>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</si>
  <si>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</si>
  <si>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</si>
  <si>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</si>
  <si>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</si>
  <si>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</si>
  <si>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</si>
  <si>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</si>
  <si>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</si>
  <si>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</si>
  <si>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</si>
  <si>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</si>
  <si>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</si>
  <si>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</si>
  <si>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</si>
  <si>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</si>
  <si>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</si>
  <si>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</si>
  <si>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</si>
  <si>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</si>
  <si>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</si>
  <si>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Off Peak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</si>
  <si>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</si>
  <si>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</si>
  <si>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</si>
  <si>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</si>
  <si>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</si>
  <si>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</si>
  <si>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</si>
  <si>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</si>
  <si>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</si>
  <si>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</si>
  <si>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</si>
  <si>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</si>
  <si>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</si>
  <si>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9,500 Lumen Security</t>
  </si>
  <si>
    <t>Pole Charge</t>
  </si>
  <si>
    <t>4,000 Lumen Deocrative Colonial</t>
  </si>
  <si>
    <t>9,550 Lumen Decorative Colonial</t>
  </si>
  <si>
    <t>27,500 Lumen directional flood</t>
  </si>
  <si>
    <t>50,000 Lumen Directional flood</t>
  </si>
  <si>
    <t>107,800 Lumen Directional Flood</t>
  </si>
  <si>
    <t>27,500 Lumen Cobra head</t>
  </si>
  <si>
    <t>7,000 Lumen Lamp</t>
  </si>
  <si>
    <t>6,000 Lumen Security LED</t>
  </si>
  <si>
    <t>Schedule 1 - Rates for Farm and Home Service</t>
  </si>
  <si>
    <t>Schedule NM - Net Metering</t>
  </si>
  <si>
    <t>Schedule 1-A - Farm and Home Marketing Rate (ETS)</t>
  </si>
  <si>
    <t>Schedule 2 - Small Commercial and Small Power</t>
  </si>
  <si>
    <t>Schedule 4 - Large Power Rate (LPR)</t>
  </si>
  <si>
    <t>Schedule 5 - All Electric School Rate</t>
  </si>
  <si>
    <t>Demand Charge-Excess per kW</t>
  </si>
  <si>
    <t>Demand Charge-Contract per kW</t>
  </si>
  <si>
    <t xml:space="preserve">    Prepay Fee</t>
  </si>
  <si>
    <t>Prepay fee</t>
  </si>
  <si>
    <t>11,12</t>
  </si>
  <si>
    <t>Schedule B-2 - Large Industrial Rate</t>
  </si>
  <si>
    <t>Schedule B-3 - Large Industrial Rate</t>
  </si>
  <si>
    <t>Schedule C-1 - Large Industrial Rate</t>
  </si>
  <si>
    <t>Schedule C-2 - Large Industrial Rate</t>
  </si>
  <si>
    <t>Schedule C-3 - Large Industrial Rate</t>
  </si>
  <si>
    <t>Schedule G - Large Industrial Rate</t>
  </si>
  <si>
    <t>G</t>
  </si>
  <si>
    <t>B1</t>
  </si>
  <si>
    <t>Schedule B1 - Large Industrial Rate</t>
  </si>
  <si>
    <t>B2</t>
  </si>
  <si>
    <t>B3</t>
  </si>
  <si>
    <t>C2</t>
  </si>
  <si>
    <t>C3</t>
  </si>
  <si>
    <t>C1</t>
  </si>
  <si>
    <t>Excess Demand Charge per kW</t>
  </si>
  <si>
    <t>Facility Charge</t>
  </si>
  <si>
    <t>INTER-COUNTY ENERGY COOPERATIVE</t>
  </si>
  <si>
    <t>Present &amp; Proposed Rates</t>
  </si>
  <si>
    <t>2023 Rate</t>
  </si>
  <si>
    <t xml:space="preserve">          2023 Revenue</t>
  </si>
  <si>
    <t>FAC Roll In &gt;</t>
  </si>
  <si>
    <t>Incr</t>
  </si>
  <si>
    <t>2023 Revenue</t>
  </si>
  <si>
    <t xml:space="preserve">Total Rate G Revenue Increase Allocated by East Kentucky Power Cooperative:   </t>
  </si>
  <si>
    <t xml:space="preserve">Remaining Revenue Increase Allocated by East Kentucky Power Cooperative:   </t>
  </si>
  <si>
    <t>B</t>
  </si>
  <si>
    <t>E</t>
  </si>
  <si>
    <t>Tot</t>
  </si>
  <si>
    <t xml:space="preserve">Total Rate B Revenue Increase Allocated by East Kentucky Power Cooperative:   </t>
  </si>
  <si>
    <t>FAC Roll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</si>
</sst>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&quot;$&quot;#,##0"/>
    <numFmt numFmtId="173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righ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8" fontId="3" fillId="0" borderId="0" xfId="1" applyNumberFormat="1" applyFont="1"/>
    <xf numFmtId="0" fontId="5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2" xfId="3" applyNumberFormat="1" applyFont="1" applyBorder="1"/>
    <xf numFmtId="172" fontId="3" fillId="0" borderId="0" xfId="0" applyNumberFormat="1" applyFont="1"/>
    <xf numFmtId="10" fontId="3" fillId="0" borderId="0" xfId="3" applyNumberFormat="1" applyFont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0" fontId="9" fillId="0" borderId="0" xfId="0" applyFont="1"/>
    <xf numFmtId="0" fontId="6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70" fontId="6" fillId="0" borderId="0" xfId="1" applyNumberFormat="1" applyFont="1" applyAlignment="1">
      <alignment vertical="center"/>
    </xf>
    <xf numFmtId="0" fontId="6" fillId="0" borderId="0" xfId="0" applyFont="1" applyAlignment="1">
      <alignment horizontal="left"/>
    </xf>
    <xf numFmtId="10" fontId="3" fillId="0" borderId="5" xfId="3" applyNumberFormat="1" applyFont="1" applyBorder="1" applyAlignment="1"/>
    <xf numFmtId="0" fontId="6" fillId="0" borderId="0" xfId="0" applyFont="1"/>
    <xf numFmtId="165" fontId="6" fillId="0" borderId="0" xfId="2" applyNumberFormat="1" applyFont="1" applyFill="1" applyAlignment="1">
      <alignment horizontal="center"/>
    </xf>
    <xf numFmtId="10" fontId="6" fillId="0" borderId="0" xfId="3" applyNumberFormat="1" applyFont="1" applyFill="1" applyAlignment="1"/>
    <xf numFmtId="165" fontId="6" fillId="0" borderId="0" xfId="2" applyNumberFormat="1" applyFont="1" applyFill="1" applyAlignment="1"/>
    <xf numFmtId="165" fontId="6" fillId="0" borderId="0" xfId="2" applyNumberFormat="1" applyFont="1" applyFill="1"/>
    <xf numFmtId="43" fontId="6" fillId="0" borderId="0" xfId="1" applyFont="1" applyFill="1"/>
    <xf numFmtId="0" fontId="6" fillId="0" borderId="5" xfId="0" applyFont="1" applyBorder="1" applyAlignment="1">
      <alignment vertical="center"/>
    </xf>
    <xf numFmtId="165" fontId="6" fillId="0" borderId="5" xfId="2" applyNumberFormat="1" applyFont="1" applyFill="1" applyBorder="1"/>
    <xf numFmtId="0" fontId="6" fillId="0" borderId="5" xfId="0" applyFont="1" applyBorder="1"/>
    <xf numFmtId="165" fontId="6" fillId="0" borderId="3" xfId="2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right" wrapText="1"/>
    </xf>
    <xf numFmtId="0" fontId="6" fillId="0" borderId="6" xfId="0" applyFont="1" applyBorder="1"/>
    <xf numFmtId="164" fontId="6" fillId="0" borderId="0" xfId="1" applyNumberFormat="1" applyFont="1" applyFill="1"/>
    <xf numFmtId="168" fontId="6" fillId="0" borderId="0" xfId="1" applyNumberFormat="1" applyFont="1" applyFill="1"/>
    <xf numFmtId="173" fontId="6" fillId="0" borderId="0" xfId="0" applyNumberFormat="1" applyFont="1"/>
    <xf numFmtId="44" fontId="6" fillId="0" borderId="0" xfId="0" applyNumberFormat="1" applyFont="1"/>
    <xf numFmtId="165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/>
    <xf numFmtId="0" fontId="6" fillId="0" borderId="0" xfId="0" applyFont="1" applyAlignment="1">
      <alignment horizontal="right"/>
    </xf>
    <xf numFmtId="168" fontId="3" fillId="0" borderId="0" xfId="0" applyNumberFormat="1" applyFont="1" applyAlignment="1">
      <alignment vertical="center"/>
    </xf>
    <xf numFmtId="164" fontId="3" fillId="0" borderId="0" xfId="1" applyNumberFormat="1" applyFont="1"/>
    <xf numFmtId="165" fontId="3" fillId="0" borderId="5" xfId="0" applyNumberFormat="1" applyFont="1" applyBorder="1"/>
    <xf numFmtId="170" fontId="3" fillId="0" borderId="0" xfId="1" applyNumberFormat="1" applyFont="1"/>
    <xf numFmtId="10" fontId="6" fillId="0" borderId="0" xfId="3" applyNumberFormat="1" applyFont="1"/>
    <xf numFmtId="0" fontId="8" fillId="0" borderId="0" xfId="0" applyFont="1" applyAlignment="1">
      <alignment vertical="top" wrapText="1"/>
    </xf>
    <xf numFmtId="44" fontId="3" fillId="0" borderId="0" xfId="2" applyFont="1" applyBorder="1" applyAlignment="1">
      <alignment horizontal="right"/>
    </xf>
    <xf numFmtId="44" fontId="3" fillId="0" borderId="2" xfId="0" applyNumberFormat="1" applyFont="1" applyBorder="1"/>
    <xf numFmtId="6" fontId="3" fillId="0" borderId="1" xfId="0" applyNumberFormat="1" applyFont="1" applyBorder="1"/>
    <xf numFmtId="0" fontId="2" fillId="0" borderId="0" xfId="0" applyFont="1" applyAlignment="1">
      <alignment horizontal="right" wrapText="1"/>
    </xf>
    <xf numFmtId="164" fontId="3" fillId="0" borderId="0" xfId="1" applyNumberFormat="1" applyFont="1" applyFill="1"/>
    <xf numFmtId="43" fontId="3" fillId="0" borderId="0" xfId="1" applyFont="1" applyFill="1"/>
    <xf numFmtId="167" fontId="3" fillId="0" borderId="0" xfId="1" applyNumberFormat="1" applyFont="1" applyFill="1"/>
    <xf numFmtId="168" fontId="3" fillId="0" borderId="0" xfId="1" applyNumberFormat="1" applyFont="1" applyFill="1"/>
    <xf numFmtId="173" fontId="3" fillId="0" borderId="0" xfId="0" applyNumberFormat="1" applyFont="1"/>
    <xf numFmtId="165" fontId="3" fillId="0" borderId="5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6" fontId="3" fillId="0" borderId="0" xfId="0" applyNumberFormat="1" applyFont="1"/>
    <xf numFmtId="0" fontId="2" fillId="0" borderId="0" xfId="0" applyFont="1" applyAlignment="1">
      <alignment horizontal="right"/>
    </xf>
    <xf numFmtId="165" fontId="3" fillId="0" borderId="0" xfId="2" applyNumberFormat="1" applyFont="1" applyFill="1"/>
    <xf numFmtId="10" fontId="3" fillId="0" borderId="0" xfId="3" applyNumberFormat="1" applyFont="1" applyFill="1"/>
    <xf numFmtId="10" fontId="3" fillId="0" borderId="0" xfId="0" applyNumberFormat="1" applyFont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9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44" fontId="3" fillId="0" borderId="0" xfId="0" applyNumberFormat="1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167" fontId="6" fillId="0" borderId="0" xfId="1" applyNumberFormat="1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 applyFill="1"/>
    <xf numFmtId="44" fontId="6" fillId="0" borderId="0" xfId="0" applyNumberFormat="1" applyFont="1" applyFill="1"/>
    <xf numFmtId="0" fontId="6" fillId="0" borderId="6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W35"/>
  <sheetViews>
    <sheetView view="pageBreakPreview" zoomScaleNormal="75" zoomScaleSheetLayoutView="100" workbookViewId="0">
      <selection activeCell="N147" sqref="N147"/>
    </sheetView>
  </sheetViews>
  <sheetFormatPr defaultColWidth="8.88671875" defaultRowHeight="13.2" x14ac:dyDescent="0.25"/>
  <cols>
    <col min="1" max="1" width="9" style="2" bestFit="1" customWidth="1"/>
    <col min="2" max="2" width="47.6640625" style="2" customWidth="1"/>
    <col min="3" max="3" width="7.33203125" style="13" bestFit="1" customWidth="1"/>
    <col min="4" max="4" width="13.88671875" style="2" hidden="1" customWidth="1"/>
    <col min="5" max="5" width="13.88671875" style="2" bestFit="1" customWidth="1"/>
    <col min="6" max="6" width="10.44140625" style="2" customWidth="1"/>
    <col min="7" max="7" width="13.88671875" style="2" bestFit="1" customWidth="1"/>
    <col min="8" max="8" width="10.44140625" style="2" bestFit="1" customWidth="1"/>
    <col min="9" max="9" width="12.6640625" style="2" bestFit="1" customWidth="1"/>
    <col min="10" max="10" width="13.88671875" style="2" bestFit="1" customWidth="1"/>
    <col min="11" max="11" width="10.33203125" style="2" customWidth="1"/>
    <col min="12" max="12" width="13.33203125" style="2" bestFit="1" customWidth="1"/>
    <col min="13" max="14" width="9.109375" style="2" bestFit="1" customWidth="1"/>
    <col min="15" max="15" width="12.88671875" style="2" bestFit="1" customWidth="1"/>
    <col min="16" max="16" width="21.109375" style="2" customWidth="1"/>
    <col min="17" max="17" width="13.6640625" style="2" customWidth="1"/>
    <col min="18" max="18" width="14.5546875" style="2" customWidth="1"/>
    <col min="19" max="19" width="9" style="2" customWidth="1"/>
    <col min="20" max="20" width="14.6640625" style="2" customWidth="1"/>
    <col min="21" max="21" width="10" style="2" customWidth="1"/>
    <col min="22" max="16384" width="8.88671875" style="2"/>
  </cols>
  <sheetData>
    <row r="1" spans="1:23" x14ac:dyDescent="0.25">
      <c r="A1" s="1" t="s">
        <v>99</v>
      </c>
    </row>
    <row r="2" spans="1:23" x14ac:dyDescent="0.25">
      <c r="A2" s="1" t="s">
        <v>0</v>
      </c>
      <c r="P2" s="2" t="s">
        <v>108</v>
      </c>
      <c r="Q2" s="105">
        <v>369290.11343799997</v>
      </c>
    </row>
    <row r="3" spans="1:23" x14ac:dyDescent="0.25">
      <c r="A3" s="1"/>
      <c r="K3" s="24" t="s">
        <v>36</v>
      </c>
      <c r="L3" s="112">
        <v>4108695.9650911316</v>
      </c>
      <c r="P3" s="2" t="s">
        <v>89</v>
      </c>
      <c r="Q3" s="105">
        <v>1233868.8000000007</v>
      </c>
    </row>
    <row r="4" spans="1:23" x14ac:dyDescent="0.25">
      <c r="A4" s="1"/>
      <c r="K4" s="24" t="s">
        <v>111</v>
      </c>
      <c r="L4" s="112">
        <v>369290.11343799997</v>
      </c>
      <c r="P4" s="2" t="s">
        <v>109</v>
      </c>
      <c r="Q4" s="105">
        <v>2505537.0516531244</v>
      </c>
    </row>
    <row r="5" spans="1:23" x14ac:dyDescent="0.25">
      <c r="A5" s="1"/>
      <c r="K5" s="24" t="s">
        <v>106</v>
      </c>
      <c r="L5" s="112">
        <v>1233868.8000000007</v>
      </c>
      <c r="P5" s="2" t="s">
        <v>110</v>
      </c>
      <c r="Q5" s="105">
        <f>SUM(Q2:Q4)</f>
        <v>4108695.9650911251</v>
      </c>
    </row>
    <row r="6" spans="1:23" x14ac:dyDescent="0.25">
      <c r="A6" s="1"/>
      <c r="K6" s="24" t="s">
        <v>107</v>
      </c>
      <c r="L6" s="112">
        <f>L3-L5-L4</f>
        <v>2505537.0516531309</v>
      </c>
      <c r="M6" s="4"/>
      <c r="P6" s="4"/>
    </row>
    <row r="7" spans="1:23" x14ac:dyDescent="0.25">
      <c r="M7" s="4"/>
      <c r="N7" s="4"/>
    </row>
    <row r="8" spans="1:23" s="9" customFormat="1" ht="31.95" customHeight="1" x14ac:dyDescent="0.25">
      <c r="A8" s="7" t="s">
        <v>1</v>
      </c>
      <c r="B8" s="7" t="s">
        <v>2</v>
      </c>
      <c r="C8" s="8" t="s">
        <v>11</v>
      </c>
      <c r="D8" s="10" t="s">
        <v>105</v>
      </c>
      <c r="E8" s="10" t="s">
        <v>3</v>
      </c>
      <c r="F8" s="10" t="s">
        <v>20</v>
      </c>
      <c r="G8" s="10" t="s">
        <v>31</v>
      </c>
      <c r="H8" s="10" t="s">
        <v>32</v>
      </c>
      <c r="I8" s="10" t="s">
        <v>33</v>
      </c>
      <c r="J8" s="10" t="s">
        <v>4</v>
      </c>
      <c r="K8" s="10" t="s">
        <v>22</v>
      </c>
      <c r="L8" s="10" t="s">
        <v>44</v>
      </c>
      <c r="M8" s="8" t="s">
        <v>42</v>
      </c>
      <c r="N8" s="8" t="s">
        <v>43</v>
      </c>
      <c r="O8" s="10" t="s">
        <v>35</v>
      </c>
      <c r="Q8" s="2"/>
      <c r="R8" s="2"/>
      <c r="S8" s="2"/>
      <c r="T8" s="2"/>
      <c r="U8" s="2"/>
      <c r="V8" s="2"/>
      <c r="W8" s="2"/>
    </row>
    <row r="9" spans="1:23" x14ac:dyDescent="0.25">
      <c r="A9" s="3">
        <v>1</v>
      </c>
      <c r="B9" s="31" t="s">
        <v>5</v>
      </c>
      <c r="C9" s="61"/>
      <c r="D9" s="31"/>
      <c r="E9" s="32"/>
      <c r="F9" s="33"/>
      <c r="G9" s="33"/>
      <c r="H9" s="9"/>
      <c r="I9" s="9"/>
      <c r="J9" s="32"/>
      <c r="K9" s="33"/>
      <c r="L9" s="32"/>
      <c r="M9" s="34"/>
      <c r="N9" s="34"/>
    </row>
    <row r="10" spans="1:23" x14ac:dyDescent="0.25">
      <c r="A10" s="3">
        <f>A9+1</f>
        <v>2</v>
      </c>
      <c r="B10" s="2" t="str">
        <f>'Billing Detail'!B7</f>
        <v>Schedule 1 - Rates for Farm and Home Service</v>
      </c>
      <c r="C10" s="13">
        <f>'Billing Detail'!C7</f>
        <v>1</v>
      </c>
      <c r="D10" s="35">
        <f>'Billing Detail'!G10</f>
        <v>37576364.691640005</v>
      </c>
      <c r="E10" s="35">
        <f>'Billing Detail'!I10</f>
        <v>41548880.418109998</v>
      </c>
      <c r="F10" s="34">
        <f t="shared" ref="F10:F17" si="0">E10/E$17</f>
        <v>0.83846282279896744</v>
      </c>
      <c r="G10" s="84">
        <f>E10</f>
        <v>41548880.418109998</v>
      </c>
      <c r="H10" s="85">
        <f t="shared" ref="H10:H16" si="1">G10/G$17</f>
        <v>0.83846282279896744</v>
      </c>
      <c r="I10" s="86">
        <f t="shared" ref="I10:I16" si="2">ROUND(L$6*H10,2)</f>
        <v>2100799.67</v>
      </c>
      <c r="J10" s="35">
        <f>'Billing Detail'!M10</f>
        <v>43649036.978090003</v>
      </c>
      <c r="K10" s="34">
        <f t="shared" ref="K10:K17" si="3">J10/J$17</f>
        <v>0.83847101273006008</v>
      </c>
      <c r="L10" s="35">
        <f>'Billing Detail'!N10</f>
        <v>2100156.5599800022</v>
      </c>
      <c r="M10" s="34">
        <f>IF(E10=0,0,L10/E10)</f>
        <v>5.0546646235613189E-2</v>
      </c>
      <c r="N10" s="34">
        <f>'Billing Detail'!O16</f>
        <v>4.5337938324794803E-2</v>
      </c>
      <c r="O10" s="36">
        <f>J10-I10-E10</f>
        <v>-643.11001999676228</v>
      </c>
    </row>
    <row r="11" spans="1:23" x14ac:dyDescent="0.25">
      <c r="A11" s="3">
        <f t="shared" ref="A11:A23" si="4">A10+1</f>
        <v>3</v>
      </c>
      <c r="B11" s="2" t="str">
        <f>'Billing Detail'!B19</f>
        <v>Schedule NM - Net Metering</v>
      </c>
      <c r="C11" s="13">
        <f>'Billing Detail'!C19</f>
        <v>8</v>
      </c>
      <c r="D11" s="35">
        <f>'Billing Detail'!G22</f>
        <v>42682.708680000003</v>
      </c>
      <c r="E11" s="35">
        <f>'Billing Detail'!I22</f>
        <v>46662.529569999999</v>
      </c>
      <c r="F11" s="34">
        <f t="shared" si="0"/>
        <v>9.4165705233176591E-4</v>
      </c>
      <c r="G11" s="84">
        <f t="shared" ref="G11:G16" si="5">E11</f>
        <v>46662.529569999999</v>
      </c>
      <c r="H11" s="85">
        <f t="shared" si="1"/>
        <v>9.4165705233176591E-4</v>
      </c>
      <c r="I11" s="86">
        <f t="shared" si="2"/>
        <v>2359.36</v>
      </c>
      <c r="J11" s="35">
        <f>'Billing Detail'!M22</f>
        <v>49020.499830000001</v>
      </c>
      <c r="K11" s="34">
        <f t="shared" si="3"/>
        <v>9.4165349301120801E-4</v>
      </c>
      <c r="L11" s="35">
        <f>'Billing Detail'!N22</f>
        <v>2357.9702600000073</v>
      </c>
      <c r="M11" s="34">
        <f t="shared" ref="M11:M16" si="6">IF(E11=0,0,L11/E11)</f>
        <v>5.05324139460279E-2</v>
      </c>
      <c r="N11" s="34">
        <f>'Billing Detail'!O28</f>
        <v>4.5799429004363595E-2</v>
      </c>
      <c r="O11" s="36">
        <f t="shared" ref="O11:O17" si="7">J11-I11-E11</f>
        <v>-1.3897399999987101</v>
      </c>
    </row>
    <row r="12" spans="1:23" x14ac:dyDescent="0.25">
      <c r="A12" s="3">
        <f t="shared" si="4"/>
        <v>4</v>
      </c>
      <c r="B12" s="2" t="str">
        <f>'Billing Detail'!B31</f>
        <v>Schedule 1-A - Farm and Home Marketing Rate (ETS)</v>
      </c>
      <c r="C12" s="13" t="str">
        <f>'Billing Detail'!C31</f>
        <v>11,12</v>
      </c>
      <c r="D12" s="35">
        <f>'Billing Detail'!G34</f>
        <v>25454.84996</v>
      </c>
      <c r="E12" s="35">
        <f>'Billing Detail'!I34</f>
        <v>28095.522870000001</v>
      </c>
      <c r="F12" s="34">
        <f t="shared" si="0"/>
        <v>5.669719900160123E-4</v>
      </c>
      <c r="G12" s="84">
        <f t="shared" si="5"/>
        <v>28095.522870000001</v>
      </c>
      <c r="H12" s="85">
        <f t="shared" si="1"/>
        <v>5.669719900160123E-4</v>
      </c>
      <c r="I12" s="86">
        <f t="shared" si="2"/>
        <v>1420.57</v>
      </c>
      <c r="J12" s="35">
        <f>'Billing Detail'!M34</f>
        <v>29515.09605</v>
      </c>
      <c r="K12" s="34">
        <f t="shared" si="3"/>
        <v>5.6696674632915117E-4</v>
      </c>
      <c r="L12" s="35">
        <f>'Billing Detail'!N34</f>
        <v>1419.5731799999994</v>
      </c>
      <c r="M12" s="34">
        <f t="shared" si="6"/>
        <v>5.0526668842166292E-2</v>
      </c>
      <c r="N12" s="34">
        <f>'Billing Detail'!O40</f>
        <v>5.0585495843202641E-2</v>
      </c>
      <c r="O12" s="36">
        <f t="shared" si="7"/>
        <v>-0.99682000000029802</v>
      </c>
    </row>
    <row r="13" spans="1:23" x14ac:dyDescent="0.25">
      <c r="A13" s="3">
        <f t="shared" si="4"/>
        <v>5</v>
      </c>
      <c r="B13" s="2" t="str">
        <f>'Billing Detail'!B43</f>
        <v>Schedule 2 - Small Commercial and Small Power</v>
      </c>
      <c r="C13" s="13">
        <f>'Billing Detail'!C43</f>
        <v>2</v>
      </c>
      <c r="D13" s="35">
        <f>'Billing Detail'!G47</f>
        <v>2667911.3827999998</v>
      </c>
      <c r="E13" s="35">
        <f>'Billing Detail'!I47</f>
        <v>2913340.9707800001</v>
      </c>
      <c r="F13" s="34">
        <f t="shared" si="0"/>
        <v>5.8791670667288694E-2</v>
      </c>
      <c r="G13" s="84">
        <f t="shared" si="5"/>
        <v>2913340.9707800001</v>
      </c>
      <c r="H13" s="85">
        <f t="shared" si="1"/>
        <v>5.8791670667288694E-2</v>
      </c>
      <c r="I13" s="86">
        <f t="shared" si="2"/>
        <v>147304.71</v>
      </c>
      <c r="J13" s="35">
        <f>'Billing Detail'!M47</f>
        <v>3060272.5578600001</v>
      </c>
      <c r="K13" s="34">
        <f t="shared" si="3"/>
        <v>5.8785943710668469E-2</v>
      </c>
      <c r="L13" s="35">
        <f>'Billing Detail'!N47</f>
        <v>146931.58707999997</v>
      </c>
      <c r="M13" s="34">
        <f>IF(E13=0,0,L13/E13)</f>
        <v>5.0434050992891985E-2</v>
      </c>
      <c r="N13" s="34">
        <f>'Billing Detail'!O53</f>
        <v>4.5868942135250564E-2</v>
      </c>
      <c r="O13" s="36">
        <f>J13-I13-E13</f>
        <v>-373.12291999999434</v>
      </c>
    </row>
    <row r="14" spans="1:23" x14ac:dyDescent="0.25">
      <c r="A14" s="3">
        <f t="shared" si="4"/>
        <v>6</v>
      </c>
      <c r="B14" s="2" t="str">
        <f>'Billing Detail'!B56</f>
        <v>Schedule 4 - Large Power Rate (LPR)</v>
      </c>
      <c r="C14" s="13">
        <f>'Billing Detail'!C56</f>
        <v>4</v>
      </c>
      <c r="D14" s="35">
        <f>'Billing Detail'!G60</f>
        <v>2981573.08708</v>
      </c>
      <c r="E14" s="35">
        <f>'Billing Detail'!I60</f>
        <v>3351108.3821599996</v>
      </c>
      <c r="F14" s="34">
        <f t="shared" si="0"/>
        <v>6.7625884628805782E-2</v>
      </c>
      <c r="G14" s="84">
        <f t="shared" si="5"/>
        <v>3351108.3821599996</v>
      </c>
      <c r="H14" s="85">
        <f t="shared" si="1"/>
        <v>6.7625884628805782E-2</v>
      </c>
      <c r="I14" s="86">
        <f t="shared" si="2"/>
        <v>169439.16</v>
      </c>
      <c r="J14" s="35">
        <f>'Billing Detail'!M60</f>
        <v>3519997.4051200002</v>
      </c>
      <c r="K14" s="34">
        <f t="shared" si="3"/>
        <v>6.7616973784774173E-2</v>
      </c>
      <c r="L14" s="35">
        <f>'Billing Detail'!N60</f>
        <v>168889.02296000044</v>
      </c>
      <c r="M14" s="34">
        <f t="shared" ref="M14" si="8">IF(E14=0,0,L14/E14)</f>
        <v>5.0397959033226157E-2</v>
      </c>
      <c r="N14" s="34">
        <f>'Billing Detail'!O66</f>
        <v>4.5415546734994719E-2</v>
      </c>
      <c r="O14" s="36">
        <f t="shared" ref="O14" si="9">J14-I14-E14</f>
        <v>-550.13703999947757</v>
      </c>
    </row>
    <row r="15" spans="1:23" x14ac:dyDescent="0.25">
      <c r="A15" s="3">
        <f t="shared" si="4"/>
        <v>7</v>
      </c>
      <c r="B15" s="2" t="str">
        <f>'Billing Detail'!B69</f>
        <v>Schedule 5 - All Electric School Rate</v>
      </c>
      <c r="C15" s="13">
        <f>'Billing Detail'!C69</f>
        <v>5</v>
      </c>
      <c r="D15" s="35">
        <f>'Billing Detail'!G72</f>
        <v>378857.7072</v>
      </c>
      <c r="E15" s="35">
        <f>'Billing Detail'!I72</f>
        <v>429129.59172000003</v>
      </c>
      <c r="F15" s="34">
        <f t="shared" si="0"/>
        <v>8.6599014269296368E-3</v>
      </c>
      <c r="G15" s="84">
        <f t="shared" si="5"/>
        <v>429129.59172000003</v>
      </c>
      <c r="H15" s="85">
        <f t="shared" si="1"/>
        <v>8.6599014269296368E-3</v>
      </c>
      <c r="I15" s="86">
        <f t="shared" si="2"/>
        <v>21697.7</v>
      </c>
      <c r="J15" s="35">
        <f>'Billing Detail'!M72</f>
        <v>450840.95964000002</v>
      </c>
      <c r="K15" s="34">
        <f t="shared" si="3"/>
        <v>8.6603760857150575E-3</v>
      </c>
      <c r="L15" s="35">
        <f>'Billing Detail'!N72</f>
        <v>21711.367920000001</v>
      </c>
      <c r="M15" s="34">
        <f t="shared" si="6"/>
        <v>5.0593965876318099E-2</v>
      </c>
      <c r="N15" s="34">
        <f>'Billing Detail'!O72</f>
        <v>5.0593965876318099E-2</v>
      </c>
      <c r="O15" s="36">
        <f t="shared" si="7"/>
        <v>13.667919999978039</v>
      </c>
    </row>
    <row r="16" spans="1:23" x14ac:dyDescent="0.25">
      <c r="A16" s="3">
        <f t="shared" si="4"/>
        <v>8</v>
      </c>
      <c r="B16" s="2" t="str">
        <f>'Billing Detail'!B108</f>
        <v>Lighting</v>
      </c>
      <c r="C16" s="13">
        <f>'Billing Detail'!C108</f>
        <v>6</v>
      </c>
      <c r="D16" s="35">
        <f>'Billing Detail'!G128</f>
        <v>1187767.4900000002</v>
      </c>
      <c r="E16" s="35">
        <f>'Billing Detail'!I128</f>
        <v>1236417.2699999998</v>
      </c>
      <c r="F16" s="34">
        <f t="shared" si="0"/>
        <v>2.4951091435660652E-2</v>
      </c>
      <c r="G16" s="84">
        <f t="shared" si="5"/>
        <v>1236417.2699999998</v>
      </c>
      <c r="H16" s="85">
        <f t="shared" si="1"/>
        <v>2.4951091435660652E-2</v>
      </c>
      <c r="I16" s="86">
        <f t="shared" si="2"/>
        <v>62515.88</v>
      </c>
      <c r="J16" s="35">
        <f>'Billing Detail'!M128</f>
        <v>1299212.74</v>
      </c>
      <c r="K16" s="34">
        <f t="shared" si="3"/>
        <v>2.4957073449441865E-2</v>
      </c>
      <c r="L16" s="35">
        <f t="shared" ref="L16:L17" si="10">J16-E16</f>
        <v>62795.470000000205</v>
      </c>
      <c r="M16" s="34">
        <f t="shared" si="6"/>
        <v>5.078825047469631E-2</v>
      </c>
      <c r="N16" s="34">
        <f>'Billing Detail'!O134</f>
        <v>5.0542043361167147E-2</v>
      </c>
      <c r="O16" s="36">
        <f t="shared" si="7"/>
        <v>279.59000000031665</v>
      </c>
    </row>
    <row r="17" spans="1:15" ht="16.2" customHeight="1" x14ac:dyDescent="0.25">
      <c r="A17" s="3">
        <f t="shared" si="4"/>
        <v>9</v>
      </c>
      <c r="B17" s="37" t="s">
        <v>41</v>
      </c>
      <c r="C17" s="62"/>
      <c r="D17" s="38">
        <f>SUM(D10:D16)</f>
        <v>44860611.91736</v>
      </c>
      <c r="E17" s="38">
        <f>SUM(E10:E16)</f>
        <v>49553634.685209997</v>
      </c>
      <c r="F17" s="39">
        <f t="shared" si="0"/>
        <v>1</v>
      </c>
      <c r="G17" s="38">
        <f>SUM(G10:G16)</f>
        <v>49553634.685209997</v>
      </c>
      <c r="H17" s="39">
        <v>1</v>
      </c>
      <c r="I17" s="38">
        <f>SUM(I10:I16)</f>
        <v>2505537.0499999998</v>
      </c>
      <c r="J17" s="38">
        <f>SUM(J10:J16)</f>
        <v>52057896.236590005</v>
      </c>
      <c r="K17" s="39">
        <f t="shared" si="3"/>
        <v>1</v>
      </c>
      <c r="L17" s="38">
        <f t="shared" si="10"/>
        <v>2504261.5513800085</v>
      </c>
      <c r="M17" s="39">
        <f t="shared" ref="M17" si="11">L17/E17</f>
        <v>5.0536384813916417E-2</v>
      </c>
      <c r="N17" s="39"/>
      <c r="O17" s="40">
        <f t="shared" si="7"/>
        <v>-1275.4986199885607</v>
      </c>
    </row>
    <row r="18" spans="1:15" ht="16.2" customHeight="1" x14ac:dyDescent="0.25">
      <c r="A18" s="3">
        <f t="shared" si="4"/>
        <v>10</v>
      </c>
      <c r="D18" s="41"/>
      <c r="E18" s="41"/>
      <c r="F18" s="42"/>
      <c r="G18" s="41"/>
      <c r="H18" s="42"/>
      <c r="I18" s="41"/>
      <c r="J18" s="41"/>
      <c r="K18" s="42"/>
      <c r="L18" s="41"/>
      <c r="M18" s="42"/>
      <c r="N18" s="42"/>
      <c r="O18" s="36"/>
    </row>
    <row r="19" spans="1:15" ht="16.2" customHeight="1" x14ac:dyDescent="0.25">
      <c r="A19" s="3">
        <f t="shared" si="4"/>
        <v>11</v>
      </c>
      <c r="B19" s="2" t="str">
        <f>'Billing Detail'!B81</f>
        <v>Schedule B1 - Large Industrial Rate</v>
      </c>
      <c r="C19" s="13" t="str">
        <f>'Billing Detail'!C81</f>
        <v>B1</v>
      </c>
      <c r="D19" s="35">
        <f>'Billing Detail'!G86</f>
        <v>3453086.3790399996</v>
      </c>
      <c r="E19" s="35">
        <f>'Billing Detail'!I86</f>
        <v>4067214.4835999999</v>
      </c>
      <c r="F19" s="42">
        <v>1</v>
      </c>
      <c r="G19" s="84">
        <f t="shared" ref="G19" si="12">E19</f>
        <v>4067214.4835999999</v>
      </c>
      <c r="H19" s="42">
        <v>1</v>
      </c>
      <c r="I19" s="86">
        <f>ROUND(L$4*H19,2)</f>
        <v>369290.11</v>
      </c>
      <c r="J19" s="35">
        <f>'Billing Detail'!M86</f>
        <v>4436646.4793600002</v>
      </c>
      <c r="K19" s="42">
        <v>1</v>
      </c>
      <c r="L19" s="35">
        <f>'Billing Detail'!N86</f>
        <v>369431.99576000031</v>
      </c>
      <c r="M19" s="34">
        <f t="shared" ref="M19" si="13">IF(E19=0,0,L19/E19)</f>
        <v>9.0831697529018984E-2</v>
      </c>
      <c r="N19" s="34">
        <f>'Billing Detail'!O92</f>
        <v>8.0598613319808721E-2</v>
      </c>
      <c r="O19" s="36">
        <f t="shared" ref="O19" si="14">J19-I19-E19</f>
        <v>141.88576000044122</v>
      </c>
    </row>
    <row r="20" spans="1:15" x14ac:dyDescent="0.25">
      <c r="A20" s="3">
        <f t="shared" si="4"/>
        <v>12</v>
      </c>
      <c r="B20" s="2" t="str">
        <f>'Billing Detail'!B95</f>
        <v>Schedule G - Large Industrial Rate</v>
      </c>
      <c r="C20" s="13" t="str">
        <f>'Billing Detail'!C95</f>
        <v>G</v>
      </c>
      <c r="D20" s="35">
        <f>'Billing Detail'!G99</f>
        <v>9050920.7200000007</v>
      </c>
      <c r="E20" s="35">
        <f>'Billing Detail'!I99</f>
        <v>11006993.68</v>
      </c>
      <c r="F20" s="34">
        <v>1</v>
      </c>
      <c r="G20" s="84">
        <f t="shared" ref="G20" si="15">E20</f>
        <v>11006993.68</v>
      </c>
      <c r="H20" s="85">
        <f>G20/G$20</f>
        <v>1</v>
      </c>
      <c r="I20" s="86">
        <f>L5</f>
        <v>1233868.8000000007</v>
      </c>
      <c r="J20" s="35">
        <f>'Billing Detail'!M99</f>
        <v>12240862.480000004</v>
      </c>
      <c r="K20" s="34">
        <f>J20/J$20</f>
        <v>1</v>
      </c>
      <c r="L20" s="35">
        <f>'Billing Detail'!N99</f>
        <v>1233868.8000000056</v>
      </c>
      <c r="M20" s="34">
        <f t="shared" ref="M20" si="16">IF(E20=0,0,L20/E20)</f>
        <v>0.11209861982949787</v>
      </c>
      <c r="N20" s="34">
        <f>'Billing Detail'!O105</f>
        <v>0.10988669786702564</v>
      </c>
      <c r="O20" s="36">
        <f t="shared" ref="O20" si="17">J20-I20-E20</f>
        <v>0</v>
      </c>
    </row>
    <row r="21" spans="1:15" ht="16.2" customHeight="1" x14ac:dyDescent="0.25">
      <c r="A21" s="3">
        <f t="shared" si="4"/>
        <v>13</v>
      </c>
      <c r="D21" s="41"/>
      <c r="E21" s="41"/>
      <c r="F21" s="42"/>
      <c r="G21" s="41"/>
      <c r="H21" s="42"/>
      <c r="I21" s="41"/>
      <c r="J21" s="41"/>
      <c r="K21" s="42"/>
      <c r="L21" s="41"/>
      <c r="M21" s="42"/>
      <c r="N21" s="42"/>
      <c r="O21" s="36"/>
    </row>
    <row r="22" spans="1:15" ht="16.2" customHeight="1" x14ac:dyDescent="0.25">
      <c r="A22" s="3">
        <f t="shared" si="4"/>
        <v>14</v>
      </c>
      <c r="B22" s="12" t="s">
        <v>40</v>
      </c>
      <c r="C22" s="63"/>
      <c r="D22" s="43">
        <f>D20+D17+D19</f>
        <v>57364619.016400002</v>
      </c>
      <c r="E22" s="43">
        <f>E20+E17+E19</f>
        <v>64627842.848809995</v>
      </c>
      <c r="F22" s="43"/>
      <c r="G22" s="43">
        <f>G20+G17+G19</f>
        <v>64627842.848809995</v>
      </c>
      <c r="H22" s="43"/>
      <c r="I22" s="43">
        <f>I20+I17+I19</f>
        <v>4108695.9600000004</v>
      </c>
      <c r="J22" s="43">
        <f>J20+J17+J19</f>
        <v>68735405.195950016</v>
      </c>
      <c r="K22" s="43"/>
      <c r="L22" s="43">
        <f>L20+L17+L19</f>
        <v>4107562.3471400142</v>
      </c>
      <c r="M22" s="82">
        <f t="shared" ref="M22" si="18">IF(E22=0,0,L22/E22)</f>
        <v>6.355716307519689E-2</v>
      </c>
      <c r="N22" s="82"/>
      <c r="O22" s="106">
        <f t="shared" ref="O22" si="19">J22-I22-E22</f>
        <v>-1133.6128599792719</v>
      </c>
    </row>
    <row r="23" spans="1:15" ht="12.6" customHeight="1" x14ac:dyDescent="0.25">
      <c r="A23" s="3">
        <f t="shared" si="4"/>
        <v>15</v>
      </c>
    </row>
    <row r="24" spans="1:15" x14ac:dyDescent="0.25">
      <c r="A24" s="3">
        <f t="shared" ref="A24:A34" si="20">A23+1</f>
        <v>16</v>
      </c>
      <c r="B24" s="31" t="s">
        <v>7</v>
      </c>
      <c r="C24" s="61"/>
      <c r="D24" s="31"/>
    </row>
    <row r="25" spans="1:15" x14ac:dyDescent="0.25">
      <c r="A25" s="3">
        <f t="shared" si="20"/>
        <v>17</v>
      </c>
      <c r="B25" s="2" t="str">
        <f>'Billing Detail'!D11</f>
        <v xml:space="preserve">    FAC</v>
      </c>
      <c r="D25" s="35">
        <f>'Billing Detail'!G139</f>
        <v>6523145</v>
      </c>
      <c r="E25" s="35">
        <f>'Billing Detail'!I139</f>
        <v>-691429.05241</v>
      </c>
      <c r="F25" s="44"/>
      <c r="G25" s="45"/>
      <c r="H25" s="45"/>
      <c r="I25" s="45"/>
      <c r="J25" s="35">
        <f>'Billing Detail'!M139</f>
        <v>-691429.05241</v>
      </c>
      <c r="K25" s="46"/>
      <c r="L25" s="46"/>
      <c r="M25" s="45"/>
      <c r="N25" s="45"/>
    </row>
    <row r="26" spans="1:15" x14ac:dyDescent="0.25">
      <c r="A26" s="3">
        <f t="shared" si="20"/>
        <v>18</v>
      </c>
      <c r="B26" s="2" t="str">
        <f>'Billing Detail'!D12</f>
        <v xml:space="preserve">    ES</v>
      </c>
      <c r="D26" s="35">
        <f>'Billing Detail'!G140</f>
        <v>6862333</v>
      </c>
      <c r="E26" s="35">
        <f>'Billing Detail'!I140</f>
        <v>6862333</v>
      </c>
      <c r="F26" s="45"/>
      <c r="G26" s="45"/>
      <c r="H26" s="45"/>
      <c r="I26" s="45"/>
      <c r="J26" s="35">
        <f>'Billing Detail'!M140</f>
        <v>6862333</v>
      </c>
      <c r="K26" s="46"/>
      <c r="L26" s="46"/>
      <c r="M26" s="45"/>
      <c r="N26" s="45"/>
    </row>
    <row r="27" spans="1:15" x14ac:dyDescent="0.25">
      <c r="A27" s="3">
        <f t="shared" si="20"/>
        <v>19</v>
      </c>
      <c r="B27" s="2" t="str">
        <f>'Billing Detail'!D13</f>
        <v xml:space="preserve">    Prepay Fee</v>
      </c>
      <c r="D27" s="35">
        <f>'Billing Detail'!G141</f>
        <v>57145.799999999996</v>
      </c>
      <c r="E27" s="35">
        <f>'Billing Detail'!I141</f>
        <v>57145.799999999996</v>
      </c>
      <c r="F27" s="45"/>
      <c r="G27" s="45"/>
      <c r="H27" s="45"/>
      <c r="I27" s="45"/>
      <c r="J27" s="35">
        <f>'Billing Detail'!M141</f>
        <v>57145.799999999996</v>
      </c>
      <c r="K27" s="46"/>
      <c r="L27" s="46"/>
      <c r="M27" s="45"/>
      <c r="N27" s="45"/>
    </row>
    <row r="28" spans="1:15" x14ac:dyDescent="0.25">
      <c r="A28" s="3">
        <f t="shared" si="20"/>
        <v>20</v>
      </c>
      <c r="B28" s="2" t="str">
        <f>'Billing Detail'!D14</f>
        <v xml:space="preserve">    Other</v>
      </c>
      <c r="D28" s="35">
        <f>'Billing Detail'!G142</f>
        <v>0</v>
      </c>
      <c r="E28" s="35">
        <f>'Billing Detail'!I142</f>
        <v>0</v>
      </c>
      <c r="F28" s="45"/>
      <c r="G28" s="45"/>
      <c r="H28" s="45"/>
      <c r="I28" s="45"/>
      <c r="J28" s="35">
        <f>'Billing Detail'!M142</f>
        <v>0</v>
      </c>
      <c r="K28" s="46"/>
      <c r="L28" s="46"/>
      <c r="M28" s="45"/>
      <c r="N28" s="54"/>
    </row>
    <row r="29" spans="1:15" x14ac:dyDescent="0.25">
      <c r="A29" s="3">
        <f t="shared" si="20"/>
        <v>21</v>
      </c>
      <c r="B29" s="37" t="s">
        <v>8</v>
      </c>
      <c r="C29" s="62"/>
      <c r="D29" s="38">
        <f>SUM(D25:D28)</f>
        <v>13442623.800000001</v>
      </c>
      <c r="E29" s="38">
        <f>SUM(E25:E28)</f>
        <v>6228049.7475899998</v>
      </c>
      <c r="F29" s="47"/>
      <c r="G29" s="47"/>
      <c r="H29" s="47"/>
      <c r="I29" s="47"/>
      <c r="J29" s="38">
        <f>SUM(J25:J28)</f>
        <v>6228049.7475899998</v>
      </c>
      <c r="K29" s="48"/>
      <c r="L29" s="48"/>
      <c r="M29" s="47"/>
      <c r="N29" s="45"/>
    </row>
    <row r="30" spans="1:15" x14ac:dyDescent="0.25">
      <c r="A30" s="3">
        <f t="shared" si="20"/>
        <v>22</v>
      </c>
    </row>
    <row r="31" spans="1:15" ht="18" customHeight="1" thickBot="1" x14ac:dyDescent="0.3">
      <c r="A31" s="3">
        <f t="shared" si="20"/>
        <v>23</v>
      </c>
      <c r="B31" s="49" t="s">
        <v>9</v>
      </c>
      <c r="C31" s="64"/>
      <c r="D31" s="50">
        <f>D22+D29</f>
        <v>70807242.816400006</v>
      </c>
      <c r="E31" s="50">
        <f>E22+E29</f>
        <v>70855892.596399993</v>
      </c>
      <c r="F31" s="51"/>
      <c r="G31" s="51"/>
      <c r="H31" s="51"/>
      <c r="I31" s="51"/>
      <c r="J31" s="50">
        <f>J22+J29</f>
        <v>74963454.943540022</v>
      </c>
      <c r="K31" s="52"/>
      <c r="L31" s="51">
        <f t="shared" ref="L31" si="21">J31-E31</f>
        <v>4107562.3471400291</v>
      </c>
      <c r="M31" s="49"/>
      <c r="N31" s="53">
        <f>L31/E31</f>
        <v>5.7970652780242077E-2</v>
      </c>
    </row>
    <row r="32" spans="1:15" ht="18" customHeight="1" thickTop="1" x14ac:dyDescent="0.25">
      <c r="A32" s="3">
        <f t="shared" si="20"/>
        <v>24</v>
      </c>
      <c r="B32" s="2" t="s">
        <v>10</v>
      </c>
      <c r="D32" s="41">
        <v>68158031</v>
      </c>
      <c r="L32" s="41">
        <f>L3</f>
        <v>4108695.9650911316</v>
      </c>
    </row>
    <row r="33" spans="1:12" ht="15" customHeight="1" x14ac:dyDescent="0.25">
      <c r="A33" s="3">
        <f t="shared" si="20"/>
        <v>25</v>
      </c>
      <c r="B33" s="37" t="s">
        <v>37</v>
      </c>
      <c r="C33" s="62"/>
      <c r="D33" s="38">
        <f>D31-D32</f>
        <v>2649211.8164000064</v>
      </c>
      <c r="E33" s="37"/>
      <c r="F33" s="37"/>
      <c r="G33" s="37"/>
      <c r="H33" s="37"/>
      <c r="I33" s="37"/>
      <c r="J33" s="37"/>
      <c r="K33" s="37"/>
      <c r="L33" s="38">
        <f>L31-L32</f>
        <v>-1133.6179511025548</v>
      </c>
    </row>
    <row r="34" spans="1:12" ht="15" customHeight="1" x14ac:dyDescent="0.25">
      <c r="A34" s="3">
        <f t="shared" si="20"/>
        <v>26</v>
      </c>
      <c r="B34" s="2" t="s">
        <v>37</v>
      </c>
      <c r="D34" s="34">
        <f>D33/D32</f>
        <v>3.8868667089282646E-2</v>
      </c>
      <c r="L34" s="34">
        <f>L33/L32</f>
        <v>-2.759069935410543E-4</v>
      </c>
    </row>
    <row r="35" spans="1:12" x14ac:dyDescent="0.25">
      <c r="A35" s="3"/>
    </row>
  </sheetData>
  <printOptions horizontalCentered="1"/>
  <pageMargins left="0.7" right="0.7" top="0.75" bottom="0.75" header="0.3" footer="0.3"/>
  <pageSetup scale="63" orientation="landscape" r:id="rId1"/>
  <headerFooter>
    <oddHeader>&amp;R&amp;"Arial,Bold"&amp;10Exhibit 4
 Page &amp;P of &amp;N</oddHeader>
  </headerFooter>
  <ignoredErrors>
    <ignoredError sqref="J17 F17 J10 G10 G16 J11:J12 G11: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T17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C25" sqref="C25"/>
      <selection pane="topRight" activeCell="C25" sqref="C25"/>
      <selection pane="bottomLeft" activeCell="C25" sqref="C25"/>
      <selection pane="bottomRight" activeCell="G16" sqref="G16"/>
    </sheetView>
  </sheetViews>
  <sheetFormatPr defaultColWidth="8.88671875" defaultRowHeight="13.2" x14ac:dyDescent="0.25"/>
  <cols>
    <col min="1" max="1" width="7.44140625" style="5" customWidth="1"/>
    <col min="2" max="2" width="43.6640625" style="2" customWidth="1"/>
    <col min="3" max="3" width="6.6640625" style="13" customWidth="1"/>
    <col min="4" max="4" width="30.44140625" style="2" customWidth="1"/>
    <col min="5" max="5" width="15.44140625" style="83" bestFit="1" customWidth="1"/>
    <col min="6" max="6" width="11" style="83" customWidth="1"/>
    <col min="7" max="7" width="14.5546875" style="83" customWidth="1"/>
    <col min="8" max="8" width="17.33203125" style="2" bestFit="1" customWidth="1"/>
    <col min="9" max="9" width="15.33203125" style="2" customWidth="1"/>
    <col min="10" max="10" width="8.5546875" style="2" bestFit="1" customWidth="1"/>
    <col min="11" max="11" width="15.33203125" style="2" customWidth="1"/>
    <col min="12" max="12" width="11.109375" style="2" bestFit="1" customWidth="1"/>
    <col min="13" max="13" width="16.109375" style="2" customWidth="1"/>
    <col min="14" max="14" width="14.44140625" style="2" bestFit="1" customWidth="1"/>
    <col min="15" max="15" width="13" style="2" customWidth="1"/>
    <col min="16" max="16" width="10.33203125" style="2" customWidth="1"/>
    <col min="17" max="17" width="9.44140625" style="2" bestFit="1" customWidth="1"/>
    <col min="18" max="18" width="16" style="2" bestFit="1" customWidth="1"/>
    <col min="19" max="19" width="12.6640625" style="2" customWidth="1"/>
    <col min="20" max="20" width="14.109375" style="2" customWidth="1"/>
    <col min="21" max="21" width="8.88671875" style="2" customWidth="1"/>
    <col min="22" max="16384" width="8.88671875" style="2"/>
  </cols>
  <sheetData>
    <row r="1" spans="1:20" x14ac:dyDescent="0.25">
      <c r="A1" s="27" t="str">
        <f>Summary!A1</f>
        <v>INTER-COUNTY ENERGY COOPERATIVE</v>
      </c>
      <c r="F1" s="88"/>
      <c r="G1" s="88"/>
    </row>
    <row r="2" spans="1:20" ht="14.4" customHeight="1" x14ac:dyDescent="0.25">
      <c r="A2" s="27" t="str">
        <f>Summary!A2</f>
        <v>Billing Analysis for Pass-Through Rate Increase</v>
      </c>
      <c r="F2" s="98"/>
      <c r="G2" s="98"/>
      <c r="H2" s="3"/>
      <c r="P2" s="122"/>
    </row>
    <row r="5" spans="1:20" ht="38.4" customHeight="1" x14ac:dyDescent="0.25">
      <c r="A5" s="15" t="s">
        <v>1</v>
      </c>
      <c r="B5" s="15" t="s">
        <v>12</v>
      </c>
      <c r="C5" s="8" t="s">
        <v>11</v>
      </c>
      <c r="D5" s="15" t="s">
        <v>13</v>
      </c>
      <c r="E5" s="10" t="s">
        <v>14</v>
      </c>
      <c r="F5" s="141" t="s">
        <v>101</v>
      </c>
      <c r="G5" s="141" t="s">
        <v>102</v>
      </c>
      <c r="H5" s="10" t="s">
        <v>23</v>
      </c>
      <c r="I5" s="10" t="s">
        <v>24</v>
      </c>
      <c r="J5" s="10" t="s">
        <v>50</v>
      </c>
      <c r="K5" s="10" t="s">
        <v>10</v>
      </c>
      <c r="L5" s="10" t="s">
        <v>21</v>
      </c>
      <c r="M5" s="10" t="s">
        <v>4</v>
      </c>
      <c r="N5" s="10" t="s">
        <v>15</v>
      </c>
      <c r="O5" s="8" t="s">
        <v>16</v>
      </c>
      <c r="P5" s="10" t="s">
        <v>22</v>
      </c>
      <c r="Q5" s="10" t="s">
        <v>25</v>
      </c>
      <c r="R5" s="10" t="s">
        <v>38</v>
      </c>
      <c r="T5" s="10" t="s">
        <v>34</v>
      </c>
    </row>
    <row r="6" spans="1:20" ht="30.6" customHeight="1" thickBot="1" x14ac:dyDescent="0.3">
      <c r="A6" s="28"/>
      <c r="B6" s="20"/>
      <c r="C6" s="21"/>
      <c r="D6" s="20"/>
      <c r="E6" s="113"/>
      <c r="F6" s="95"/>
      <c r="G6" s="95"/>
      <c r="H6" s="113"/>
      <c r="I6" s="113"/>
      <c r="J6" s="113"/>
      <c r="K6" s="113"/>
      <c r="L6" s="113"/>
      <c r="M6" s="113"/>
      <c r="N6" s="113"/>
      <c r="O6" s="21"/>
      <c r="P6" s="113"/>
      <c r="Q6" s="113"/>
      <c r="R6" s="113"/>
    </row>
    <row r="7" spans="1:20" x14ac:dyDescent="0.25">
      <c r="A7" s="29">
        <v>1</v>
      </c>
      <c r="B7" s="137" t="s">
        <v>72</v>
      </c>
      <c r="C7" s="23">
        <v>1</v>
      </c>
      <c r="D7" s="22"/>
      <c r="E7" s="22"/>
      <c r="F7" s="96"/>
      <c r="G7" s="96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0" x14ac:dyDescent="0.25">
      <c r="A8" s="29">
        <f>A7+1</f>
        <v>2</v>
      </c>
      <c r="B8" s="138"/>
      <c r="C8" s="2"/>
      <c r="D8" s="2" t="s">
        <v>17</v>
      </c>
      <c r="E8" s="114">
        <f>314963</f>
        <v>314963</v>
      </c>
      <c r="F8" s="88">
        <v>15.67</v>
      </c>
      <c r="G8" s="87">
        <f>F8*E8</f>
        <v>4935470.21</v>
      </c>
      <c r="H8" s="115">
        <v>15.67</v>
      </c>
      <c r="I8" s="123">
        <f>H8*E8</f>
        <v>4935470.21</v>
      </c>
      <c r="J8" s="124">
        <f>I8/I10</f>
        <v>0.11878708067062058</v>
      </c>
      <c r="K8" s="124"/>
      <c r="L8" s="115">
        <f>ROUND(H8*S10,2)</f>
        <v>16.46</v>
      </c>
      <c r="M8" s="123">
        <f>L8*E8</f>
        <v>5184290.9800000004</v>
      </c>
      <c r="N8" s="123">
        <f t="shared" ref="N8:N13" si="0">M8-I8</f>
        <v>248820.77000000048</v>
      </c>
      <c r="O8" s="124">
        <f>IF(I8=0,0,N8/I8)</f>
        <v>5.0414805360561678E-2</v>
      </c>
      <c r="P8" s="124">
        <f>M8/M10</f>
        <v>0.11877217320057482</v>
      </c>
      <c r="Q8" s="125">
        <f>P8-J8</f>
        <v>-1.4907470045760762E-5</v>
      </c>
      <c r="R8" s="125"/>
      <c r="T8" s="4">
        <f>L8/H8-1</f>
        <v>5.0414805360561532E-2</v>
      </c>
    </row>
    <row r="9" spans="1:20" x14ac:dyDescent="0.25">
      <c r="A9" s="29">
        <f t="shared" ref="A9:A72" si="1">A8+1</f>
        <v>3</v>
      </c>
      <c r="B9" s="30"/>
      <c r="D9" s="2" t="s">
        <v>47</v>
      </c>
      <c r="E9" s="114">
        <v>341574869</v>
      </c>
      <c r="F9" s="142">
        <v>9.5560000000000006E-2</v>
      </c>
      <c r="G9" s="87">
        <f t="shared" ref="G9" si="2">F9*E9</f>
        <v>32640894.481640004</v>
      </c>
      <c r="H9" s="116">
        <v>0.10718999999999999</v>
      </c>
      <c r="I9" s="123">
        <f t="shared" ref="I9" si="3">H9*E9</f>
        <v>36613410.208109997</v>
      </c>
      <c r="J9" s="124">
        <f>I9/I10</f>
        <v>0.8812129193293794</v>
      </c>
      <c r="K9" s="124"/>
      <c r="L9" s="118">
        <f>ROUND(H9*S10,5)</f>
        <v>0.11261</v>
      </c>
      <c r="M9" s="123">
        <f t="shared" ref="M9" si="4">L9*E9</f>
        <v>38464745.998089999</v>
      </c>
      <c r="N9" s="123">
        <f t="shared" si="0"/>
        <v>1851335.7899800017</v>
      </c>
      <c r="O9" s="124">
        <f t="shared" ref="O9" si="5">IF(I9=0,0,N9/I9)</f>
        <v>5.0564418322604769E-2</v>
      </c>
      <c r="P9" s="124">
        <f>M9/M10</f>
        <v>0.88122782679942513</v>
      </c>
      <c r="Q9" s="125">
        <f t="shared" ref="Q9:Q10" si="6">P9-J9</f>
        <v>1.4907470045733007E-5</v>
      </c>
      <c r="R9" s="125"/>
      <c r="T9" s="4">
        <f>L9/H9-1</f>
        <v>5.0564418322604832E-2</v>
      </c>
    </row>
    <row r="10" spans="1:20" s="5" customFormat="1" ht="20.399999999999999" customHeight="1" x14ac:dyDescent="0.3">
      <c r="A10" s="29">
        <f t="shared" si="1"/>
        <v>4</v>
      </c>
      <c r="B10" s="104"/>
      <c r="C10" s="14"/>
      <c r="D10" s="16" t="s">
        <v>6</v>
      </c>
      <c r="E10" s="16"/>
      <c r="F10" s="89"/>
      <c r="G10" s="17">
        <f>SUM(G8:G9)</f>
        <v>37576364.691640005</v>
      </c>
      <c r="H10" s="16"/>
      <c r="I10" s="126">
        <f>SUM(I8:I9)</f>
        <v>41548880.418109998</v>
      </c>
      <c r="J10" s="127">
        <f>SUM(J8:J9)</f>
        <v>1</v>
      </c>
      <c r="K10" s="128">
        <f>I10+Summary!I10</f>
        <v>43649680.08811</v>
      </c>
      <c r="L10" s="16"/>
      <c r="M10" s="126">
        <f>SUM(M8:M9)</f>
        <v>43649036.978090003</v>
      </c>
      <c r="N10" s="126">
        <f>SUM(N8:N9)</f>
        <v>2100156.5599800022</v>
      </c>
      <c r="O10" s="127">
        <f t="shared" ref="O10" si="7">N10/I10</f>
        <v>5.0546646235613189E-2</v>
      </c>
      <c r="P10" s="127">
        <f>SUM(P8:P9)</f>
        <v>1</v>
      </c>
      <c r="Q10" s="129">
        <f t="shared" si="6"/>
        <v>0</v>
      </c>
      <c r="R10" s="130">
        <f>M10-K10</f>
        <v>-643.11001999676228</v>
      </c>
      <c r="S10" s="5">
        <f>K10/I10</f>
        <v>1.0505621246315056</v>
      </c>
    </row>
    <row r="11" spans="1:20" x14ac:dyDescent="0.25">
      <c r="A11" s="29">
        <f t="shared" si="1"/>
        <v>5</v>
      </c>
      <c r="D11" s="2" t="s">
        <v>26</v>
      </c>
      <c r="E11" s="2"/>
      <c r="F11" s="145"/>
      <c r="G11" s="87">
        <v>4185328</v>
      </c>
      <c r="I11" s="36">
        <f>G11-($H$173*E9)</f>
        <v>212812.27352999989</v>
      </c>
      <c r="K11" s="36"/>
      <c r="M11" s="123">
        <f>I11</f>
        <v>212812.27352999989</v>
      </c>
      <c r="N11" s="123">
        <f t="shared" si="0"/>
        <v>0</v>
      </c>
      <c r="O11" s="115">
        <v>0</v>
      </c>
      <c r="R11" s="131"/>
    </row>
    <row r="12" spans="1:20" x14ac:dyDescent="0.25">
      <c r="A12" s="29">
        <f t="shared" si="1"/>
        <v>6</v>
      </c>
      <c r="D12" s="2" t="s">
        <v>27</v>
      </c>
      <c r="E12" s="2"/>
      <c r="F12" s="145"/>
      <c r="G12" s="87">
        <v>4503439</v>
      </c>
      <c r="I12" s="36">
        <f>G12</f>
        <v>4503439</v>
      </c>
      <c r="M12" s="123">
        <f t="shared" ref="M12:M14" si="8">I12</f>
        <v>4503439</v>
      </c>
      <c r="N12" s="123">
        <f t="shared" si="0"/>
        <v>0</v>
      </c>
      <c r="O12" s="115">
        <v>0</v>
      </c>
    </row>
    <row r="13" spans="1:20" x14ac:dyDescent="0.25">
      <c r="A13" s="29">
        <f t="shared" si="1"/>
        <v>7</v>
      </c>
      <c r="D13" s="2" t="s">
        <v>80</v>
      </c>
      <c r="E13" s="2">
        <v>6969</v>
      </c>
      <c r="F13" s="88">
        <v>8.1999999999999993</v>
      </c>
      <c r="G13" s="87">
        <f>F13*E13</f>
        <v>57145.799999999996</v>
      </c>
      <c r="H13" s="11">
        <v>8.1999999999999993</v>
      </c>
      <c r="I13" s="36">
        <f>H13*E13</f>
        <v>57145.799999999996</v>
      </c>
      <c r="M13" s="123">
        <f t="shared" si="8"/>
        <v>57145.799999999996</v>
      </c>
      <c r="N13" s="123">
        <f t="shared" si="0"/>
        <v>0</v>
      </c>
      <c r="O13" s="115">
        <v>0</v>
      </c>
    </row>
    <row r="14" spans="1:20" x14ac:dyDescent="0.25">
      <c r="A14" s="29">
        <f t="shared" si="1"/>
        <v>8</v>
      </c>
      <c r="D14" s="2" t="s">
        <v>39</v>
      </c>
      <c r="E14" s="2"/>
      <c r="G14" s="87">
        <v>0</v>
      </c>
      <c r="I14" s="36">
        <f>G14</f>
        <v>0</v>
      </c>
      <c r="M14" s="123">
        <f t="shared" si="8"/>
        <v>0</v>
      </c>
      <c r="N14" s="123"/>
      <c r="O14" s="115">
        <v>0</v>
      </c>
    </row>
    <row r="15" spans="1:20" x14ac:dyDescent="0.25">
      <c r="A15" s="29">
        <f t="shared" si="1"/>
        <v>9</v>
      </c>
      <c r="D15" s="12" t="s">
        <v>8</v>
      </c>
      <c r="E15" s="12"/>
      <c r="F15" s="91"/>
      <c r="G15" s="90">
        <f>SUM(G11:G14)</f>
        <v>8745912.8000000007</v>
      </c>
      <c r="H15" s="12"/>
      <c r="I15" s="132">
        <f>SUM(I11:I14)</f>
        <v>4773397.0735299997</v>
      </c>
      <c r="J15" s="12"/>
      <c r="K15" s="12"/>
      <c r="L15" s="12"/>
      <c r="M15" s="132">
        <f>SUM(M11:M14)</f>
        <v>4773397.0735299997</v>
      </c>
      <c r="N15" s="132">
        <f>M15-I15</f>
        <v>0</v>
      </c>
      <c r="O15" s="133">
        <v>0</v>
      </c>
    </row>
    <row r="16" spans="1:20" s="5" customFormat="1" ht="26.4" customHeight="1" thickBot="1" x14ac:dyDescent="0.3">
      <c r="A16" s="29">
        <f t="shared" si="1"/>
        <v>10</v>
      </c>
      <c r="C16" s="14"/>
      <c r="D16" s="6" t="s">
        <v>19</v>
      </c>
      <c r="E16" s="6"/>
      <c r="F16" s="93"/>
      <c r="G16" s="92">
        <f>G10+G15</f>
        <v>46322277.491640002</v>
      </c>
      <c r="H16" s="6"/>
      <c r="I16" s="120">
        <f>I15+I10</f>
        <v>46322277.491640002</v>
      </c>
      <c r="J16" s="6"/>
      <c r="K16" s="6"/>
      <c r="L16" s="6"/>
      <c r="M16" s="134">
        <f>M15+M10</f>
        <v>48422434.051620007</v>
      </c>
      <c r="N16" s="134">
        <f>M16-I16</f>
        <v>2100156.559980005</v>
      </c>
      <c r="O16" s="135">
        <f>N16/I16</f>
        <v>4.5337938324794803E-2</v>
      </c>
      <c r="P16" s="2"/>
      <c r="Q16" s="2"/>
      <c r="R16" s="2"/>
    </row>
    <row r="17" spans="1:20" ht="13.8" thickTop="1" x14ac:dyDescent="0.25">
      <c r="A17" s="29">
        <f t="shared" si="1"/>
        <v>11</v>
      </c>
      <c r="D17" s="2" t="s">
        <v>18</v>
      </c>
      <c r="E17" s="115">
        <f>E9/E8</f>
        <v>1084.4920482723367</v>
      </c>
      <c r="G17" s="100">
        <f>G16/E8</f>
        <v>147.07212431822151</v>
      </c>
      <c r="I17" s="136">
        <f>I16/E8</f>
        <v>147.07212431822151</v>
      </c>
      <c r="M17" s="136">
        <f>M16/E8</f>
        <v>153.74007121985758</v>
      </c>
      <c r="N17" s="136">
        <f>M17-I17</f>
        <v>6.6679469016360713</v>
      </c>
      <c r="O17" s="124">
        <f>N17/I17</f>
        <v>4.5337938324794741E-2</v>
      </c>
    </row>
    <row r="18" spans="1:20" ht="13.8" thickBot="1" x14ac:dyDescent="0.3">
      <c r="A18" s="29">
        <f t="shared" si="1"/>
        <v>12</v>
      </c>
      <c r="E18" s="2"/>
    </row>
    <row r="19" spans="1:20" x14ac:dyDescent="0.25">
      <c r="A19" s="29">
        <f t="shared" si="1"/>
        <v>13</v>
      </c>
      <c r="B19" s="137" t="s">
        <v>73</v>
      </c>
      <c r="C19" s="23">
        <v>8</v>
      </c>
      <c r="D19" s="22"/>
      <c r="E19" s="22"/>
      <c r="F19" s="96"/>
      <c r="G19" s="96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20" x14ac:dyDescent="0.25">
      <c r="A20" s="29">
        <f t="shared" si="1"/>
        <v>14</v>
      </c>
      <c r="B20" s="138"/>
      <c r="C20" s="2"/>
      <c r="D20" s="2" t="s">
        <v>17</v>
      </c>
      <c r="E20" s="114">
        <v>637</v>
      </c>
      <c r="F20" s="88">
        <f>F8</f>
        <v>15.67</v>
      </c>
      <c r="G20" s="87">
        <f>F20*E20</f>
        <v>9981.7899999999991</v>
      </c>
      <c r="H20" s="115">
        <f>H8</f>
        <v>15.67</v>
      </c>
      <c r="I20" s="123">
        <f>H20*E20</f>
        <v>9981.7899999999991</v>
      </c>
      <c r="J20" s="124">
        <f>I20/I22</f>
        <v>0.21391446396033861</v>
      </c>
      <c r="K20" s="124"/>
      <c r="L20" s="115">
        <f>L8</f>
        <v>16.46</v>
      </c>
      <c r="M20" s="123">
        <f>L20*E20</f>
        <v>10485.02</v>
      </c>
      <c r="N20" s="123">
        <f>M20-I20</f>
        <v>503.23000000000138</v>
      </c>
      <c r="O20" s="124">
        <f>IF(I20=0,0,N20/I20)</f>
        <v>5.0414805360561726E-2</v>
      </c>
      <c r="P20" s="124">
        <f>M20/M$22</f>
        <v>0.2138905159343823</v>
      </c>
      <c r="Q20" s="125">
        <f>P20-J20</f>
        <v>-2.3948025956316288E-5</v>
      </c>
      <c r="R20" s="125"/>
      <c r="T20" s="4">
        <f>L20/H20-1</f>
        <v>5.0414805360561532E-2</v>
      </c>
    </row>
    <row r="21" spans="1:20" x14ac:dyDescent="0.25">
      <c r="A21" s="29">
        <f t="shared" si="1"/>
        <v>15</v>
      </c>
      <c r="D21" s="2" t="s">
        <v>47</v>
      </c>
      <c r="E21" s="114">
        <v>342203</v>
      </c>
      <c r="F21" s="98">
        <f>F9</f>
        <v>9.5560000000000006E-2</v>
      </c>
      <c r="G21" s="87">
        <f t="shared" ref="G21" si="9">F21*E21</f>
        <v>32700.918680000002</v>
      </c>
      <c r="H21" s="117">
        <f>H9</f>
        <v>0.10718999999999999</v>
      </c>
      <c r="I21" s="123">
        <f t="shared" ref="I21" si="10">H21*E21</f>
        <v>36680.739569999998</v>
      </c>
      <c r="J21" s="124">
        <f>I21/I22</f>
        <v>0.78608553603966136</v>
      </c>
      <c r="K21" s="124"/>
      <c r="L21" s="118">
        <f>L9</f>
        <v>0.11261</v>
      </c>
      <c r="M21" s="123">
        <f t="shared" ref="M21" si="11">L21*E21</f>
        <v>38535.479830000004</v>
      </c>
      <c r="N21" s="123">
        <f t="shared" ref="N21" si="12">M21-I21</f>
        <v>1854.7402600000059</v>
      </c>
      <c r="O21" s="124">
        <f t="shared" ref="O21" si="13">IF(I21=0,0,N21/I21)</f>
        <v>5.0564418322604887E-2</v>
      </c>
      <c r="P21" s="124">
        <f>M21/M$22</f>
        <v>0.78610948406561776</v>
      </c>
      <c r="Q21" s="125">
        <f t="shared" ref="Q21" si="14">P21-J21</f>
        <v>2.3948025956399555E-5</v>
      </c>
      <c r="R21" s="125"/>
      <c r="T21" s="4">
        <f>L21/H21-1</f>
        <v>5.0564418322604832E-2</v>
      </c>
    </row>
    <row r="22" spans="1:20" s="5" customFormat="1" ht="20.399999999999999" customHeight="1" x14ac:dyDescent="0.3">
      <c r="A22" s="29">
        <f t="shared" si="1"/>
        <v>16</v>
      </c>
      <c r="B22" s="104"/>
      <c r="C22" s="14"/>
      <c r="D22" s="16" t="s">
        <v>6</v>
      </c>
      <c r="E22" s="16"/>
      <c r="F22" s="89"/>
      <c r="G22" s="17">
        <f>SUM(G20:G21)</f>
        <v>42682.708680000003</v>
      </c>
      <c r="H22" s="16"/>
      <c r="I22" s="126">
        <f>SUM(I20:I21)</f>
        <v>46662.529569999999</v>
      </c>
      <c r="J22" s="127">
        <f>SUM(J20:J21)</f>
        <v>1</v>
      </c>
      <c r="K22" s="128">
        <f>I22+Summary!I11</f>
        <v>49021.889569999999</v>
      </c>
      <c r="L22" s="16"/>
      <c r="M22" s="126">
        <f>SUM(M20:M21)</f>
        <v>49020.499830000001</v>
      </c>
      <c r="N22" s="126">
        <f>SUM(N20:N21)</f>
        <v>2357.9702600000073</v>
      </c>
      <c r="O22" s="127">
        <f t="shared" ref="O22" si="15">N22/I22</f>
        <v>5.05324139460279E-2</v>
      </c>
      <c r="P22" s="127">
        <f>SUM(P20:P21)</f>
        <v>1</v>
      </c>
      <c r="Q22" s="129">
        <f t="shared" ref="Q22" si="16">P22-J22</f>
        <v>0</v>
      </c>
      <c r="R22" s="130">
        <f>M22-K22</f>
        <v>-1.3897399999987101</v>
      </c>
      <c r="S22" s="5">
        <f>K22/I22</f>
        <v>1.0505621967291903</v>
      </c>
    </row>
    <row r="23" spans="1:20" x14ac:dyDescent="0.25">
      <c r="A23" s="29">
        <f t="shared" si="1"/>
        <v>17</v>
      </c>
      <c r="D23" s="2" t="s">
        <v>26</v>
      </c>
      <c r="E23" s="2"/>
      <c r="G23" s="87">
        <v>3844</v>
      </c>
      <c r="I23" s="36">
        <f>G23-($H$173*E21)</f>
        <v>-135.82088999999996</v>
      </c>
      <c r="K23" s="36"/>
      <c r="M23" s="123">
        <f>I23</f>
        <v>-135.82088999999996</v>
      </c>
      <c r="N23" s="123">
        <f t="shared" ref="N23:N29" si="17">M23-I23</f>
        <v>0</v>
      </c>
      <c r="O23" s="115">
        <v>0</v>
      </c>
    </row>
    <row r="24" spans="1:20" x14ac:dyDescent="0.25">
      <c r="A24" s="29">
        <f t="shared" si="1"/>
        <v>18</v>
      </c>
      <c r="D24" s="2" t="s">
        <v>27</v>
      </c>
      <c r="E24" s="2"/>
      <c r="G24" s="87">
        <v>4958</v>
      </c>
      <c r="I24" s="36">
        <f t="shared" ref="I24:I26" si="18">G24</f>
        <v>4958</v>
      </c>
      <c r="M24" s="123">
        <f t="shared" ref="M24:M26" si="19">I24</f>
        <v>4958</v>
      </c>
      <c r="N24" s="123">
        <f t="shared" si="17"/>
        <v>0</v>
      </c>
      <c r="O24" s="115">
        <v>0</v>
      </c>
    </row>
    <row r="25" spans="1:20" x14ac:dyDescent="0.25">
      <c r="A25" s="29">
        <f t="shared" si="1"/>
        <v>19</v>
      </c>
      <c r="D25" s="2" t="s">
        <v>29</v>
      </c>
      <c r="E25" s="2"/>
      <c r="G25" s="87">
        <v>0</v>
      </c>
      <c r="I25" s="36">
        <f t="shared" si="18"/>
        <v>0</v>
      </c>
      <c r="M25" s="123">
        <f t="shared" si="19"/>
        <v>0</v>
      </c>
      <c r="N25" s="123">
        <f t="shared" si="17"/>
        <v>0</v>
      </c>
      <c r="O25" s="115">
        <v>0</v>
      </c>
    </row>
    <row r="26" spans="1:20" x14ac:dyDescent="0.25">
      <c r="A26" s="29">
        <f t="shared" si="1"/>
        <v>20</v>
      </c>
      <c r="D26" s="2" t="s">
        <v>39</v>
      </c>
      <c r="E26" s="2"/>
      <c r="G26" s="87">
        <v>0</v>
      </c>
      <c r="I26" s="36">
        <f t="shared" si="18"/>
        <v>0</v>
      </c>
      <c r="M26" s="123">
        <f t="shared" si="19"/>
        <v>0</v>
      </c>
      <c r="N26" s="123"/>
      <c r="O26" s="115"/>
    </row>
    <row r="27" spans="1:20" x14ac:dyDescent="0.25">
      <c r="A27" s="29">
        <f t="shared" si="1"/>
        <v>21</v>
      </c>
      <c r="D27" s="12" t="s">
        <v>8</v>
      </c>
      <c r="E27" s="12"/>
      <c r="F27" s="91"/>
      <c r="G27" s="90">
        <f>SUM(G23:G26)</f>
        <v>8802</v>
      </c>
      <c r="H27" s="12"/>
      <c r="I27" s="132">
        <f>SUM(I23:I26)</f>
        <v>4822.17911</v>
      </c>
      <c r="J27" s="12"/>
      <c r="K27" s="12"/>
      <c r="L27" s="12"/>
      <c r="M27" s="132">
        <f>SUM(M23:M26)</f>
        <v>4822.17911</v>
      </c>
      <c r="N27" s="132">
        <f t="shared" si="17"/>
        <v>0</v>
      </c>
      <c r="O27" s="133">
        <f t="shared" ref="O27" si="20">N27-J27</f>
        <v>0</v>
      </c>
    </row>
    <row r="28" spans="1:20" s="5" customFormat="1" ht="26.4" customHeight="1" thickBot="1" x14ac:dyDescent="0.3">
      <c r="A28" s="29">
        <f t="shared" si="1"/>
        <v>22</v>
      </c>
      <c r="C28" s="14"/>
      <c r="D28" s="6" t="s">
        <v>19</v>
      </c>
      <c r="E28" s="6"/>
      <c r="F28" s="93"/>
      <c r="G28" s="92">
        <f>G22+G27</f>
        <v>51484.708680000003</v>
      </c>
      <c r="H28" s="6"/>
      <c r="I28" s="120">
        <f>I27+I22</f>
        <v>51484.708679999996</v>
      </c>
      <c r="J28" s="6"/>
      <c r="K28" s="6"/>
      <c r="L28" s="6"/>
      <c r="M28" s="134">
        <f>M27+M22</f>
        <v>53842.678939999998</v>
      </c>
      <c r="N28" s="134">
        <f t="shared" si="17"/>
        <v>2357.9702600000019</v>
      </c>
      <c r="O28" s="135">
        <f>N28/I28</f>
        <v>4.5799429004363595E-2</v>
      </c>
      <c r="P28" s="2"/>
      <c r="Q28" s="2"/>
      <c r="R28" s="2"/>
    </row>
    <row r="29" spans="1:20" ht="13.8" thickTop="1" x14ac:dyDescent="0.25">
      <c r="A29" s="29">
        <f t="shared" si="1"/>
        <v>23</v>
      </c>
      <c r="D29" s="2" t="s">
        <v>18</v>
      </c>
      <c r="E29" s="115">
        <f>E21/E20</f>
        <v>537.21036106750387</v>
      </c>
      <c r="G29" s="100">
        <f>G28/E20</f>
        <v>80.82371849293564</v>
      </c>
      <c r="I29" s="136">
        <f>I28/E20</f>
        <v>80.823718492935626</v>
      </c>
      <c r="M29" s="136">
        <f>M28/E20</f>
        <v>84.525398649921499</v>
      </c>
      <c r="N29" s="136">
        <f t="shared" si="17"/>
        <v>3.7016801569858728</v>
      </c>
      <c r="O29" s="124">
        <f>N29/I29</f>
        <v>4.5799429004363582E-2</v>
      </c>
    </row>
    <row r="30" spans="1:20" ht="13.8" thickBot="1" x14ac:dyDescent="0.3">
      <c r="A30" s="29">
        <f t="shared" si="1"/>
        <v>24</v>
      </c>
      <c r="E30" s="2"/>
    </row>
    <row r="31" spans="1:20" x14ac:dyDescent="0.25">
      <c r="A31" s="29">
        <f t="shared" si="1"/>
        <v>25</v>
      </c>
      <c r="B31" s="137" t="s">
        <v>74</v>
      </c>
      <c r="C31" s="23" t="s">
        <v>82</v>
      </c>
      <c r="D31" s="22"/>
      <c r="E31" s="22"/>
      <c r="F31" s="96"/>
      <c r="G31" s="96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0" x14ac:dyDescent="0.25">
      <c r="A32" s="29">
        <f t="shared" si="1"/>
        <v>26</v>
      </c>
      <c r="B32" s="138"/>
      <c r="C32" s="2"/>
      <c r="D32" s="2" t="s">
        <v>17</v>
      </c>
      <c r="E32" s="114">
        <v>722</v>
      </c>
      <c r="F32" s="88">
        <v>15.67</v>
      </c>
      <c r="G32" s="87">
        <f>F32*E32</f>
        <v>11313.74</v>
      </c>
      <c r="H32" s="115">
        <f>H8</f>
        <v>15.67</v>
      </c>
      <c r="I32" s="123">
        <f>H32*E32</f>
        <v>11313.74</v>
      </c>
      <c r="J32" s="124">
        <f>I32/I34</f>
        <v>0.40268835900828348</v>
      </c>
      <c r="K32" s="124"/>
      <c r="L32" s="115">
        <f>L8</f>
        <v>16.46</v>
      </c>
      <c r="M32" s="123">
        <f>L32*E32</f>
        <v>11884.12</v>
      </c>
      <c r="N32" s="123">
        <f>M32-I32</f>
        <v>570.38000000000102</v>
      </c>
      <c r="O32" s="124">
        <f>IF(I32=0,0,N32/I32)</f>
        <v>5.0414805360561671E-2</v>
      </c>
      <c r="P32" s="124">
        <f>M32/M$34</f>
        <v>0.40264547944779605</v>
      </c>
      <c r="Q32" s="125">
        <f>P32-J32</f>
        <v>-4.2879560487429913E-5</v>
      </c>
      <c r="R32" s="125"/>
    </row>
    <row r="33" spans="1:20" x14ac:dyDescent="0.25">
      <c r="A33" s="29">
        <f t="shared" si="1"/>
        <v>27</v>
      </c>
      <c r="D33" s="2" t="s">
        <v>47</v>
      </c>
      <c r="E33" s="114">
        <f>219264+7793</f>
        <v>227057</v>
      </c>
      <c r="F33" s="142">
        <v>6.2280000000000002E-2</v>
      </c>
      <c r="G33" s="87">
        <f t="shared" ref="G33" si="21">F33*E33</f>
        <v>14141.10996</v>
      </c>
      <c r="H33" s="117">
        <v>7.3910000000000003E-2</v>
      </c>
      <c r="I33" s="123">
        <f t="shared" ref="I33" si="22">H33*E33</f>
        <v>16781.782869999999</v>
      </c>
      <c r="J33" s="124">
        <f>I33/I34</f>
        <v>0.59731164099171641</v>
      </c>
      <c r="K33" s="124"/>
      <c r="L33" s="118">
        <f>ROUND(H33*S34,5)</f>
        <v>7.7649999999999997E-2</v>
      </c>
      <c r="M33" s="123">
        <f t="shared" ref="M33" si="23">L33*E33</f>
        <v>17630.976049999997</v>
      </c>
      <c r="N33" s="123">
        <f t="shared" ref="N33" si="24">M33-I33</f>
        <v>849.19317999999839</v>
      </c>
      <c r="O33" s="124">
        <f t="shared" ref="O33" si="25">IF(I33=0,0,N33/I33)</f>
        <v>5.0602083615207592E-2</v>
      </c>
      <c r="P33" s="124">
        <f>M33/M$34</f>
        <v>0.59735452055220395</v>
      </c>
      <c r="Q33" s="125">
        <f t="shared" ref="Q33" si="26">P33-J33</f>
        <v>4.2879560487540935E-5</v>
      </c>
      <c r="R33" s="125"/>
      <c r="T33" s="4">
        <f>L33/H33-1</f>
        <v>5.0602083615207682E-2</v>
      </c>
    </row>
    <row r="34" spans="1:20" s="5" customFormat="1" ht="20.399999999999999" customHeight="1" x14ac:dyDescent="0.3">
      <c r="A34" s="29">
        <f t="shared" si="1"/>
        <v>28</v>
      </c>
      <c r="C34" s="14"/>
      <c r="D34" s="16" t="s">
        <v>6</v>
      </c>
      <c r="E34" s="16"/>
      <c r="F34" s="89"/>
      <c r="G34" s="17">
        <f>SUM(G32:G33)</f>
        <v>25454.84996</v>
      </c>
      <c r="H34" s="16"/>
      <c r="I34" s="126">
        <f>SUM(I32:I33)</f>
        <v>28095.522870000001</v>
      </c>
      <c r="J34" s="127">
        <f>SUM(J32:J33)</f>
        <v>0.99999999999999989</v>
      </c>
      <c r="K34" s="128">
        <f>I34+Summary!I12</f>
        <v>29516.09287</v>
      </c>
      <c r="L34" s="16"/>
      <c r="M34" s="126">
        <f>SUM(M32:M33)</f>
        <v>29515.09605</v>
      </c>
      <c r="N34" s="126">
        <f>SUM(N32:N33)</f>
        <v>1419.5731799999994</v>
      </c>
      <c r="O34" s="127">
        <f t="shared" ref="O34" si="27">N34/I34</f>
        <v>5.0526668842166292E-2</v>
      </c>
      <c r="P34" s="127">
        <f>SUM(P32:P33)</f>
        <v>1</v>
      </c>
      <c r="Q34" s="129">
        <f t="shared" ref="Q34" si="28">P34-J34</f>
        <v>0</v>
      </c>
      <c r="R34" s="130">
        <f>M34-K34</f>
        <v>-0.99682000000029802</v>
      </c>
      <c r="S34" s="5">
        <f>K34/I34</f>
        <v>1.0505621485164409</v>
      </c>
    </row>
    <row r="35" spans="1:20" x14ac:dyDescent="0.25">
      <c r="A35" s="29">
        <f t="shared" si="1"/>
        <v>29</v>
      </c>
      <c r="D35" s="2" t="s">
        <v>26</v>
      </c>
      <c r="E35" s="2"/>
      <c r="G35" s="87">
        <f>1055+105</f>
        <v>1160</v>
      </c>
      <c r="I35" s="36">
        <f>G35-($H$173*E33)</f>
        <v>-1480.6729099999998</v>
      </c>
      <c r="K35" s="36"/>
      <c r="M35" s="123">
        <f>I35</f>
        <v>-1480.6729099999998</v>
      </c>
      <c r="N35" s="123">
        <f t="shared" ref="N35:N41" si="29">M35-I35</f>
        <v>0</v>
      </c>
      <c r="O35" s="115">
        <v>0</v>
      </c>
    </row>
    <row r="36" spans="1:20" x14ac:dyDescent="0.25">
      <c r="A36" s="29">
        <f t="shared" si="1"/>
        <v>30</v>
      </c>
      <c r="D36" s="2" t="s">
        <v>27</v>
      </c>
      <c r="E36" s="2"/>
      <c r="G36" s="87">
        <f>1387+61</f>
        <v>1448</v>
      </c>
      <c r="I36" s="36">
        <f t="shared" ref="I36:I38" si="30">G36</f>
        <v>1448</v>
      </c>
      <c r="M36" s="123">
        <f t="shared" ref="M36:M38" si="31">I36</f>
        <v>1448</v>
      </c>
      <c r="N36" s="123">
        <f t="shared" si="29"/>
        <v>0</v>
      </c>
      <c r="O36" s="115">
        <v>0</v>
      </c>
    </row>
    <row r="37" spans="1:20" x14ac:dyDescent="0.25">
      <c r="A37" s="29">
        <f t="shared" si="1"/>
        <v>31</v>
      </c>
      <c r="D37" s="2" t="s">
        <v>29</v>
      </c>
      <c r="E37" s="2"/>
      <c r="G37" s="87">
        <v>0</v>
      </c>
      <c r="I37" s="36">
        <f t="shared" si="30"/>
        <v>0</v>
      </c>
      <c r="M37" s="123">
        <f t="shared" si="31"/>
        <v>0</v>
      </c>
      <c r="N37" s="123">
        <f t="shared" si="29"/>
        <v>0</v>
      </c>
      <c r="O37" s="115">
        <v>0</v>
      </c>
    </row>
    <row r="38" spans="1:20" x14ac:dyDescent="0.25">
      <c r="A38" s="29">
        <f t="shared" si="1"/>
        <v>32</v>
      </c>
      <c r="D38" s="2" t="s">
        <v>39</v>
      </c>
      <c r="E38" s="2"/>
      <c r="G38" s="87">
        <v>0</v>
      </c>
      <c r="I38" s="36">
        <f t="shared" si="30"/>
        <v>0</v>
      </c>
      <c r="M38" s="123">
        <f t="shared" si="31"/>
        <v>0</v>
      </c>
      <c r="N38" s="123"/>
      <c r="O38" s="115"/>
    </row>
    <row r="39" spans="1:20" x14ac:dyDescent="0.25">
      <c r="A39" s="29">
        <f t="shared" si="1"/>
        <v>33</v>
      </c>
      <c r="D39" s="12" t="s">
        <v>8</v>
      </c>
      <c r="E39" s="12"/>
      <c r="F39" s="91"/>
      <c r="G39" s="90">
        <f>SUM(G35:G38)</f>
        <v>2608</v>
      </c>
      <c r="H39" s="12"/>
      <c r="I39" s="132">
        <f>SUM(I35:I38)</f>
        <v>-32.672909999999774</v>
      </c>
      <c r="J39" s="12"/>
      <c r="K39" s="12"/>
      <c r="L39" s="12"/>
      <c r="M39" s="132">
        <f>SUM(M35:M38)</f>
        <v>-32.672909999999774</v>
      </c>
      <c r="N39" s="132">
        <f t="shared" si="29"/>
        <v>0</v>
      </c>
      <c r="O39" s="133">
        <f t="shared" ref="O39" si="32">N39-J39</f>
        <v>0</v>
      </c>
    </row>
    <row r="40" spans="1:20" s="5" customFormat="1" ht="26.4" customHeight="1" thickBot="1" x14ac:dyDescent="0.3">
      <c r="A40" s="29">
        <f t="shared" si="1"/>
        <v>34</v>
      </c>
      <c r="C40" s="14"/>
      <c r="D40" s="6" t="s">
        <v>19</v>
      </c>
      <c r="E40" s="6"/>
      <c r="F40" s="93"/>
      <c r="G40" s="92">
        <f>G34+G39</f>
        <v>28062.84996</v>
      </c>
      <c r="H40" s="6"/>
      <c r="I40" s="120">
        <f>I39+I34</f>
        <v>28062.84996</v>
      </c>
      <c r="J40" s="6"/>
      <c r="K40" s="6"/>
      <c r="L40" s="6"/>
      <c r="M40" s="134">
        <f>M39+M34</f>
        <v>29482.423139999999</v>
      </c>
      <c r="N40" s="134">
        <f t="shared" si="29"/>
        <v>1419.5731799999994</v>
      </c>
      <c r="O40" s="135">
        <f>N40/I40</f>
        <v>5.0585495843202641E-2</v>
      </c>
      <c r="P40" s="2"/>
      <c r="Q40" s="2"/>
      <c r="R40" s="2"/>
    </row>
    <row r="41" spans="1:20" ht="13.8" thickTop="1" x14ac:dyDescent="0.25">
      <c r="A41" s="29">
        <f t="shared" si="1"/>
        <v>35</v>
      </c>
      <c r="D41" s="2" t="s">
        <v>18</v>
      </c>
      <c r="E41" s="115">
        <f>E33/E32</f>
        <v>314.48337950138506</v>
      </c>
      <c r="G41" s="100">
        <f>G40/E32</f>
        <v>38.868213240997228</v>
      </c>
      <c r="I41" s="136">
        <f>I40/E32</f>
        <v>38.868213240997228</v>
      </c>
      <c r="M41" s="136">
        <f>M40/E32</f>
        <v>40.834381080332406</v>
      </c>
      <c r="N41" s="136">
        <f t="shared" si="29"/>
        <v>1.9661678393351778</v>
      </c>
      <c r="O41" s="124">
        <f>N41/I41</f>
        <v>5.0585495843202606E-2</v>
      </c>
    </row>
    <row r="42" spans="1:20" ht="13.8" thickBot="1" x14ac:dyDescent="0.3">
      <c r="A42" s="29">
        <f t="shared" si="1"/>
        <v>36</v>
      </c>
      <c r="E42" s="2"/>
    </row>
    <row r="43" spans="1:20" x14ac:dyDescent="0.25">
      <c r="A43" s="29">
        <f t="shared" si="1"/>
        <v>37</v>
      </c>
      <c r="B43" s="137" t="s">
        <v>75</v>
      </c>
      <c r="C43" s="23">
        <v>2</v>
      </c>
      <c r="D43" s="22"/>
      <c r="E43" s="22"/>
      <c r="F43" s="96"/>
      <c r="G43" s="96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20" x14ac:dyDescent="0.25">
      <c r="A44" s="29">
        <f t="shared" si="1"/>
        <v>38</v>
      </c>
      <c r="B44" s="138"/>
      <c r="C44" s="2"/>
      <c r="D44" s="2" t="s">
        <v>17</v>
      </c>
      <c r="E44" s="114">
        <v>14323</v>
      </c>
      <c r="F44" s="88">
        <v>18.559999999999999</v>
      </c>
      <c r="G44" s="87">
        <f>F44*E44</f>
        <v>265834.88</v>
      </c>
      <c r="H44" s="115">
        <v>18.559999999999999</v>
      </c>
      <c r="I44" s="123">
        <f>H44*E44</f>
        <v>265834.88</v>
      </c>
      <c r="J44" s="124">
        <f>I44/I47</f>
        <v>9.1247431270918833E-2</v>
      </c>
      <c r="K44" s="124"/>
      <c r="L44" s="115">
        <f>ROUND(H44*S47,2)</f>
        <v>19.5</v>
      </c>
      <c r="M44" s="123">
        <f>L44*E44</f>
        <v>279298.5</v>
      </c>
      <c r="N44" s="123">
        <f>M44-I44</f>
        <v>13463.619999999995</v>
      </c>
      <c r="O44" s="124">
        <f>IF(I44=0,0,N44/I44)</f>
        <v>5.0646551724137914E-2</v>
      </c>
      <c r="P44" s="124">
        <f>M44/M$47</f>
        <v>9.1265890445819967E-2</v>
      </c>
      <c r="Q44" s="125">
        <f>P44-J44</f>
        <v>1.845917490113369E-5</v>
      </c>
      <c r="R44" s="125"/>
      <c r="T44" s="4"/>
    </row>
    <row r="45" spans="1:20" x14ac:dyDescent="0.25">
      <c r="A45" s="29">
        <f t="shared" si="1"/>
        <v>39</v>
      </c>
      <c r="D45" s="2" t="s">
        <v>49</v>
      </c>
      <c r="E45" s="114">
        <v>94581</v>
      </c>
      <c r="F45" s="88">
        <v>6.03</v>
      </c>
      <c r="G45" s="87">
        <f t="shared" ref="G45" si="33">F45*E45</f>
        <v>570323.43000000005</v>
      </c>
      <c r="H45" s="115">
        <v>6.03</v>
      </c>
      <c r="I45" s="123">
        <f t="shared" ref="I45" si="34">H45*E45</f>
        <v>570323.43000000005</v>
      </c>
      <c r="J45" s="124">
        <f>I45/I47</f>
        <v>0.19576267787402349</v>
      </c>
      <c r="K45" s="124"/>
      <c r="L45" s="118">
        <f>ROUND(H45*S47,2)</f>
        <v>6.33</v>
      </c>
      <c r="M45" s="123">
        <f t="shared" ref="M45" si="35">L45*E45</f>
        <v>598697.73</v>
      </c>
      <c r="N45" s="123">
        <f t="shared" ref="N45" si="36">M45-I45</f>
        <v>28374.29999999993</v>
      </c>
      <c r="O45" s="124">
        <f t="shared" ref="O45" si="37">IF(I45=0,0,N45/I45)</f>
        <v>4.9751243781094398E-2</v>
      </c>
      <c r="P45" s="124">
        <f>M45/M$47</f>
        <v>0.19563542745965731</v>
      </c>
      <c r="Q45" s="125">
        <f t="shared" ref="Q45" si="38">P45-J45</f>
        <v>-1.2725041436617568E-4</v>
      </c>
      <c r="R45" s="125"/>
      <c r="T45" s="4">
        <f>L45/H45-1</f>
        <v>4.9751243781094523E-2</v>
      </c>
    </row>
    <row r="46" spans="1:20" x14ac:dyDescent="0.25">
      <c r="A46" s="29">
        <f t="shared" si="1"/>
        <v>40</v>
      </c>
      <c r="D46" s="2" t="s">
        <v>48</v>
      </c>
      <c r="E46" s="114">
        <v>21103146</v>
      </c>
      <c r="F46" s="142">
        <v>8.6800000000000002E-2</v>
      </c>
      <c r="G46" s="87">
        <f t="shared" ref="G46" si="39">F46*E46</f>
        <v>1831753.0728</v>
      </c>
      <c r="H46" s="116">
        <v>9.8430000000000004E-2</v>
      </c>
      <c r="I46" s="123">
        <f t="shared" ref="I46" si="40">H46*E46</f>
        <v>2077182.66078</v>
      </c>
      <c r="J46" s="124">
        <f>I46/I47</f>
        <v>0.71298989085505771</v>
      </c>
      <c r="K46" s="124"/>
      <c r="L46" s="118">
        <f>ROUND(H46*S47,5)</f>
        <v>0.10341</v>
      </c>
      <c r="M46" s="123">
        <f t="shared" ref="M46" si="41">L46*E46</f>
        <v>2182276.3278600001</v>
      </c>
      <c r="N46" s="123">
        <f t="shared" ref="N46" si="42">M46-I46</f>
        <v>105093.66708000004</v>
      </c>
      <c r="O46" s="124">
        <f t="shared" ref="O46" si="43">IF(I46=0,0,N46/I46)</f>
        <v>5.0594330996647383E-2</v>
      </c>
      <c r="P46" s="124">
        <f>M46/M$47</f>
        <v>0.71309868209452276</v>
      </c>
      <c r="Q46" s="125">
        <f t="shared" ref="Q46" si="44">P46-J46</f>
        <v>1.0879123946505587E-4</v>
      </c>
      <c r="R46" s="125"/>
      <c r="T46" s="4">
        <f>L46/H46-1</f>
        <v>5.0594330996647452E-2</v>
      </c>
    </row>
    <row r="47" spans="1:20" s="5" customFormat="1" ht="20.399999999999999" customHeight="1" x14ac:dyDescent="0.3">
      <c r="A47" s="29">
        <f t="shared" si="1"/>
        <v>41</v>
      </c>
      <c r="C47" s="14"/>
      <c r="D47" s="16" t="s">
        <v>6</v>
      </c>
      <c r="E47" s="16"/>
      <c r="F47" s="89"/>
      <c r="G47" s="17">
        <f>SUM(G44:G46)</f>
        <v>2667911.3827999998</v>
      </c>
      <c r="H47" s="16"/>
      <c r="I47" s="126">
        <f>SUM(I44:I46)</f>
        <v>2913340.9707800001</v>
      </c>
      <c r="J47" s="127">
        <f>SUM(J44:J46)</f>
        <v>1</v>
      </c>
      <c r="K47" s="128">
        <f>I47+Summary!I13</f>
        <v>3060645.6807800001</v>
      </c>
      <c r="L47" s="16"/>
      <c r="M47" s="126">
        <f>SUM(M44:M46)</f>
        <v>3060272.5578600001</v>
      </c>
      <c r="N47" s="126">
        <f>SUM(N44:N46)</f>
        <v>146931.58707999997</v>
      </c>
      <c r="O47" s="127">
        <f t="shared" ref="O47" si="45">N47/I47</f>
        <v>5.0434050992891985E-2</v>
      </c>
      <c r="P47" s="127">
        <f>SUM(P44:P46)</f>
        <v>1</v>
      </c>
      <c r="Q47" s="129">
        <f t="shared" ref="Q47" si="46">P47-J47</f>
        <v>0</v>
      </c>
      <c r="R47" s="130">
        <f>M47-K47</f>
        <v>-373.12291999999434</v>
      </c>
      <c r="S47" s="5">
        <f>K47/I47</f>
        <v>1.0505621248859729</v>
      </c>
    </row>
    <row r="48" spans="1:20" x14ac:dyDescent="0.25">
      <c r="A48" s="29">
        <f t="shared" si="1"/>
        <v>42</v>
      </c>
      <c r="D48" s="2" t="s">
        <v>26</v>
      </c>
      <c r="E48" s="2"/>
      <c r="G48" s="87">
        <v>252287</v>
      </c>
      <c r="I48" s="36">
        <f>G48-($H$173*E46)</f>
        <v>6857.4120200000179</v>
      </c>
      <c r="K48" s="36"/>
      <c r="M48" s="123">
        <f>I48</f>
        <v>6857.4120200000179</v>
      </c>
      <c r="N48" s="123">
        <f t="shared" ref="N48:N54" si="47">M48-I48</f>
        <v>0</v>
      </c>
      <c r="O48" s="115">
        <v>0</v>
      </c>
    </row>
    <row r="49" spans="1:20" x14ac:dyDescent="0.25">
      <c r="A49" s="29">
        <f t="shared" si="1"/>
        <v>43</v>
      </c>
      <c r="D49" s="2" t="s">
        <v>27</v>
      </c>
      <c r="E49" s="2"/>
      <c r="G49" s="87">
        <v>283093</v>
      </c>
      <c r="I49" s="36">
        <f t="shared" ref="I49:I51" si="48">G49</f>
        <v>283093</v>
      </c>
      <c r="M49" s="123">
        <f t="shared" ref="M49:M51" si="49">I49</f>
        <v>283093</v>
      </c>
      <c r="N49" s="123">
        <f t="shared" si="47"/>
        <v>0</v>
      </c>
      <c r="O49" s="115">
        <v>0</v>
      </c>
    </row>
    <row r="50" spans="1:20" x14ac:dyDescent="0.25">
      <c r="A50" s="29">
        <f t="shared" si="1"/>
        <v>44</v>
      </c>
      <c r="D50" s="2" t="s">
        <v>29</v>
      </c>
      <c r="E50" s="2"/>
      <c r="G50" s="87">
        <v>0</v>
      </c>
      <c r="I50" s="36">
        <f t="shared" si="48"/>
        <v>0</v>
      </c>
      <c r="M50" s="123">
        <f t="shared" si="49"/>
        <v>0</v>
      </c>
      <c r="N50" s="123">
        <f t="shared" si="47"/>
        <v>0</v>
      </c>
      <c r="O50" s="115">
        <v>0</v>
      </c>
    </row>
    <row r="51" spans="1:20" x14ac:dyDescent="0.25">
      <c r="A51" s="29">
        <f t="shared" si="1"/>
        <v>45</v>
      </c>
      <c r="D51" s="2" t="s">
        <v>39</v>
      </c>
      <c r="E51" s="2"/>
      <c r="G51" s="87">
        <v>0</v>
      </c>
      <c r="I51" s="36">
        <f t="shared" si="48"/>
        <v>0</v>
      </c>
      <c r="M51" s="123">
        <f t="shared" si="49"/>
        <v>0</v>
      </c>
      <c r="N51" s="123"/>
      <c r="O51" s="115"/>
    </row>
    <row r="52" spans="1:20" x14ac:dyDescent="0.25">
      <c r="A52" s="29">
        <f t="shared" si="1"/>
        <v>46</v>
      </c>
      <c r="D52" s="12" t="s">
        <v>8</v>
      </c>
      <c r="E52" s="12"/>
      <c r="F52" s="91"/>
      <c r="G52" s="90">
        <f>SUM(G48:G51)</f>
        <v>535380</v>
      </c>
      <c r="H52" s="12"/>
      <c r="I52" s="132">
        <f>SUM(I48:I51)</f>
        <v>289950.41202000005</v>
      </c>
      <c r="J52" s="12"/>
      <c r="K52" s="12"/>
      <c r="L52" s="12"/>
      <c r="M52" s="132">
        <f>SUM(M48:M51)</f>
        <v>289950.41202000005</v>
      </c>
      <c r="N52" s="132">
        <f t="shared" si="47"/>
        <v>0</v>
      </c>
      <c r="O52" s="133">
        <f t="shared" ref="O52" si="50">N52-J52</f>
        <v>0</v>
      </c>
    </row>
    <row r="53" spans="1:20" s="5" customFormat="1" ht="26.4" customHeight="1" thickBot="1" x14ac:dyDescent="0.3">
      <c r="A53" s="29">
        <f t="shared" si="1"/>
        <v>47</v>
      </c>
      <c r="C53" s="14"/>
      <c r="D53" s="6" t="s">
        <v>19</v>
      </c>
      <c r="E53" s="6"/>
      <c r="F53" s="93"/>
      <c r="G53" s="92">
        <f>G47+G52</f>
        <v>3203291.3827999998</v>
      </c>
      <c r="H53" s="6"/>
      <c r="I53" s="120">
        <f>I52+I47</f>
        <v>3203291.3828000003</v>
      </c>
      <c r="J53" s="6"/>
      <c r="K53" s="6"/>
      <c r="L53" s="6"/>
      <c r="M53" s="134">
        <f>M52+M47</f>
        <v>3350222.9698800002</v>
      </c>
      <c r="N53" s="134">
        <f t="shared" si="47"/>
        <v>146931.58707999997</v>
      </c>
      <c r="O53" s="135">
        <f>N53/I53</f>
        <v>4.5868942135250564E-2</v>
      </c>
      <c r="P53" s="2"/>
      <c r="Q53" s="2"/>
      <c r="R53" s="2"/>
    </row>
    <row r="54" spans="1:20" ht="13.8" thickTop="1" x14ac:dyDescent="0.25">
      <c r="A54" s="29">
        <f t="shared" si="1"/>
        <v>48</v>
      </c>
      <c r="D54" s="2" t="s">
        <v>18</v>
      </c>
      <c r="E54" s="115">
        <f>E46/E44</f>
        <v>1473.3747120016756</v>
      </c>
      <c r="G54" s="100">
        <f>G53/E44</f>
        <v>223.64667896390421</v>
      </c>
      <c r="I54" s="136">
        <f>I53/E44</f>
        <v>223.64667896390424</v>
      </c>
      <c r="M54" s="136">
        <f>M53/E44</f>
        <v>233.9051155400405</v>
      </c>
      <c r="N54" s="136">
        <f t="shared" si="47"/>
        <v>10.258436576136262</v>
      </c>
      <c r="O54" s="124">
        <f>N54/I54</f>
        <v>4.5868942135250473E-2</v>
      </c>
    </row>
    <row r="55" spans="1:20" ht="13.8" thickBot="1" x14ac:dyDescent="0.3">
      <c r="A55" s="29">
        <f t="shared" si="1"/>
        <v>49</v>
      </c>
      <c r="E55" s="2"/>
    </row>
    <row r="56" spans="1:20" x14ac:dyDescent="0.25">
      <c r="A56" s="29">
        <f t="shared" si="1"/>
        <v>50</v>
      </c>
      <c r="B56" s="137" t="s">
        <v>76</v>
      </c>
      <c r="C56" s="23">
        <v>4</v>
      </c>
      <c r="D56" s="22"/>
      <c r="E56" s="22"/>
      <c r="F56" s="96"/>
      <c r="G56" s="96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20" x14ac:dyDescent="0.25">
      <c r="A57" s="29">
        <f t="shared" si="1"/>
        <v>51</v>
      </c>
      <c r="B57" s="138"/>
      <c r="C57" s="2"/>
      <c r="D57" s="2" t="s">
        <v>17</v>
      </c>
      <c r="E57" s="114">
        <v>1510</v>
      </c>
      <c r="F57" s="88">
        <v>32.64</v>
      </c>
      <c r="G57" s="87">
        <f>F57*E57</f>
        <v>49286.400000000001</v>
      </c>
      <c r="H57" s="115">
        <v>32.64</v>
      </c>
      <c r="I57" s="123">
        <f>H57*E57</f>
        <v>49286.400000000001</v>
      </c>
      <c r="J57" s="124">
        <f>I57/I60</f>
        <v>1.4707492083031891E-2</v>
      </c>
      <c r="K57" s="124"/>
      <c r="L57" s="115">
        <f>ROUND(H57*S60,2)</f>
        <v>34.29</v>
      </c>
      <c r="M57" s="123">
        <f>L57*E57</f>
        <v>51777.9</v>
      </c>
      <c r="N57" s="123">
        <f>M57-I57</f>
        <v>2491.5</v>
      </c>
      <c r="O57" s="124">
        <f>IF(I57=0,0,N57/I57)</f>
        <v>5.0551470588235295E-2</v>
      </c>
      <c r="P57" s="124">
        <f>M57/M$60</f>
        <v>1.4709641525498467E-2</v>
      </c>
      <c r="Q57" s="125">
        <f>P57-J57</f>
        <v>2.1494424665754325E-6</v>
      </c>
      <c r="R57" s="125"/>
      <c r="T57" s="4">
        <f>L57/H57-1</f>
        <v>5.0551470588235281E-2</v>
      </c>
    </row>
    <row r="58" spans="1:20" x14ac:dyDescent="0.25">
      <c r="A58" s="29">
        <f t="shared" si="1"/>
        <v>52</v>
      </c>
      <c r="D58" s="2" t="s">
        <v>49</v>
      </c>
      <c r="E58" s="114">
        <v>124646</v>
      </c>
      <c r="F58" s="88">
        <v>6.03</v>
      </c>
      <c r="G58" s="87">
        <f t="shared" ref="G58" si="51">F58*E58</f>
        <v>751615.38</v>
      </c>
      <c r="H58" s="115">
        <v>6.03</v>
      </c>
      <c r="I58" s="123">
        <f t="shared" ref="I58" si="52">H58*E58</f>
        <v>751615.38</v>
      </c>
      <c r="J58" s="124">
        <f>I58/I60</f>
        <v>0.22428859179885335</v>
      </c>
      <c r="K58" s="124"/>
      <c r="L58" s="115">
        <f>ROUND(H58*S60,2)</f>
        <v>6.33</v>
      </c>
      <c r="M58" s="123">
        <f t="shared" ref="M58" si="53">L58*E58</f>
        <v>789009.18</v>
      </c>
      <c r="N58" s="123">
        <f t="shared" ref="N58" si="54">M58-I58</f>
        <v>37393.800000000047</v>
      </c>
      <c r="O58" s="124">
        <f t="shared" ref="O58" si="55">IF(I58=0,0,N58/I58)</f>
        <v>4.9751243781094592E-2</v>
      </c>
      <c r="P58" s="124">
        <f>M58/M$60</f>
        <v>0.22415050046694621</v>
      </c>
      <c r="Q58" s="125">
        <f t="shared" ref="Q58" si="56">P58-J58</f>
        <v>-1.3809133190714751E-4</v>
      </c>
      <c r="R58" s="125"/>
      <c r="T58" s="4">
        <f>L58/H58-1</f>
        <v>4.9751243781094523E-2</v>
      </c>
    </row>
    <row r="59" spans="1:20" x14ac:dyDescent="0.25">
      <c r="A59" s="29">
        <f t="shared" si="1"/>
        <v>53</v>
      </c>
      <c r="D59" s="2" t="s">
        <v>47</v>
      </c>
      <c r="E59" s="114">
        <v>31774316</v>
      </c>
      <c r="F59" s="142">
        <v>6.8629999999999997E-2</v>
      </c>
      <c r="G59" s="87">
        <f t="shared" ref="G59" si="57">F59*E59</f>
        <v>2180671.3070799997</v>
      </c>
      <c r="H59" s="116">
        <v>8.0259999999999998E-2</v>
      </c>
      <c r="I59" s="123">
        <f t="shared" ref="I59" si="58">H59*E59</f>
        <v>2550206.6021599998</v>
      </c>
      <c r="J59" s="124">
        <f>I59/I60</f>
        <v>0.7610039161181148</v>
      </c>
      <c r="K59" s="124"/>
      <c r="L59" s="118">
        <f>ROUND(H59*S60,5)</f>
        <v>8.4320000000000006E-2</v>
      </c>
      <c r="M59" s="123">
        <f t="shared" ref="M59" si="59">L59*E59</f>
        <v>2679210.3251200002</v>
      </c>
      <c r="N59" s="123">
        <f t="shared" ref="N59" si="60">M59-I59</f>
        <v>129003.72296000039</v>
      </c>
      <c r="O59" s="124">
        <f t="shared" ref="O59" si="61">IF(I59=0,0,N59/I59)</f>
        <v>5.0585596810366465E-2</v>
      </c>
      <c r="P59" s="124">
        <f>M59/M$60</f>
        <v>0.76113985800755535</v>
      </c>
      <c r="Q59" s="125">
        <f t="shared" ref="Q59" si="62">P59-J59</f>
        <v>1.3594188944054952E-4</v>
      </c>
      <c r="R59" s="125"/>
      <c r="T59" s="4">
        <f>L59/H59-1</f>
        <v>5.058559681036634E-2</v>
      </c>
    </row>
    <row r="60" spans="1:20" s="5" customFormat="1" ht="20.399999999999999" customHeight="1" x14ac:dyDescent="0.3">
      <c r="A60" s="29">
        <f t="shared" si="1"/>
        <v>54</v>
      </c>
      <c r="C60" s="14"/>
      <c r="D60" s="16" t="s">
        <v>6</v>
      </c>
      <c r="E60" s="16"/>
      <c r="F60" s="89"/>
      <c r="G60" s="17">
        <f>SUM(G57:G59)</f>
        <v>2981573.08708</v>
      </c>
      <c r="H60" s="16"/>
      <c r="I60" s="126">
        <f>SUM(I57:I59)</f>
        <v>3351108.3821599996</v>
      </c>
      <c r="J60" s="127">
        <f>SUM(J57:J59)</f>
        <v>1</v>
      </c>
      <c r="K60" s="128">
        <f>I60+Summary!I14</f>
        <v>3520547.5421599997</v>
      </c>
      <c r="L60" s="16"/>
      <c r="M60" s="126">
        <f>SUM(M57:M59)</f>
        <v>3519997.4051200002</v>
      </c>
      <c r="N60" s="126">
        <f>SUM(N57:N59)</f>
        <v>168889.02296000044</v>
      </c>
      <c r="O60" s="127">
        <f t="shared" ref="O60" si="63">N60/I60</f>
        <v>5.0397959033226157E-2</v>
      </c>
      <c r="P60" s="127">
        <f>SUM(P57:P59)</f>
        <v>1</v>
      </c>
      <c r="Q60" s="129">
        <f t="shared" ref="Q60" si="64">P60-J60</f>
        <v>0</v>
      </c>
      <c r="R60" s="130">
        <f>M60-K60</f>
        <v>-550.13703999947757</v>
      </c>
      <c r="S60" s="5">
        <f>K60/I60</f>
        <v>1.0505621247292474</v>
      </c>
    </row>
    <row r="61" spans="1:20" x14ac:dyDescent="0.25">
      <c r="A61" s="29">
        <f t="shared" si="1"/>
        <v>55</v>
      </c>
      <c r="D61" s="2" t="s">
        <v>26</v>
      </c>
      <c r="E61" s="2"/>
      <c r="G61" s="87">
        <v>378917</v>
      </c>
      <c r="I61" s="36">
        <f>G61-($H$173*E59)</f>
        <v>9381.7049199999892</v>
      </c>
      <c r="K61" s="36"/>
      <c r="M61" s="123">
        <f>I61</f>
        <v>9381.7049199999892</v>
      </c>
      <c r="N61" s="123">
        <f t="shared" ref="N61:N63" si="65">M61-I61</f>
        <v>0</v>
      </c>
      <c r="O61" s="115">
        <v>0</v>
      </c>
    </row>
    <row r="62" spans="1:20" x14ac:dyDescent="0.25">
      <c r="A62" s="29">
        <f t="shared" si="1"/>
        <v>56</v>
      </c>
      <c r="D62" s="2" t="s">
        <v>27</v>
      </c>
      <c r="E62" s="2"/>
      <c r="G62" s="87">
        <v>358259</v>
      </c>
      <c r="I62" s="36">
        <f t="shared" ref="I62:I64" si="66">G62</f>
        <v>358259</v>
      </c>
      <c r="M62" s="123">
        <f t="shared" ref="M62:M64" si="67">I62</f>
        <v>358259</v>
      </c>
      <c r="N62" s="123">
        <f t="shared" si="65"/>
        <v>0</v>
      </c>
      <c r="O62" s="115">
        <v>0</v>
      </c>
    </row>
    <row r="63" spans="1:20" x14ac:dyDescent="0.25">
      <c r="A63" s="29">
        <f t="shared" si="1"/>
        <v>57</v>
      </c>
      <c r="D63" s="2" t="s">
        <v>29</v>
      </c>
      <c r="E63" s="2"/>
      <c r="G63" s="87">
        <v>0</v>
      </c>
      <c r="I63" s="36">
        <f t="shared" si="66"/>
        <v>0</v>
      </c>
      <c r="M63" s="123">
        <f t="shared" si="67"/>
        <v>0</v>
      </c>
      <c r="N63" s="123">
        <f t="shared" si="65"/>
        <v>0</v>
      </c>
      <c r="O63" s="115">
        <v>0</v>
      </c>
    </row>
    <row r="64" spans="1:20" x14ac:dyDescent="0.25">
      <c r="A64" s="29">
        <f t="shared" si="1"/>
        <v>58</v>
      </c>
      <c r="D64" s="2" t="s">
        <v>39</v>
      </c>
      <c r="E64" s="2"/>
      <c r="G64" s="87">
        <v>0</v>
      </c>
      <c r="I64" s="36">
        <f t="shared" si="66"/>
        <v>0</v>
      </c>
      <c r="M64" s="123">
        <f t="shared" si="67"/>
        <v>0</v>
      </c>
      <c r="N64" s="123"/>
      <c r="O64" s="115"/>
    </row>
    <row r="65" spans="1:20" x14ac:dyDescent="0.25">
      <c r="A65" s="29">
        <f t="shared" si="1"/>
        <v>59</v>
      </c>
      <c r="D65" s="12" t="s">
        <v>8</v>
      </c>
      <c r="E65" s="12"/>
      <c r="F65" s="91"/>
      <c r="G65" s="90">
        <f>SUM(G61:G64)</f>
        <v>737176</v>
      </c>
      <c r="H65" s="12"/>
      <c r="I65" s="132">
        <f>SUM(I61:I64)</f>
        <v>367640.70491999999</v>
      </c>
      <c r="J65" s="12"/>
      <c r="K65" s="12"/>
      <c r="L65" s="12"/>
      <c r="M65" s="132">
        <f>SUM(M61:M64)</f>
        <v>367640.70491999999</v>
      </c>
      <c r="N65" s="132">
        <f t="shared" ref="N65:N67" si="68">M65-I65</f>
        <v>0</v>
      </c>
      <c r="O65" s="133">
        <f t="shared" ref="O65" si="69">N65-J65</f>
        <v>0</v>
      </c>
    </row>
    <row r="66" spans="1:20" s="5" customFormat="1" ht="26.4" customHeight="1" thickBot="1" x14ac:dyDescent="0.3">
      <c r="A66" s="29">
        <f t="shared" si="1"/>
        <v>60</v>
      </c>
      <c r="C66" s="14"/>
      <c r="D66" s="6" t="s">
        <v>19</v>
      </c>
      <c r="E66" s="6"/>
      <c r="F66" s="93"/>
      <c r="G66" s="92">
        <f>G60+G65</f>
        <v>3718749.08708</v>
      </c>
      <c r="H66" s="6"/>
      <c r="I66" s="120">
        <f>I65+I60</f>
        <v>3718749.0870799995</v>
      </c>
      <c r="J66" s="6"/>
      <c r="K66" s="6"/>
      <c r="L66" s="6"/>
      <c r="M66" s="134">
        <f>M65+M60</f>
        <v>3887638.1100400002</v>
      </c>
      <c r="N66" s="134">
        <f t="shared" si="68"/>
        <v>168889.02296000067</v>
      </c>
      <c r="O66" s="135">
        <f>N66/I66</f>
        <v>4.5415546734994719E-2</v>
      </c>
      <c r="P66" s="2"/>
      <c r="Q66" s="2"/>
      <c r="R66" s="2"/>
    </row>
    <row r="67" spans="1:20" ht="13.8" thickTop="1" x14ac:dyDescent="0.25">
      <c r="A67" s="29">
        <f t="shared" si="1"/>
        <v>61</v>
      </c>
      <c r="D67" s="2" t="s">
        <v>18</v>
      </c>
      <c r="E67" s="115">
        <f>E59/E57</f>
        <v>21042.593377483445</v>
      </c>
      <c r="G67" s="146">
        <f>G66/E57</f>
        <v>2462.7477397880793</v>
      </c>
      <c r="I67" s="136">
        <f>I66/E57</f>
        <v>2462.7477397880793</v>
      </c>
      <c r="M67" s="136">
        <f>M66/E57</f>
        <v>2574.5947748609274</v>
      </c>
      <c r="N67" s="136">
        <f t="shared" si="68"/>
        <v>111.84703507284803</v>
      </c>
      <c r="O67" s="124">
        <f>N67/I67</f>
        <v>4.5415546734994677E-2</v>
      </c>
    </row>
    <row r="68" spans="1:20" ht="13.8" thickBot="1" x14ac:dyDescent="0.3">
      <c r="A68" s="29">
        <f t="shared" si="1"/>
        <v>62</v>
      </c>
      <c r="E68" s="2"/>
      <c r="G68" s="145"/>
    </row>
    <row r="69" spans="1:20" x14ac:dyDescent="0.25">
      <c r="A69" s="29">
        <f t="shared" si="1"/>
        <v>63</v>
      </c>
      <c r="B69" s="137" t="s">
        <v>77</v>
      </c>
      <c r="C69" s="23">
        <v>5</v>
      </c>
      <c r="D69" s="22"/>
      <c r="E69" s="22"/>
      <c r="F69" s="96"/>
      <c r="G69" s="147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20" x14ac:dyDescent="0.25">
      <c r="A70" s="29">
        <f t="shared" si="1"/>
        <v>64</v>
      </c>
      <c r="B70" s="138"/>
      <c r="C70" s="2"/>
      <c r="D70" s="2" t="s">
        <v>17</v>
      </c>
      <c r="E70" s="114">
        <v>112</v>
      </c>
      <c r="F70" s="88">
        <v>32.64</v>
      </c>
      <c r="G70" s="87">
        <f>F70*E70</f>
        <v>3655.6800000000003</v>
      </c>
      <c r="H70" s="115">
        <v>32.64</v>
      </c>
      <c r="I70" s="123">
        <f>H70*E70</f>
        <v>3655.6800000000003</v>
      </c>
      <c r="J70" s="124">
        <f>I70/I72</f>
        <v>8.5188252465825554E-3</v>
      </c>
      <c r="K70" s="124"/>
      <c r="L70" s="115">
        <f>ROUND(H70*S72,2)</f>
        <v>34.29</v>
      </c>
      <c r="M70" s="123">
        <f>L70*E70</f>
        <v>3840.48</v>
      </c>
      <c r="N70" s="123">
        <f>M70-I70</f>
        <v>184.79999999999973</v>
      </c>
      <c r="O70" s="124">
        <f>IF(I70=0,0,N70/I70)</f>
        <v>5.0551470588235219E-2</v>
      </c>
      <c r="P70" s="124">
        <f>M70/M$60</f>
        <v>1.0910462588449193E-3</v>
      </c>
      <c r="Q70" s="125">
        <f>P70-J70</f>
        <v>-7.4277789877376359E-3</v>
      </c>
      <c r="R70" s="125"/>
      <c r="T70" s="4"/>
    </row>
    <row r="71" spans="1:20" x14ac:dyDescent="0.25">
      <c r="A71" s="29">
        <f t="shared" si="1"/>
        <v>65</v>
      </c>
      <c r="D71" s="2" t="s">
        <v>47</v>
      </c>
      <c r="E71" s="114">
        <v>4322604</v>
      </c>
      <c r="F71" s="142">
        <v>8.6800000000000002E-2</v>
      </c>
      <c r="G71" s="87">
        <f t="shared" ref="G71" si="70">F71*E71</f>
        <v>375202.02720000001</v>
      </c>
      <c r="H71" s="116">
        <v>9.8430000000000004E-2</v>
      </c>
      <c r="I71" s="123">
        <f t="shared" ref="I71" si="71">H71*E71</f>
        <v>425473.91172000003</v>
      </c>
      <c r="J71" s="124">
        <f>IF(I72=0,0,I71/I72)</f>
        <v>0.99148117475341746</v>
      </c>
      <c r="K71" s="124"/>
      <c r="L71" s="118">
        <f>ROUND(H71*S72,5)</f>
        <v>0.10341</v>
      </c>
      <c r="M71" s="123">
        <f t="shared" ref="M71" si="72">L71*E71</f>
        <v>447000.47964000003</v>
      </c>
      <c r="N71" s="123">
        <f t="shared" ref="N71" si="73">M71-I71</f>
        <v>21526.567920000001</v>
      </c>
      <c r="O71" s="124">
        <f t="shared" ref="O71" si="74">IF(I71=0,0,N71/I71)</f>
        <v>5.0594330996647362E-2</v>
      </c>
      <c r="P71" s="124">
        <f>IF(M72=0,0,M71/M72)</f>
        <v>0.99148151932986162</v>
      </c>
      <c r="Q71" s="125">
        <f t="shared" ref="Q71" si="75">P71-J71</f>
        <v>3.4457644415564204E-7</v>
      </c>
      <c r="R71" s="125"/>
      <c r="T71" s="4">
        <f>L71/H71-1</f>
        <v>5.0594330996647452E-2</v>
      </c>
    </row>
    <row r="72" spans="1:20" s="5" customFormat="1" ht="20.399999999999999" customHeight="1" x14ac:dyDescent="0.3">
      <c r="A72" s="29">
        <f t="shared" si="1"/>
        <v>66</v>
      </c>
      <c r="C72" s="14"/>
      <c r="D72" s="16" t="s">
        <v>6</v>
      </c>
      <c r="E72" s="16"/>
      <c r="F72" s="89"/>
      <c r="G72" s="17">
        <f>SUM(G70:G71)</f>
        <v>378857.7072</v>
      </c>
      <c r="H72" s="16"/>
      <c r="I72" s="126">
        <f>SUM(I70:I71)</f>
        <v>429129.59172000003</v>
      </c>
      <c r="J72" s="127">
        <f>SUM(J70:J71)</f>
        <v>1</v>
      </c>
      <c r="K72" s="128">
        <f>I72+Summary!I15</f>
        <v>450827.29172000004</v>
      </c>
      <c r="L72" s="16"/>
      <c r="M72" s="126">
        <f>SUM(M70:M71)</f>
        <v>450840.95964000002</v>
      </c>
      <c r="N72" s="126">
        <f>SUM(N70:N71)</f>
        <v>21711.367920000001</v>
      </c>
      <c r="O72" s="127">
        <f>IF(I72=0,0,N72/I72)</f>
        <v>5.0593965876318099E-2</v>
      </c>
      <c r="P72" s="127">
        <f>SUM(P70:P71)</f>
        <v>0.99257256558870655</v>
      </c>
      <c r="Q72" s="129">
        <f t="shared" ref="Q72" si="76">P72-J72</f>
        <v>-7.4274344112934543E-3</v>
      </c>
      <c r="R72" s="130">
        <f>M72-K72</f>
        <v>13.667919999978039</v>
      </c>
      <c r="S72" s="5">
        <f>K72/I72</f>
        <v>1.0505621155442419</v>
      </c>
    </row>
    <row r="73" spans="1:20" x14ac:dyDescent="0.25">
      <c r="A73" s="29">
        <f t="shared" ref="A73:A138" si="77">A72+1</f>
        <v>67</v>
      </c>
      <c r="D73" s="2" t="s">
        <v>26</v>
      </c>
      <c r="E73" s="2"/>
      <c r="G73" s="87">
        <v>52628</v>
      </c>
      <c r="I73" s="36">
        <f>G73-($H$173*E71)</f>
        <v>2356.1154800000004</v>
      </c>
      <c r="K73" s="36"/>
      <c r="M73" s="123">
        <f>I73</f>
        <v>2356.1154800000004</v>
      </c>
      <c r="N73" s="123">
        <f t="shared" ref="N73:N78" si="78">M73-I73</f>
        <v>0</v>
      </c>
      <c r="O73" s="115">
        <v>0</v>
      </c>
    </row>
    <row r="74" spans="1:20" x14ac:dyDescent="0.25">
      <c r="A74" s="29">
        <f t="shared" si="77"/>
        <v>68</v>
      </c>
      <c r="D74" s="2" t="s">
        <v>27</v>
      </c>
      <c r="E74" s="2"/>
      <c r="G74" s="87">
        <v>45944</v>
      </c>
      <c r="I74" s="36">
        <f t="shared" ref="I74:I76" si="79">G74</f>
        <v>45944</v>
      </c>
      <c r="M74" s="123">
        <f t="shared" ref="M74:M76" si="80">I74</f>
        <v>45944</v>
      </c>
      <c r="N74" s="123">
        <f t="shared" si="78"/>
        <v>0</v>
      </c>
      <c r="O74" s="115">
        <v>0</v>
      </c>
    </row>
    <row r="75" spans="1:20" x14ac:dyDescent="0.25">
      <c r="A75" s="29">
        <f t="shared" si="77"/>
        <v>69</v>
      </c>
      <c r="D75" s="2" t="s">
        <v>29</v>
      </c>
      <c r="E75" s="2"/>
      <c r="F75" s="88"/>
      <c r="G75" s="87">
        <f>F75*E75</f>
        <v>0</v>
      </c>
      <c r="I75" s="36">
        <f t="shared" si="79"/>
        <v>0</v>
      </c>
      <c r="M75" s="123">
        <f t="shared" si="80"/>
        <v>0</v>
      </c>
      <c r="N75" s="123">
        <f t="shared" si="78"/>
        <v>0</v>
      </c>
      <c r="O75" s="115">
        <v>0</v>
      </c>
    </row>
    <row r="76" spans="1:20" x14ac:dyDescent="0.25">
      <c r="A76" s="29">
        <f t="shared" si="77"/>
        <v>70</v>
      </c>
      <c r="D76" s="2" t="s">
        <v>39</v>
      </c>
      <c r="E76" s="2"/>
      <c r="G76" s="87">
        <v>0</v>
      </c>
      <c r="I76" s="36">
        <f t="shared" si="79"/>
        <v>0</v>
      </c>
      <c r="M76" s="123">
        <f t="shared" si="80"/>
        <v>0</v>
      </c>
      <c r="N76" s="123"/>
      <c r="O76" s="115"/>
    </row>
    <row r="77" spans="1:20" x14ac:dyDescent="0.25">
      <c r="A77" s="29">
        <f t="shared" si="77"/>
        <v>71</v>
      </c>
      <c r="D77" s="12" t="s">
        <v>8</v>
      </c>
      <c r="E77" s="12"/>
      <c r="F77" s="91"/>
      <c r="G77" s="90">
        <f>SUM(G73:G76)</f>
        <v>98572</v>
      </c>
      <c r="H77" s="12"/>
      <c r="I77" s="132">
        <f>SUM(I73:I76)</f>
        <v>48300.11548</v>
      </c>
      <c r="J77" s="12"/>
      <c r="K77" s="12"/>
      <c r="L77" s="12"/>
      <c r="M77" s="132">
        <f>SUM(M73:M76)</f>
        <v>48300.11548</v>
      </c>
      <c r="N77" s="132">
        <f t="shared" si="78"/>
        <v>0</v>
      </c>
      <c r="O77" s="133">
        <f t="shared" ref="O77" si="81">N77-J77</f>
        <v>0</v>
      </c>
    </row>
    <row r="78" spans="1:20" s="5" customFormat="1" ht="26.4" customHeight="1" thickBot="1" x14ac:dyDescent="0.3">
      <c r="A78" s="29">
        <f t="shared" si="77"/>
        <v>72</v>
      </c>
      <c r="C78" s="14"/>
      <c r="D78" s="6" t="s">
        <v>19</v>
      </c>
      <c r="E78" s="6"/>
      <c r="F78" s="93"/>
      <c r="G78" s="92">
        <f>G72+G77</f>
        <v>477429.7072</v>
      </c>
      <c r="H78" s="6"/>
      <c r="I78" s="120">
        <f>I77+I72</f>
        <v>477429.7072</v>
      </c>
      <c r="J78" s="6"/>
      <c r="K78" s="6"/>
      <c r="L78" s="6"/>
      <c r="M78" s="134">
        <f>M77+M72</f>
        <v>499141.07511999999</v>
      </c>
      <c r="N78" s="134">
        <f t="shared" si="78"/>
        <v>21711.36791999999</v>
      </c>
      <c r="O78" s="135">
        <f>IF(I78=0,0,N78/I78)</f>
        <v>4.5475527795141753E-2</v>
      </c>
      <c r="P78" s="2"/>
      <c r="Q78" s="2"/>
      <c r="R78" s="2"/>
    </row>
    <row r="79" spans="1:20" ht="13.8" thickTop="1" x14ac:dyDescent="0.25">
      <c r="A79" s="29">
        <f t="shared" si="77"/>
        <v>73</v>
      </c>
      <c r="D79" s="2" t="s">
        <v>18</v>
      </c>
      <c r="E79" s="115">
        <f>E71/E70</f>
        <v>38594.678571428572</v>
      </c>
      <c r="G79" s="146">
        <f>G78/E70</f>
        <v>4262.7652428571428</v>
      </c>
      <c r="I79" s="136">
        <f>I78/E70</f>
        <v>4262.7652428571428</v>
      </c>
      <c r="M79" s="136">
        <f>M78/E70</f>
        <v>4456.6167421428572</v>
      </c>
      <c r="N79" s="136">
        <f>M79-I79</f>
        <v>193.85149928571445</v>
      </c>
      <c r="O79" s="124">
        <f>N79/I79</f>
        <v>4.5475527795141815E-2</v>
      </c>
    </row>
    <row r="80" spans="1:20" ht="13.8" thickBot="1" x14ac:dyDescent="0.3">
      <c r="A80" s="29">
        <f t="shared" si="77"/>
        <v>74</v>
      </c>
      <c r="E80" s="2"/>
      <c r="G80" s="145"/>
    </row>
    <row r="81" spans="1:20" x14ac:dyDescent="0.25">
      <c r="A81" s="29">
        <f t="shared" si="77"/>
        <v>75</v>
      </c>
      <c r="B81" s="137" t="s">
        <v>91</v>
      </c>
      <c r="C81" s="23" t="s">
        <v>90</v>
      </c>
      <c r="D81" s="22"/>
      <c r="E81" s="22"/>
      <c r="F81" s="96"/>
      <c r="G81" s="147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1:20" x14ac:dyDescent="0.25">
      <c r="A82" s="29">
        <f t="shared" si="77"/>
        <v>76</v>
      </c>
      <c r="B82" s="138"/>
      <c r="C82" s="2"/>
      <c r="D82" s="2" t="s">
        <v>17</v>
      </c>
      <c r="E82" s="114">
        <v>108</v>
      </c>
      <c r="F82" s="88">
        <v>623.64</v>
      </c>
      <c r="G82" s="87">
        <f>F82*E82</f>
        <v>67353.119999999995</v>
      </c>
      <c r="H82" s="115">
        <v>623.64</v>
      </c>
      <c r="I82" s="123">
        <f>H82*E82</f>
        <v>67353.119999999995</v>
      </c>
      <c r="J82" s="124">
        <f>I82/I86</f>
        <v>1.6560011838958628E-2</v>
      </c>
      <c r="K82" s="124"/>
      <c r="L82" s="115">
        <f>ROUND(H82*S86,2)</f>
        <v>680.26</v>
      </c>
      <c r="M82" s="123">
        <f>L82*E82</f>
        <v>73468.08</v>
      </c>
      <c r="N82" s="123">
        <f>M82-I82</f>
        <v>6114.9600000000064</v>
      </c>
      <c r="O82" s="124">
        <f>IF(I82=0,0,N82/I82)</f>
        <v>9.0789558078378657E-2</v>
      </c>
      <c r="P82" s="124">
        <f>M82/M$86</f>
        <v>1.655937211625615E-2</v>
      </c>
      <c r="Q82" s="125">
        <f>P82-J82</f>
        <v>-6.397227024779184E-7</v>
      </c>
      <c r="R82" s="125"/>
      <c r="T82" s="4">
        <f t="shared" ref="T82:T85" si="82">L82/H82-1</f>
        <v>9.0789558078378629E-2</v>
      </c>
    </row>
    <row r="83" spans="1:20" x14ac:dyDescent="0.25">
      <c r="A83" s="29">
        <f t="shared" si="77"/>
        <v>77</v>
      </c>
      <c r="D83" s="2" t="s">
        <v>79</v>
      </c>
      <c r="E83" s="114">
        <v>105600</v>
      </c>
      <c r="F83" s="88">
        <v>7.39</v>
      </c>
      <c r="G83" s="87">
        <f t="shared" ref="G83" si="83">F83*E83</f>
        <v>780384</v>
      </c>
      <c r="H83" s="115">
        <v>7.39</v>
      </c>
      <c r="I83" s="123">
        <f t="shared" ref="I83" si="84">H83*E83</f>
        <v>780384</v>
      </c>
      <c r="J83" s="124">
        <f>I83/I86</f>
        <v>0.1918718580361814</v>
      </c>
      <c r="K83" s="124"/>
      <c r="L83" s="115">
        <f>ROUND(H83*S$86,2)</f>
        <v>8.06</v>
      </c>
      <c r="M83" s="123">
        <f t="shared" ref="M83" si="85">L83*E83</f>
        <v>851136</v>
      </c>
      <c r="N83" s="123">
        <f t="shared" ref="N83" si="86">M83-I83</f>
        <v>70752</v>
      </c>
      <c r="O83" s="124">
        <f t="shared" ref="O83" si="87">IF(I83=0,0,N83/I83)</f>
        <v>9.0663058186738837E-2</v>
      </c>
      <c r="P83" s="124">
        <f>M83/M$86</f>
        <v>0.19184219521650483</v>
      </c>
      <c r="Q83" s="125">
        <f t="shared" ref="Q83" si="88">P83-J83</f>
        <v>-2.966281967656248E-5</v>
      </c>
      <c r="R83" s="125"/>
      <c r="T83" s="4">
        <f t="shared" si="82"/>
        <v>9.0663058186738921E-2</v>
      </c>
    </row>
    <row r="84" spans="1:20" x14ac:dyDescent="0.25">
      <c r="A84" s="29">
        <f t="shared" si="77"/>
        <v>78</v>
      </c>
      <c r="B84" s="2">
        <v>106013</v>
      </c>
      <c r="D84" s="2" t="s">
        <v>78</v>
      </c>
      <c r="E84" s="114">
        <v>3431</v>
      </c>
      <c r="F84" s="88">
        <v>10.29</v>
      </c>
      <c r="G84" s="87">
        <f t="shared" ref="G84" si="89">F84*E84</f>
        <v>35304.99</v>
      </c>
      <c r="H84" s="115">
        <v>10.29</v>
      </c>
      <c r="I84" s="123">
        <f t="shared" ref="I84" si="90">H84*E84</f>
        <v>35304.99</v>
      </c>
      <c r="J84" s="124">
        <f>I84/I86</f>
        <v>8.6803855912586658E-3</v>
      </c>
      <c r="K84" s="124"/>
      <c r="L84" s="115">
        <f>ROUND(H84*S$86,2)</f>
        <v>11.22</v>
      </c>
      <c r="M84" s="123">
        <f t="shared" ref="M84" si="91">L84*E84</f>
        <v>38495.82</v>
      </c>
      <c r="N84" s="123">
        <f t="shared" ref="N84" si="92">M84-I84</f>
        <v>3190.8300000000017</v>
      </c>
      <c r="O84" s="124">
        <f t="shared" ref="O84" si="93">IF(I84=0,0,N84/I84)</f>
        <v>9.0379008746355738E-2</v>
      </c>
      <c r="P84" s="124">
        <f>M84/M$86</f>
        <v>8.6767832819425218E-3</v>
      </c>
      <c r="Q84" s="125">
        <f t="shared" ref="Q84" si="94">P84-J84</f>
        <v>-3.6023093161439979E-6</v>
      </c>
      <c r="R84" s="125"/>
      <c r="T84" s="4">
        <f t="shared" ref="T84" si="95">L84/H84-1</f>
        <v>9.0379008746355849E-2</v>
      </c>
    </row>
    <row r="85" spans="1:20" x14ac:dyDescent="0.25">
      <c r="A85" s="29">
        <f t="shared" si="77"/>
        <v>79</v>
      </c>
      <c r="B85" s="55"/>
      <c r="D85" s="2" t="s">
        <v>47</v>
      </c>
      <c r="E85" s="114">
        <v>52805512</v>
      </c>
      <c r="F85" s="142">
        <v>4.8669999999999998E-2</v>
      </c>
      <c r="G85" s="87">
        <f t="shared" ref="G85" si="96">F85*E85</f>
        <v>2570044.2690399997</v>
      </c>
      <c r="H85" s="116">
        <v>6.0299999999999999E-2</v>
      </c>
      <c r="I85" s="123">
        <f t="shared" ref="I85" si="97">H85*E85</f>
        <v>3184172.3736</v>
      </c>
      <c r="J85" s="124">
        <f>I85/I86</f>
        <v>0.78288774453360133</v>
      </c>
      <c r="K85" s="124"/>
      <c r="L85" s="118">
        <f>ROUND(H85*S86,5)</f>
        <v>6.5780000000000005E-2</v>
      </c>
      <c r="M85" s="123">
        <f t="shared" ref="M85" si="98">L85*E85</f>
        <v>3473546.5793600003</v>
      </c>
      <c r="N85" s="123">
        <f t="shared" ref="N85:N93" si="99">M85-I85</f>
        <v>289374.20576000027</v>
      </c>
      <c r="O85" s="124">
        <f t="shared" ref="O85" si="100">IF(I85=0,0,N85/I85)</f>
        <v>9.0878938640132759E-2</v>
      </c>
      <c r="P85" s="124">
        <f>M85/M$86</f>
        <v>0.78292164938529651</v>
      </c>
      <c r="Q85" s="125">
        <f t="shared" ref="Q85:Q86" si="101">P85-J85</f>
        <v>3.3904851695187865E-5</v>
      </c>
      <c r="R85" s="125"/>
      <c r="T85" s="4">
        <f t="shared" si="82"/>
        <v>9.0878938640132745E-2</v>
      </c>
    </row>
    <row r="86" spans="1:20" s="5" customFormat="1" ht="20.399999999999999" customHeight="1" x14ac:dyDescent="0.3">
      <c r="A86" s="29">
        <f t="shared" si="77"/>
        <v>80</v>
      </c>
      <c r="C86" s="14"/>
      <c r="D86" s="16" t="s">
        <v>6</v>
      </c>
      <c r="E86" s="16"/>
      <c r="F86" s="89"/>
      <c r="G86" s="17">
        <f>SUM(G82:G85)</f>
        <v>3453086.3790399996</v>
      </c>
      <c r="H86" s="16"/>
      <c r="I86" s="126">
        <f>SUM(I82:I85)</f>
        <v>4067214.4835999999</v>
      </c>
      <c r="J86" s="127">
        <f>SUM(J82:J85)</f>
        <v>1</v>
      </c>
      <c r="K86" s="128">
        <f>I86+Summary!I19</f>
        <v>4436504.5936000003</v>
      </c>
      <c r="L86" s="16"/>
      <c r="M86" s="126">
        <f>SUM(M82:M85)</f>
        <v>4436646.4793600002</v>
      </c>
      <c r="N86" s="126">
        <f>SUM(N82:N85)</f>
        <v>369431.99576000031</v>
      </c>
      <c r="O86" s="127">
        <f t="shared" ref="O86" si="102">N86/I86</f>
        <v>9.0831697529018984E-2</v>
      </c>
      <c r="P86" s="127">
        <f>SUM(P82:P85)</f>
        <v>1</v>
      </c>
      <c r="Q86" s="129">
        <f t="shared" si="101"/>
        <v>0</v>
      </c>
      <c r="R86" s="130">
        <f>M86-K86</f>
        <v>141.88575999997556</v>
      </c>
      <c r="S86" s="5">
        <f>K86/I86</f>
        <v>1.0907968122873943</v>
      </c>
    </row>
    <row r="87" spans="1:20" x14ac:dyDescent="0.25">
      <c r="A87" s="29">
        <f t="shared" si="77"/>
        <v>81</v>
      </c>
      <c r="D87" s="2" t="s">
        <v>26</v>
      </c>
      <c r="E87" s="2"/>
      <c r="G87" s="87">
        <v>606403</v>
      </c>
      <c r="I87" s="36">
        <f>G87-($H$173*E85)</f>
        <v>-7725.104560000007</v>
      </c>
      <c r="K87" s="36"/>
      <c r="M87" s="123">
        <f>I87</f>
        <v>-7725.104560000007</v>
      </c>
      <c r="N87" s="123">
        <f t="shared" si="99"/>
        <v>0</v>
      </c>
      <c r="O87" s="115">
        <v>0</v>
      </c>
    </row>
    <row r="88" spans="1:20" x14ac:dyDescent="0.25">
      <c r="A88" s="29">
        <f t="shared" si="77"/>
        <v>82</v>
      </c>
      <c r="D88" s="2" t="s">
        <v>27</v>
      </c>
      <c r="E88" s="2"/>
      <c r="G88" s="87">
        <v>524113</v>
      </c>
      <c r="I88" s="36">
        <f t="shared" ref="I88:I90" si="103">G88</f>
        <v>524113</v>
      </c>
      <c r="M88" s="123">
        <f t="shared" ref="M88:M90" si="104">I88</f>
        <v>524113</v>
      </c>
      <c r="N88" s="123">
        <f t="shared" si="99"/>
        <v>0</v>
      </c>
      <c r="O88" s="115">
        <v>0</v>
      </c>
    </row>
    <row r="89" spans="1:20" x14ac:dyDescent="0.25">
      <c r="A89" s="29">
        <f t="shared" si="77"/>
        <v>83</v>
      </c>
      <c r="D89" s="2" t="s">
        <v>29</v>
      </c>
      <c r="E89" s="2"/>
      <c r="G89" s="87">
        <v>0</v>
      </c>
      <c r="I89" s="36">
        <f t="shared" si="103"/>
        <v>0</v>
      </c>
      <c r="M89" s="123">
        <f t="shared" si="104"/>
        <v>0</v>
      </c>
      <c r="N89" s="123">
        <f t="shared" si="99"/>
        <v>0</v>
      </c>
      <c r="O89" s="115">
        <v>0</v>
      </c>
    </row>
    <row r="90" spans="1:20" x14ac:dyDescent="0.25">
      <c r="A90" s="29">
        <f t="shared" si="77"/>
        <v>84</v>
      </c>
      <c r="D90" s="2" t="s">
        <v>39</v>
      </c>
      <c r="E90" s="2"/>
      <c r="G90" s="87">
        <v>0</v>
      </c>
      <c r="I90" s="36">
        <f t="shared" si="103"/>
        <v>0</v>
      </c>
      <c r="M90" s="123">
        <f t="shared" si="104"/>
        <v>0</v>
      </c>
      <c r="N90" s="123"/>
      <c r="O90" s="115"/>
    </row>
    <row r="91" spans="1:20" x14ac:dyDescent="0.25">
      <c r="A91" s="29">
        <f t="shared" si="77"/>
        <v>85</v>
      </c>
      <c r="D91" s="12" t="s">
        <v>8</v>
      </c>
      <c r="E91" s="12"/>
      <c r="F91" s="91"/>
      <c r="G91" s="90">
        <f>SUM(G87:G90)</f>
        <v>1130516</v>
      </c>
      <c r="H91" s="12"/>
      <c r="I91" s="132">
        <f>SUM(I87:I90)</f>
        <v>516387.89543999999</v>
      </c>
      <c r="J91" s="12"/>
      <c r="K91" s="12"/>
      <c r="L91" s="12"/>
      <c r="M91" s="132">
        <f>SUM(M87:M90)</f>
        <v>516387.89543999999</v>
      </c>
      <c r="N91" s="132">
        <f t="shared" si="99"/>
        <v>0</v>
      </c>
      <c r="O91" s="133">
        <f t="shared" ref="O91" si="105">N91-J91</f>
        <v>0</v>
      </c>
    </row>
    <row r="92" spans="1:20" s="5" customFormat="1" ht="26.4" customHeight="1" thickBot="1" x14ac:dyDescent="0.3">
      <c r="A92" s="29">
        <f t="shared" si="77"/>
        <v>86</v>
      </c>
      <c r="C92" s="14"/>
      <c r="D92" s="6" t="s">
        <v>19</v>
      </c>
      <c r="E92" s="6"/>
      <c r="F92" s="93"/>
      <c r="G92" s="92">
        <f>G86+G91</f>
        <v>4583602.3790399991</v>
      </c>
      <c r="H92" s="6"/>
      <c r="I92" s="120">
        <f>I91+I86</f>
        <v>4583602.37904</v>
      </c>
      <c r="J92" s="6"/>
      <c r="K92" s="6"/>
      <c r="L92" s="6"/>
      <c r="M92" s="134">
        <f>M91+M86</f>
        <v>4953034.3748000003</v>
      </c>
      <c r="N92" s="134">
        <f t="shared" si="99"/>
        <v>369431.99576000031</v>
      </c>
      <c r="O92" s="135">
        <f>N92/I92</f>
        <v>8.0598613319808721E-2</v>
      </c>
      <c r="P92" s="2"/>
      <c r="Q92" s="2"/>
      <c r="R92" s="2"/>
    </row>
    <row r="93" spans="1:20" ht="13.8" thickTop="1" x14ac:dyDescent="0.25">
      <c r="A93" s="29">
        <f t="shared" si="77"/>
        <v>87</v>
      </c>
      <c r="D93" s="2" t="s">
        <v>18</v>
      </c>
      <c r="E93" s="115">
        <f>E85/E82</f>
        <v>488939.9259259259</v>
      </c>
      <c r="G93" s="146">
        <f>G92/E82</f>
        <v>42440.762768888882</v>
      </c>
      <c r="I93" s="136">
        <f>I92/E82</f>
        <v>42440.76276888889</v>
      </c>
      <c r="M93" s="136">
        <f>M92/E82</f>
        <v>45861.429396296298</v>
      </c>
      <c r="N93" s="136">
        <f t="shared" si="99"/>
        <v>3420.6666274074087</v>
      </c>
      <c r="O93" s="124">
        <f>N93/I93</f>
        <v>8.0598613319808693E-2</v>
      </c>
    </row>
    <row r="94" spans="1:20" ht="13.8" thickBot="1" x14ac:dyDescent="0.3">
      <c r="A94" s="29">
        <f t="shared" si="77"/>
        <v>88</v>
      </c>
      <c r="E94" s="115"/>
      <c r="G94" s="146"/>
      <c r="I94" s="136"/>
      <c r="M94" s="136"/>
      <c r="N94" s="136"/>
      <c r="O94" s="124"/>
    </row>
    <row r="95" spans="1:20" x14ac:dyDescent="0.25">
      <c r="A95" s="29">
        <f t="shared" si="77"/>
        <v>89</v>
      </c>
      <c r="B95" s="137" t="s">
        <v>88</v>
      </c>
      <c r="C95" s="23" t="s">
        <v>89</v>
      </c>
      <c r="D95" s="22"/>
      <c r="E95" s="22"/>
      <c r="F95" s="96"/>
      <c r="G95" s="147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20" x14ac:dyDescent="0.25">
      <c r="A96" s="29">
        <f t="shared" si="77"/>
        <v>90</v>
      </c>
      <c r="B96" s="138"/>
      <c r="C96" s="2"/>
      <c r="D96" s="2" t="s">
        <v>98</v>
      </c>
      <c r="E96" s="114">
        <v>12</v>
      </c>
      <c r="F96" s="88">
        <v>5726.7</v>
      </c>
      <c r="G96" s="87">
        <f>F96*E96</f>
        <v>68720.399999999994</v>
      </c>
      <c r="H96" s="115">
        <v>5726.7</v>
      </c>
      <c r="I96" s="123">
        <f>H96*E96</f>
        <v>68720.399999999994</v>
      </c>
      <c r="J96" s="124">
        <f>I96/I99</f>
        <v>6.2433396436728031E-3</v>
      </c>
      <c r="K96" s="124"/>
      <c r="L96" s="115">
        <v>6127.6</v>
      </c>
      <c r="M96" s="123">
        <f>L96*E96</f>
        <v>73531.200000000012</v>
      </c>
      <c r="N96" s="123">
        <f>M96-I96</f>
        <v>4810.8000000000175</v>
      </c>
      <c r="O96" s="124">
        <f>IF(I96=0,0,N96/I96)</f>
        <v>7.0005413239736927E-2</v>
      </c>
      <c r="P96" s="124">
        <f>M96/M$86</f>
        <v>1.6573599078060219E-2</v>
      </c>
      <c r="Q96" s="125">
        <f>P96-J96</f>
        <v>1.0330259434387416E-2</v>
      </c>
      <c r="R96" s="125"/>
    </row>
    <row r="97" spans="1:20" x14ac:dyDescent="0.25">
      <c r="A97" s="29">
        <f t="shared" si="77"/>
        <v>91</v>
      </c>
      <c r="C97" s="2"/>
      <c r="D97" s="2" t="s">
        <v>49</v>
      </c>
      <c r="E97" s="114">
        <v>304000</v>
      </c>
      <c r="F97" s="88">
        <v>7.3</v>
      </c>
      <c r="G97" s="87">
        <f t="shared" ref="G97:G98" si="106">F97*E97</f>
        <v>2219200</v>
      </c>
      <c r="H97" s="115">
        <v>7.3</v>
      </c>
      <c r="I97" s="123">
        <f t="shared" ref="I97:I98" si="107">H97*E97</f>
        <v>2219200</v>
      </c>
      <c r="J97" s="124">
        <f>I97/I99</f>
        <v>0.20161726848561251</v>
      </c>
      <c r="K97" s="124"/>
      <c r="L97" s="115">
        <v>9.14</v>
      </c>
      <c r="M97" s="123">
        <f t="shared" ref="M97:M98" si="108">L97*E97</f>
        <v>2778560</v>
      </c>
      <c r="N97" s="123">
        <f t="shared" ref="N97:N98" si="109">M97-I97</f>
        <v>559360</v>
      </c>
      <c r="O97" s="124">
        <f t="shared" ref="O97:O98" si="110">IF(I97=0,0,N97/I97)</f>
        <v>0.25205479452054796</v>
      </c>
      <c r="P97" s="124">
        <f>M97/M$86</f>
        <v>0.62627482557519787</v>
      </c>
      <c r="Q97" s="125">
        <f t="shared" ref="Q97:Q99" si="111">P97-J97</f>
        <v>0.42465755708958536</v>
      </c>
      <c r="R97" s="125"/>
    </row>
    <row r="98" spans="1:20" x14ac:dyDescent="0.25">
      <c r="A98" s="29">
        <f t="shared" si="77"/>
        <v>92</v>
      </c>
      <c r="B98" s="55"/>
      <c r="C98" s="2"/>
      <c r="D98" s="2" t="s">
        <v>47</v>
      </c>
      <c r="E98" s="114">
        <v>168192000</v>
      </c>
      <c r="F98" s="142">
        <v>4.0210000000000003E-2</v>
      </c>
      <c r="G98" s="87">
        <f t="shared" si="106"/>
        <v>6763000.3200000003</v>
      </c>
      <c r="H98" s="118">
        <v>5.1839999999999997E-2</v>
      </c>
      <c r="I98" s="123">
        <f t="shared" si="107"/>
        <v>8719073.2799999993</v>
      </c>
      <c r="J98" s="124">
        <f>I98/I99</f>
        <v>0.79213939187071469</v>
      </c>
      <c r="K98" s="124"/>
      <c r="L98" s="118">
        <f>H98*S98</f>
        <v>5.582174705098937E-2</v>
      </c>
      <c r="M98" s="123">
        <f t="shared" si="108"/>
        <v>9388771.2800000049</v>
      </c>
      <c r="N98" s="123">
        <f t="shared" si="109"/>
        <v>669698.00000000559</v>
      </c>
      <c r="O98" s="124">
        <f t="shared" si="110"/>
        <v>7.6808392187295127E-2</v>
      </c>
      <c r="P98" s="124">
        <f>M98/M$86</f>
        <v>2.1161864763573326</v>
      </c>
      <c r="Q98" s="125">
        <f t="shared" si="111"/>
        <v>1.3240470844866179</v>
      </c>
      <c r="R98" s="125"/>
      <c r="S98" s="107">
        <v>1.0768083921872951</v>
      </c>
    </row>
    <row r="99" spans="1:20" ht="27" customHeight="1" x14ac:dyDescent="0.25">
      <c r="A99" s="29">
        <f t="shared" si="77"/>
        <v>93</v>
      </c>
      <c r="B99" s="5"/>
      <c r="C99" s="2"/>
      <c r="D99" s="16" t="s">
        <v>6</v>
      </c>
      <c r="E99" s="16"/>
      <c r="F99" s="89"/>
      <c r="G99" s="17">
        <f>SUM(G96:G98)</f>
        <v>9050920.7200000007</v>
      </c>
      <c r="H99" s="16"/>
      <c r="I99" s="126">
        <f>SUM(I96:I98)</f>
        <v>11006993.68</v>
      </c>
      <c r="J99" s="127">
        <f>SUM(J96:J98)</f>
        <v>1</v>
      </c>
      <c r="K99" s="128">
        <f>I99+Summary!I20</f>
        <v>12240862.48</v>
      </c>
      <c r="L99" s="16"/>
      <c r="M99" s="126">
        <f>SUM(M96:M98)</f>
        <v>12240862.480000004</v>
      </c>
      <c r="N99" s="126">
        <f>SUM(N96:N98)</f>
        <v>1233868.8000000056</v>
      </c>
      <c r="O99" s="127">
        <f t="shared" ref="O99" si="112">N99/I99</f>
        <v>0.11209861982949787</v>
      </c>
      <c r="P99" s="127">
        <f>SUM(P96:P98)</f>
        <v>2.7590349010105908</v>
      </c>
      <c r="Q99" s="129">
        <f t="shared" si="111"/>
        <v>1.7590349010105908</v>
      </c>
      <c r="R99" s="130">
        <f>M99-K99</f>
        <v>0</v>
      </c>
      <c r="S99" s="5">
        <f>K99/I99</f>
        <v>1.1120986198294973</v>
      </c>
    </row>
    <row r="100" spans="1:20" x14ac:dyDescent="0.25">
      <c r="A100" s="29">
        <f t="shared" si="77"/>
        <v>94</v>
      </c>
      <c r="C100" s="2"/>
      <c r="D100" s="2" t="s">
        <v>26</v>
      </c>
      <c r="E100" s="2"/>
      <c r="G100" s="87">
        <v>1041113</v>
      </c>
      <c r="I100" s="36">
        <f>G100-($H$173*E98)</f>
        <v>-914959.96</v>
      </c>
      <c r="K100" s="36"/>
      <c r="M100" s="123">
        <f>I100</f>
        <v>-914959.96</v>
      </c>
      <c r="N100" s="123">
        <f t="shared" ref="N100:N102" si="113">M100-I100</f>
        <v>0</v>
      </c>
      <c r="O100" s="115">
        <v>0</v>
      </c>
    </row>
    <row r="101" spans="1:20" x14ac:dyDescent="0.25">
      <c r="A101" s="29">
        <f t="shared" si="77"/>
        <v>95</v>
      </c>
      <c r="C101" s="2"/>
      <c r="D101" s="2" t="s">
        <v>27</v>
      </c>
      <c r="E101" s="2"/>
      <c r="G101" s="87">
        <v>1136521</v>
      </c>
      <c r="I101" s="36">
        <f t="shared" ref="I101:I103" si="114">G101</f>
        <v>1136521</v>
      </c>
      <c r="M101" s="123">
        <f t="shared" ref="M101:M103" si="115">I101</f>
        <v>1136521</v>
      </c>
      <c r="N101" s="123">
        <f t="shared" si="113"/>
        <v>0</v>
      </c>
      <c r="O101" s="115">
        <v>0</v>
      </c>
    </row>
    <row r="102" spans="1:20" x14ac:dyDescent="0.25">
      <c r="A102" s="29">
        <f t="shared" si="77"/>
        <v>96</v>
      </c>
      <c r="C102" s="2"/>
      <c r="D102" s="2" t="s">
        <v>29</v>
      </c>
      <c r="E102" s="2"/>
      <c r="G102" s="87">
        <v>0</v>
      </c>
      <c r="I102" s="36">
        <f t="shared" si="114"/>
        <v>0</v>
      </c>
      <c r="M102" s="123">
        <f t="shared" si="115"/>
        <v>0</v>
      </c>
      <c r="N102" s="123">
        <f t="shared" si="113"/>
        <v>0</v>
      </c>
      <c r="O102" s="115">
        <v>0</v>
      </c>
    </row>
    <row r="103" spans="1:20" x14ac:dyDescent="0.25">
      <c r="A103" s="29">
        <f t="shared" si="77"/>
        <v>97</v>
      </c>
      <c r="C103" s="2"/>
      <c r="D103" s="2" t="s">
        <v>39</v>
      </c>
      <c r="E103" s="2"/>
      <c r="G103" s="87">
        <v>0</v>
      </c>
      <c r="I103" s="36">
        <f t="shared" si="114"/>
        <v>0</v>
      </c>
      <c r="M103" s="123">
        <f t="shared" si="115"/>
        <v>0</v>
      </c>
      <c r="N103" s="123"/>
      <c r="O103" s="115"/>
    </row>
    <row r="104" spans="1:20" x14ac:dyDescent="0.25">
      <c r="A104" s="29">
        <f t="shared" si="77"/>
        <v>98</v>
      </c>
      <c r="C104" s="2"/>
      <c r="D104" s="12" t="s">
        <v>8</v>
      </c>
      <c r="E104" s="12"/>
      <c r="F104" s="91"/>
      <c r="G104" s="90">
        <f>SUM(G100:G103)</f>
        <v>2177634</v>
      </c>
      <c r="H104" s="12"/>
      <c r="I104" s="132">
        <f>SUM(I100:I103)</f>
        <v>221561.04000000004</v>
      </c>
      <c r="J104" s="12"/>
      <c r="K104" s="12"/>
      <c r="L104" s="12"/>
      <c r="M104" s="132">
        <f>SUM(M100:M103)</f>
        <v>221561.04000000004</v>
      </c>
      <c r="N104" s="132">
        <f t="shared" ref="N104:N106" si="116">M104-I104</f>
        <v>0</v>
      </c>
      <c r="O104" s="133">
        <f t="shared" ref="O104" si="117">N104-J104</f>
        <v>0</v>
      </c>
    </row>
    <row r="105" spans="1:20" ht="25.5" customHeight="1" thickBot="1" x14ac:dyDescent="0.3">
      <c r="A105" s="29">
        <f t="shared" si="77"/>
        <v>99</v>
      </c>
      <c r="B105" s="5"/>
      <c r="C105" s="2"/>
      <c r="D105" s="6" t="s">
        <v>19</v>
      </c>
      <c r="E105" s="6"/>
      <c r="F105" s="93"/>
      <c r="G105" s="92">
        <f>G99+G104</f>
        <v>11228554.720000001</v>
      </c>
      <c r="H105" s="6"/>
      <c r="I105" s="120">
        <f>I104+I99</f>
        <v>11228554.719999999</v>
      </c>
      <c r="J105" s="6"/>
      <c r="K105" s="6"/>
      <c r="L105" s="6"/>
      <c r="M105" s="134">
        <f>M104+M99</f>
        <v>12462423.520000003</v>
      </c>
      <c r="N105" s="134">
        <f t="shared" si="116"/>
        <v>1233868.8000000045</v>
      </c>
      <c r="O105" s="135">
        <f>N105/I105</f>
        <v>0.10988669786702564</v>
      </c>
    </row>
    <row r="106" spans="1:20" x14ac:dyDescent="0.25">
      <c r="A106" s="29">
        <f t="shared" si="77"/>
        <v>100</v>
      </c>
      <c r="C106" s="2"/>
      <c r="D106" s="2" t="s">
        <v>18</v>
      </c>
      <c r="E106" s="115">
        <f>E98/E96</f>
        <v>14016000</v>
      </c>
      <c r="G106" s="146">
        <f>G105/E96</f>
        <v>935712.89333333343</v>
      </c>
      <c r="I106" s="136">
        <f>I105/E96</f>
        <v>935712.8933333332</v>
      </c>
      <c r="M106" s="36">
        <f>M105/E96</f>
        <v>1038535.2933333336</v>
      </c>
      <c r="N106" s="136">
        <f t="shared" si="116"/>
        <v>102822.40000000037</v>
      </c>
      <c r="O106" s="124">
        <f>N106/I106</f>
        <v>0.10988669786702564</v>
      </c>
    </row>
    <row r="107" spans="1:20" ht="13.8" thickBot="1" x14ac:dyDescent="0.3">
      <c r="A107" s="29">
        <f t="shared" si="77"/>
        <v>101</v>
      </c>
      <c r="E107" s="115"/>
      <c r="G107" s="146"/>
      <c r="I107" s="136"/>
      <c r="M107" s="136"/>
      <c r="N107" s="136"/>
      <c r="O107" s="124"/>
    </row>
    <row r="108" spans="1:20" x14ac:dyDescent="0.25">
      <c r="A108" s="29">
        <f t="shared" si="77"/>
        <v>102</v>
      </c>
      <c r="B108" s="22" t="s">
        <v>30</v>
      </c>
      <c r="C108" s="23">
        <v>6</v>
      </c>
      <c r="D108" s="22"/>
      <c r="E108" s="22"/>
      <c r="F108" s="96"/>
      <c r="G108" s="147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20" x14ac:dyDescent="0.25">
      <c r="A109" s="29">
        <f t="shared" si="77"/>
        <v>103</v>
      </c>
      <c r="B109" s="26"/>
      <c r="C109" s="25"/>
      <c r="D109" s="2" t="s">
        <v>62</v>
      </c>
      <c r="E109" s="114">
        <v>29703</v>
      </c>
      <c r="F109" s="88">
        <v>10.93</v>
      </c>
      <c r="G109" s="87">
        <f t="shared" ref="G109" si="118">F109*E109</f>
        <v>324653.78999999998</v>
      </c>
      <c r="H109" s="115">
        <v>11.39</v>
      </c>
      <c r="I109" s="123">
        <f t="shared" ref="I109" si="119">H109*E109</f>
        <v>338317.17000000004</v>
      </c>
      <c r="J109" s="124">
        <f t="shared" ref="J109:J127" si="120">I109/I$128</f>
        <v>0.27362701751974083</v>
      </c>
      <c r="K109" s="124"/>
      <c r="L109" s="115">
        <f t="shared" ref="L109:L127" si="121">ROUND(H109*S$128,2)</f>
        <v>11.97</v>
      </c>
      <c r="M109" s="123">
        <f t="shared" ref="M109" si="122">L109*E109</f>
        <v>355544.91000000003</v>
      </c>
      <c r="N109" s="123">
        <f t="shared" ref="N109" si="123">M109-I109</f>
        <v>17227.739999999991</v>
      </c>
      <c r="O109" s="124">
        <f t="shared" ref="O109" si="124">IF(I109=0,0,N109/I109)</f>
        <v>5.0921861281826131E-2</v>
      </c>
      <c r="P109" s="124">
        <f t="shared" ref="P109:P127" si="125">M109/M$128</f>
        <v>0.27366180999733736</v>
      </c>
      <c r="Q109" s="125">
        <f t="shared" ref="Q109" si="126">P109-J109</f>
        <v>3.4792477596523597E-5</v>
      </c>
      <c r="R109" s="125"/>
      <c r="T109" s="4">
        <f>L109/H109-1</f>
        <v>5.0921861281826075E-2</v>
      </c>
    </row>
    <row r="110" spans="1:20" x14ac:dyDescent="0.25">
      <c r="A110" s="29">
        <f t="shared" si="77"/>
        <v>104</v>
      </c>
      <c r="B110" s="26"/>
      <c r="C110" s="25"/>
      <c r="D110" s="2" t="s">
        <v>63</v>
      </c>
      <c r="E110" s="114">
        <v>11809</v>
      </c>
      <c r="F110" s="88">
        <v>5.79</v>
      </c>
      <c r="G110" s="87">
        <f t="shared" ref="G110:G111" si="127">F110*E110</f>
        <v>68374.11</v>
      </c>
      <c r="H110" s="115">
        <v>5.79</v>
      </c>
      <c r="I110" s="123">
        <f t="shared" ref="I110:I111" si="128">H110*E110</f>
        <v>68374.11</v>
      </c>
      <c r="J110" s="124">
        <f t="shared" si="120"/>
        <v>5.5300190040211923E-2</v>
      </c>
      <c r="K110" s="124"/>
      <c r="L110" s="115">
        <f t="shared" si="121"/>
        <v>6.08</v>
      </c>
      <c r="M110" s="123">
        <f t="shared" ref="M110:M111" si="129">L110*E110</f>
        <v>71798.720000000001</v>
      </c>
      <c r="N110" s="123">
        <f t="shared" ref="N110:N111" si="130">M110-I110</f>
        <v>3424.6100000000006</v>
      </c>
      <c r="O110" s="124">
        <f t="shared" ref="O110:O111" si="131">IF(I110=0,0,N110/I110)</f>
        <v>5.0086355785837658E-2</v>
      </c>
      <c r="P110" s="124">
        <f t="shared" si="125"/>
        <v>5.5263251190101476E-2</v>
      </c>
      <c r="Q110" s="125">
        <f t="shared" ref="Q110:Q111" si="132">P110-J110</f>
        <v>-3.6938850110447563E-5</v>
      </c>
      <c r="R110" s="125"/>
      <c r="T110" s="4">
        <f t="shared" ref="T110:T122" si="133">L110/H110-1</f>
        <v>5.0086355785837755E-2</v>
      </c>
    </row>
    <row r="111" spans="1:20" x14ac:dyDescent="0.25">
      <c r="A111" s="29">
        <f t="shared" si="77"/>
        <v>105</v>
      </c>
      <c r="B111" s="26"/>
      <c r="C111" s="25"/>
      <c r="D111" s="2" t="s">
        <v>62</v>
      </c>
      <c r="E111" s="114">
        <v>1141</v>
      </c>
      <c r="F111" s="88">
        <f>F109</f>
        <v>10.93</v>
      </c>
      <c r="G111" s="87">
        <f t="shared" si="127"/>
        <v>12471.13</v>
      </c>
      <c r="H111" s="115">
        <f>H109</f>
        <v>11.39</v>
      </c>
      <c r="I111" s="123">
        <f t="shared" si="128"/>
        <v>12995.99</v>
      </c>
      <c r="J111" s="124">
        <f t="shared" si="120"/>
        <v>1.0511006530990951E-2</v>
      </c>
      <c r="K111" s="124"/>
      <c r="L111" s="115">
        <f t="shared" si="121"/>
        <v>11.97</v>
      </c>
      <c r="M111" s="123">
        <f t="shared" si="129"/>
        <v>13657.77</v>
      </c>
      <c r="N111" s="123">
        <f t="shared" si="130"/>
        <v>661.78000000000065</v>
      </c>
      <c r="O111" s="124">
        <f t="shared" si="131"/>
        <v>5.0921861281826214E-2</v>
      </c>
      <c r="P111" s="124">
        <f t="shared" si="125"/>
        <v>1.0512343036291347E-2</v>
      </c>
      <c r="Q111" s="125">
        <f t="shared" si="132"/>
        <v>1.3365053003963623E-6</v>
      </c>
      <c r="R111" s="125"/>
      <c r="T111" s="4">
        <f t="shared" si="133"/>
        <v>5.0921861281826075E-2</v>
      </c>
    </row>
    <row r="112" spans="1:20" x14ac:dyDescent="0.25">
      <c r="A112" s="29">
        <f t="shared" si="77"/>
        <v>106</v>
      </c>
      <c r="B112" s="26"/>
      <c r="C112" s="25"/>
      <c r="D112" s="2" t="s">
        <v>63</v>
      </c>
      <c r="E112" s="114">
        <v>869</v>
      </c>
      <c r="F112" s="88">
        <f>F110</f>
        <v>5.79</v>
      </c>
      <c r="G112" s="87">
        <f t="shared" ref="G112:G122" si="134">F112*E112</f>
        <v>5031.51</v>
      </c>
      <c r="H112" s="115">
        <f>H110</f>
        <v>5.79</v>
      </c>
      <c r="I112" s="123">
        <f t="shared" ref="I112:I122" si="135">H112*E112</f>
        <v>5031.51</v>
      </c>
      <c r="J112" s="124">
        <f t="shared" si="120"/>
        <v>4.0694271441226318E-3</v>
      </c>
      <c r="K112" s="124"/>
      <c r="L112" s="115">
        <f t="shared" si="121"/>
        <v>6.08</v>
      </c>
      <c r="M112" s="123">
        <f t="shared" ref="M112:M122" si="136">L112*E112</f>
        <v>5283.52</v>
      </c>
      <c r="N112" s="123">
        <f t="shared" ref="N112:N122" si="137">M112-I112</f>
        <v>252.01000000000022</v>
      </c>
      <c r="O112" s="124">
        <f t="shared" ref="O112:O122" si="138">IF(I112=0,0,N112/I112)</f>
        <v>5.0086355785837693E-2</v>
      </c>
      <c r="P112" s="124">
        <f t="shared" si="125"/>
        <v>4.0667088901852983E-3</v>
      </c>
      <c r="Q112" s="125">
        <f t="shared" ref="Q112:Q122" si="139">P112-J112</f>
        <v>-2.7182539373334785E-6</v>
      </c>
      <c r="R112" s="125"/>
      <c r="T112" s="4">
        <f t="shared" si="133"/>
        <v>5.0086355785837755E-2</v>
      </c>
    </row>
    <row r="113" spans="1:20" x14ac:dyDescent="0.25">
      <c r="A113" s="29">
        <f t="shared" si="77"/>
        <v>107</v>
      </c>
      <c r="B113" s="26"/>
      <c r="C113" s="25"/>
      <c r="D113" s="2" t="s">
        <v>64</v>
      </c>
      <c r="E113" s="114">
        <v>2154</v>
      </c>
      <c r="F113" s="88">
        <v>13.61</v>
      </c>
      <c r="G113" s="87">
        <f t="shared" si="134"/>
        <v>29315.94</v>
      </c>
      <c r="H113" s="115">
        <v>13.84</v>
      </c>
      <c r="I113" s="123">
        <f t="shared" si="135"/>
        <v>29811.360000000001</v>
      </c>
      <c r="J113" s="124">
        <f t="shared" si="120"/>
        <v>2.4111083469418058E-2</v>
      </c>
      <c r="K113" s="124"/>
      <c r="L113" s="115">
        <f t="shared" si="121"/>
        <v>14.54</v>
      </c>
      <c r="M113" s="123">
        <f t="shared" si="136"/>
        <v>31319.16</v>
      </c>
      <c r="N113" s="123">
        <f t="shared" si="137"/>
        <v>1507.7999999999993</v>
      </c>
      <c r="O113" s="124">
        <f t="shared" si="138"/>
        <v>5.05780346820809E-2</v>
      </c>
      <c r="P113" s="124">
        <f t="shared" si="125"/>
        <v>2.4106259918602706E-2</v>
      </c>
      <c r="Q113" s="125">
        <f t="shared" si="139"/>
        <v>-4.823550815352684E-6</v>
      </c>
      <c r="R113" s="125"/>
      <c r="T113" s="4">
        <f t="shared" si="133"/>
        <v>5.0578034682080775E-2</v>
      </c>
    </row>
    <row r="114" spans="1:20" x14ac:dyDescent="0.25">
      <c r="A114" s="29">
        <f t="shared" si="77"/>
        <v>108</v>
      </c>
      <c r="B114" s="26"/>
      <c r="C114" s="25"/>
      <c r="D114" s="2" t="s">
        <v>64</v>
      </c>
      <c r="E114" s="114">
        <v>1156</v>
      </c>
      <c r="F114" s="88">
        <f>F113</f>
        <v>13.61</v>
      </c>
      <c r="G114" s="87">
        <f t="shared" si="134"/>
        <v>15733.16</v>
      </c>
      <c r="H114" s="115">
        <f>H113</f>
        <v>13.84</v>
      </c>
      <c r="I114" s="123">
        <f t="shared" si="135"/>
        <v>15999.039999999999</v>
      </c>
      <c r="J114" s="124">
        <f t="shared" si="120"/>
        <v>1.2939838667895671E-2</v>
      </c>
      <c r="K114" s="124"/>
      <c r="L114" s="115">
        <f t="shared" si="121"/>
        <v>14.54</v>
      </c>
      <c r="M114" s="123">
        <f t="shared" si="136"/>
        <v>16808.239999999998</v>
      </c>
      <c r="N114" s="123">
        <f t="shared" si="137"/>
        <v>809.19999999999891</v>
      </c>
      <c r="O114" s="124">
        <f t="shared" si="138"/>
        <v>5.0578034682080858E-2</v>
      </c>
      <c r="P114" s="124">
        <f t="shared" si="125"/>
        <v>1.2937249984171182E-2</v>
      </c>
      <c r="Q114" s="125">
        <f t="shared" si="139"/>
        <v>-2.5886837244897681E-6</v>
      </c>
      <c r="R114" s="125"/>
      <c r="T114" s="4">
        <f t="shared" si="133"/>
        <v>5.0578034682080775E-2</v>
      </c>
    </row>
    <row r="115" spans="1:20" x14ac:dyDescent="0.25">
      <c r="A115" s="29">
        <f t="shared" si="77"/>
        <v>109</v>
      </c>
      <c r="B115" s="26"/>
      <c r="C115" s="25"/>
      <c r="D115" s="2" t="s">
        <v>65</v>
      </c>
      <c r="E115" s="114">
        <v>403</v>
      </c>
      <c r="F115" s="88">
        <v>17.649999999999999</v>
      </c>
      <c r="G115" s="87">
        <f t="shared" si="134"/>
        <v>7112.95</v>
      </c>
      <c r="H115" s="115">
        <v>18.11</v>
      </c>
      <c r="I115" s="123">
        <f t="shared" si="135"/>
        <v>7298.33</v>
      </c>
      <c r="J115" s="124">
        <f t="shared" si="120"/>
        <v>5.9028049648643301E-3</v>
      </c>
      <c r="K115" s="124"/>
      <c r="L115" s="115">
        <f t="shared" si="121"/>
        <v>19.03</v>
      </c>
      <c r="M115" s="123">
        <f t="shared" si="136"/>
        <v>7669.09</v>
      </c>
      <c r="N115" s="123">
        <f t="shared" si="137"/>
        <v>370.76000000000022</v>
      </c>
      <c r="O115" s="124">
        <f t="shared" si="138"/>
        <v>5.0800662617338517E-2</v>
      </c>
      <c r="P115" s="124">
        <f t="shared" si="125"/>
        <v>5.9028746900988676E-3</v>
      </c>
      <c r="Q115" s="125">
        <f t="shared" si="139"/>
        <v>6.9725234537465486E-8</v>
      </c>
      <c r="R115" s="125"/>
      <c r="T115" s="4">
        <f t="shared" si="133"/>
        <v>5.080066261733851E-2</v>
      </c>
    </row>
    <row r="116" spans="1:20" x14ac:dyDescent="0.25">
      <c r="A116" s="29">
        <f t="shared" si="77"/>
        <v>110</v>
      </c>
      <c r="B116" s="26"/>
      <c r="C116" s="25"/>
      <c r="D116" s="2" t="s">
        <v>65</v>
      </c>
      <c r="E116" s="114">
        <v>560</v>
      </c>
      <c r="F116" s="88">
        <f>F115</f>
        <v>17.649999999999999</v>
      </c>
      <c r="G116" s="87">
        <f t="shared" si="134"/>
        <v>9884</v>
      </c>
      <c r="H116" s="115">
        <f>H115</f>
        <v>18.11</v>
      </c>
      <c r="I116" s="123">
        <f t="shared" si="135"/>
        <v>10141.6</v>
      </c>
      <c r="J116" s="124">
        <f t="shared" si="120"/>
        <v>8.2024088841787229E-3</v>
      </c>
      <c r="K116" s="124"/>
      <c r="L116" s="115">
        <f t="shared" si="121"/>
        <v>19.03</v>
      </c>
      <c r="M116" s="123">
        <f t="shared" si="136"/>
        <v>10656.800000000001</v>
      </c>
      <c r="N116" s="123">
        <f t="shared" si="137"/>
        <v>515.20000000000073</v>
      </c>
      <c r="O116" s="124">
        <f t="shared" si="138"/>
        <v>5.0800662617338559E-2</v>
      </c>
      <c r="P116" s="124">
        <f t="shared" si="125"/>
        <v>8.2025057728420999E-3</v>
      </c>
      <c r="Q116" s="125">
        <f t="shared" si="139"/>
        <v>9.6888663377037165E-8</v>
      </c>
      <c r="R116" s="125"/>
      <c r="T116" s="4">
        <f t="shared" si="133"/>
        <v>5.080066261733851E-2</v>
      </c>
    </row>
    <row r="117" spans="1:20" x14ac:dyDescent="0.25">
      <c r="A117" s="29">
        <f t="shared" si="77"/>
        <v>111</v>
      </c>
      <c r="B117" s="26"/>
      <c r="C117" s="25"/>
      <c r="D117" s="2" t="s">
        <v>66</v>
      </c>
      <c r="E117" s="114">
        <v>3806</v>
      </c>
      <c r="F117" s="88">
        <v>13.9</v>
      </c>
      <c r="G117" s="87">
        <f t="shared" si="134"/>
        <v>52903.4</v>
      </c>
      <c r="H117" s="115">
        <v>15.9</v>
      </c>
      <c r="I117" s="123">
        <f t="shared" si="135"/>
        <v>60515.4</v>
      </c>
      <c r="J117" s="124">
        <f t="shared" si="120"/>
        <v>4.894415620707078E-2</v>
      </c>
      <c r="K117" s="124"/>
      <c r="L117" s="115">
        <f t="shared" si="121"/>
        <v>16.7</v>
      </c>
      <c r="M117" s="123">
        <f t="shared" si="136"/>
        <v>63560.2</v>
      </c>
      <c r="N117" s="123">
        <f t="shared" si="137"/>
        <v>3044.7999999999956</v>
      </c>
      <c r="O117" s="124">
        <f t="shared" si="138"/>
        <v>5.0314465408804958E-2</v>
      </c>
      <c r="P117" s="124">
        <f t="shared" si="125"/>
        <v>4.8922088002308226E-2</v>
      </c>
      <c r="Q117" s="125">
        <f t="shared" si="139"/>
        <v>-2.2068204762554222E-5</v>
      </c>
      <c r="R117" s="125"/>
      <c r="T117" s="4">
        <f t="shared" si="133"/>
        <v>5.031446540880502E-2</v>
      </c>
    </row>
    <row r="118" spans="1:20" x14ac:dyDescent="0.25">
      <c r="A118" s="29">
        <f t="shared" si="77"/>
        <v>112</v>
      </c>
      <c r="B118" s="26"/>
      <c r="C118" s="25"/>
      <c r="D118" s="2" t="s">
        <v>66</v>
      </c>
      <c r="E118" s="114">
        <v>505</v>
      </c>
      <c r="F118" s="88">
        <f>F117</f>
        <v>13.9</v>
      </c>
      <c r="G118" s="87">
        <f t="shared" si="134"/>
        <v>7019.5</v>
      </c>
      <c r="H118" s="115">
        <f>H117</f>
        <v>15.9</v>
      </c>
      <c r="I118" s="123">
        <f t="shared" si="135"/>
        <v>8029.5</v>
      </c>
      <c r="J118" s="124">
        <f t="shared" si="120"/>
        <v>6.494166811500458E-3</v>
      </c>
      <c r="K118" s="124"/>
      <c r="L118" s="115">
        <f t="shared" si="121"/>
        <v>16.7</v>
      </c>
      <c r="M118" s="123">
        <f t="shared" si="136"/>
        <v>8433.5</v>
      </c>
      <c r="N118" s="123">
        <f t="shared" si="137"/>
        <v>404</v>
      </c>
      <c r="O118" s="124">
        <f t="shared" si="138"/>
        <v>5.0314465408805034E-2</v>
      </c>
      <c r="P118" s="124">
        <f t="shared" si="125"/>
        <v>6.4912386865910816E-3</v>
      </c>
      <c r="Q118" s="125">
        <f t="shared" si="139"/>
        <v>-2.928124909376377E-6</v>
      </c>
      <c r="R118" s="125"/>
      <c r="T118" s="4">
        <f t="shared" si="133"/>
        <v>5.031446540880502E-2</v>
      </c>
    </row>
    <row r="119" spans="1:20" x14ac:dyDescent="0.25">
      <c r="A119" s="29">
        <f t="shared" si="77"/>
        <v>113</v>
      </c>
      <c r="B119" s="26"/>
      <c r="C119" s="25"/>
      <c r="D119" s="2" t="s">
        <v>67</v>
      </c>
      <c r="E119" s="114">
        <v>1651</v>
      </c>
      <c r="F119" s="88">
        <v>21.1</v>
      </c>
      <c r="G119" s="87">
        <f t="shared" si="134"/>
        <v>34836.100000000006</v>
      </c>
      <c r="H119" s="115">
        <v>22.95</v>
      </c>
      <c r="I119" s="123">
        <f t="shared" si="135"/>
        <v>37890.449999999997</v>
      </c>
      <c r="J119" s="124">
        <f t="shared" si="120"/>
        <v>3.0645358099858962E-2</v>
      </c>
      <c r="K119" s="124"/>
      <c r="L119" s="115">
        <f t="shared" si="121"/>
        <v>24.11</v>
      </c>
      <c r="M119" s="123">
        <f t="shared" si="136"/>
        <v>39805.61</v>
      </c>
      <c r="N119" s="123">
        <f t="shared" si="137"/>
        <v>1915.1600000000035</v>
      </c>
      <c r="O119" s="124">
        <f t="shared" si="138"/>
        <v>5.0544662309368285E-2</v>
      </c>
      <c r="P119" s="124">
        <f t="shared" si="125"/>
        <v>3.0638254055298134E-2</v>
      </c>
      <c r="Q119" s="125">
        <f t="shared" si="139"/>
        <v>-7.1040445608280822E-6</v>
      </c>
      <c r="R119" s="125"/>
      <c r="T119" s="4">
        <f t="shared" si="133"/>
        <v>5.054466230936816E-2</v>
      </c>
    </row>
    <row r="120" spans="1:20" x14ac:dyDescent="0.25">
      <c r="A120" s="29">
        <f t="shared" si="77"/>
        <v>114</v>
      </c>
      <c r="B120" s="26"/>
      <c r="C120" s="25"/>
      <c r="D120" s="2" t="s">
        <v>67</v>
      </c>
      <c r="E120" s="114">
        <v>456</v>
      </c>
      <c r="F120" s="88">
        <f>F119</f>
        <v>21.1</v>
      </c>
      <c r="G120" s="87">
        <f t="shared" si="134"/>
        <v>9621.6</v>
      </c>
      <c r="H120" s="115">
        <f>H119</f>
        <v>22.95</v>
      </c>
      <c r="I120" s="123">
        <f t="shared" si="135"/>
        <v>10465.199999999999</v>
      </c>
      <c r="J120" s="124">
        <f t="shared" si="120"/>
        <v>8.464132824673341E-3</v>
      </c>
      <c r="K120" s="124"/>
      <c r="L120" s="115">
        <f t="shared" si="121"/>
        <v>24.11</v>
      </c>
      <c r="M120" s="123">
        <f t="shared" si="136"/>
        <v>10994.16</v>
      </c>
      <c r="N120" s="123">
        <f t="shared" si="137"/>
        <v>528.96000000000095</v>
      </c>
      <c r="O120" s="124">
        <f t="shared" si="138"/>
        <v>5.0544662309368285E-2</v>
      </c>
      <c r="P120" s="124">
        <f t="shared" si="125"/>
        <v>8.4621707142434575E-3</v>
      </c>
      <c r="Q120" s="125">
        <f t="shared" si="139"/>
        <v>-1.9621104298834374E-6</v>
      </c>
      <c r="R120" s="125"/>
      <c r="T120" s="4">
        <f t="shared" si="133"/>
        <v>5.054466230936816E-2</v>
      </c>
    </row>
    <row r="121" spans="1:20" x14ac:dyDescent="0.25">
      <c r="A121" s="29">
        <f t="shared" si="77"/>
        <v>115</v>
      </c>
      <c r="B121" s="26"/>
      <c r="C121" s="25"/>
      <c r="D121" s="2" t="s">
        <v>68</v>
      </c>
      <c r="E121" s="114">
        <v>448</v>
      </c>
      <c r="F121" s="88">
        <v>39.299999999999997</v>
      </c>
      <c r="G121" s="87">
        <f t="shared" si="134"/>
        <v>17606.399999999998</v>
      </c>
      <c r="H121" s="115">
        <v>43.49</v>
      </c>
      <c r="I121" s="123">
        <f t="shared" si="135"/>
        <v>19483.52</v>
      </c>
      <c r="J121" s="124">
        <f t="shared" si="120"/>
        <v>1.5758045825419443E-2</v>
      </c>
      <c r="K121" s="124"/>
      <c r="L121" s="115">
        <f t="shared" si="121"/>
        <v>45.69</v>
      </c>
      <c r="M121" s="123">
        <f t="shared" si="136"/>
        <v>20469.12</v>
      </c>
      <c r="N121" s="123">
        <f t="shared" si="137"/>
        <v>985.59999999999854</v>
      </c>
      <c r="O121" s="124">
        <f t="shared" si="138"/>
        <v>5.0586341687744237E-2</v>
      </c>
      <c r="P121" s="124">
        <f t="shared" si="125"/>
        <v>1.5755017919544107E-2</v>
      </c>
      <c r="Q121" s="125">
        <f t="shared" si="139"/>
        <v>-3.0279058753357457E-6</v>
      </c>
      <c r="R121" s="125"/>
      <c r="T121" s="4">
        <f t="shared" si="133"/>
        <v>5.0586341687744119E-2</v>
      </c>
    </row>
    <row r="122" spans="1:20" x14ac:dyDescent="0.25">
      <c r="A122" s="29">
        <f t="shared" si="77"/>
        <v>116</v>
      </c>
      <c r="B122" s="26"/>
      <c r="C122" s="25"/>
      <c r="D122" s="2" t="s">
        <v>68</v>
      </c>
      <c r="E122" s="114">
        <v>236</v>
      </c>
      <c r="F122" s="88">
        <f>F121</f>
        <v>39.299999999999997</v>
      </c>
      <c r="G122" s="87">
        <f t="shared" si="134"/>
        <v>9274.7999999999993</v>
      </c>
      <c r="H122" s="115">
        <f>H121</f>
        <v>43.49</v>
      </c>
      <c r="I122" s="123">
        <f t="shared" si="135"/>
        <v>10263.640000000001</v>
      </c>
      <c r="J122" s="124">
        <f t="shared" si="120"/>
        <v>8.3011134258905994E-3</v>
      </c>
      <c r="K122" s="124"/>
      <c r="L122" s="115">
        <f t="shared" si="121"/>
        <v>45.69</v>
      </c>
      <c r="M122" s="123">
        <f t="shared" si="136"/>
        <v>10782.84</v>
      </c>
      <c r="N122" s="123">
        <f t="shared" si="137"/>
        <v>519.19999999999891</v>
      </c>
      <c r="O122" s="124">
        <f t="shared" si="138"/>
        <v>5.0586341687744195E-2</v>
      </c>
      <c r="P122" s="124">
        <f t="shared" si="125"/>
        <v>8.2995183683312705E-3</v>
      </c>
      <c r="Q122" s="125">
        <f t="shared" si="139"/>
        <v>-1.5950575593288996E-6</v>
      </c>
      <c r="R122" s="125"/>
      <c r="T122" s="4">
        <f t="shared" si="133"/>
        <v>5.0586341687744119E-2</v>
      </c>
    </row>
    <row r="123" spans="1:20" x14ac:dyDescent="0.25">
      <c r="A123" s="29">
        <f t="shared" si="77"/>
        <v>117</v>
      </c>
      <c r="B123" s="26"/>
      <c r="C123" s="25"/>
      <c r="D123" s="2" t="s">
        <v>69</v>
      </c>
      <c r="E123" s="114">
        <v>1411</v>
      </c>
      <c r="F123" s="88">
        <v>13.9</v>
      </c>
      <c r="G123" s="87">
        <f t="shared" ref="G123:G127" si="140">F123*E123</f>
        <v>19612.900000000001</v>
      </c>
      <c r="H123" s="115">
        <v>14.91</v>
      </c>
      <c r="I123" s="123">
        <f t="shared" ref="I123:I127" si="141">H123*E123</f>
        <v>21038.01</v>
      </c>
      <c r="J123" s="124">
        <f t="shared" si="120"/>
        <v>1.7015299373810917E-2</v>
      </c>
      <c r="K123" s="124"/>
      <c r="L123" s="115">
        <f t="shared" si="121"/>
        <v>15.66</v>
      </c>
      <c r="M123" s="123">
        <f t="shared" ref="M123:M127" si="142">L123*E123</f>
        <v>22096.26</v>
      </c>
      <c r="N123" s="123">
        <f t="shared" ref="N123:N127" si="143">M123-I123</f>
        <v>1058.25</v>
      </c>
      <c r="O123" s="124">
        <f t="shared" ref="O123:O127" si="144">IF(I123=0,0,N123/I123)</f>
        <v>5.030181086519115E-2</v>
      </c>
      <c r="P123" s="124">
        <f t="shared" si="125"/>
        <v>1.7007422510342686E-2</v>
      </c>
      <c r="Q123" s="125">
        <f t="shared" ref="Q123:Q127" si="145">P123-J123</f>
        <v>-7.8768634682313543E-6</v>
      </c>
      <c r="R123" s="125"/>
      <c r="T123" s="4">
        <f t="shared" ref="T123:T127" si="146">L123/H123-1</f>
        <v>5.0301810865191143E-2</v>
      </c>
    </row>
    <row r="124" spans="1:20" x14ac:dyDescent="0.25">
      <c r="A124" s="29">
        <f t="shared" si="77"/>
        <v>118</v>
      </c>
      <c r="B124" s="26"/>
      <c r="C124" s="25"/>
      <c r="D124" s="2" t="s">
        <v>69</v>
      </c>
      <c r="E124" s="114">
        <v>864</v>
      </c>
      <c r="F124" s="88">
        <f>F123</f>
        <v>13.9</v>
      </c>
      <c r="G124" s="87">
        <f t="shared" si="140"/>
        <v>12009.6</v>
      </c>
      <c r="H124" s="115">
        <f>H123</f>
        <v>14.91</v>
      </c>
      <c r="I124" s="123">
        <f t="shared" si="141"/>
        <v>12882.24</v>
      </c>
      <c r="J124" s="124">
        <f t="shared" si="120"/>
        <v>1.041900684548025E-2</v>
      </c>
      <c r="K124" s="124"/>
      <c r="L124" s="115">
        <f t="shared" si="121"/>
        <v>15.66</v>
      </c>
      <c r="M124" s="123">
        <f t="shared" si="142"/>
        <v>13530.24</v>
      </c>
      <c r="N124" s="123">
        <f t="shared" si="143"/>
        <v>648</v>
      </c>
      <c r="O124" s="124">
        <f t="shared" si="144"/>
        <v>5.030181086519115E-2</v>
      </c>
      <c r="P124" s="124">
        <f t="shared" si="125"/>
        <v>1.0414183592442297E-2</v>
      </c>
      <c r="Q124" s="125">
        <f t="shared" si="145"/>
        <v>-4.8232530379527239E-6</v>
      </c>
      <c r="R124" s="125"/>
      <c r="T124" s="4">
        <f t="shared" si="146"/>
        <v>5.0301810865191143E-2</v>
      </c>
    </row>
    <row r="125" spans="1:20" x14ac:dyDescent="0.25">
      <c r="A125" s="29">
        <f t="shared" si="77"/>
        <v>119</v>
      </c>
      <c r="B125" s="26"/>
      <c r="C125" s="25"/>
      <c r="D125" s="2" t="s">
        <v>70</v>
      </c>
      <c r="E125" s="114">
        <v>0</v>
      </c>
      <c r="F125" s="88">
        <v>11.19</v>
      </c>
      <c r="G125" s="87">
        <f t="shared" si="140"/>
        <v>0</v>
      </c>
      <c r="H125" s="115">
        <v>12.09</v>
      </c>
      <c r="I125" s="123">
        <f t="shared" si="141"/>
        <v>0</v>
      </c>
      <c r="J125" s="124">
        <f t="shared" si="120"/>
        <v>0</v>
      </c>
      <c r="K125" s="124"/>
      <c r="L125" s="115">
        <f t="shared" si="121"/>
        <v>12.7</v>
      </c>
      <c r="M125" s="123">
        <f t="shared" si="142"/>
        <v>0</v>
      </c>
      <c r="N125" s="123">
        <f t="shared" si="143"/>
        <v>0</v>
      </c>
      <c r="O125" s="124">
        <f t="shared" si="144"/>
        <v>0</v>
      </c>
      <c r="P125" s="124">
        <f t="shared" si="125"/>
        <v>0</v>
      </c>
      <c r="Q125" s="125">
        <f t="shared" si="145"/>
        <v>0</v>
      </c>
      <c r="R125" s="125"/>
      <c r="T125" s="4">
        <f t="shared" si="146"/>
        <v>5.0454921422663279E-2</v>
      </c>
    </row>
    <row r="126" spans="1:20" x14ac:dyDescent="0.25">
      <c r="A126" s="29">
        <f t="shared" si="77"/>
        <v>120</v>
      </c>
      <c r="B126" s="26"/>
      <c r="C126" s="25"/>
      <c r="D126" s="2" t="s">
        <v>71</v>
      </c>
      <c r="E126" s="114">
        <v>54761</v>
      </c>
      <c r="F126" s="88">
        <v>9.93</v>
      </c>
      <c r="G126" s="87">
        <f t="shared" si="140"/>
        <v>543776.73</v>
      </c>
      <c r="H126" s="115">
        <v>10.210000000000001</v>
      </c>
      <c r="I126" s="123">
        <f t="shared" si="141"/>
        <v>559109.81000000006</v>
      </c>
      <c r="J126" s="124">
        <f t="shared" si="120"/>
        <v>0.45220155328305967</v>
      </c>
      <c r="K126" s="124"/>
      <c r="L126" s="115">
        <f t="shared" si="121"/>
        <v>10.73</v>
      </c>
      <c r="M126" s="123">
        <f t="shared" si="142"/>
        <v>587585.53</v>
      </c>
      <c r="N126" s="123">
        <f t="shared" si="143"/>
        <v>28475.719999999972</v>
      </c>
      <c r="O126" s="124">
        <f t="shared" si="144"/>
        <v>5.09304603330068E-2</v>
      </c>
      <c r="P126" s="124">
        <f t="shared" si="125"/>
        <v>0.4522627525958528</v>
      </c>
      <c r="Q126" s="125">
        <f t="shared" si="145"/>
        <v>6.1199312793136507E-5</v>
      </c>
      <c r="R126" s="125"/>
      <c r="T126" s="4">
        <f t="shared" si="146"/>
        <v>5.0930460333006744E-2</v>
      </c>
    </row>
    <row r="127" spans="1:20" x14ac:dyDescent="0.25">
      <c r="A127" s="29">
        <f t="shared" si="77"/>
        <v>121</v>
      </c>
      <c r="B127" s="26"/>
      <c r="C127" s="25"/>
      <c r="D127" s="2" t="s">
        <v>71</v>
      </c>
      <c r="E127" s="114">
        <v>859</v>
      </c>
      <c r="F127" s="88">
        <f>F126</f>
        <v>9.93</v>
      </c>
      <c r="G127" s="87">
        <f t="shared" si="140"/>
        <v>8529.869999999999</v>
      </c>
      <c r="H127" s="115">
        <f>H126</f>
        <v>10.210000000000001</v>
      </c>
      <c r="I127" s="123">
        <f t="shared" si="141"/>
        <v>8770.3900000000012</v>
      </c>
      <c r="J127" s="124">
        <f t="shared" si="120"/>
        <v>7.0933900818127543E-3</v>
      </c>
      <c r="K127" s="124"/>
      <c r="L127" s="115">
        <f t="shared" si="121"/>
        <v>10.73</v>
      </c>
      <c r="M127" s="123">
        <f t="shared" si="142"/>
        <v>9217.07</v>
      </c>
      <c r="N127" s="123">
        <f t="shared" si="143"/>
        <v>446.67999999999847</v>
      </c>
      <c r="O127" s="124">
        <f t="shared" si="144"/>
        <v>5.0930460333006675E-2</v>
      </c>
      <c r="P127" s="124">
        <f t="shared" si="125"/>
        <v>7.0943500754156704E-3</v>
      </c>
      <c r="Q127" s="125">
        <f t="shared" si="145"/>
        <v>9.5999360291611907E-7</v>
      </c>
      <c r="R127" s="125"/>
      <c r="T127" s="4">
        <f t="shared" si="146"/>
        <v>5.0930460333006744E-2</v>
      </c>
    </row>
    <row r="128" spans="1:20" s="5" customFormat="1" ht="24.6" customHeight="1" x14ac:dyDescent="0.3">
      <c r="A128" s="29">
        <f t="shared" si="77"/>
        <v>122</v>
      </c>
      <c r="C128" s="14"/>
      <c r="D128" s="16" t="s">
        <v>6</v>
      </c>
      <c r="E128" s="16"/>
      <c r="F128" s="89"/>
      <c r="G128" s="17">
        <f>SUM(G109:G127)</f>
        <v>1187767.4900000002</v>
      </c>
      <c r="H128" s="16"/>
      <c r="I128" s="126">
        <f>SUM(I109:I127)</f>
        <v>1236417.2699999998</v>
      </c>
      <c r="J128" s="127">
        <f>SUM(J109:J127)</f>
        <v>1.0000000000000002</v>
      </c>
      <c r="K128" s="128">
        <f>I128+Summary!I16</f>
        <v>1298933.1499999997</v>
      </c>
      <c r="L128" s="16"/>
      <c r="M128" s="126">
        <f>SUM(M109:M127)</f>
        <v>1299212.74</v>
      </c>
      <c r="N128" s="126">
        <f>SUM(N109:N127)</f>
        <v>62795.469999999965</v>
      </c>
      <c r="O128" s="127">
        <f t="shared" ref="O128" si="147">N128/I128</f>
        <v>5.0788250474696116E-2</v>
      </c>
      <c r="P128" s="127">
        <f>SUM(P109:P127)</f>
        <v>1</v>
      </c>
      <c r="Q128" s="129">
        <f t="shared" ref="Q128" si="148">P128-J128</f>
        <v>0</v>
      </c>
      <c r="R128" s="130">
        <f>M128-K128</f>
        <v>279.59000000031665</v>
      </c>
      <c r="S128" s="5">
        <f>K128/I128</f>
        <v>1.050562121313624</v>
      </c>
    </row>
    <row r="129" spans="1:18" x14ac:dyDescent="0.25">
      <c r="A129" s="29">
        <f t="shared" si="77"/>
        <v>123</v>
      </c>
      <c r="D129" s="2" t="s">
        <v>26</v>
      </c>
      <c r="E129" s="2"/>
      <c r="G129" s="87">
        <v>1465</v>
      </c>
      <c r="I129" s="36">
        <f>G129</f>
        <v>1465</v>
      </c>
      <c r="K129" s="36"/>
      <c r="M129" s="123">
        <f>I129</f>
        <v>1465</v>
      </c>
      <c r="N129" s="123">
        <f>M129-I129</f>
        <v>0</v>
      </c>
      <c r="O129" s="115">
        <v>0</v>
      </c>
    </row>
    <row r="130" spans="1:18" x14ac:dyDescent="0.25">
      <c r="A130" s="29">
        <f t="shared" si="77"/>
        <v>124</v>
      </c>
      <c r="D130" s="2" t="s">
        <v>27</v>
      </c>
      <c r="E130" s="2"/>
      <c r="G130" s="87">
        <v>4558</v>
      </c>
      <c r="I130" s="36">
        <f>G130</f>
        <v>4558</v>
      </c>
      <c r="M130" s="123">
        <f t="shared" ref="M130:M131" si="149">I130</f>
        <v>4558</v>
      </c>
      <c r="N130" s="123">
        <f>M130-I130</f>
        <v>0</v>
      </c>
      <c r="O130" s="115">
        <v>0</v>
      </c>
    </row>
    <row r="131" spans="1:18" x14ac:dyDescent="0.25">
      <c r="A131" s="29">
        <f t="shared" si="77"/>
        <v>125</v>
      </c>
      <c r="D131" s="2" t="s">
        <v>29</v>
      </c>
      <c r="E131" s="2"/>
      <c r="G131" s="87">
        <v>0</v>
      </c>
      <c r="I131" s="36">
        <v>0</v>
      </c>
      <c r="M131" s="123">
        <f t="shared" si="149"/>
        <v>0</v>
      </c>
      <c r="N131" s="123">
        <f>M131-I131</f>
        <v>0</v>
      </c>
      <c r="O131" s="115">
        <v>0</v>
      </c>
    </row>
    <row r="132" spans="1:18" x14ac:dyDescent="0.25">
      <c r="A132" s="29">
        <f t="shared" si="77"/>
        <v>126</v>
      </c>
      <c r="D132" s="2" t="s">
        <v>39</v>
      </c>
      <c r="E132" s="2"/>
      <c r="G132" s="87"/>
      <c r="I132" s="36"/>
      <c r="M132" s="123"/>
      <c r="N132" s="123"/>
      <c r="O132" s="115"/>
    </row>
    <row r="133" spans="1:18" x14ac:dyDescent="0.25">
      <c r="A133" s="29">
        <f t="shared" si="77"/>
        <v>127</v>
      </c>
      <c r="D133" s="12" t="s">
        <v>8</v>
      </c>
      <c r="E133" s="12"/>
      <c r="F133" s="91"/>
      <c r="G133" s="90">
        <f>SUM(G129:G131)</f>
        <v>6023</v>
      </c>
      <c r="H133" s="12"/>
      <c r="I133" s="132">
        <f>SUM(I129:I131)</f>
        <v>6023</v>
      </c>
      <c r="J133" s="12"/>
      <c r="K133" s="12"/>
      <c r="L133" s="12"/>
      <c r="M133" s="132">
        <f>SUM(M129:M131)</f>
        <v>6023</v>
      </c>
      <c r="N133" s="132">
        <f>M133-I133</f>
        <v>0</v>
      </c>
      <c r="O133" s="133">
        <f>N133-J133</f>
        <v>0</v>
      </c>
    </row>
    <row r="134" spans="1:18" s="5" customFormat="1" ht="26.4" customHeight="1" thickBot="1" x14ac:dyDescent="0.3">
      <c r="A134" s="29">
        <f t="shared" si="77"/>
        <v>128</v>
      </c>
      <c r="C134" s="14"/>
      <c r="D134" s="6" t="s">
        <v>19</v>
      </c>
      <c r="E134" s="6"/>
      <c r="F134" s="93"/>
      <c r="G134" s="92">
        <f>G128+G133</f>
        <v>1193790.4900000002</v>
      </c>
      <c r="H134" s="6"/>
      <c r="I134" s="120">
        <f>I133+I128</f>
        <v>1242440.2699999998</v>
      </c>
      <c r="J134" s="6"/>
      <c r="K134" s="6"/>
      <c r="L134" s="6"/>
      <c r="M134" s="134">
        <f>M133+M128</f>
        <v>1305235.74</v>
      </c>
      <c r="N134" s="134">
        <f>M134-I134</f>
        <v>62795.470000000205</v>
      </c>
      <c r="O134" s="135">
        <f>N134/I134</f>
        <v>5.0542043361167147E-2</v>
      </c>
      <c r="P134" s="2"/>
      <c r="Q134" s="2"/>
      <c r="R134" s="2"/>
    </row>
    <row r="135" spans="1:18" ht="13.8" thickTop="1" x14ac:dyDescent="0.25">
      <c r="A135" s="29">
        <f t="shared" si="77"/>
        <v>129</v>
      </c>
      <c r="G135" s="100"/>
      <c r="I135" s="136"/>
      <c r="M135" s="136"/>
      <c r="N135" s="136"/>
      <c r="O135" s="124"/>
    </row>
    <row r="136" spans="1:18" x14ac:dyDescent="0.25">
      <c r="A136" s="29">
        <f t="shared" si="77"/>
        <v>130</v>
      </c>
      <c r="B136" s="18"/>
      <c r="C136" s="19"/>
      <c r="D136" s="18"/>
      <c r="E136" s="18"/>
      <c r="F136" s="143"/>
      <c r="G136" s="143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x14ac:dyDescent="0.25">
      <c r="A137" s="29">
        <f t="shared" si="77"/>
        <v>131</v>
      </c>
    </row>
    <row r="138" spans="1:18" s="5" customFormat="1" ht="19.95" customHeight="1" x14ac:dyDescent="0.3">
      <c r="A138" s="29">
        <f t="shared" si="77"/>
        <v>132</v>
      </c>
      <c r="B138" s="5" t="s">
        <v>28</v>
      </c>
      <c r="C138" s="14"/>
      <c r="D138" s="16" t="s">
        <v>6</v>
      </c>
      <c r="E138" s="89"/>
      <c r="F138" s="89"/>
      <c r="G138" s="101">
        <f>G10+G22+G34+G72+G86+G47+G128+G60+G99</f>
        <v>57364619.016400002</v>
      </c>
      <c r="H138" s="119"/>
      <c r="I138" s="119">
        <f>I10+I22+I34+I72+I86+I47+I128+I60+I99</f>
        <v>64627842.848809995</v>
      </c>
      <c r="J138" s="16"/>
      <c r="K138" s="16"/>
      <c r="L138" s="16"/>
      <c r="M138" s="119">
        <f>M10+M22+M34+M72+M86+M47+M128+M60+M99</f>
        <v>68735405.195950001</v>
      </c>
      <c r="N138" s="119">
        <f>N10+N22+N34+N72+N86+N47+N128+N60+N99</f>
        <v>4107562.3471400077</v>
      </c>
      <c r="O138" s="127">
        <f>N138/I138</f>
        <v>6.3557163075196793E-2</v>
      </c>
    </row>
    <row r="139" spans="1:18" x14ac:dyDescent="0.25">
      <c r="A139" s="29">
        <f t="shared" ref="A139:A171" si="150">A138+1</f>
        <v>133</v>
      </c>
      <c r="D139" s="2" t="s">
        <v>26</v>
      </c>
      <c r="G139" s="25">
        <f t="shared" ref="G139:I144" si="151">G11+G23+G35+G73+G87+G48+G129+G61+G100</f>
        <v>6523145</v>
      </c>
      <c r="H139" s="36"/>
      <c r="I139" s="36">
        <f t="shared" si="151"/>
        <v>-691429.05241</v>
      </c>
      <c r="M139" s="36">
        <f t="shared" ref="M139:N139" si="152">M11+M23+M35+M73+M87+M48+M129+M61+M100</f>
        <v>-691429.05241</v>
      </c>
      <c r="N139" s="36">
        <f t="shared" si="152"/>
        <v>0</v>
      </c>
    </row>
    <row r="140" spans="1:18" x14ac:dyDescent="0.25">
      <c r="A140" s="29">
        <f t="shared" si="150"/>
        <v>134</v>
      </c>
      <c r="D140" s="2" t="s">
        <v>27</v>
      </c>
      <c r="G140" s="25">
        <f t="shared" si="151"/>
        <v>6862333</v>
      </c>
      <c r="H140" s="36"/>
      <c r="I140" s="36">
        <f t="shared" si="151"/>
        <v>6862333</v>
      </c>
      <c r="M140" s="36">
        <f t="shared" ref="M140:N140" si="153">M12+M24+M36+M74+M88+M49+M130+M62+M101</f>
        <v>6862333</v>
      </c>
      <c r="N140" s="36">
        <f t="shared" si="153"/>
        <v>0</v>
      </c>
    </row>
    <row r="141" spans="1:18" x14ac:dyDescent="0.25">
      <c r="A141" s="29">
        <f t="shared" si="150"/>
        <v>135</v>
      </c>
      <c r="D141" s="2" t="s">
        <v>29</v>
      </c>
      <c r="G141" s="25">
        <f t="shared" si="151"/>
        <v>57145.799999999996</v>
      </c>
      <c r="H141" s="36"/>
      <c r="I141" s="36">
        <f t="shared" si="151"/>
        <v>57145.799999999996</v>
      </c>
      <c r="M141" s="36">
        <f t="shared" ref="M141:N141" si="154">M13+M25+M37+M75+M89+M50+M131+M63+M102</f>
        <v>57145.799999999996</v>
      </c>
      <c r="N141" s="36">
        <f t="shared" si="154"/>
        <v>0</v>
      </c>
    </row>
    <row r="142" spans="1:18" x14ac:dyDescent="0.25">
      <c r="A142" s="29">
        <f t="shared" si="150"/>
        <v>136</v>
      </c>
      <c r="D142" s="2" t="s">
        <v>39</v>
      </c>
      <c r="G142" s="25">
        <f t="shared" si="151"/>
        <v>0</v>
      </c>
      <c r="I142" s="36">
        <f t="shared" si="151"/>
        <v>0</v>
      </c>
      <c r="M142" s="36">
        <f t="shared" ref="M142:N142" si="155">M14+M26+M38+M76+M90+M51+M132+M64+M103</f>
        <v>0</v>
      </c>
      <c r="N142" s="36">
        <f t="shared" si="155"/>
        <v>0</v>
      </c>
      <c r="O142" s="115"/>
    </row>
    <row r="143" spans="1:18" x14ac:dyDescent="0.25">
      <c r="A143" s="29">
        <f t="shared" si="150"/>
        <v>137</v>
      </c>
      <c r="D143" s="12" t="s">
        <v>8</v>
      </c>
      <c r="E143" s="91"/>
      <c r="F143" s="91"/>
      <c r="G143" s="102">
        <f t="shared" si="151"/>
        <v>13442623.800000001</v>
      </c>
      <c r="H143" s="106"/>
      <c r="I143" s="106">
        <f t="shared" si="151"/>
        <v>6228049.7475899998</v>
      </c>
      <c r="J143" s="12"/>
      <c r="K143" s="12"/>
      <c r="L143" s="12"/>
      <c r="M143" s="106">
        <f t="shared" ref="M143:N143" si="156">M15+M27+M39+M77+M91+M52+M133+M65+M104</f>
        <v>6228049.7475899998</v>
      </c>
      <c r="N143" s="106">
        <f t="shared" si="156"/>
        <v>0</v>
      </c>
      <c r="O143" s="12"/>
    </row>
    <row r="144" spans="1:18" s="5" customFormat="1" ht="21" customHeight="1" thickBot="1" x14ac:dyDescent="0.35">
      <c r="A144" s="29">
        <f t="shared" si="150"/>
        <v>138</v>
      </c>
      <c r="C144" s="14"/>
      <c r="D144" s="6" t="s">
        <v>19</v>
      </c>
      <c r="E144" s="93"/>
      <c r="F144" s="93"/>
      <c r="G144" s="94">
        <f t="shared" si="151"/>
        <v>70807242.816400006</v>
      </c>
      <c r="H144" s="120"/>
      <c r="I144" s="120">
        <f t="shared" si="151"/>
        <v>70855892.596399993</v>
      </c>
      <c r="J144" s="6"/>
      <c r="K144" s="6"/>
      <c r="L144" s="6"/>
      <c r="M144" s="120">
        <f t="shared" ref="M144:N144" si="157">M16+M28+M40+M78+M92+M53+M134+M66+M105</f>
        <v>74963454.943540007</v>
      </c>
      <c r="N144" s="120">
        <f t="shared" si="157"/>
        <v>4107562.3471400104</v>
      </c>
      <c r="O144" s="135">
        <f>N144/I144</f>
        <v>5.7970652780241813E-2</v>
      </c>
    </row>
    <row r="145" spans="1:20" ht="13.8" thickTop="1" x14ac:dyDescent="0.25">
      <c r="A145" s="29">
        <f t="shared" si="150"/>
        <v>139</v>
      </c>
    </row>
    <row r="146" spans="1:20" x14ac:dyDescent="0.25">
      <c r="A146" s="29">
        <f t="shared" si="150"/>
        <v>140</v>
      </c>
      <c r="D146" s="2" t="s">
        <v>37</v>
      </c>
      <c r="N146" s="36">
        <f>N144-Summary!L3</f>
        <v>-1133.6179511211812</v>
      </c>
    </row>
    <row r="147" spans="1:20" x14ac:dyDescent="0.25">
      <c r="A147" s="29">
        <f t="shared" si="150"/>
        <v>141</v>
      </c>
      <c r="N147" s="36"/>
    </row>
    <row r="148" spans="1:20" x14ac:dyDescent="0.25">
      <c r="A148" s="29">
        <f t="shared" si="150"/>
        <v>142</v>
      </c>
      <c r="B148" s="1" t="s">
        <v>61</v>
      </c>
      <c r="D148" s="19"/>
      <c r="E148" s="19"/>
      <c r="F148" s="144"/>
      <c r="G148" s="144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20" ht="13.8" thickBot="1" x14ac:dyDescent="0.3">
      <c r="A149" s="29">
        <f t="shared" si="150"/>
        <v>143</v>
      </c>
      <c r="D149" s="13"/>
      <c r="E149" s="74"/>
      <c r="F149" s="74"/>
      <c r="G149" s="74"/>
    </row>
    <row r="150" spans="1:20" x14ac:dyDescent="0.25">
      <c r="A150" s="29">
        <f t="shared" si="150"/>
        <v>144</v>
      </c>
      <c r="B150" s="22" t="s">
        <v>83</v>
      </c>
      <c r="C150" s="23" t="s">
        <v>92</v>
      </c>
      <c r="D150" s="22"/>
      <c r="E150" s="96"/>
      <c r="F150" s="96"/>
      <c r="G150" s="96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20" ht="12.6" customHeight="1" x14ac:dyDescent="0.25">
      <c r="A151" s="29">
        <f t="shared" si="150"/>
        <v>145</v>
      </c>
      <c r="D151" s="2" t="s">
        <v>17</v>
      </c>
      <c r="E151" s="97"/>
      <c r="F151" s="88"/>
      <c r="G151" s="87"/>
      <c r="H151" s="115">
        <v>1246.03</v>
      </c>
      <c r="I151" s="123"/>
      <c r="J151" s="124"/>
      <c r="K151" s="124"/>
      <c r="L151" s="115">
        <f>H151*S151</f>
        <v>1359.2090200720836</v>
      </c>
      <c r="M151" s="123"/>
      <c r="N151" s="123"/>
      <c r="O151" s="124"/>
      <c r="P151" s="124"/>
      <c r="Q151" s="125"/>
      <c r="R151" s="125"/>
      <c r="S151" s="80">
        <f>1+O86</f>
        <v>1.0908316975290191</v>
      </c>
      <c r="T151" s="4">
        <f t="shared" ref="T151:T154" si="158">L151/H151-1</f>
        <v>9.0831697529019095E-2</v>
      </c>
    </row>
    <row r="152" spans="1:20" x14ac:dyDescent="0.25">
      <c r="A152" s="29">
        <f t="shared" si="150"/>
        <v>146</v>
      </c>
      <c r="D152" s="2" t="s">
        <v>49</v>
      </c>
      <c r="E152" s="97"/>
      <c r="F152" s="99"/>
      <c r="G152" s="87"/>
      <c r="H152" s="115">
        <v>7.39</v>
      </c>
      <c r="I152" s="123"/>
      <c r="J152" s="124"/>
      <c r="K152" s="124"/>
      <c r="L152" s="115">
        <f>H152*S152</f>
        <v>8.0612462447394506</v>
      </c>
      <c r="M152" s="123"/>
      <c r="N152" s="123"/>
      <c r="O152" s="124"/>
      <c r="P152" s="124"/>
      <c r="Q152" s="125"/>
      <c r="R152" s="125"/>
      <c r="S152" s="80">
        <f>S151</f>
        <v>1.0908316975290191</v>
      </c>
      <c r="T152" s="4">
        <f t="shared" si="158"/>
        <v>9.0831697529019095E-2</v>
      </c>
    </row>
    <row r="153" spans="1:20" x14ac:dyDescent="0.25">
      <c r="A153" s="29">
        <f t="shared" si="150"/>
        <v>147</v>
      </c>
      <c r="D153" s="2" t="s">
        <v>97</v>
      </c>
      <c r="E153" s="97"/>
      <c r="F153" s="99"/>
      <c r="G153" s="87"/>
      <c r="H153" s="115">
        <v>10.29</v>
      </c>
      <c r="I153" s="123"/>
      <c r="J153" s="124"/>
      <c r="K153" s="124"/>
      <c r="L153" s="115">
        <f>H153*S153</f>
        <v>11.224658167573606</v>
      </c>
      <c r="M153" s="123"/>
      <c r="N153" s="123"/>
      <c r="O153" s="124"/>
      <c r="P153" s="124"/>
      <c r="Q153" s="125"/>
      <c r="R153" s="125"/>
      <c r="S153" s="80">
        <f>S152</f>
        <v>1.0908316975290191</v>
      </c>
      <c r="T153" s="4">
        <f t="shared" si="158"/>
        <v>9.0831697529019095E-2</v>
      </c>
    </row>
    <row r="154" spans="1:20" ht="13.8" thickBot="1" x14ac:dyDescent="0.3">
      <c r="A154" s="29">
        <f t="shared" si="150"/>
        <v>148</v>
      </c>
      <c r="D154" s="2" t="s">
        <v>47</v>
      </c>
      <c r="E154" s="97"/>
      <c r="F154" s="99"/>
      <c r="G154" s="87"/>
      <c r="H154" s="118">
        <v>5.4519999999999999E-2</v>
      </c>
      <c r="I154" s="123"/>
      <c r="J154" s="124"/>
      <c r="K154" s="124"/>
      <c r="L154" s="116">
        <f>H154*S154</f>
        <v>5.9472144149282119E-2</v>
      </c>
      <c r="M154" s="123"/>
      <c r="N154" s="123"/>
      <c r="O154" s="124"/>
      <c r="P154" s="124"/>
      <c r="Q154" s="125"/>
      <c r="R154" s="125"/>
      <c r="S154" s="80">
        <f>S153</f>
        <v>1.0908316975290191</v>
      </c>
      <c r="T154" s="4">
        <f t="shared" si="158"/>
        <v>9.0831697529019095E-2</v>
      </c>
    </row>
    <row r="155" spans="1:20" x14ac:dyDescent="0.25">
      <c r="A155" s="29">
        <f t="shared" si="150"/>
        <v>149</v>
      </c>
      <c r="B155" s="22" t="s">
        <v>84</v>
      </c>
      <c r="C155" s="23" t="s">
        <v>93</v>
      </c>
      <c r="D155" s="22"/>
      <c r="E155" s="96"/>
      <c r="F155" s="96"/>
      <c r="G155" s="96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20" ht="12.6" customHeight="1" x14ac:dyDescent="0.25">
      <c r="A156" s="29">
        <f t="shared" si="150"/>
        <v>150</v>
      </c>
      <c r="D156" s="2" t="s">
        <v>17</v>
      </c>
      <c r="E156" s="97"/>
      <c r="F156" s="88"/>
      <c r="G156" s="87"/>
      <c r="H156" s="115">
        <v>1246.03</v>
      </c>
      <c r="I156" s="123"/>
      <c r="J156" s="124"/>
      <c r="K156" s="124"/>
      <c r="L156" s="115">
        <f>H156*S156</f>
        <v>1359.2090200720836</v>
      </c>
      <c r="M156" s="123"/>
      <c r="N156" s="123"/>
      <c r="O156" s="124"/>
      <c r="P156" s="124"/>
      <c r="Q156" s="125"/>
      <c r="R156" s="125"/>
      <c r="S156" s="80">
        <f>S151</f>
        <v>1.0908316975290191</v>
      </c>
      <c r="T156" s="4">
        <f t="shared" ref="T156:T159" si="159">L156/H156-1</f>
        <v>9.0831697529019095E-2</v>
      </c>
    </row>
    <row r="157" spans="1:20" x14ac:dyDescent="0.25">
      <c r="A157" s="29">
        <f t="shared" si="150"/>
        <v>151</v>
      </c>
      <c r="D157" s="2" t="s">
        <v>49</v>
      </c>
      <c r="E157" s="97"/>
      <c r="F157" s="99"/>
      <c r="G157" s="87"/>
      <c r="H157" s="115">
        <v>7.39</v>
      </c>
      <c r="I157" s="123"/>
      <c r="J157" s="124"/>
      <c r="K157" s="124"/>
      <c r="L157" s="115">
        <f>H157*S157</f>
        <v>8.0612462447394506</v>
      </c>
      <c r="M157" s="123"/>
      <c r="N157" s="123"/>
      <c r="O157" s="124"/>
      <c r="P157" s="124"/>
      <c r="Q157" s="125"/>
      <c r="R157" s="125"/>
      <c r="S157" s="80">
        <f t="shared" ref="S157:S159" si="160">S152</f>
        <v>1.0908316975290191</v>
      </c>
      <c r="T157" s="4">
        <f t="shared" si="159"/>
        <v>9.0831697529019095E-2</v>
      </c>
    </row>
    <row r="158" spans="1:20" x14ac:dyDescent="0.25">
      <c r="A158" s="29">
        <f t="shared" si="150"/>
        <v>152</v>
      </c>
      <c r="D158" s="2" t="s">
        <v>97</v>
      </c>
      <c r="E158" s="97"/>
      <c r="F158" s="99"/>
      <c r="G158" s="87"/>
      <c r="H158" s="115">
        <v>10.29</v>
      </c>
      <c r="I158" s="123"/>
      <c r="J158" s="124"/>
      <c r="K158" s="124"/>
      <c r="L158" s="115">
        <f>H158*S158</f>
        <v>11.224658167573606</v>
      </c>
      <c r="M158" s="123"/>
      <c r="N158" s="123"/>
      <c r="O158" s="124"/>
      <c r="P158" s="124"/>
      <c r="Q158" s="125"/>
      <c r="R158" s="125"/>
      <c r="S158" s="80">
        <f t="shared" si="160"/>
        <v>1.0908316975290191</v>
      </c>
      <c r="T158" s="4">
        <f t="shared" si="159"/>
        <v>9.0831697529019095E-2</v>
      </c>
    </row>
    <row r="159" spans="1:20" ht="13.8" thickBot="1" x14ac:dyDescent="0.3">
      <c r="A159" s="29">
        <f t="shared" si="150"/>
        <v>153</v>
      </c>
      <c r="D159" s="2" t="s">
        <v>47</v>
      </c>
      <c r="E159" s="97"/>
      <c r="F159" s="99"/>
      <c r="G159" s="87"/>
      <c r="H159" s="118">
        <v>5.3350000000000002E-2</v>
      </c>
      <c r="I159" s="123"/>
      <c r="J159" s="124"/>
      <c r="K159" s="124"/>
      <c r="L159" s="116">
        <f>H159*S159</f>
        <v>5.8195871063173171E-2</v>
      </c>
      <c r="M159" s="123"/>
      <c r="N159" s="123"/>
      <c r="O159" s="124"/>
      <c r="P159" s="124"/>
      <c r="Q159" s="125"/>
      <c r="R159" s="125"/>
      <c r="S159" s="80">
        <f t="shared" si="160"/>
        <v>1.0908316975290191</v>
      </c>
      <c r="T159" s="4">
        <f t="shared" si="159"/>
        <v>9.0831697529019095E-2</v>
      </c>
    </row>
    <row r="160" spans="1:20" x14ac:dyDescent="0.25">
      <c r="A160" s="29">
        <f t="shared" si="150"/>
        <v>154</v>
      </c>
      <c r="B160" s="22" t="s">
        <v>85</v>
      </c>
      <c r="C160" s="23" t="s">
        <v>96</v>
      </c>
      <c r="D160" s="22"/>
      <c r="E160" s="96"/>
      <c r="F160" s="96"/>
      <c r="G160" s="96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20" ht="12.6" customHeight="1" x14ac:dyDescent="0.25">
      <c r="A161" s="29">
        <f t="shared" si="150"/>
        <v>155</v>
      </c>
      <c r="D161" s="2" t="s">
        <v>17</v>
      </c>
      <c r="E161" s="97"/>
      <c r="F161" s="88"/>
      <c r="G161" s="87"/>
      <c r="H161" s="115">
        <v>623.64</v>
      </c>
      <c r="I161" s="123"/>
      <c r="J161" s="124"/>
      <c r="K161" s="124"/>
      <c r="L161" s="115">
        <f>H161*S161</f>
        <v>679.76760000000002</v>
      </c>
      <c r="M161" s="123"/>
      <c r="N161" s="123"/>
      <c r="O161" s="124"/>
      <c r="P161" s="124"/>
      <c r="Q161" s="125"/>
      <c r="R161" s="125"/>
      <c r="S161" s="80">
        <v>1.0900000000000001</v>
      </c>
      <c r="T161" s="4">
        <f t="shared" ref="T161:T163" si="161">L161/H161-1</f>
        <v>9.000000000000008E-2</v>
      </c>
    </row>
    <row r="162" spans="1:20" x14ac:dyDescent="0.25">
      <c r="A162" s="29">
        <f t="shared" si="150"/>
        <v>156</v>
      </c>
      <c r="D162" s="2" t="s">
        <v>49</v>
      </c>
      <c r="E162" s="97"/>
      <c r="F162" s="99"/>
      <c r="G162" s="87"/>
      <c r="H162" s="115">
        <v>7.59</v>
      </c>
      <c r="I162" s="123"/>
      <c r="J162" s="124"/>
      <c r="K162" s="124"/>
      <c r="L162" s="115">
        <f>H162*S162</f>
        <v>8.2731000000000012</v>
      </c>
      <c r="M162" s="123"/>
      <c r="N162" s="123"/>
      <c r="O162" s="124"/>
      <c r="P162" s="124"/>
      <c r="Q162" s="125"/>
      <c r="R162" s="125"/>
      <c r="S162" s="80">
        <f>S161</f>
        <v>1.0900000000000001</v>
      </c>
      <c r="T162" s="4">
        <f t="shared" si="161"/>
        <v>9.000000000000008E-2</v>
      </c>
    </row>
    <row r="163" spans="1:20" ht="13.8" thickBot="1" x14ac:dyDescent="0.3">
      <c r="A163" s="29">
        <f t="shared" si="150"/>
        <v>157</v>
      </c>
      <c r="D163" s="2" t="s">
        <v>47</v>
      </c>
      <c r="E163" s="97"/>
      <c r="F163" s="99"/>
      <c r="G163" s="87"/>
      <c r="H163" s="121">
        <v>6.2764E-2</v>
      </c>
      <c r="I163" s="123"/>
      <c r="J163" s="124"/>
      <c r="K163" s="124"/>
      <c r="L163" s="116">
        <f>H163*S163</f>
        <v>6.8412760000000003E-2</v>
      </c>
      <c r="M163" s="123"/>
      <c r="N163" s="123"/>
      <c r="O163" s="124"/>
      <c r="P163" s="124"/>
      <c r="Q163" s="125"/>
      <c r="R163" s="125"/>
      <c r="S163" s="80">
        <f>S162</f>
        <v>1.0900000000000001</v>
      </c>
      <c r="T163" s="4">
        <f t="shared" si="161"/>
        <v>9.000000000000008E-2</v>
      </c>
    </row>
    <row r="164" spans="1:20" x14ac:dyDescent="0.25">
      <c r="A164" s="29">
        <f t="shared" si="150"/>
        <v>158</v>
      </c>
      <c r="B164" s="22" t="s">
        <v>86</v>
      </c>
      <c r="C164" s="23" t="s">
        <v>94</v>
      </c>
      <c r="D164" s="22"/>
      <c r="E164" s="96"/>
      <c r="F164" s="96"/>
      <c r="G164" s="96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20" ht="12.6" customHeight="1" x14ac:dyDescent="0.25">
      <c r="A165" s="29">
        <f t="shared" si="150"/>
        <v>159</v>
      </c>
      <c r="D165" s="2" t="s">
        <v>17</v>
      </c>
      <c r="E165" s="97"/>
      <c r="F165" s="88"/>
      <c r="G165" s="87"/>
      <c r="H165" s="115">
        <v>1246.03</v>
      </c>
      <c r="I165" s="123"/>
      <c r="J165" s="124"/>
      <c r="K165" s="124"/>
      <c r="L165" s="115">
        <f>H165*S165</f>
        <v>1358.1727000000001</v>
      </c>
      <c r="M165" s="123"/>
      <c r="N165" s="123"/>
      <c r="O165" s="124"/>
      <c r="P165" s="124"/>
      <c r="Q165" s="125"/>
      <c r="R165" s="125"/>
      <c r="S165" s="80">
        <f>S161</f>
        <v>1.0900000000000001</v>
      </c>
      <c r="T165" s="4">
        <f t="shared" ref="T165:T167" si="162">L165/H165-1</f>
        <v>9.000000000000008E-2</v>
      </c>
    </row>
    <row r="166" spans="1:20" x14ac:dyDescent="0.25">
      <c r="A166" s="29">
        <f t="shared" si="150"/>
        <v>160</v>
      </c>
      <c r="D166" s="2" t="s">
        <v>49</v>
      </c>
      <c r="E166" s="97"/>
      <c r="F166" s="99"/>
      <c r="G166" s="87"/>
      <c r="H166" s="115">
        <v>7.59</v>
      </c>
      <c r="I166" s="123"/>
      <c r="J166" s="124"/>
      <c r="K166" s="124"/>
      <c r="L166" s="115">
        <f>H166*S166</f>
        <v>8.2731000000000012</v>
      </c>
      <c r="M166" s="123"/>
      <c r="N166" s="123"/>
      <c r="O166" s="124"/>
      <c r="P166" s="124"/>
      <c r="Q166" s="125"/>
      <c r="R166" s="125"/>
      <c r="S166" s="80">
        <f t="shared" ref="S166:S167" si="163">S162</f>
        <v>1.0900000000000001</v>
      </c>
      <c r="T166" s="4">
        <f t="shared" si="162"/>
        <v>9.000000000000008E-2</v>
      </c>
    </row>
    <row r="167" spans="1:20" ht="13.8" thickBot="1" x14ac:dyDescent="0.3">
      <c r="A167" s="29">
        <f t="shared" si="150"/>
        <v>161</v>
      </c>
      <c r="D167" s="2" t="s">
        <v>47</v>
      </c>
      <c r="E167" s="97"/>
      <c r="F167" s="99"/>
      <c r="G167" s="87"/>
      <c r="H167" s="121">
        <v>5.9013999999999997E-2</v>
      </c>
      <c r="I167" s="123"/>
      <c r="J167" s="124"/>
      <c r="K167" s="124"/>
      <c r="L167" s="116">
        <f>H167*S167</f>
        <v>6.4325259999999995E-2</v>
      </c>
      <c r="M167" s="123"/>
      <c r="N167" s="123"/>
      <c r="O167" s="124"/>
      <c r="P167" s="124"/>
      <c r="Q167" s="125"/>
      <c r="R167" s="125"/>
      <c r="S167" s="80">
        <f t="shared" si="163"/>
        <v>1.0900000000000001</v>
      </c>
      <c r="T167" s="4">
        <f t="shared" si="162"/>
        <v>9.000000000000008E-2</v>
      </c>
    </row>
    <row r="168" spans="1:20" x14ac:dyDescent="0.25">
      <c r="A168" s="29">
        <f t="shared" si="150"/>
        <v>162</v>
      </c>
      <c r="B168" s="22" t="s">
        <v>87</v>
      </c>
      <c r="C168" s="23" t="s">
        <v>95</v>
      </c>
      <c r="D168" s="22"/>
      <c r="E168" s="96"/>
      <c r="F168" s="96"/>
      <c r="G168" s="96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20" ht="12.6" customHeight="1" x14ac:dyDescent="0.25">
      <c r="A169" s="29">
        <f t="shared" si="150"/>
        <v>163</v>
      </c>
      <c r="D169" s="2" t="s">
        <v>17</v>
      </c>
      <c r="E169" s="97"/>
      <c r="F169" s="88"/>
      <c r="G169" s="87"/>
      <c r="H169" s="115">
        <v>2361.77</v>
      </c>
      <c r="I169" s="123"/>
      <c r="J169" s="124"/>
      <c r="K169" s="124"/>
      <c r="L169" s="115">
        <f>H169*S169</f>
        <v>2574.3293000000003</v>
      </c>
      <c r="M169" s="123"/>
      <c r="N169" s="123"/>
      <c r="O169" s="124"/>
      <c r="P169" s="124"/>
      <c r="Q169" s="125"/>
      <c r="R169" s="125"/>
      <c r="S169" s="80">
        <f>S161</f>
        <v>1.0900000000000001</v>
      </c>
      <c r="T169" s="4">
        <f t="shared" ref="T169:T171" si="164">L169/H169-1</f>
        <v>9.000000000000008E-2</v>
      </c>
    </row>
    <row r="170" spans="1:20" x14ac:dyDescent="0.25">
      <c r="A170" s="29">
        <f t="shared" si="150"/>
        <v>164</v>
      </c>
      <c r="D170" s="2" t="s">
        <v>49</v>
      </c>
      <c r="E170" s="97"/>
      <c r="F170" s="99"/>
      <c r="G170" s="87"/>
      <c r="H170" s="115">
        <v>7.59</v>
      </c>
      <c r="I170" s="123"/>
      <c r="J170" s="124"/>
      <c r="K170" s="124"/>
      <c r="L170" s="115">
        <f>H170*S170</f>
        <v>8.2731000000000012</v>
      </c>
      <c r="M170" s="123"/>
      <c r="N170" s="123"/>
      <c r="O170" s="124"/>
      <c r="P170" s="124"/>
      <c r="Q170" s="125"/>
      <c r="R170" s="125"/>
      <c r="S170" s="80">
        <f t="shared" ref="S170:S171" si="165">S162</f>
        <v>1.0900000000000001</v>
      </c>
      <c r="T170" s="4">
        <f t="shared" si="164"/>
        <v>9.000000000000008E-2</v>
      </c>
    </row>
    <row r="171" spans="1:20" x14ac:dyDescent="0.25">
      <c r="A171" s="29">
        <f t="shared" si="150"/>
        <v>165</v>
      </c>
      <c r="D171" s="2" t="s">
        <v>47</v>
      </c>
      <c r="E171" s="97"/>
      <c r="F171" s="99"/>
      <c r="G171" s="87"/>
      <c r="H171" s="121">
        <v>5.5264000000000001E-2</v>
      </c>
      <c r="I171" s="123"/>
      <c r="J171" s="124"/>
      <c r="K171" s="124"/>
      <c r="L171" s="116">
        <f>H171*S171</f>
        <v>6.0237760000000008E-2</v>
      </c>
      <c r="M171" s="123"/>
      <c r="N171" s="123"/>
      <c r="O171" s="124"/>
      <c r="P171" s="124"/>
      <c r="Q171" s="125"/>
      <c r="R171" s="125"/>
      <c r="S171" s="80">
        <f t="shared" si="165"/>
        <v>1.0900000000000001</v>
      </c>
      <c r="T171" s="4">
        <f t="shared" si="164"/>
        <v>9.000000000000008E-2</v>
      </c>
    </row>
    <row r="173" spans="1:20" x14ac:dyDescent="0.25">
      <c r="G173" s="103" t="s">
        <v>103</v>
      </c>
      <c r="H173" s="2">
        <v>1.163E-2</v>
      </c>
      <c r="I173" s="2" t="s">
        <v>112</v>
      </c>
    </row>
    <row r="174" spans="1:20" x14ac:dyDescent="0.25">
      <c r="H174" s="121"/>
    </row>
    <row r="176" spans="1:20" x14ac:dyDescent="0.25">
      <c r="E176" s="75">
        <v>613110742</v>
      </c>
    </row>
    <row r="177" spans="5:5" x14ac:dyDescent="0.25">
      <c r="E177" s="75">
        <f>E9+E21+E33+E46+E59+E71+E85+E98</f>
        <v>620341707</v>
      </c>
    </row>
    <row r="178" spans="5:5" x14ac:dyDescent="0.25">
      <c r="E178" s="75">
        <f>E176-E177</f>
        <v>-7230965</v>
      </c>
    </row>
    <row r="179" spans="5:5" x14ac:dyDescent="0.25">
      <c r="E179" s="108">
        <f>E178/E176</f>
        <v>-1.1793897096652076E-2</v>
      </c>
    </row>
  </sheetData>
  <mergeCells count="8">
    <mergeCell ref="B95:B96"/>
    <mergeCell ref="B81:B82"/>
    <mergeCell ref="B7:B8"/>
    <mergeCell ref="B19:B20"/>
    <mergeCell ref="B31:B32"/>
    <mergeCell ref="B43:B44"/>
    <mergeCell ref="B56:B57"/>
    <mergeCell ref="B69:B70"/>
  </mergeCells>
  <phoneticPr fontId="7" type="noConversion"/>
  <printOptions horizontalCentered="1"/>
  <pageMargins left="0.7" right="0.7" top="0.75" bottom="0.75" header="0.3" footer="0.3"/>
  <pageSetup scale="47" fitToHeight="7" orientation="landscape" r:id="rId1"/>
  <headerFooter>
    <oddHeader>&amp;R&amp;"Arial,Bold"&amp;10Exhibit 3
 Page &amp;P of &amp;N</oddHeader>
  </headerFooter>
  <rowBreaks count="3" manualBreakCount="3">
    <brk id="55" max="17" man="1"/>
    <brk id="107" max="17" man="1"/>
    <brk id="146" max="17" man="1"/>
  </rowBreaks>
  <ignoredErrors>
    <ignoredError sqref="M10 N108:N137 O108:O144 N10:O80 N81:O93 N145 N9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I97"/>
  <sheetViews>
    <sheetView view="pageBreakPreview" zoomScaleNormal="85" zoomScaleSheetLayoutView="100" workbookViewId="0">
      <selection activeCell="F101" sqref="F101"/>
    </sheetView>
  </sheetViews>
  <sheetFormatPr defaultColWidth="8.88671875" defaultRowHeight="13.2" x14ac:dyDescent="0.25"/>
  <cols>
    <col min="1" max="1" width="1.6640625" style="2" customWidth="1"/>
    <col min="2" max="2" width="1.33203125" style="2" customWidth="1"/>
    <col min="3" max="3" width="8" style="13" customWidth="1"/>
    <col min="4" max="4" width="28.6640625" style="13" bestFit="1" customWidth="1"/>
    <col min="5" max="5" width="33.6640625" style="2" bestFit="1" customWidth="1"/>
    <col min="6" max="6" width="14.6640625" style="2" customWidth="1"/>
    <col min="7" max="7" width="12.5546875" style="2" customWidth="1"/>
    <col min="8" max="8" width="11.44140625" style="2" bestFit="1" customWidth="1"/>
    <col min="9" max="9" width="12.5546875" style="2" customWidth="1"/>
    <col min="10" max="16384" width="8.88671875" style="2"/>
  </cols>
  <sheetData>
    <row r="1" spans="1:9" x14ac:dyDescent="0.25">
      <c r="A1" s="1" t="str">
        <f>Summary!A1</f>
        <v>INTER-COUNTY ENERGY COOPERATIVE</v>
      </c>
    </row>
    <row r="2" spans="1:9" x14ac:dyDescent="0.25">
      <c r="A2" s="1" t="s">
        <v>100</v>
      </c>
    </row>
    <row r="4" spans="1:9" x14ac:dyDescent="0.25">
      <c r="C4" s="57" t="s">
        <v>60</v>
      </c>
      <c r="D4" s="56"/>
      <c r="E4" s="56" t="s">
        <v>2</v>
      </c>
      <c r="F4" s="60" t="s">
        <v>45</v>
      </c>
      <c r="G4" s="60" t="s">
        <v>46</v>
      </c>
      <c r="H4" s="60" t="s">
        <v>104</v>
      </c>
      <c r="I4" s="60" t="s">
        <v>16</v>
      </c>
    </row>
    <row r="5" spans="1:9" x14ac:dyDescent="0.25">
      <c r="C5" s="13">
        <f>'Billing Detail'!C7</f>
        <v>1</v>
      </c>
      <c r="D5" s="76" t="str">
        <f>'Billing Detail'!B7</f>
        <v>Schedule 1 - Rates for Farm and Home Service</v>
      </c>
    </row>
    <row r="6" spans="1:9" x14ac:dyDescent="0.25">
      <c r="D6" s="76"/>
      <c r="E6" s="2" t="str">
        <f>'Billing Detail'!D8</f>
        <v>Customer Charge</v>
      </c>
      <c r="F6" s="58">
        <f>'Billing Detail'!H8</f>
        <v>15.67</v>
      </c>
      <c r="G6" s="58">
        <f>'Billing Detail'!L8</f>
        <v>16.46</v>
      </c>
      <c r="H6" s="58">
        <f>G6-F6</f>
        <v>0.79000000000000092</v>
      </c>
      <c r="I6" s="4">
        <f>H6/F6</f>
        <v>5.0414805360561643E-2</v>
      </c>
    </row>
    <row r="7" spans="1:9" x14ac:dyDescent="0.25">
      <c r="D7" s="76"/>
      <c r="E7" s="2" t="str">
        <f>'Billing Detail'!D9</f>
        <v>Energy Charge per kWh</v>
      </c>
      <c r="F7" s="59">
        <f>'Billing Detail'!H9</f>
        <v>0.10718999999999999</v>
      </c>
      <c r="G7" s="59">
        <f>'Billing Detail'!L9</f>
        <v>0.11261</v>
      </c>
      <c r="H7" s="59">
        <f t="shared" ref="H7:H67" si="0">G7-F7</f>
        <v>5.4200000000000081E-3</v>
      </c>
      <c r="I7" s="4">
        <f t="shared" ref="I7:I67" si="1">H7/F7</f>
        <v>5.0564418322604797E-2</v>
      </c>
    </row>
    <row r="8" spans="1:9" x14ac:dyDescent="0.25">
      <c r="D8" s="76"/>
      <c r="E8" s="2" t="s">
        <v>81</v>
      </c>
      <c r="F8" s="11">
        <f>'Billing Detail'!F13</f>
        <v>8.1999999999999993</v>
      </c>
      <c r="G8" s="11">
        <f>F8</f>
        <v>8.1999999999999993</v>
      </c>
      <c r="H8" s="11">
        <f t="shared" si="0"/>
        <v>0</v>
      </c>
      <c r="I8" s="4">
        <f t="shared" si="1"/>
        <v>0</v>
      </c>
    </row>
    <row r="9" spans="1:9" x14ac:dyDescent="0.25">
      <c r="C9" s="13">
        <f>'Billing Detail'!C19</f>
        <v>8</v>
      </c>
      <c r="D9" s="76" t="str">
        <f>'Billing Detail'!B19</f>
        <v>Schedule NM - Net Metering</v>
      </c>
      <c r="F9" s="59"/>
      <c r="G9" s="59"/>
      <c r="H9" s="59"/>
      <c r="I9" s="4"/>
    </row>
    <row r="10" spans="1:9" x14ac:dyDescent="0.25">
      <c r="D10" s="76"/>
      <c r="E10" s="2" t="str">
        <f>'Billing Detail'!D20</f>
        <v>Customer Charge</v>
      </c>
      <c r="F10" s="58">
        <f>'Billing Detail'!H20</f>
        <v>15.67</v>
      </c>
      <c r="G10" s="58">
        <f>'Billing Detail'!L20</f>
        <v>16.46</v>
      </c>
      <c r="H10" s="58">
        <f t="shared" si="0"/>
        <v>0.79000000000000092</v>
      </c>
      <c r="I10" s="4">
        <f t="shared" si="1"/>
        <v>5.0414805360561643E-2</v>
      </c>
    </row>
    <row r="11" spans="1:9" x14ac:dyDescent="0.25">
      <c r="D11" s="76"/>
      <c r="E11" s="2" t="str">
        <f>'Billing Detail'!D21</f>
        <v>Energy Charge per kWh</v>
      </c>
      <c r="F11" s="59">
        <f>'Billing Detail'!H21</f>
        <v>0.10718999999999999</v>
      </c>
      <c r="G11" s="59">
        <f>'Billing Detail'!L21</f>
        <v>0.11261</v>
      </c>
      <c r="H11" s="59">
        <f t="shared" si="0"/>
        <v>5.4200000000000081E-3</v>
      </c>
      <c r="I11" s="4">
        <f t="shared" si="1"/>
        <v>5.0564418322604797E-2</v>
      </c>
    </row>
    <row r="12" spans="1:9" x14ac:dyDescent="0.25">
      <c r="C12" s="13" t="str">
        <f>'Billing Detail'!C31</f>
        <v>11,12</v>
      </c>
      <c r="D12" s="76" t="str">
        <f>'Billing Detail'!B31</f>
        <v>Schedule 1-A - Farm and Home Marketing Rate (ETS)</v>
      </c>
      <c r="F12" s="58"/>
      <c r="G12" s="58"/>
      <c r="H12" s="58"/>
      <c r="I12" s="4"/>
    </row>
    <row r="13" spans="1:9" x14ac:dyDescent="0.25">
      <c r="D13" s="76"/>
      <c r="E13" s="2" t="str">
        <f>'Billing Detail'!D32</f>
        <v>Customer Charge</v>
      </c>
      <c r="F13" s="58">
        <f>'Billing Detail'!H32</f>
        <v>15.67</v>
      </c>
      <c r="G13" s="58">
        <f>'Billing Detail'!L32</f>
        <v>16.46</v>
      </c>
      <c r="H13" s="58">
        <f t="shared" si="0"/>
        <v>0.79000000000000092</v>
      </c>
      <c r="I13" s="4">
        <f t="shared" si="1"/>
        <v>5.0414805360561643E-2</v>
      </c>
    </row>
    <row r="14" spans="1:9" x14ac:dyDescent="0.25">
      <c r="D14" s="76"/>
      <c r="E14" s="2" t="str">
        <f>'Billing Detail'!D33</f>
        <v>Energy Charge per kWh</v>
      </c>
      <c r="F14" s="59">
        <f>'Billing Detail'!H33</f>
        <v>7.3910000000000003E-2</v>
      </c>
      <c r="G14" s="59">
        <f>'Billing Detail'!L33</f>
        <v>7.7649999999999997E-2</v>
      </c>
      <c r="H14" s="59">
        <f t="shared" si="0"/>
        <v>3.7399999999999933E-3</v>
      </c>
      <c r="I14" s="4">
        <f t="shared" si="1"/>
        <v>5.0602083615207592E-2</v>
      </c>
    </row>
    <row r="15" spans="1:9" x14ac:dyDescent="0.25">
      <c r="C15" s="13">
        <f>'Billing Detail'!C43</f>
        <v>2</v>
      </c>
      <c r="D15" s="76" t="str">
        <f>'Billing Detail'!B43</f>
        <v>Schedule 2 - Small Commercial and Small Power</v>
      </c>
      <c r="F15" s="59"/>
      <c r="G15" s="59"/>
      <c r="H15" s="59"/>
      <c r="I15" s="4"/>
    </row>
    <row r="16" spans="1:9" x14ac:dyDescent="0.25">
      <c r="D16" s="76"/>
      <c r="E16" s="2" t="str">
        <f>'Billing Detail'!D44</f>
        <v>Customer Charge</v>
      </c>
      <c r="F16" s="58">
        <f>'Billing Detail'!H44</f>
        <v>18.559999999999999</v>
      </c>
      <c r="G16" s="58">
        <f>'Billing Detail'!L44</f>
        <v>19.5</v>
      </c>
      <c r="H16" s="58">
        <f t="shared" si="0"/>
        <v>0.94000000000000128</v>
      </c>
      <c r="I16" s="4">
        <f t="shared" si="1"/>
        <v>5.0646551724138004E-2</v>
      </c>
    </row>
    <row r="17" spans="3:9" x14ac:dyDescent="0.25">
      <c r="D17" s="76"/>
      <c r="E17" s="2" t="str">
        <f>'Billing Detail'!D45</f>
        <v>Demand Charge per kW</v>
      </c>
      <c r="F17" s="58">
        <f>'Billing Detail'!H45</f>
        <v>6.03</v>
      </c>
      <c r="G17" s="58">
        <f>'Billing Detail'!L45</f>
        <v>6.33</v>
      </c>
      <c r="H17" s="58">
        <f t="shared" si="0"/>
        <v>0.29999999999999982</v>
      </c>
      <c r="I17" s="4">
        <f t="shared" si="1"/>
        <v>4.9751243781094495E-2</v>
      </c>
    </row>
    <row r="18" spans="3:9" x14ac:dyDescent="0.25">
      <c r="D18" s="76"/>
      <c r="E18" s="2" t="str">
        <f>'Billing Detail'!D46</f>
        <v>Energy Charge - Off Peak per kWh</v>
      </c>
      <c r="F18" s="59">
        <f>'Billing Detail'!H46</f>
        <v>9.8430000000000004E-2</v>
      </c>
      <c r="G18" s="59">
        <f>'Billing Detail'!L46</f>
        <v>0.10341</v>
      </c>
      <c r="H18" s="59">
        <f t="shared" si="0"/>
        <v>4.9799999999999983E-3</v>
      </c>
      <c r="I18" s="4">
        <f t="shared" si="1"/>
        <v>5.0594330996647348E-2</v>
      </c>
    </row>
    <row r="19" spans="3:9" x14ac:dyDescent="0.25">
      <c r="C19" s="13">
        <f>'Billing Detail'!C56</f>
        <v>4</v>
      </c>
      <c r="D19" s="76" t="str">
        <f>'Billing Detail'!B56</f>
        <v>Schedule 4 - Large Power Rate (LPR)</v>
      </c>
      <c r="F19" s="58"/>
      <c r="G19" s="58"/>
      <c r="H19" s="58"/>
      <c r="I19" s="4"/>
    </row>
    <row r="20" spans="3:9" x14ac:dyDescent="0.25">
      <c r="D20" s="76"/>
      <c r="E20" s="2" t="str">
        <f>'Billing Detail'!D57</f>
        <v>Customer Charge</v>
      </c>
      <c r="F20" s="58">
        <f>'Billing Detail'!H57</f>
        <v>32.64</v>
      </c>
      <c r="G20" s="58">
        <f>'Billing Detail'!L57</f>
        <v>34.29</v>
      </c>
      <c r="H20" s="58">
        <f t="shared" si="0"/>
        <v>1.6499999999999986</v>
      </c>
      <c r="I20" s="4">
        <f t="shared" si="1"/>
        <v>5.0551470588235246E-2</v>
      </c>
    </row>
    <row r="21" spans="3:9" x14ac:dyDescent="0.25">
      <c r="D21" s="76"/>
      <c r="E21" s="2" t="str">
        <f>'Billing Detail'!D58</f>
        <v>Demand Charge per kW</v>
      </c>
      <c r="F21" s="58">
        <f>'Billing Detail'!H58</f>
        <v>6.03</v>
      </c>
      <c r="G21" s="58">
        <f>'Billing Detail'!L58</f>
        <v>6.33</v>
      </c>
      <c r="H21" s="58">
        <f t="shared" si="0"/>
        <v>0.29999999999999982</v>
      </c>
      <c r="I21" s="4">
        <f t="shared" si="1"/>
        <v>4.9751243781094495E-2</v>
      </c>
    </row>
    <row r="22" spans="3:9" x14ac:dyDescent="0.25">
      <c r="D22" s="76"/>
      <c r="E22" s="2" t="str">
        <f>'Billing Detail'!D59</f>
        <v>Energy Charge per kWh</v>
      </c>
      <c r="F22" s="59">
        <f>'Billing Detail'!H59</f>
        <v>8.0259999999999998E-2</v>
      </c>
      <c r="G22" s="59">
        <f>'Billing Detail'!L59</f>
        <v>8.4320000000000006E-2</v>
      </c>
      <c r="H22" s="59">
        <f t="shared" si="0"/>
        <v>4.060000000000008E-3</v>
      </c>
      <c r="I22" s="4">
        <f t="shared" si="1"/>
        <v>5.0585596810366409E-2</v>
      </c>
    </row>
    <row r="23" spans="3:9" x14ac:dyDescent="0.25">
      <c r="C23" s="13">
        <f>'Billing Detail'!C69</f>
        <v>5</v>
      </c>
      <c r="D23" s="76" t="str">
        <f>'Billing Detail'!B69</f>
        <v>Schedule 5 - All Electric School Rate</v>
      </c>
      <c r="F23" s="59"/>
      <c r="G23" s="59"/>
      <c r="H23" s="59"/>
      <c r="I23" s="4"/>
    </row>
    <row r="24" spans="3:9" x14ac:dyDescent="0.25">
      <c r="D24" s="76"/>
      <c r="E24" s="2" t="str">
        <f>'Billing Detail'!D70</f>
        <v>Customer Charge</v>
      </c>
      <c r="F24" s="58">
        <f>'Billing Detail'!H70</f>
        <v>32.64</v>
      </c>
      <c r="G24" s="58">
        <f>'Billing Detail'!L70</f>
        <v>34.29</v>
      </c>
      <c r="H24" s="58">
        <f t="shared" si="0"/>
        <v>1.6499999999999986</v>
      </c>
      <c r="I24" s="4">
        <f t="shared" si="1"/>
        <v>5.0551470588235246E-2</v>
      </c>
    </row>
    <row r="25" spans="3:9" x14ac:dyDescent="0.25">
      <c r="D25" s="76"/>
      <c r="E25" s="2" t="str">
        <f>'Billing Detail'!D71</f>
        <v>Energy Charge per kWh</v>
      </c>
      <c r="F25" s="59">
        <f>'Billing Detail'!H71</f>
        <v>9.8430000000000004E-2</v>
      </c>
      <c r="G25" s="59">
        <f>'Billing Detail'!L71</f>
        <v>0.10341</v>
      </c>
      <c r="H25" s="59">
        <f t="shared" si="0"/>
        <v>4.9799999999999983E-3</v>
      </c>
      <c r="I25" s="4">
        <f t="shared" si="1"/>
        <v>5.0594330996647348E-2</v>
      </c>
    </row>
    <row r="26" spans="3:9" x14ac:dyDescent="0.25">
      <c r="C26" s="13" t="str">
        <f>'Billing Detail'!C81</f>
        <v>B1</v>
      </c>
      <c r="D26" s="76" t="str">
        <f>'Billing Detail'!B81</f>
        <v>Schedule B1 - Large Industrial Rate</v>
      </c>
      <c r="F26" s="58"/>
      <c r="G26" s="58"/>
      <c r="H26" s="58"/>
      <c r="I26" s="4"/>
    </row>
    <row r="27" spans="3:9" x14ac:dyDescent="0.25">
      <c r="D27" s="76"/>
      <c r="E27" s="2" t="str">
        <f>'Billing Detail'!D82</f>
        <v>Customer Charge</v>
      </c>
      <c r="F27" s="58">
        <f>'Billing Detail'!H82</f>
        <v>623.64</v>
      </c>
      <c r="G27" s="58">
        <f>'Billing Detail'!L82</f>
        <v>680.26</v>
      </c>
      <c r="H27" s="58">
        <f t="shared" si="0"/>
        <v>56.620000000000005</v>
      </c>
      <c r="I27" s="4">
        <f t="shared" si="1"/>
        <v>9.078955807837856E-2</v>
      </c>
    </row>
    <row r="28" spans="3:9" x14ac:dyDescent="0.25">
      <c r="D28" s="76"/>
      <c r="E28" s="2" t="str">
        <f>'Billing Detail'!D83</f>
        <v>Demand Charge-Contract per kW</v>
      </c>
      <c r="F28" s="58">
        <f>'Billing Detail'!H83</f>
        <v>7.39</v>
      </c>
      <c r="G28" s="58">
        <f>'Billing Detail'!L83</f>
        <v>8.06</v>
      </c>
      <c r="H28" s="58">
        <f t="shared" si="0"/>
        <v>0.67000000000000082</v>
      </c>
      <c r="I28" s="4">
        <f t="shared" si="1"/>
        <v>9.0663058186738948E-2</v>
      </c>
    </row>
    <row r="29" spans="3:9" x14ac:dyDescent="0.25">
      <c r="D29" s="76"/>
      <c r="E29" s="2" t="str">
        <f>'Billing Detail'!D84</f>
        <v>Demand Charge-Excess per kW</v>
      </c>
      <c r="F29" s="58">
        <f>'Billing Detail'!H84</f>
        <v>10.29</v>
      </c>
      <c r="G29" s="58">
        <f>'Billing Detail'!L84</f>
        <v>11.22</v>
      </c>
      <c r="H29" s="58">
        <f t="shared" si="0"/>
        <v>0.93000000000000149</v>
      </c>
      <c r="I29" s="4">
        <f t="shared" si="1"/>
        <v>9.0379008746355835E-2</v>
      </c>
    </row>
    <row r="30" spans="3:9" x14ac:dyDescent="0.25">
      <c r="D30" s="76"/>
      <c r="E30" s="2" t="str">
        <f>'Billing Detail'!D85</f>
        <v>Energy Charge per kWh</v>
      </c>
      <c r="F30" s="59">
        <f>'Billing Detail'!H85</f>
        <v>6.0299999999999999E-2</v>
      </c>
      <c r="G30" s="59">
        <f>'Billing Detail'!L85</f>
        <v>6.5780000000000005E-2</v>
      </c>
      <c r="H30" s="59">
        <f t="shared" si="0"/>
        <v>5.4800000000000057E-3</v>
      </c>
      <c r="I30" s="4">
        <f t="shared" si="1"/>
        <v>9.0878938640132759E-2</v>
      </c>
    </row>
    <row r="31" spans="3:9" x14ac:dyDescent="0.25">
      <c r="C31" s="13" t="str">
        <f>'Billing Detail'!C95</f>
        <v>G</v>
      </c>
      <c r="D31" s="3" t="str">
        <f>'Billing Detail'!B95</f>
        <v>Schedule G - Large Industrial Rate</v>
      </c>
      <c r="F31" s="58"/>
      <c r="G31" s="58"/>
      <c r="H31" s="58"/>
      <c r="I31" s="4"/>
    </row>
    <row r="32" spans="3:9" x14ac:dyDescent="0.25">
      <c r="E32" s="2" t="str">
        <f>'Billing Detail'!D96</f>
        <v>Facility Charge</v>
      </c>
      <c r="F32" s="58">
        <f>'Billing Detail'!H96</f>
        <v>5726.7</v>
      </c>
      <c r="G32" s="58">
        <f>'Billing Detail'!L96</f>
        <v>6127.6</v>
      </c>
      <c r="H32" s="58">
        <f>G32-F32</f>
        <v>400.90000000000055</v>
      </c>
      <c r="I32" s="4">
        <f>H32/F32</f>
        <v>7.0005413239736775E-2</v>
      </c>
    </row>
    <row r="33" spans="3:9" x14ac:dyDescent="0.25">
      <c r="E33" s="2" t="str">
        <f>'Billing Detail'!D97</f>
        <v>Demand Charge per kW</v>
      </c>
      <c r="F33" s="58">
        <f>'Billing Detail'!H97</f>
        <v>7.3</v>
      </c>
      <c r="G33" s="58">
        <f>'Billing Detail'!L97</f>
        <v>9.14</v>
      </c>
      <c r="H33" s="58">
        <f>G33-F33</f>
        <v>1.8400000000000007</v>
      </c>
      <c r="I33" s="4">
        <f>H33/F33</f>
        <v>0.25205479452054808</v>
      </c>
    </row>
    <row r="34" spans="3:9" x14ac:dyDescent="0.25">
      <c r="E34" s="2" t="str">
        <f>'Billing Detail'!D98</f>
        <v>Energy Charge per kWh</v>
      </c>
      <c r="F34" s="59">
        <f>'Billing Detail'!H98</f>
        <v>5.1839999999999997E-2</v>
      </c>
      <c r="G34" s="59">
        <f>'Billing Detail'!L98</f>
        <v>5.582174705098937E-2</v>
      </c>
      <c r="H34" s="59">
        <f>G34-F34</f>
        <v>3.9817470509893732E-3</v>
      </c>
      <c r="I34" s="4">
        <f>H34/F34</f>
        <v>7.6808392187295016E-2</v>
      </c>
    </row>
    <row r="35" spans="3:9" x14ac:dyDescent="0.25">
      <c r="C35" s="13">
        <f>'Billing Detail'!C108</f>
        <v>6</v>
      </c>
      <c r="D35" s="76" t="str">
        <f>'Billing Detail'!B108</f>
        <v>Lighting</v>
      </c>
      <c r="F35" s="58"/>
      <c r="G35" s="58"/>
      <c r="H35" s="58"/>
      <c r="I35" s="4"/>
    </row>
    <row r="36" spans="3:9" x14ac:dyDescent="0.25">
      <c r="D36" s="76"/>
      <c r="E36" s="2" t="str">
        <f>'Billing Detail'!D109</f>
        <v>9,500 Lumen Security</v>
      </c>
      <c r="F36" s="58">
        <f>'Billing Detail'!H109</f>
        <v>11.39</v>
      </c>
      <c r="G36" s="58">
        <f>'Billing Detail'!L109</f>
        <v>11.97</v>
      </c>
      <c r="H36" s="58">
        <f t="shared" si="0"/>
        <v>0.58000000000000007</v>
      </c>
      <c r="I36" s="4">
        <f t="shared" si="1"/>
        <v>5.0921861281826165E-2</v>
      </c>
    </row>
    <row r="37" spans="3:9" x14ac:dyDescent="0.25">
      <c r="D37" s="2"/>
      <c r="E37" s="2" t="str">
        <f>'Billing Detail'!D110</f>
        <v>Pole Charge</v>
      </c>
      <c r="F37" s="58">
        <f>'Billing Detail'!H110</f>
        <v>5.79</v>
      </c>
      <c r="G37" s="58">
        <f>'Billing Detail'!L110</f>
        <v>6.08</v>
      </c>
      <c r="H37" s="58">
        <f t="shared" si="0"/>
        <v>0.29000000000000004</v>
      </c>
      <c r="I37" s="4">
        <f t="shared" si="1"/>
        <v>5.0086355785837658E-2</v>
      </c>
    </row>
    <row r="38" spans="3:9" x14ac:dyDescent="0.25">
      <c r="D38" s="2"/>
      <c r="E38" s="2" t="str">
        <f>'Billing Detail'!D113</f>
        <v>4,000 Lumen Deocrative Colonial</v>
      </c>
      <c r="F38" s="58">
        <f>'Billing Detail'!H113</f>
        <v>13.84</v>
      </c>
      <c r="G38" s="58">
        <f>'Billing Detail'!L113</f>
        <v>14.54</v>
      </c>
      <c r="H38" s="58">
        <f t="shared" si="0"/>
        <v>0.69999999999999929</v>
      </c>
      <c r="I38" s="4">
        <f t="shared" si="1"/>
        <v>5.0578034682080872E-2</v>
      </c>
    </row>
    <row r="39" spans="3:9" x14ac:dyDescent="0.25">
      <c r="D39" s="2"/>
      <c r="E39" s="2" t="str">
        <f>'Billing Detail'!D115</f>
        <v>9,550 Lumen Decorative Colonial</v>
      </c>
      <c r="F39" s="58">
        <f>'Billing Detail'!H115</f>
        <v>18.11</v>
      </c>
      <c r="G39" s="58">
        <f>'Billing Detail'!L115</f>
        <v>19.03</v>
      </c>
      <c r="H39" s="58">
        <f t="shared" si="0"/>
        <v>0.92000000000000171</v>
      </c>
      <c r="I39" s="4">
        <f t="shared" si="1"/>
        <v>5.0800662617338579E-2</v>
      </c>
    </row>
    <row r="40" spans="3:9" x14ac:dyDescent="0.25">
      <c r="D40" s="2"/>
      <c r="E40" s="2" t="str">
        <f>'Billing Detail'!D117</f>
        <v>27,500 Lumen directional flood</v>
      </c>
      <c r="F40" s="58">
        <f>'Billing Detail'!H117</f>
        <v>15.9</v>
      </c>
      <c r="G40" s="58">
        <f>'Billing Detail'!L117</f>
        <v>16.7</v>
      </c>
      <c r="H40" s="58">
        <f t="shared" si="0"/>
        <v>0.79999999999999893</v>
      </c>
      <c r="I40" s="4">
        <f t="shared" si="1"/>
        <v>5.0314465408804965E-2</v>
      </c>
    </row>
    <row r="41" spans="3:9" x14ac:dyDescent="0.25">
      <c r="E41" s="2" t="str">
        <f>'Billing Detail'!D119</f>
        <v>50,000 Lumen Directional flood</v>
      </c>
      <c r="F41" s="58">
        <f>'Billing Detail'!H119</f>
        <v>22.95</v>
      </c>
      <c r="G41" s="58">
        <f>'Billing Detail'!L119</f>
        <v>24.11</v>
      </c>
      <c r="H41" s="58">
        <f t="shared" si="0"/>
        <v>1.1600000000000001</v>
      </c>
      <c r="I41" s="4">
        <f t="shared" si="1"/>
        <v>5.0544662309368202E-2</v>
      </c>
    </row>
    <row r="42" spans="3:9" x14ac:dyDescent="0.25">
      <c r="E42" s="2" t="str">
        <f>'Billing Detail'!D122</f>
        <v>107,800 Lumen Directional Flood</v>
      </c>
      <c r="F42" s="58">
        <f>'Billing Detail'!H122</f>
        <v>43.49</v>
      </c>
      <c r="G42" s="58">
        <f>'Billing Detail'!L122</f>
        <v>45.69</v>
      </c>
      <c r="H42" s="58">
        <f t="shared" si="0"/>
        <v>2.1999999999999957</v>
      </c>
      <c r="I42" s="4">
        <f t="shared" si="1"/>
        <v>5.0586341687744209E-2</v>
      </c>
    </row>
    <row r="43" spans="3:9" x14ac:dyDescent="0.25">
      <c r="E43" s="2" t="str">
        <f>'Billing Detail'!D123</f>
        <v>27,500 Lumen Cobra head</v>
      </c>
      <c r="F43" s="58">
        <f>'Billing Detail'!H123</f>
        <v>14.91</v>
      </c>
      <c r="G43" s="58">
        <f>'Billing Detail'!L123</f>
        <v>15.66</v>
      </c>
      <c r="H43" s="58">
        <f t="shared" si="0"/>
        <v>0.75</v>
      </c>
      <c r="I43" s="4">
        <f t="shared" si="1"/>
        <v>5.0301810865191143E-2</v>
      </c>
    </row>
    <row r="44" spans="3:9" x14ac:dyDescent="0.25">
      <c r="E44" s="2" t="str">
        <f>'Billing Detail'!D125</f>
        <v>7,000 Lumen Lamp</v>
      </c>
      <c r="F44" s="58">
        <f>'Billing Detail'!H125</f>
        <v>12.09</v>
      </c>
      <c r="G44" s="58">
        <f>'Billing Detail'!L125</f>
        <v>12.7</v>
      </c>
      <c r="H44" s="58">
        <f t="shared" si="0"/>
        <v>0.60999999999999943</v>
      </c>
      <c r="I44" s="4">
        <f t="shared" si="1"/>
        <v>5.0454921422663314E-2</v>
      </c>
    </row>
    <row r="45" spans="3:9" x14ac:dyDescent="0.25">
      <c r="E45" s="2" t="str">
        <f>'Billing Detail'!D126</f>
        <v>6,000 Lumen Security LED</v>
      </c>
      <c r="F45" s="58">
        <f>'Billing Detail'!H126</f>
        <v>10.210000000000001</v>
      </c>
      <c r="G45" s="58">
        <f>'Billing Detail'!L126</f>
        <v>10.73</v>
      </c>
      <c r="H45" s="58">
        <f t="shared" si="0"/>
        <v>0.51999999999999957</v>
      </c>
      <c r="I45" s="4">
        <f t="shared" si="1"/>
        <v>5.0930460333006813E-2</v>
      </c>
    </row>
    <row r="46" spans="3:9" x14ac:dyDescent="0.25">
      <c r="C46" s="13" t="str">
        <f>'Billing Detail'!C150</f>
        <v>B2</v>
      </c>
      <c r="D46" s="2" t="str">
        <f>'Billing Detail'!B150</f>
        <v>Schedule B-2 - Large Industrial Rate</v>
      </c>
      <c r="F46" s="58"/>
      <c r="G46" s="58"/>
      <c r="H46" s="58"/>
      <c r="I46" s="4"/>
    </row>
    <row r="47" spans="3:9" x14ac:dyDescent="0.25">
      <c r="D47" s="2"/>
      <c r="E47" s="2" t="str">
        <f>'Billing Detail'!D151</f>
        <v>Customer Charge</v>
      </c>
      <c r="F47" s="58">
        <f>'Billing Detail'!H151</f>
        <v>1246.03</v>
      </c>
      <c r="G47" s="58">
        <f>'Billing Detail'!L151</f>
        <v>1359.2090200720836</v>
      </c>
      <c r="H47" s="58">
        <f t="shared" si="0"/>
        <v>113.17902007208363</v>
      </c>
      <c r="I47" s="4">
        <f t="shared" si="1"/>
        <v>9.0831697529019068E-2</v>
      </c>
    </row>
    <row r="48" spans="3:9" x14ac:dyDescent="0.25">
      <c r="D48" s="2"/>
      <c r="E48" s="2" t="str">
        <f>'Billing Detail'!D152</f>
        <v>Demand Charge per kW</v>
      </c>
      <c r="F48" s="58">
        <f>'Billing Detail'!H152</f>
        <v>7.39</v>
      </c>
      <c r="G48" s="58">
        <f>'Billing Detail'!L152</f>
        <v>8.0612462447394506</v>
      </c>
      <c r="H48" s="58">
        <f t="shared" si="0"/>
        <v>0.67124624473945094</v>
      </c>
      <c r="I48" s="4">
        <f t="shared" si="1"/>
        <v>9.0831697529019081E-2</v>
      </c>
    </row>
    <row r="49" spans="3:9" x14ac:dyDescent="0.25">
      <c r="D49" s="2"/>
      <c r="E49" s="2" t="str">
        <f>'Billing Detail'!D153</f>
        <v>Excess Demand Charge per kW</v>
      </c>
      <c r="F49" s="58">
        <f>'Billing Detail'!H153</f>
        <v>10.29</v>
      </c>
      <c r="G49" s="58">
        <f>'Billing Detail'!L153</f>
        <v>11.224658167573606</v>
      </c>
      <c r="H49" s="58">
        <f t="shared" si="0"/>
        <v>0.9346581675736072</v>
      </c>
      <c r="I49" s="4">
        <f t="shared" si="1"/>
        <v>9.0831697529019179E-2</v>
      </c>
    </row>
    <row r="50" spans="3:9" x14ac:dyDescent="0.25">
      <c r="D50" s="2"/>
      <c r="E50" s="2" t="str">
        <f>'Billing Detail'!D154</f>
        <v>Energy Charge per kWh</v>
      </c>
      <c r="F50" s="59">
        <f>'Billing Detail'!H154</f>
        <v>5.4519999999999999E-2</v>
      </c>
      <c r="G50" s="59">
        <f>'Billing Detail'!L154</f>
        <v>5.9472144149282119E-2</v>
      </c>
      <c r="H50" s="59">
        <f t="shared" si="0"/>
        <v>4.95214414928212E-3</v>
      </c>
      <c r="I50" s="4">
        <f t="shared" si="1"/>
        <v>9.0831697529019081E-2</v>
      </c>
    </row>
    <row r="51" spans="3:9" x14ac:dyDescent="0.25">
      <c r="C51" s="13" t="str">
        <f>'Billing Detail'!C155</f>
        <v>B3</v>
      </c>
      <c r="D51" s="2" t="str">
        <f>'Billing Detail'!B155</f>
        <v>Schedule B-3 - Large Industrial Rate</v>
      </c>
      <c r="F51" s="58"/>
      <c r="G51" s="58"/>
      <c r="H51" s="58"/>
      <c r="I51" s="4"/>
    </row>
    <row r="52" spans="3:9" x14ac:dyDescent="0.25">
      <c r="D52" s="2"/>
      <c r="E52" s="2" t="str">
        <f>'Billing Detail'!D156</f>
        <v>Customer Charge</v>
      </c>
      <c r="F52" s="58">
        <f>'Billing Detail'!H156</f>
        <v>1246.03</v>
      </c>
      <c r="G52" s="58">
        <f>'Billing Detail'!L156</f>
        <v>1359.2090200720836</v>
      </c>
      <c r="H52" s="58">
        <f t="shared" si="0"/>
        <v>113.17902007208363</v>
      </c>
      <c r="I52" s="4">
        <f t="shared" si="1"/>
        <v>9.0831697529019068E-2</v>
      </c>
    </row>
    <row r="53" spans="3:9" x14ac:dyDescent="0.25">
      <c r="D53" s="2"/>
      <c r="E53" s="2" t="str">
        <f>'Billing Detail'!D157</f>
        <v>Demand Charge per kW</v>
      </c>
      <c r="F53" s="58">
        <f>'Billing Detail'!H157</f>
        <v>7.39</v>
      </c>
      <c r="G53" s="58">
        <f>'Billing Detail'!L157</f>
        <v>8.0612462447394506</v>
      </c>
      <c r="H53" s="58">
        <f t="shared" si="0"/>
        <v>0.67124624473945094</v>
      </c>
      <c r="I53" s="4">
        <f t="shared" si="1"/>
        <v>9.0831697529019081E-2</v>
      </c>
    </row>
    <row r="54" spans="3:9" x14ac:dyDescent="0.25">
      <c r="D54" s="2"/>
      <c r="E54" s="2" t="str">
        <f>'Billing Detail'!D158</f>
        <v>Excess Demand Charge per kW</v>
      </c>
      <c r="F54" s="58">
        <f>'Billing Detail'!H158</f>
        <v>10.29</v>
      </c>
      <c r="G54" s="58">
        <f>'Billing Detail'!L158</f>
        <v>11.224658167573606</v>
      </c>
      <c r="H54" s="58">
        <f t="shared" si="0"/>
        <v>0.9346581675736072</v>
      </c>
      <c r="I54" s="4">
        <f t="shared" si="1"/>
        <v>9.0831697529019179E-2</v>
      </c>
    </row>
    <row r="55" spans="3:9" x14ac:dyDescent="0.25">
      <c r="D55" s="2"/>
      <c r="E55" s="2" t="str">
        <f>'Billing Detail'!D159</f>
        <v>Energy Charge per kWh</v>
      </c>
      <c r="F55" s="59">
        <f>'Billing Detail'!H159</f>
        <v>5.3350000000000002E-2</v>
      </c>
      <c r="G55" s="59">
        <f>'Billing Detail'!L159</f>
        <v>5.8195871063173171E-2</v>
      </c>
      <c r="H55" s="59">
        <f t="shared" si="0"/>
        <v>4.8458710631731697E-3</v>
      </c>
      <c r="I55" s="4">
        <f t="shared" si="1"/>
        <v>9.0831697529019109E-2</v>
      </c>
    </row>
    <row r="56" spans="3:9" x14ac:dyDescent="0.25">
      <c r="C56" s="13" t="str">
        <f>'Billing Detail'!C160</f>
        <v>C1</v>
      </c>
      <c r="D56" s="2" t="str">
        <f>'Billing Detail'!B160</f>
        <v>Schedule C-1 - Large Industrial Rate</v>
      </c>
      <c r="F56" s="58"/>
      <c r="G56" s="58"/>
      <c r="H56" s="58"/>
      <c r="I56" s="4"/>
    </row>
    <row r="57" spans="3:9" x14ac:dyDescent="0.25">
      <c r="D57" s="2"/>
      <c r="E57" s="2" t="str">
        <f>'Billing Detail'!D161</f>
        <v>Customer Charge</v>
      </c>
      <c r="F57" s="58">
        <f>'Billing Detail'!H161</f>
        <v>623.64</v>
      </c>
      <c r="G57" s="58">
        <f>'Billing Detail'!L161</f>
        <v>679.76760000000002</v>
      </c>
      <c r="H57" s="58">
        <f t="shared" si="0"/>
        <v>56.127600000000029</v>
      </c>
      <c r="I57" s="4">
        <f t="shared" si="1"/>
        <v>9.0000000000000052E-2</v>
      </c>
    </row>
    <row r="58" spans="3:9" x14ac:dyDescent="0.25">
      <c r="D58" s="2"/>
      <c r="E58" s="2" t="str">
        <f>'Billing Detail'!D162</f>
        <v>Demand Charge per kW</v>
      </c>
      <c r="F58" s="58">
        <f>'Billing Detail'!H162</f>
        <v>7.59</v>
      </c>
      <c r="G58" s="58">
        <f>'Billing Detail'!L162</f>
        <v>8.2731000000000012</v>
      </c>
      <c r="H58" s="58">
        <f t="shared" si="0"/>
        <v>0.68310000000000137</v>
      </c>
      <c r="I58" s="4">
        <f t="shared" si="1"/>
        <v>9.0000000000000177E-2</v>
      </c>
    </row>
    <row r="59" spans="3:9" x14ac:dyDescent="0.25">
      <c r="D59" s="2"/>
      <c r="E59" s="2" t="str">
        <f>'Billing Detail'!D163</f>
        <v>Energy Charge per kWh</v>
      </c>
      <c r="F59" s="59">
        <f>'Billing Detail'!H163</f>
        <v>6.2764E-2</v>
      </c>
      <c r="G59" s="59">
        <f>'Billing Detail'!L163</f>
        <v>6.8412760000000003E-2</v>
      </c>
      <c r="H59" s="59">
        <f t="shared" si="0"/>
        <v>5.6487600000000027E-3</v>
      </c>
      <c r="I59" s="4">
        <f t="shared" si="1"/>
        <v>9.0000000000000038E-2</v>
      </c>
    </row>
    <row r="60" spans="3:9" x14ac:dyDescent="0.25">
      <c r="C60" s="13" t="str">
        <f>'Billing Detail'!C164</f>
        <v>C2</v>
      </c>
      <c r="D60" s="2" t="str">
        <f>'Billing Detail'!B164</f>
        <v>Schedule C-2 - Large Industrial Rate</v>
      </c>
      <c r="F60" s="58"/>
      <c r="G60" s="58"/>
      <c r="H60" s="58"/>
      <c r="I60" s="4"/>
    </row>
    <row r="61" spans="3:9" x14ac:dyDescent="0.25">
      <c r="D61" s="2"/>
      <c r="E61" s="2" t="str">
        <f>'Billing Detail'!D165</f>
        <v>Customer Charge</v>
      </c>
      <c r="F61" s="58">
        <f>'Billing Detail'!H165</f>
        <v>1246.03</v>
      </c>
      <c r="G61" s="58">
        <f>'Billing Detail'!L165</f>
        <v>1358.1727000000001</v>
      </c>
      <c r="H61" s="58">
        <f t="shared" si="0"/>
        <v>112.1427000000001</v>
      </c>
      <c r="I61" s="4">
        <f t="shared" si="1"/>
        <v>9.000000000000008E-2</v>
      </c>
    </row>
    <row r="62" spans="3:9" x14ac:dyDescent="0.25">
      <c r="D62" s="2"/>
      <c r="E62" s="2" t="str">
        <f>'Billing Detail'!D166</f>
        <v>Demand Charge per kW</v>
      </c>
      <c r="F62" s="58">
        <f>'Billing Detail'!H166</f>
        <v>7.59</v>
      </c>
      <c r="G62" s="58">
        <f>'Billing Detail'!L166</f>
        <v>8.2731000000000012</v>
      </c>
      <c r="H62" s="58">
        <f t="shared" si="0"/>
        <v>0.68310000000000137</v>
      </c>
      <c r="I62" s="4">
        <f t="shared" si="1"/>
        <v>9.0000000000000177E-2</v>
      </c>
    </row>
    <row r="63" spans="3:9" x14ac:dyDescent="0.25">
      <c r="D63" s="2"/>
      <c r="E63" s="2" t="str">
        <f>'Billing Detail'!D167</f>
        <v>Energy Charge per kWh</v>
      </c>
      <c r="F63" s="59">
        <f>'Billing Detail'!H167</f>
        <v>5.9013999999999997E-2</v>
      </c>
      <c r="G63" s="59">
        <f>'Billing Detail'!L167</f>
        <v>6.4325259999999995E-2</v>
      </c>
      <c r="H63" s="59">
        <f t="shared" si="0"/>
        <v>5.3112599999999982E-3</v>
      </c>
      <c r="I63" s="4">
        <f t="shared" si="1"/>
        <v>8.9999999999999969E-2</v>
      </c>
    </row>
    <row r="64" spans="3:9" x14ac:dyDescent="0.25">
      <c r="C64" s="13" t="str">
        <f>'Billing Detail'!C168</f>
        <v>C3</v>
      </c>
      <c r="D64" s="3" t="str">
        <f>'Billing Detail'!B168</f>
        <v>Schedule C-3 - Large Industrial Rate</v>
      </c>
      <c r="F64" s="58"/>
      <c r="G64" s="58"/>
      <c r="H64" s="58"/>
      <c r="I64" s="4"/>
    </row>
    <row r="65" spans="3:9" x14ac:dyDescent="0.25">
      <c r="E65" s="2" t="str">
        <f>'Billing Detail'!D169</f>
        <v>Customer Charge</v>
      </c>
      <c r="F65" s="58">
        <f>'Billing Detail'!H169</f>
        <v>2361.77</v>
      </c>
      <c r="G65" s="58">
        <f>'Billing Detail'!L169</f>
        <v>2574.3293000000003</v>
      </c>
      <c r="H65" s="58">
        <f t="shared" si="0"/>
        <v>212.55930000000035</v>
      </c>
      <c r="I65" s="4">
        <f t="shared" si="1"/>
        <v>9.0000000000000149E-2</v>
      </c>
    </row>
    <row r="66" spans="3:9" x14ac:dyDescent="0.25">
      <c r="E66" s="2" t="str">
        <f>'Billing Detail'!D170</f>
        <v>Demand Charge per kW</v>
      </c>
      <c r="F66" s="58">
        <f>'Billing Detail'!H170</f>
        <v>7.59</v>
      </c>
      <c r="G66" s="58">
        <f>'Billing Detail'!L170</f>
        <v>8.2731000000000012</v>
      </c>
      <c r="H66" s="58">
        <f t="shared" si="0"/>
        <v>0.68310000000000137</v>
      </c>
      <c r="I66" s="4">
        <f t="shared" si="1"/>
        <v>9.0000000000000177E-2</v>
      </c>
    </row>
    <row r="67" spans="3:9" x14ac:dyDescent="0.25">
      <c r="E67" s="2" t="str">
        <f>'Billing Detail'!D171</f>
        <v>Energy Charge per kWh</v>
      </c>
      <c r="F67" s="59">
        <f>'Billing Detail'!H171</f>
        <v>5.5264000000000001E-2</v>
      </c>
      <c r="G67" s="59">
        <f>'Billing Detail'!L171</f>
        <v>6.0237760000000008E-2</v>
      </c>
      <c r="H67" s="59">
        <f t="shared" si="0"/>
        <v>4.9737600000000076E-3</v>
      </c>
      <c r="I67" s="4">
        <f t="shared" si="1"/>
        <v>9.0000000000000135E-2</v>
      </c>
    </row>
    <row r="68" spans="3:9" x14ac:dyDescent="0.25">
      <c r="D68" s="2"/>
    </row>
    <row r="69" spans="3:9" ht="41.4" customHeight="1" x14ac:dyDescent="0.25">
      <c r="C69" s="139" t="s">
        <v>51</v>
      </c>
      <c r="D69" s="139"/>
      <c r="E69" s="139"/>
      <c r="F69" s="139"/>
      <c r="G69" s="139"/>
      <c r="I69" s="58"/>
    </row>
    <row r="70" spans="3:9" x14ac:dyDescent="0.25">
      <c r="D70" s="2"/>
      <c r="F70" s="140" t="s">
        <v>52</v>
      </c>
      <c r="G70" s="140"/>
      <c r="I70" s="58"/>
    </row>
    <row r="71" spans="3:9" x14ac:dyDescent="0.25">
      <c r="C71" s="73" t="s">
        <v>53</v>
      </c>
      <c r="D71" s="65"/>
      <c r="E71" s="66"/>
      <c r="F71" s="67" t="s">
        <v>54</v>
      </c>
      <c r="G71" s="67" t="s">
        <v>55</v>
      </c>
      <c r="I71" s="58"/>
    </row>
    <row r="72" spans="3:9" x14ac:dyDescent="0.25">
      <c r="C72" s="74">
        <f>Summary!C10</f>
        <v>1</v>
      </c>
      <c r="D72" s="3" t="str">
        <f>Summary!B10</f>
        <v>Schedule 1 - Rates for Farm and Home Service</v>
      </c>
      <c r="F72" s="110">
        <f>Summary!L10</f>
        <v>2100156.5599800022</v>
      </c>
      <c r="G72" s="68">
        <f>Summary!N10</f>
        <v>4.5337938324794803E-2</v>
      </c>
      <c r="I72" s="58"/>
    </row>
    <row r="73" spans="3:9" x14ac:dyDescent="0.25">
      <c r="C73" s="74">
        <f>Summary!C11</f>
        <v>8</v>
      </c>
      <c r="D73" s="3" t="str">
        <f>Summary!B11</f>
        <v>Schedule NM - Net Metering</v>
      </c>
      <c r="F73" s="110">
        <f>Summary!L11</f>
        <v>2357.9702600000073</v>
      </c>
      <c r="G73" s="68">
        <f>Summary!N11</f>
        <v>4.5799429004363595E-2</v>
      </c>
      <c r="H73" s="1"/>
      <c r="I73" s="58"/>
    </row>
    <row r="74" spans="3:9" x14ac:dyDescent="0.25">
      <c r="C74" s="74" t="str">
        <f>Summary!C12</f>
        <v>11,12</v>
      </c>
      <c r="D74" s="3" t="str">
        <f>Summary!B12</f>
        <v>Schedule 1-A - Farm and Home Marketing Rate (ETS)</v>
      </c>
      <c r="F74" s="110">
        <f>Summary!L12</f>
        <v>1419.5731799999994</v>
      </c>
      <c r="G74" s="68">
        <f>Summary!N12</f>
        <v>5.0585495843202641E-2</v>
      </c>
      <c r="H74" s="1"/>
      <c r="I74" s="58"/>
    </row>
    <row r="75" spans="3:9" x14ac:dyDescent="0.25">
      <c r="C75" s="74">
        <f>Summary!C13</f>
        <v>2</v>
      </c>
      <c r="D75" s="3" t="str">
        <f>Summary!B13</f>
        <v>Schedule 2 - Small Commercial and Small Power</v>
      </c>
      <c r="F75" s="110">
        <f>Summary!L13</f>
        <v>146931.58707999997</v>
      </c>
      <c r="G75" s="68">
        <f>Summary!N13</f>
        <v>4.5868942135250564E-2</v>
      </c>
      <c r="H75" s="1"/>
      <c r="I75" s="58"/>
    </row>
    <row r="76" spans="3:9" x14ac:dyDescent="0.25">
      <c r="C76" s="74">
        <f>Summary!C14</f>
        <v>4</v>
      </c>
      <c r="D76" s="3" t="str">
        <f>Summary!B14</f>
        <v>Schedule 4 - Large Power Rate (LPR)</v>
      </c>
      <c r="F76" s="110">
        <f>Summary!L14</f>
        <v>168889.02296000044</v>
      </c>
      <c r="G76" s="68">
        <f>Summary!N14</f>
        <v>4.5415546734994719E-2</v>
      </c>
      <c r="H76" s="1"/>
      <c r="I76" s="58"/>
    </row>
    <row r="77" spans="3:9" x14ac:dyDescent="0.25">
      <c r="C77" s="74">
        <f>Summary!C15</f>
        <v>5</v>
      </c>
      <c r="D77" s="3" t="str">
        <f>Summary!B15</f>
        <v>Schedule 5 - All Electric School Rate</v>
      </c>
      <c r="F77" s="110">
        <f>Summary!L15</f>
        <v>21711.367920000001</v>
      </c>
      <c r="G77" s="68">
        <f>Summary!N15</f>
        <v>5.0593965876318099E-2</v>
      </c>
      <c r="H77" s="1"/>
      <c r="I77" s="58"/>
    </row>
    <row r="78" spans="3:9" x14ac:dyDescent="0.25">
      <c r="C78" s="74" t="str">
        <f>Summary!C19</f>
        <v>B1</v>
      </c>
      <c r="D78" s="3" t="str">
        <f>Summary!B19</f>
        <v>Schedule B1 - Large Industrial Rate</v>
      </c>
      <c r="F78" s="110">
        <f>Summary!L19</f>
        <v>369431.99576000031</v>
      </c>
      <c r="G78" s="68">
        <f>Summary!N19</f>
        <v>8.0598613319808721E-2</v>
      </c>
      <c r="H78" s="1"/>
      <c r="I78" s="58"/>
    </row>
    <row r="79" spans="3:9" x14ac:dyDescent="0.25">
      <c r="C79" s="74" t="str">
        <f>Summary!C20</f>
        <v>G</v>
      </c>
      <c r="D79" s="3" t="str">
        <f>Summary!B20</f>
        <v>Schedule G - Large Industrial Rate</v>
      </c>
      <c r="F79" s="110">
        <f>Summary!L20</f>
        <v>1233868.8000000056</v>
      </c>
      <c r="G79" s="68">
        <f>Summary!N20</f>
        <v>0.10988669786702564</v>
      </c>
      <c r="H79" s="1"/>
      <c r="I79" s="58"/>
    </row>
    <row r="80" spans="3:9" x14ac:dyDescent="0.25">
      <c r="C80" s="74">
        <f>Summary!C16</f>
        <v>6</v>
      </c>
      <c r="D80" s="3" t="str">
        <f>Summary!B16</f>
        <v>Lighting</v>
      </c>
      <c r="F80" s="110">
        <f>Summary!L16</f>
        <v>62795.470000000205</v>
      </c>
      <c r="G80" s="68">
        <f>Summary!N16</f>
        <v>5.0542043361167147E-2</v>
      </c>
      <c r="H80" s="1"/>
      <c r="I80" s="58"/>
    </row>
    <row r="81" spans="3:9" x14ac:dyDescent="0.25">
      <c r="C81" s="77" t="s">
        <v>56</v>
      </c>
      <c r="D81" s="37"/>
      <c r="E81" s="37"/>
      <c r="F81" s="111">
        <f>Summary!L31</f>
        <v>4107562.3471400291</v>
      </c>
      <c r="G81" s="69">
        <f>Summary!N31</f>
        <v>5.7970652780242077E-2</v>
      </c>
      <c r="I81" s="58"/>
    </row>
    <row r="82" spans="3:9" x14ac:dyDescent="0.25">
      <c r="C82" s="74"/>
      <c r="D82" s="2"/>
      <c r="F82" s="70"/>
      <c r="G82" s="71"/>
      <c r="I82" s="58"/>
    </row>
    <row r="83" spans="3:9" x14ac:dyDescent="0.25">
      <c r="D83" s="2"/>
      <c r="I83" s="58"/>
    </row>
    <row r="84" spans="3:9" ht="40.200000000000003" customHeight="1" x14ac:dyDescent="0.25">
      <c r="C84" s="139" t="s">
        <v>57</v>
      </c>
      <c r="D84" s="139"/>
      <c r="E84" s="139"/>
      <c r="F84" s="139"/>
      <c r="G84" s="139"/>
      <c r="H84" s="109"/>
      <c r="I84" s="58"/>
    </row>
    <row r="85" spans="3:9" x14ac:dyDescent="0.25">
      <c r="D85" s="2"/>
      <c r="E85" s="72" t="s">
        <v>18</v>
      </c>
      <c r="F85" s="140" t="s">
        <v>52</v>
      </c>
      <c r="G85" s="140"/>
      <c r="I85" s="58"/>
    </row>
    <row r="86" spans="3:9" x14ac:dyDescent="0.25">
      <c r="C86" s="73" t="s">
        <v>53</v>
      </c>
      <c r="D86" s="66"/>
      <c r="E86" s="73" t="s">
        <v>58</v>
      </c>
      <c r="F86" s="67" t="s">
        <v>54</v>
      </c>
      <c r="G86" s="67" t="s">
        <v>55</v>
      </c>
      <c r="I86" s="58"/>
    </row>
    <row r="87" spans="3:9" x14ac:dyDescent="0.25">
      <c r="C87" s="13">
        <f>Summary!C10</f>
        <v>1</v>
      </c>
      <c r="D87" s="81" t="str">
        <f>Summary!B10</f>
        <v>Schedule 1 - Rates for Farm and Home Service</v>
      </c>
      <c r="E87" s="75">
        <f>'Billing Detail'!E17</f>
        <v>1084.4920482723367</v>
      </c>
      <c r="F87" s="58">
        <f>'Billing Detail'!N17</f>
        <v>6.6679469016360713</v>
      </c>
      <c r="G87" s="4">
        <f>Summary!N10</f>
        <v>4.5337938324794803E-2</v>
      </c>
      <c r="I87" s="58"/>
    </row>
    <row r="88" spans="3:9" x14ac:dyDescent="0.25">
      <c r="C88" s="13">
        <f>Summary!C11</f>
        <v>8</v>
      </c>
      <c r="D88" s="81" t="str">
        <f>Summary!B11</f>
        <v>Schedule NM - Net Metering</v>
      </c>
      <c r="E88" s="75">
        <f>'Billing Detail'!E29</f>
        <v>537.21036106750387</v>
      </c>
      <c r="F88" s="58">
        <f>'Billing Detail'!N29</f>
        <v>3.7016801569858728</v>
      </c>
      <c r="G88" s="4">
        <f>Summary!N11</f>
        <v>4.5799429004363595E-2</v>
      </c>
      <c r="I88" s="58"/>
    </row>
    <row r="89" spans="3:9" x14ac:dyDescent="0.25">
      <c r="C89" s="13" t="str">
        <f>Summary!C12</f>
        <v>11,12</v>
      </c>
      <c r="D89" s="81" t="str">
        <f>Summary!B12</f>
        <v>Schedule 1-A - Farm and Home Marketing Rate (ETS)</v>
      </c>
      <c r="E89" s="75">
        <f>'Billing Detail'!E41</f>
        <v>314.48337950138506</v>
      </c>
      <c r="F89" s="58">
        <f>'Billing Detail'!N41</f>
        <v>1.9661678393351778</v>
      </c>
      <c r="G89" s="4">
        <f>Summary!N12</f>
        <v>5.0585495843202641E-2</v>
      </c>
      <c r="I89" s="58"/>
    </row>
    <row r="90" spans="3:9" x14ac:dyDescent="0.25">
      <c r="C90" s="13">
        <f>Summary!C13</f>
        <v>2</v>
      </c>
      <c r="D90" s="81" t="str">
        <f>Summary!B13</f>
        <v>Schedule 2 - Small Commercial and Small Power</v>
      </c>
      <c r="E90" s="75">
        <f>'Billing Detail'!E54</f>
        <v>1473.3747120016756</v>
      </c>
      <c r="F90" s="58">
        <f>'Billing Detail'!N54</f>
        <v>10.258436576136262</v>
      </c>
      <c r="G90" s="4">
        <f>Summary!N13</f>
        <v>4.5868942135250564E-2</v>
      </c>
      <c r="I90" s="58"/>
    </row>
    <row r="91" spans="3:9" x14ac:dyDescent="0.25">
      <c r="C91" s="13">
        <f>Summary!C14</f>
        <v>4</v>
      </c>
      <c r="D91" s="81" t="str">
        <f>Summary!B14</f>
        <v>Schedule 4 - Large Power Rate (LPR)</v>
      </c>
      <c r="E91" s="75">
        <f>'Billing Detail'!E67</f>
        <v>21042.593377483445</v>
      </c>
      <c r="F91" s="58">
        <f>'Billing Detail'!N67</f>
        <v>111.84703507284803</v>
      </c>
      <c r="G91" s="4">
        <f>Summary!N14</f>
        <v>4.5415546734994719E-2</v>
      </c>
      <c r="I91" s="58"/>
    </row>
    <row r="92" spans="3:9" x14ac:dyDescent="0.25">
      <c r="C92" s="13">
        <f>Summary!C15</f>
        <v>5</v>
      </c>
      <c r="D92" s="81" t="str">
        <f>Summary!B15</f>
        <v>Schedule 5 - All Electric School Rate</v>
      </c>
      <c r="E92" s="75">
        <f>'Billing Detail'!E79</f>
        <v>38594.678571428572</v>
      </c>
      <c r="F92" s="58">
        <f>'Billing Detail'!N79</f>
        <v>193.85149928571445</v>
      </c>
      <c r="G92" s="4">
        <f>Summary!N15</f>
        <v>5.0593965876318099E-2</v>
      </c>
      <c r="I92" s="58"/>
    </row>
    <row r="93" spans="3:9" x14ac:dyDescent="0.25">
      <c r="C93" s="13" t="str">
        <f>Summary!C19</f>
        <v>B1</v>
      </c>
      <c r="D93" s="81" t="str">
        <f>Summary!B19</f>
        <v>Schedule B1 - Large Industrial Rate</v>
      </c>
      <c r="E93" s="75">
        <f>'Billing Detail'!E93</f>
        <v>488939.9259259259</v>
      </c>
      <c r="F93" s="58">
        <f>'Billing Detail'!N93</f>
        <v>3420.6666274074087</v>
      </c>
      <c r="G93" s="4">
        <f>Summary!N19</f>
        <v>8.0598613319808721E-2</v>
      </c>
      <c r="I93" s="58"/>
    </row>
    <row r="94" spans="3:9" x14ac:dyDescent="0.25">
      <c r="C94" s="13" t="str">
        <f>Summary!C20</f>
        <v>G</v>
      </c>
      <c r="D94" s="81" t="str">
        <f>Summary!B20</f>
        <v>Schedule G - Large Industrial Rate</v>
      </c>
      <c r="E94" s="75">
        <f>'Billing Detail'!E106</f>
        <v>14016000</v>
      </c>
      <c r="F94" s="58">
        <f>'Billing Detail'!N106</f>
        <v>102822.40000000037</v>
      </c>
      <c r="G94" s="4">
        <f>Summary!N20</f>
        <v>0.10988669786702564</v>
      </c>
      <c r="I94" s="58"/>
    </row>
    <row r="95" spans="3:9" x14ac:dyDescent="0.25">
      <c r="C95" s="13">
        <f>Summary!C16</f>
        <v>6</v>
      </c>
      <c r="D95" s="81" t="str">
        <f>Summary!B16</f>
        <v>Lighting</v>
      </c>
      <c r="E95" s="79" t="s">
        <v>59</v>
      </c>
      <c r="F95" s="78" t="s">
        <v>59</v>
      </c>
      <c r="G95" s="4">
        <f>Summary!N16</f>
        <v>5.0542043361167147E-2</v>
      </c>
      <c r="I95" s="58"/>
    </row>
    <row r="96" spans="3:9" x14ac:dyDescent="0.25">
      <c r="I96" s="58"/>
    </row>
    <row r="97" spans="9:9" x14ac:dyDescent="0.25">
      <c r="I97" s="58"/>
    </row>
  </sheetData>
  <mergeCells count="4">
    <mergeCell ref="C69:G69"/>
    <mergeCell ref="F70:G70"/>
    <mergeCell ref="F85:G85"/>
    <mergeCell ref="C84:G84"/>
  </mergeCells>
  <printOptions horizontalCentered="1"/>
  <pageMargins left="0.7" right="0.7" top="0.75" bottom="0.75" header="0.3" footer="0.3"/>
  <pageSetup paperSize="9" scale="70" fitToHeight="2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2025-07-30T13:13:01Z</cp:lastPrinted>
  <dcterms:created xsi:type="dcterms:W3CDTF">2021-02-09T02:13:44Z</dcterms:created>
  <dcterms:modified xsi:type="dcterms:W3CDTF">2025-09-10T21:22:26Z</dcterms:modified>
</cp:coreProperties>
</file>