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ac385686f0d07d2/Documents/CATALYST Consulting/Clients/EKPC/A-EKPC 2025 Pass Thru Cases/Jackson/Analysis/"/>
    </mc:Choice>
  </mc:AlternateContent>
  <xr:revisionPtr revIDLastSave="24" documentId="8_{223E4D9A-205E-4CF8-8120-F328B0086FF5}" xr6:coauthVersionLast="47" xr6:coauthVersionMax="47" xr10:uidLastSave="{91E6A80C-7DFD-4AB2-B217-3666302CE3B1}"/>
  <bookViews>
    <workbookView xWindow="-108" yWindow="-108" windowWidth="23256" windowHeight="12456" xr2:uid="{5A56C961-47FC-4CB4-AEDD-3C6FC9A16749}"/>
  </bookViews>
  <sheets>
    <sheet name="Summary" sheetId="2" r:id="rId1"/>
    <sheet name="Billing Detail" sheetId="1" r:id="rId2"/>
    <sheet name="Notice Table" sheetId="5" r:id="rId3"/>
    <sheet name="Sheet1" sheetId="3" state="hidden" r:id="rId4"/>
    <sheet name="Demand" sheetId="4" state="hidden" r:id="rId5"/>
  </sheets>
  <definedNames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0</definedName>
    <definedName name="_AtRisk_SimSetting_ReportsList" hidden="1">0</definedName>
    <definedName name="_AtRisk_SimSetting_SimNameCount" hidden="1">0</definedName>
    <definedName name="_AtRisk_SimSetting_SmartSensitivityAnalysisEnabled" hidden="1">TRUE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xlnm.Print_Area" localSheetId="1">'Billing Detail'!$A$1:$R$171</definedName>
    <definedName name="_xlnm.Print_Area" localSheetId="2">'Notice Table'!$A$1:$G$66</definedName>
    <definedName name="_xlnm.Print_Area" localSheetId="0">Summary!$A$1:$O$34</definedName>
    <definedName name="_xlnm.Print_Titles" localSheetId="1">'Billing Detail'!$1:$5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FALSE</definedName>
    <definedName name="RiskNumIterations" hidden="1">500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TRUE</definedName>
    <definedName name="RiskUseDifferentSeedForEachSim" hidden="1">FALSE</definedName>
    <definedName name="RiskUseFixedSeed" hidden="1">FALSE</definedName>
    <definedName name="RiskUseMultipleCPUs" hidden="1">FALSE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70" i="1" l="1"/>
  <c r="L32" i="2"/>
  <c r="I31" i="2"/>
  <c r="E31" i="2"/>
  <c r="D31" i="2"/>
  <c r="Q5" i="2"/>
  <c r="A19" i="2"/>
  <c r="A20" i="2" s="1"/>
  <c r="A21" i="2" s="1"/>
  <c r="A14" i="2"/>
  <c r="I20" i="2"/>
  <c r="K86" i="1" s="1"/>
  <c r="I19" i="2"/>
  <c r="L5" i="2"/>
  <c r="C36" i="5"/>
  <c r="E36" i="5"/>
  <c r="F36" i="5"/>
  <c r="C37" i="5"/>
  <c r="E37" i="5"/>
  <c r="F37" i="5"/>
  <c r="C38" i="5"/>
  <c r="E38" i="5"/>
  <c r="F38" i="5"/>
  <c r="C39" i="5"/>
  <c r="E39" i="5"/>
  <c r="F39" i="5"/>
  <c r="C40" i="5"/>
  <c r="E40" i="5"/>
  <c r="F40" i="5"/>
  <c r="C41" i="5"/>
  <c r="E41" i="5"/>
  <c r="F41" i="5"/>
  <c r="C42" i="5"/>
  <c r="E42" i="5"/>
  <c r="F42" i="5"/>
  <c r="C43" i="5"/>
  <c r="E43" i="5"/>
  <c r="F43" i="5"/>
  <c r="C44" i="5"/>
  <c r="E44" i="5"/>
  <c r="F44" i="5"/>
  <c r="C45" i="5"/>
  <c r="E45" i="5"/>
  <c r="F45" i="5"/>
  <c r="C46" i="5"/>
  <c r="E46" i="5"/>
  <c r="F46" i="5"/>
  <c r="C47" i="5"/>
  <c r="E47" i="5"/>
  <c r="F47" i="5"/>
  <c r="C48" i="5"/>
  <c r="E48" i="5"/>
  <c r="F48" i="5"/>
  <c r="C49" i="5"/>
  <c r="E49" i="5"/>
  <c r="F49" i="5"/>
  <c r="C50" i="5"/>
  <c r="E50" i="5"/>
  <c r="F50" i="5"/>
  <c r="C51" i="5"/>
  <c r="E51" i="5"/>
  <c r="F51" i="5"/>
  <c r="C52" i="5"/>
  <c r="E52" i="5"/>
  <c r="F52" i="5"/>
  <c r="C53" i="5"/>
  <c r="E53" i="5"/>
  <c r="F53" i="5"/>
  <c r="C54" i="5"/>
  <c r="E54" i="5"/>
  <c r="F54" i="5"/>
  <c r="C55" i="5"/>
  <c r="E55" i="5"/>
  <c r="F55" i="5"/>
  <c r="C56" i="5"/>
  <c r="E56" i="5"/>
  <c r="F56" i="5"/>
  <c r="C57" i="5"/>
  <c r="E57" i="5"/>
  <c r="F57" i="5"/>
  <c r="C58" i="5"/>
  <c r="E58" i="5"/>
  <c r="F58" i="5"/>
  <c r="C59" i="5"/>
  <c r="E59" i="5"/>
  <c r="F59" i="5"/>
  <c r="C60" i="5"/>
  <c r="E60" i="5"/>
  <c r="F60" i="5"/>
  <c r="C61" i="5"/>
  <c r="E61" i="5"/>
  <c r="F61" i="5"/>
  <c r="C62" i="5"/>
  <c r="E62" i="5"/>
  <c r="F62" i="5"/>
  <c r="C63" i="5"/>
  <c r="E63" i="5"/>
  <c r="F63" i="5"/>
  <c r="C64" i="5"/>
  <c r="E64" i="5"/>
  <c r="F64" i="5"/>
  <c r="C65" i="5"/>
  <c r="E65" i="5"/>
  <c r="F65" i="5"/>
  <c r="C66" i="5"/>
  <c r="E66" i="5"/>
  <c r="F66" i="5"/>
  <c r="I133" i="1"/>
  <c r="G133" i="1"/>
  <c r="A133" i="1"/>
  <c r="I132" i="1"/>
  <c r="G132" i="1"/>
  <c r="A132" i="1"/>
  <c r="E174" i="1"/>
  <c r="E175" i="1" s="1"/>
  <c r="E176" i="1" s="1"/>
  <c r="I111" i="1"/>
  <c r="I99" i="1"/>
  <c r="I87" i="1"/>
  <c r="I73" i="1"/>
  <c r="I60" i="1"/>
  <c r="I47" i="1"/>
  <c r="I35" i="1"/>
  <c r="I23" i="1"/>
  <c r="I11" i="1"/>
  <c r="K72" i="1" l="1"/>
  <c r="G9" i="1"/>
  <c r="E117" i="1" l="1"/>
  <c r="E94" i="5" s="1"/>
  <c r="E105" i="1"/>
  <c r="E93" i="5" s="1"/>
  <c r="E93" i="1"/>
  <c r="E92" i="5" s="1"/>
  <c r="E79" i="1"/>
  <c r="E91" i="5" s="1"/>
  <c r="E66" i="1"/>
  <c r="E90" i="5" s="1"/>
  <c r="E53" i="1"/>
  <c r="E89" i="5" s="1"/>
  <c r="E41" i="1"/>
  <c r="E88" i="5" s="1"/>
  <c r="E29" i="1"/>
  <c r="E87" i="5" s="1"/>
  <c r="E17" i="1"/>
  <c r="E86" i="5" s="1"/>
  <c r="F35" i="5" l="1"/>
  <c r="E35" i="5"/>
  <c r="C35" i="5"/>
  <c r="C34" i="5"/>
  <c r="E33" i="5"/>
  <c r="F33" i="5"/>
  <c r="F32" i="5"/>
  <c r="E32" i="5"/>
  <c r="D31" i="5"/>
  <c r="C31" i="5"/>
  <c r="E30" i="5"/>
  <c r="F30" i="5"/>
  <c r="F29" i="5"/>
  <c r="E29" i="5"/>
  <c r="D28" i="5"/>
  <c r="C28" i="5"/>
  <c r="E25" i="5"/>
  <c r="F25" i="5"/>
  <c r="E26" i="5"/>
  <c r="F26" i="5"/>
  <c r="E27" i="5"/>
  <c r="F27" i="5"/>
  <c r="F24" i="5"/>
  <c r="E24" i="5"/>
  <c r="D23" i="5"/>
  <c r="C23" i="5"/>
  <c r="E21" i="5"/>
  <c r="F21" i="5"/>
  <c r="E22" i="5"/>
  <c r="F22" i="5"/>
  <c r="F20" i="5"/>
  <c r="E20" i="5"/>
  <c r="D19" i="5"/>
  <c r="C19" i="5"/>
  <c r="E17" i="5"/>
  <c r="F17" i="5"/>
  <c r="E18" i="5"/>
  <c r="F18" i="5"/>
  <c r="F16" i="5"/>
  <c r="E16" i="5"/>
  <c r="D15" i="5"/>
  <c r="C15" i="5"/>
  <c r="F14" i="5"/>
  <c r="E14" i="5"/>
  <c r="D13" i="5"/>
  <c r="C13" i="5"/>
  <c r="E12" i="5"/>
  <c r="F12" i="5"/>
  <c r="F11" i="5"/>
  <c r="E11" i="5"/>
  <c r="D10" i="5"/>
  <c r="C10" i="5"/>
  <c r="F9" i="5"/>
  <c r="E9" i="5"/>
  <c r="D8" i="5"/>
  <c r="C8" i="5"/>
  <c r="E7" i="5"/>
  <c r="F7" i="5"/>
  <c r="F6" i="5"/>
  <c r="E6" i="5"/>
  <c r="D5" i="5"/>
  <c r="C5" i="5"/>
  <c r="A1" i="5"/>
  <c r="O8" i="5" l="1"/>
  <c r="P8" i="5" s="1"/>
  <c r="N3" i="3"/>
  <c r="N4" i="3"/>
  <c r="N2" i="3"/>
  <c r="D4" i="3"/>
  <c r="E4" i="3" s="1"/>
  <c r="F4" i="3" s="1"/>
  <c r="G4" i="3" s="1"/>
  <c r="J4" i="3"/>
  <c r="K4" i="3"/>
  <c r="L4" i="3" s="1"/>
  <c r="M4" i="3" s="1"/>
  <c r="I4" i="3"/>
  <c r="C4" i="3"/>
  <c r="A8" i="1" l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C281" i="3"/>
  <c r="D281" i="3"/>
  <c r="E281" i="3"/>
  <c r="F281" i="3"/>
  <c r="G281" i="3"/>
  <c r="H281" i="3"/>
  <c r="I281" i="3"/>
  <c r="J281" i="3"/>
  <c r="K281" i="3"/>
  <c r="L281" i="3"/>
  <c r="M281" i="3"/>
  <c r="B281" i="3"/>
  <c r="N283" i="3"/>
  <c r="N282" i="3"/>
  <c r="C282" i="3"/>
  <c r="D282" i="3"/>
  <c r="E282" i="3"/>
  <c r="F282" i="3"/>
  <c r="G282" i="3"/>
  <c r="H282" i="3"/>
  <c r="I282" i="3"/>
  <c r="J282" i="3"/>
  <c r="K282" i="3"/>
  <c r="L282" i="3"/>
  <c r="M282" i="3"/>
  <c r="C283" i="3"/>
  <c r="D283" i="3"/>
  <c r="E283" i="3"/>
  <c r="F283" i="3"/>
  <c r="F284" i="3" s="1"/>
  <c r="G283" i="3"/>
  <c r="G284" i="3" s="1"/>
  <c r="H283" i="3"/>
  <c r="H284" i="3" s="1"/>
  <c r="I283" i="3"/>
  <c r="I284" i="3" s="1"/>
  <c r="J283" i="3"/>
  <c r="K283" i="3"/>
  <c r="L283" i="3"/>
  <c r="M283" i="3"/>
  <c r="D284" i="3"/>
  <c r="E284" i="3"/>
  <c r="J284" i="3"/>
  <c r="K284" i="3"/>
  <c r="L284" i="3"/>
  <c r="M284" i="3"/>
  <c r="B286" i="3"/>
  <c r="B287" i="3" s="1"/>
  <c r="B284" i="3"/>
  <c r="B283" i="3"/>
  <c r="B282" i="3"/>
  <c r="F286" i="3" l="1"/>
  <c r="F287" i="3" s="1"/>
  <c r="E286" i="3"/>
  <c r="E287" i="3" s="1"/>
  <c r="D286" i="3"/>
  <c r="D287" i="3" s="1"/>
  <c r="C286" i="3"/>
  <c r="C287" i="3" s="1"/>
  <c r="C284" i="3"/>
  <c r="C2" i="3"/>
  <c r="D2" i="3"/>
  <c r="E2" i="3"/>
  <c r="F2" i="3"/>
  <c r="G2" i="3"/>
  <c r="H2" i="3"/>
  <c r="I2" i="3"/>
  <c r="J2" i="3"/>
  <c r="K2" i="3"/>
  <c r="L2" i="3"/>
  <c r="M2" i="3"/>
  <c r="B2" i="3"/>
  <c r="S94" i="3"/>
  <c r="R94" i="3"/>
  <c r="Q94" i="3"/>
  <c r="Q96" i="3"/>
  <c r="Q104" i="3"/>
  <c r="C267" i="3"/>
  <c r="D267" i="3"/>
  <c r="E267" i="3"/>
  <c r="F267" i="3"/>
  <c r="G267" i="3"/>
  <c r="H267" i="3"/>
  <c r="I267" i="3"/>
  <c r="J267" i="3"/>
  <c r="K267" i="3"/>
  <c r="L267" i="3"/>
  <c r="M267" i="3"/>
  <c r="N267" i="3"/>
  <c r="C268" i="3"/>
  <c r="D268" i="3"/>
  <c r="E268" i="3"/>
  <c r="F268" i="3"/>
  <c r="F277" i="3" s="1"/>
  <c r="F278" i="3" s="1"/>
  <c r="G268" i="3"/>
  <c r="H268" i="3"/>
  <c r="I268" i="3"/>
  <c r="J268" i="3"/>
  <c r="K268" i="3"/>
  <c r="L268" i="3"/>
  <c r="M268" i="3"/>
  <c r="N268" i="3"/>
  <c r="N277" i="3" s="1"/>
  <c r="N278" i="3" s="1"/>
  <c r="C269" i="3"/>
  <c r="D269" i="3"/>
  <c r="E269" i="3"/>
  <c r="F269" i="3"/>
  <c r="G269" i="3"/>
  <c r="H269" i="3"/>
  <c r="I269" i="3"/>
  <c r="J269" i="3"/>
  <c r="K269" i="3"/>
  <c r="L269" i="3"/>
  <c r="M269" i="3"/>
  <c r="N269" i="3"/>
  <c r="C270" i="3"/>
  <c r="D270" i="3"/>
  <c r="E270" i="3"/>
  <c r="F270" i="3"/>
  <c r="G270" i="3"/>
  <c r="H270" i="3"/>
  <c r="I270" i="3"/>
  <c r="J270" i="3"/>
  <c r="K270" i="3"/>
  <c r="L270" i="3"/>
  <c r="M270" i="3"/>
  <c r="N270" i="3"/>
  <c r="C271" i="3"/>
  <c r="D271" i="3"/>
  <c r="E271" i="3"/>
  <c r="F271" i="3"/>
  <c r="G271" i="3"/>
  <c r="H271" i="3"/>
  <c r="I271" i="3"/>
  <c r="J271" i="3"/>
  <c r="K271" i="3"/>
  <c r="L271" i="3"/>
  <c r="M271" i="3"/>
  <c r="N271" i="3"/>
  <c r="C272" i="3"/>
  <c r="D272" i="3"/>
  <c r="E272" i="3"/>
  <c r="F272" i="3"/>
  <c r="G272" i="3"/>
  <c r="H272" i="3"/>
  <c r="I272" i="3"/>
  <c r="J272" i="3"/>
  <c r="K272" i="3"/>
  <c r="L272" i="3"/>
  <c r="M272" i="3"/>
  <c r="N272" i="3"/>
  <c r="C273" i="3"/>
  <c r="D273" i="3"/>
  <c r="E273" i="3"/>
  <c r="F273" i="3"/>
  <c r="G273" i="3"/>
  <c r="H273" i="3"/>
  <c r="I273" i="3"/>
  <c r="J273" i="3"/>
  <c r="K273" i="3"/>
  <c r="L273" i="3"/>
  <c r="M273" i="3"/>
  <c r="N273" i="3"/>
  <c r="C274" i="3"/>
  <c r="D274" i="3"/>
  <c r="E274" i="3"/>
  <c r="F274" i="3"/>
  <c r="G274" i="3"/>
  <c r="H274" i="3"/>
  <c r="I274" i="3"/>
  <c r="J274" i="3"/>
  <c r="K274" i="3"/>
  <c r="L274" i="3"/>
  <c r="M274" i="3"/>
  <c r="N274" i="3"/>
  <c r="C275" i="3"/>
  <c r="D275" i="3"/>
  <c r="E275" i="3"/>
  <c r="F275" i="3"/>
  <c r="G275" i="3"/>
  <c r="H275" i="3"/>
  <c r="I275" i="3"/>
  <c r="J275" i="3"/>
  <c r="K275" i="3"/>
  <c r="L275" i="3"/>
  <c r="M275" i="3"/>
  <c r="N275" i="3"/>
  <c r="C276" i="3"/>
  <c r="D276" i="3"/>
  <c r="E276" i="3"/>
  <c r="F276" i="3"/>
  <c r="G276" i="3"/>
  <c r="G277" i="3" s="1"/>
  <c r="G278" i="3" s="1"/>
  <c r="H276" i="3"/>
  <c r="I276" i="3"/>
  <c r="J276" i="3"/>
  <c r="K276" i="3"/>
  <c r="L276" i="3"/>
  <c r="M276" i="3"/>
  <c r="N276" i="3"/>
  <c r="C277" i="3"/>
  <c r="C278" i="3" s="1"/>
  <c r="D277" i="3"/>
  <c r="E277" i="3"/>
  <c r="H277" i="3"/>
  <c r="I277" i="3"/>
  <c r="J277" i="3"/>
  <c r="J278" i="3" s="1"/>
  <c r="K277" i="3"/>
  <c r="K278" i="3" s="1"/>
  <c r="L277" i="3"/>
  <c r="M277" i="3"/>
  <c r="D278" i="3"/>
  <c r="E278" i="3"/>
  <c r="H278" i="3"/>
  <c r="I278" i="3"/>
  <c r="L278" i="3"/>
  <c r="M278" i="3"/>
  <c r="B278" i="3"/>
  <c r="B276" i="3"/>
  <c r="B275" i="3"/>
  <c r="B274" i="3"/>
  <c r="B273" i="3"/>
  <c r="B272" i="3"/>
  <c r="B271" i="3"/>
  <c r="B270" i="3"/>
  <c r="B269" i="3"/>
  <c r="B268" i="3"/>
  <c r="B267" i="3"/>
  <c r="B259" i="3"/>
  <c r="I114" i="1"/>
  <c r="M114" i="1" s="1"/>
  <c r="G113" i="1"/>
  <c r="I113" i="1" s="1"/>
  <c r="M113" i="1" s="1"/>
  <c r="I112" i="1"/>
  <c r="M112" i="1" s="1"/>
  <c r="I102" i="1"/>
  <c r="M102" i="1" s="1"/>
  <c r="G101" i="1"/>
  <c r="I100" i="1"/>
  <c r="M100" i="1" s="1"/>
  <c r="I90" i="1"/>
  <c r="M90" i="1" s="1"/>
  <c r="G89" i="1"/>
  <c r="I89" i="1" s="1"/>
  <c r="M89" i="1" s="1"/>
  <c r="I88" i="1"/>
  <c r="M88" i="1" s="1"/>
  <c r="I76" i="1"/>
  <c r="M76" i="1" s="1"/>
  <c r="G75" i="1"/>
  <c r="I75" i="1" s="1"/>
  <c r="M75" i="1" s="1"/>
  <c r="I74" i="1"/>
  <c r="M74" i="1" s="1"/>
  <c r="I63" i="1"/>
  <c r="M63" i="1" s="1"/>
  <c r="I62" i="1"/>
  <c r="M62" i="1" s="1"/>
  <c r="I61" i="1"/>
  <c r="M61" i="1" s="1"/>
  <c r="I50" i="1"/>
  <c r="M50" i="1" s="1"/>
  <c r="I49" i="1"/>
  <c r="M49" i="1" s="1"/>
  <c r="I48" i="1"/>
  <c r="M48" i="1" s="1"/>
  <c r="I38" i="1"/>
  <c r="M38" i="1" s="1"/>
  <c r="I36" i="1"/>
  <c r="I26" i="1"/>
  <c r="M26" i="1" s="1"/>
  <c r="I25" i="1"/>
  <c r="M25" i="1" s="1"/>
  <c r="I24" i="1"/>
  <c r="M24" i="1" s="1"/>
  <c r="I14" i="1"/>
  <c r="M14" i="1" s="1"/>
  <c r="I13" i="1"/>
  <c r="M13" i="1" s="1"/>
  <c r="I12" i="1"/>
  <c r="M12" i="1" s="1"/>
  <c r="I32" i="4"/>
  <c r="H32" i="4"/>
  <c r="G32" i="4"/>
  <c r="D32" i="4"/>
  <c r="C32" i="4"/>
  <c r="B32" i="4"/>
  <c r="I15" i="4"/>
  <c r="H15" i="4"/>
  <c r="G15" i="4"/>
  <c r="D14" i="4"/>
  <c r="C14" i="4"/>
  <c r="B14" i="4"/>
  <c r="D13" i="4"/>
  <c r="C13" i="4"/>
  <c r="B13" i="4"/>
  <c r="D12" i="4"/>
  <c r="C12" i="4"/>
  <c r="B12" i="4"/>
  <c r="D11" i="4"/>
  <c r="C11" i="4"/>
  <c r="B11" i="4"/>
  <c r="D10" i="4"/>
  <c r="C10" i="4"/>
  <c r="B10" i="4"/>
  <c r="D9" i="4"/>
  <c r="C9" i="4"/>
  <c r="B9" i="4"/>
  <c r="D8" i="4"/>
  <c r="C8" i="4"/>
  <c r="B8" i="4"/>
  <c r="D7" i="4"/>
  <c r="C7" i="4"/>
  <c r="B7" i="4"/>
  <c r="D6" i="4"/>
  <c r="C6" i="4"/>
  <c r="B6" i="4"/>
  <c r="D5" i="4"/>
  <c r="C5" i="4"/>
  <c r="B5" i="4"/>
  <c r="D4" i="4"/>
  <c r="C4" i="4"/>
  <c r="B4" i="4"/>
  <c r="D3" i="4"/>
  <c r="D15" i="4" s="1"/>
  <c r="C3" i="4"/>
  <c r="C15" i="4" s="1"/>
  <c r="B3" i="4"/>
  <c r="B15" i="4" s="1"/>
  <c r="M261" i="3"/>
  <c r="L261" i="3"/>
  <c r="K261" i="3"/>
  <c r="J261" i="3"/>
  <c r="I261" i="3"/>
  <c r="H261" i="3"/>
  <c r="G261" i="3"/>
  <c r="F261" i="3"/>
  <c r="E261" i="3"/>
  <c r="D261" i="3"/>
  <c r="C261" i="3"/>
  <c r="B261" i="3"/>
  <c r="H260" i="3"/>
  <c r="J258" i="3"/>
  <c r="B258" i="3"/>
  <c r="L254" i="3"/>
  <c r="J254" i="3"/>
  <c r="D254" i="3"/>
  <c r="B254" i="3"/>
  <c r="M250" i="3"/>
  <c r="L250" i="3"/>
  <c r="K250" i="3"/>
  <c r="J250" i="3"/>
  <c r="I250" i="3"/>
  <c r="H250" i="3"/>
  <c r="G250" i="3"/>
  <c r="F250" i="3"/>
  <c r="E250" i="3"/>
  <c r="D250" i="3"/>
  <c r="C250" i="3"/>
  <c r="B250" i="3"/>
  <c r="N250" i="3" s="1"/>
  <c r="N249" i="3"/>
  <c r="N261" i="3" s="1"/>
  <c r="L248" i="3"/>
  <c r="K248" i="3"/>
  <c r="J248" i="3"/>
  <c r="I248" i="3"/>
  <c r="H248" i="3"/>
  <c r="G248" i="3"/>
  <c r="F248" i="3"/>
  <c r="D248" i="3"/>
  <c r="C248" i="3"/>
  <c r="F247" i="3"/>
  <c r="M246" i="3"/>
  <c r="M254" i="3" s="1"/>
  <c r="L246" i="3"/>
  <c r="K246" i="3"/>
  <c r="K254" i="3" s="1"/>
  <c r="J246" i="3"/>
  <c r="I246" i="3"/>
  <c r="I254" i="3" s="1"/>
  <c r="G246" i="3"/>
  <c r="G254" i="3" s="1"/>
  <c r="F246" i="3"/>
  <c r="F254" i="3" s="1"/>
  <c r="E246" i="3"/>
  <c r="E254" i="3" s="1"/>
  <c r="D246" i="3"/>
  <c r="C246" i="3"/>
  <c r="C254" i="3" s="1"/>
  <c r="B246" i="3"/>
  <c r="M245" i="3"/>
  <c r="L245" i="3"/>
  <c r="K245" i="3"/>
  <c r="J245" i="3"/>
  <c r="I245" i="3"/>
  <c r="H245" i="3"/>
  <c r="G245" i="3"/>
  <c r="F245" i="3"/>
  <c r="E245" i="3"/>
  <c r="D245" i="3"/>
  <c r="C245" i="3"/>
  <c r="B245" i="3"/>
  <c r="N245" i="3" s="1"/>
  <c r="M244" i="3"/>
  <c r="M260" i="3" s="1"/>
  <c r="J244" i="3"/>
  <c r="J260" i="3" s="1"/>
  <c r="I244" i="3"/>
  <c r="I260" i="3" s="1"/>
  <c r="H244" i="3"/>
  <c r="G244" i="3"/>
  <c r="G260" i="3" s="1"/>
  <c r="F244" i="3"/>
  <c r="F260" i="3" s="1"/>
  <c r="E244" i="3"/>
  <c r="E260" i="3" s="1"/>
  <c r="D244" i="3"/>
  <c r="D260" i="3" s="1"/>
  <c r="C244" i="3"/>
  <c r="C260" i="3" s="1"/>
  <c r="B244" i="3"/>
  <c r="B260" i="3" s="1"/>
  <c r="M243" i="3"/>
  <c r="L243" i="3"/>
  <c r="K243" i="3"/>
  <c r="J243" i="3"/>
  <c r="I243" i="3"/>
  <c r="H243" i="3"/>
  <c r="G243" i="3"/>
  <c r="F243" i="3"/>
  <c r="E243" i="3"/>
  <c r="D243" i="3"/>
  <c r="C243" i="3"/>
  <c r="B243" i="3"/>
  <c r="N243" i="3" s="1"/>
  <c r="M242" i="3"/>
  <c r="L242" i="3"/>
  <c r="K242" i="3"/>
  <c r="J242" i="3"/>
  <c r="I242" i="3"/>
  <c r="I258" i="3" s="1"/>
  <c r="H242" i="3"/>
  <c r="H258" i="3" s="1"/>
  <c r="G242" i="3"/>
  <c r="F242" i="3"/>
  <c r="E242" i="3"/>
  <c r="D242" i="3"/>
  <c r="C242" i="3"/>
  <c r="B242" i="3"/>
  <c r="N242" i="3" s="1"/>
  <c r="N258" i="3" s="1"/>
  <c r="M241" i="3"/>
  <c r="L241" i="3"/>
  <c r="K241" i="3"/>
  <c r="I241" i="3"/>
  <c r="H241" i="3"/>
  <c r="G241" i="3"/>
  <c r="E241" i="3"/>
  <c r="D241" i="3"/>
  <c r="I240" i="3"/>
  <c r="I263" i="3" s="1"/>
  <c r="I239" i="3"/>
  <c r="F239" i="3"/>
  <c r="K238" i="3"/>
  <c r="C238" i="3"/>
  <c r="I237" i="3"/>
  <c r="H237" i="3"/>
  <c r="J236" i="3"/>
  <c r="E236" i="3"/>
  <c r="E262" i="3" s="1"/>
  <c r="M235" i="3"/>
  <c r="K235" i="3"/>
  <c r="J235" i="3"/>
  <c r="I235" i="3"/>
  <c r="E235" i="3"/>
  <c r="B235" i="3"/>
  <c r="G234" i="3"/>
  <c r="L233" i="3"/>
  <c r="D233" i="3"/>
  <c r="I232" i="3"/>
  <c r="M231" i="3"/>
  <c r="L231" i="3"/>
  <c r="K231" i="3"/>
  <c r="J231" i="3"/>
  <c r="I231" i="3"/>
  <c r="H231" i="3"/>
  <c r="G231" i="3"/>
  <c r="F231" i="3"/>
  <c r="N231" i="3" s="1"/>
  <c r="E231" i="3"/>
  <c r="D231" i="3"/>
  <c r="C231" i="3"/>
  <c r="B231" i="3"/>
  <c r="K230" i="3"/>
  <c r="C230" i="3"/>
  <c r="J229" i="3"/>
  <c r="I229" i="3"/>
  <c r="H229" i="3"/>
  <c r="D229" i="3"/>
  <c r="M228" i="3"/>
  <c r="E228" i="3"/>
  <c r="N227" i="3"/>
  <c r="N224" i="3"/>
  <c r="N223" i="3"/>
  <c r="N222" i="3"/>
  <c r="N221" i="3"/>
  <c r="N220" i="3"/>
  <c r="N219" i="3"/>
  <c r="N218" i="3"/>
  <c r="N217" i="3"/>
  <c r="N216" i="3"/>
  <c r="N215" i="3"/>
  <c r="N214" i="3"/>
  <c r="N213" i="3"/>
  <c r="N212" i="3"/>
  <c r="N211" i="3"/>
  <c r="N210" i="3"/>
  <c r="N209" i="3"/>
  <c r="N208" i="3"/>
  <c r="N207" i="3"/>
  <c r="N206" i="3"/>
  <c r="N205" i="3"/>
  <c r="N204" i="3"/>
  <c r="N203" i="3"/>
  <c r="N202" i="3"/>
  <c r="N201" i="3"/>
  <c r="N199" i="3"/>
  <c r="N198" i="3"/>
  <c r="N197" i="3"/>
  <c r="N196" i="3"/>
  <c r="N195" i="3"/>
  <c r="N194" i="3"/>
  <c r="N193" i="3"/>
  <c r="N192" i="3"/>
  <c r="N191" i="3"/>
  <c r="N190" i="3"/>
  <c r="N189" i="3"/>
  <c r="N188" i="3"/>
  <c r="N187" i="3"/>
  <c r="N186" i="3"/>
  <c r="N185" i="3"/>
  <c r="N184" i="3"/>
  <c r="N183" i="3"/>
  <c r="N182" i="3"/>
  <c r="N181" i="3"/>
  <c r="N178" i="3"/>
  <c r="N177" i="3"/>
  <c r="N176" i="3"/>
  <c r="N175" i="3"/>
  <c r="N174" i="3"/>
  <c r="N173" i="3"/>
  <c r="L173" i="3"/>
  <c r="M172" i="3"/>
  <c r="N172" i="3" s="1"/>
  <c r="N171" i="3"/>
  <c r="M170" i="3"/>
  <c r="N170" i="3" s="1"/>
  <c r="N169" i="3"/>
  <c r="N168" i="3"/>
  <c r="N167" i="3"/>
  <c r="N166" i="3"/>
  <c r="N165" i="3"/>
  <c r="N164" i="3"/>
  <c r="N163" i="3"/>
  <c r="N162" i="3"/>
  <c r="N161" i="3"/>
  <c r="N160" i="3"/>
  <c r="N157" i="3"/>
  <c r="N156" i="3"/>
  <c r="N155" i="3"/>
  <c r="N154" i="3"/>
  <c r="N153" i="3"/>
  <c r="N152" i="3"/>
  <c r="N151" i="3"/>
  <c r="N150" i="3"/>
  <c r="L150" i="3"/>
  <c r="N149" i="3"/>
  <c r="N148" i="3"/>
  <c r="N147" i="3"/>
  <c r="N146" i="3"/>
  <c r="N145" i="3"/>
  <c r="N144" i="3"/>
  <c r="N143" i="3"/>
  <c r="N142" i="3"/>
  <c r="N141" i="3"/>
  <c r="N140" i="3"/>
  <c r="N139" i="3"/>
  <c r="H138" i="3"/>
  <c r="N138" i="3" s="1"/>
  <c r="N137" i="3"/>
  <c r="N134" i="3"/>
  <c r="N133" i="3"/>
  <c r="N132" i="3"/>
  <c r="N131" i="3"/>
  <c r="N130" i="3"/>
  <c r="N129" i="3"/>
  <c r="N128" i="3"/>
  <c r="L127" i="3"/>
  <c r="N127" i="3" s="1"/>
  <c r="N126" i="3"/>
  <c r="N125" i="3"/>
  <c r="N124" i="3"/>
  <c r="N123" i="3"/>
  <c r="N122" i="3"/>
  <c r="N121" i="3"/>
  <c r="N120" i="3"/>
  <c r="N119" i="3"/>
  <c r="N118" i="3"/>
  <c r="N117" i="3"/>
  <c r="N116" i="3"/>
  <c r="N115" i="3"/>
  <c r="N114" i="3"/>
  <c r="N111" i="3"/>
  <c r="N110" i="3"/>
  <c r="N109" i="3"/>
  <c r="H108" i="3"/>
  <c r="H246" i="3" s="1"/>
  <c r="H254" i="3" s="1"/>
  <c r="N107" i="3"/>
  <c r="N106" i="3"/>
  <c r="N105" i="3"/>
  <c r="N104" i="3"/>
  <c r="N103" i="3"/>
  <c r="M102" i="3"/>
  <c r="L102" i="3"/>
  <c r="K102" i="3"/>
  <c r="J102" i="3"/>
  <c r="H102" i="3"/>
  <c r="G102" i="3"/>
  <c r="F102" i="3"/>
  <c r="E102" i="3"/>
  <c r="D102" i="3"/>
  <c r="C102" i="3"/>
  <c r="B102" i="3"/>
  <c r="N102" i="3" s="1"/>
  <c r="N101" i="3"/>
  <c r="N100" i="3"/>
  <c r="N99" i="3"/>
  <c r="N98" i="3"/>
  <c r="N97" i="3"/>
  <c r="J96" i="3"/>
  <c r="N96" i="3" s="1"/>
  <c r="N95" i="3"/>
  <c r="N94" i="3"/>
  <c r="J94" i="3"/>
  <c r="N93" i="3"/>
  <c r="N92" i="3"/>
  <c r="N91" i="3"/>
  <c r="M90" i="3"/>
  <c r="L90" i="3"/>
  <c r="K90" i="3"/>
  <c r="J90" i="3"/>
  <c r="I90" i="3"/>
  <c r="H90" i="3"/>
  <c r="G90" i="3"/>
  <c r="F90" i="3"/>
  <c r="E90" i="3"/>
  <c r="D90" i="3"/>
  <c r="C90" i="3"/>
  <c r="B90" i="3"/>
  <c r="N90" i="3" s="1"/>
  <c r="N89" i="3"/>
  <c r="N86" i="3"/>
  <c r="N85" i="3"/>
  <c r="N84" i="3"/>
  <c r="N83" i="3"/>
  <c r="N82" i="3"/>
  <c r="N81" i="3"/>
  <c r="N80" i="3"/>
  <c r="N79" i="3"/>
  <c r="N78" i="3"/>
  <c r="N77" i="3"/>
  <c r="N76" i="3"/>
  <c r="N75" i="3"/>
  <c r="N74" i="3"/>
  <c r="N73" i="3"/>
  <c r="N72" i="3"/>
  <c r="N71" i="3"/>
  <c r="N70" i="3"/>
  <c r="N67" i="3"/>
  <c r="N66" i="3"/>
  <c r="N65" i="3"/>
  <c r="N64" i="3"/>
  <c r="N63" i="3"/>
  <c r="L62" i="3"/>
  <c r="L244" i="3" s="1"/>
  <c r="L260" i="3" s="1"/>
  <c r="K62" i="3"/>
  <c r="N62" i="3" s="1"/>
  <c r="N61" i="3"/>
  <c r="J61" i="3"/>
  <c r="J241" i="3" s="1"/>
  <c r="M60" i="3"/>
  <c r="L60" i="3"/>
  <c r="K60" i="3"/>
  <c r="J60" i="3"/>
  <c r="H60" i="3"/>
  <c r="G60" i="3"/>
  <c r="F60" i="3"/>
  <c r="E60" i="3"/>
  <c r="D60" i="3"/>
  <c r="C60" i="3"/>
  <c r="B60" i="3"/>
  <c r="N60" i="3" s="1"/>
  <c r="M59" i="3"/>
  <c r="J59" i="3"/>
  <c r="E59" i="3"/>
  <c r="B59" i="3"/>
  <c r="N59" i="3" s="1"/>
  <c r="N58" i="3"/>
  <c r="E58" i="3"/>
  <c r="M57" i="3"/>
  <c r="J57" i="3"/>
  <c r="H57" i="3"/>
  <c r="D57" i="3"/>
  <c r="C57" i="3"/>
  <c r="N57" i="3" s="1"/>
  <c r="N56" i="3"/>
  <c r="H56" i="3"/>
  <c r="E56" i="3"/>
  <c r="J55" i="3"/>
  <c r="H55" i="3"/>
  <c r="D55" i="3"/>
  <c r="C55" i="3"/>
  <c r="N55" i="3" s="1"/>
  <c r="N54" i="3"/>
  <c r="E54" i="3"/>
  <c r="M53" i="3"/>
  <c r="J53" i="3"/>
  <c r="H53" i="3"/>
  <c r="D53" i="3"/>
  <c r="C53" i="3"/>
  <c r="B53" i="3"/>
  <c r="N53" i="3" s="1"/>
  <c r="K52" i="3"/>
  <c r="H52" i="3"/>
  <c r="E52" i="3"/>
  <c r="D52" i="3"/>
  <c r="N52" i="3" s="1"/>
  <c r="C52" i="3"/>
  <c r="N51" i="3"/>
  <c r="N50" i="3"/>
  <c r="J50" i="3"/>
  <c r="H49" i="3"/>
  <c r="C49" i="3"/>
  <c r="N49" i="3" s="1"/>
  <c r="M48" i="3"/>
  <c r="L48" i="3"/>
  <c r="K48" i="3"/>
  <c r="J48" i="3"/>
  <c r="I48" i="3"/>
  <c r="H48" i="3"/>
  <c r="G48" i="3"/>
  <c r="F48" i="3"/>
  <c r="E48" i="3"/>
  <c r="D48" i="3"/>
  <c r="C48" i="3"/>
  <c r="B48" i="3"/>
  <c r="N48" i="3" s="1"/>
  <c r="N47" i="3"/>
  <c r="N44" i="3"/>
  <c r="N43" i="3"/>
  <c r="N42" i="3"/>
  <c r="N41" i="3"/>
  <c r="N40" i="3"/>
  <c r="N39" i="3"/>
  <c r="L39" i="3"/>
  <c r="F39" i="3"/>
  <c r="B39" i="3"/>
  <c r="N38" i="3"/>
  <c r="N37" i="3"/>
  <c r="F36" i="3"/>
  <c r="N36" i="3" s="1"/>
  <c r="N35" i="3"/>
  <c r="F35" i="3"/>
  <c r="F34" i="3"/>
  <c r="N34" i="3" s="1"/>
  <c r="L33" i="3"/>
  <c r="N33" i="3" s="1"/>
  <c r="N32" i="3"/>
  <c r="N31" i="3"/>
  <c r="N30" i="3"/>
  <c r="F30" i="3"/>
  <c r="L29" i="3"/>
  <c r="I29" i="3"/>
  <c r="E29" i="3"/>
  <c r="N29" i="3" s="1"/>
  <c r="N28" i="3"/>
  <c r="N25" i="3"/>
  <c r="N24" i="3"/>
  <c r="M24" i="3"/>
  <c r="M248" i="3" s="1"/>
  <c r="E24" i="3"/>
  <c r="E248" i="3" s="1"/>
  <c r="B24" i="3"/>
  <c r="B248" i="3" s="1"/>
  <c r="M23" i="3"/>
  <c r="M247" i="3" s="1"/>
  <c r="L23" i="3"/>
  <c r="L247" i="3" s="1"/>
  <c r="K23" i="3"/>
  <c r="K247" i="3" s="1"/>
  <c r="J23" i="3"/>
  <c r="J247" i="3" s="1"/>
  <c r="I23" i="3"/>
  <c r="I247" i="3" s="1"/>
  <c r="H23" i="3"/>
  <c r="H247" i="3" s="1"/>
  <c r="G23" i="3"/>
  <c r="G247" i="3" s="1"/>
  <c r="F23" i="3"/>
  <c r="E23" i="3"/>
  <c r="E247" i="3" s="1"/>
  <c r="D23" i="3"/>
  <c r="D247" i="3" s="1"/>
  <c r="C23" i="3"/>
  <c r="C247" i="3" s="1"/>
  <c r="B23" i="3"/>
  <c r="B247" i="3" s="1"/>
  <c r="N247" i="3" s="1"/>
  <c r="N22" i="3"/>
  <c r="K22" i="3"/>
  <c r="K244" i="3" s="1"/>
  <c r="K260" i="3" s="1"/>
  <c r="F21" i="3"/>
  <c r="F241" i="3" s="1"/>
  <c r="C21" i="3"/>
  <c r="C241" i="3" s="1"/>
  <c r="B21" i="3"/>
  <c r="B241" i="3" s="1"/>
  <c r="M20" i="3"/>
  <c r="M240" i="3" s="1"/>
  <c r="M263" i="3" s="1"/>
  <c r="L20" i="3"/>
  <c r="L240" i="3" s="1"/>
  <c r="L263" i="3" s="1"/>
  <c r="K20" i="3"/>
  <c r="K240" i="3" s="1"/>
  <c r="K263" i="3" s="1"/>
  <c r="J20" i="3"/>
  <c r="J240" i="3" s="1"/>
  <c r="J263" i="3" s="1"/>
  <c r="I20" i="3"/>
  <c r="H20" i="3"/>
  <c r="H240" i="3" s="1"/>
  <c r="H263" i="3" s="1"/>
  <c r="G20" i="3"/>
  <c r="G240" i="3" s="1"/>
  <c r="G263" i="3" s="1"/>
  <c r="F20" i="3"/>
  <c r="F240" i="3" s="1"/>
  <c r="E20" i="3"/>
  <c r="E240" i="3" s="1"/>
  <c r="E263" i="3" s="1"/>
  <c r="D20" i="3"/>
  <c r="D240" i="3" s="1"/>
  <c r="D263" i="3" s="1"/>
  <c r="C20" i="3"/>
  <c r="C240" i="3" s="1"/>
  <c r="C263" i="3" s="1"/>
  <c r="B20" i="3"/>
  <c r="B240" i="3" s="1"/>
  <c r="M19" i="3"/>
  <c r="M239" i="3" s="1"/>
  <c r="L19" i="3"/>
  <c r="L239" i="3" s="1"/>
  <c r="K19" i="3"/>
  <c r="K239" i="3" s="1"/>
  <c r="J19" i="3"/>
  <c r="J239" i="3" s="1"/>
  <c r="H19" i="3"/>
  <c r="H239" i="3" s="1"/>
  <c r="G19" i="3"/>
  <c r="G239" i="3" s="1"/>
  <c r="E19" i="3"/>
  <c r="E239" i="3" s="1"/>
  <c r="D19" i="3"/>
  <c r="D239" i="3" s="1"/>
  <c r="C19" i="3"/>
  <c r="C239" i="3" s="1"/>
  <c r="B19" i="3"/>
  <c r="B239" i="3" s="1"/>
  <c r="M18" i="3"/>
  <c r="M238" i="3" s="1"/>
  <c r="L18" i="3"/>
  <c r="L238" i="3" s="1"/>
  <c r="K18" i="3"/>
  <c r="J18" i="3"/>
  <c r="J238" i="3" s="1"/>
  <c r="J259" i="3" s="1"/>
  <c r="I18" i="3"/>
  <c r="I238" i="3" s="1"/>
  <c r="I259" i="3" s="1"/>
  <c r="H18" i="3"/>
  <c r="H238" i="3" s="1"/>
  <c r="H259" i="3" s="1"/>
  <c r="G18" i="3"/>
  <c r="G238" i="3" s="1"/>
  <c r="G259" i="3" s="1"/>
  <c r="F18" i="3"/>
  <c r="F238" i="3" s="1"/>
  <c r="F259" i="3" s="1"/>
  <c r="E18" i="3"/>
  <c r="E238" i="3" s="1"/>
  <c r="D18" i="3"/>
  <c r="D238" i="3" s="1"/>
  <c r="C18" i="3"/>
  <c r="B18" i="3"/>
  <c r="B238" i="3" s="1"/>
  <c r="M17" i="3"/>
  <c r="M237" i="3" s="1"/>
  <c r="L17" i="3"/>
  <c r="L237" i="3" s="1"/>
  <c r="K17" i="3"/>
  <c r="K237" i="3" s="1"/>
  <c r="J17" i="3"/>
  <c r="J237" i="3" s="1"/>
  <c r="G17" i="3"/>
  <c r="G237" i="3" s="1"/>
  <c r="F17" i="3"/>
  <c r="F237" i="3" s="1"/>
  <c r="E17" i="3"/>
  <c r="E237" i="3" s="1"/>
  <c r="D17" i="3"/>
  <c r="D237" i="3" s="1"/>
  <c r="C17" i="3"/>
  <c r="C237" i="3" s="1"/>
  <c r="B17" i="3"/>
  <c r="B237" i="3" s="1"/>
  <c r="M16" i="3"/>
  <c r="M236" i="3" s="1"/>
  <c r="M262" i="3" s="1"/>
  <c r="L16" i="3"/>
  <c r="L236" i="3" s="1"/>
  <c r="L262" i="3" s="1"/>
  <c r="K16" i="3"/>
  <c r="K236" i="3" s="1"/>
  <c r="I16" i="3"/>
  <c r="I236" i="3" s="1"/>
  <c r="I262" i="3" s="1"/>
  <c r="H16" i="3"/>
  <c r="H236" i="3" s="1"/>
  <c r="H262" i="3" s="1"/>
  <c r="G16" i="3"/>
  <c r="G236" i="3" s="1"/>
  <c r="G262" i="3" s="1"/>
  <c r="F16" i="3"/>
  <c r="F236" i="3" s="1"/>
  <c r="F262" i="3" s="1"/>
  <c r="E16" i="3"/>
  <c r="D16" i="3"/>
  <c r="D236" i="3" s="1"/>
  <c r="D262" i="3" s="1"/>
  <c r="C16" i="3"/>
  <c r="C236" i="3" s="1"/>
  <c r="C262" i="3" s="1"/>
  <c r="B16" i="3"/>
  <c r="B236" i="3" s="1"/>
  <c r="L15" i="3"/>
  <c r="L235" i="3" s="1"/>
  <c r="J15" i="3"/>
  <c r="H15" i="3"/>
  <c r="H235" i="3" s="1"/>
  <c r="G15" i="3"/>
  <c r="G235" i="3" s="1"/>
  <c r="F15" i="3"/>
  <c r="F235" i="3" s="1"/>
  <c r="D15" i="3"/>
  <c r="N15" i="3" s="1"/>
  <c r="C15" i="3"/>
  <c r="C235" i="3" s="1"/>
  <c r="M14" i="3"/>
  <c r="M234" i="3" s="1"/>
  <c r="M257" i="3" s="1"/>
  <c r="L14" i="3"/>
  <c r="L234" i="3" s="1"/>
  <c r="L257" i="3" s="1"/>
  <c r="K14" i="3"/>
  <c r="K234" i="3" s="1"/>
  <c r="K257" i="3" s="1"/>
  <c r="J14" i="3"/>
  <c r="J234" i="3" s="1"/>
  <c r="J257" i="3" s="1"/>
  <c r="I14" i="3"/>
  <c r="I234" i="3" s="1"/>
  <c r="I257" i="3" s="1"/>
  <c r="H14" i="3"/>
  <c r="H234" i="3" s="1"/>
  <c r="H257" i="3" s="1"/>
  <c r="G14" i="3"/>
  <c r="F14" i="3"/>
  <c r="F234" i="3" s="1"/>
  <c r="F257" i="3" s="1"/>
  <c r="E14" i="3"/>
  <c r="E234" i="3" s="1"/>
  <c r="E257" i="3" s="1"/>
  <c r="D14" i="3"/>
  <c r="D234" i="3" s="1"/>
  <c r="C14" i="3"/>
  <c r="C234" i="3" s="1"/>
  <c r="B14" i="3"/>
  <c r="N14" i="3" s="1"/>
  <c r="N13" i="3"/>
  <c r="M13" i="3"/>
  <c r="M233" i="3" s="1"/>
  <c r="L13" i="3"/>
  <c r="K13" i="3"/>
  <c r="K233" i="3" s="1"/>
  <c r="J13" i="3"/>
  <c r="J233" i="3" s="1"/>
  <c r="I13" i="3"/>
  <c r="I233" i="3" s="1"/>
  <c r="H13" i="3"/>
  <c r="H233" i="3" s="1"/>
  <c r="G13" i="3"/>
  <c r="G233" i="3" s="1"/>
  <c r="F13" i="3"/>
  <c r="F233" i="3" s="1"/>
  <c r="E13" i="3"/>
  <c r="E233" i="3" s="1"/>
  <c r="D13" i="3"/>
  <c r="C13" i="3"/>
  <c r="C233" i="3" s="1"/>
  <c r="B13" i="3"/>
  <c r="B233" i="3" s="1"/>
  <c r="M12" i="3"/>
  <c r="M232" i="3" s="1"/>
  <c r="L12" i="3"/>
  <c r="L232" i="3" s="1"/>
  <c r="L256" i="3" s="1"/>
  <c r="K12" i="3"/>
  <c r="K232" i="3" s="1"/>
  <c r="J12" i="3"/>
  <c r="J232" i="3" s="1"/>
  <c r="J256" i="3" s="1"/>
  <c r="I12" i="3"/>
  <c r="H12" i="3"/>
  <c r="H232" i="3" s="1"/>
  <c r="G12" i="3"/>
  <c r="G232" i="3" s="1"/>
  <c r="G256" i="3" s="1"/>
  <c r="F12" i="3"/>
  <c r="F232" i="3" s="1"/>
  <c r="E12" i="3"/>
  <c r="E232" i="3" s="1"/>
  <c r="D12" i="3"/>
  <c r="D232" i="3" s="1"/>
  <c r="D256" i="3" s="1"/>
  <c r="C12" i="3"/>
  <c r="C232" i="3" s="1"/>
  <c r="B12" i="3"/>
  <c r="N12" i="3" s="1"/>
  <c r="N11" i="3"/>
  <c r="M10" i="3"/>
  <c r="M230" i="3" s="1"/>
  <c r="L10" i="3"/>
  <c r="L230" i="3" s="1"/>
  <c r="K10" i="3"/>
  <c r="J10" i="3"/>
  <c r="J230" i="3" s="1"/>
  <c r="I10" i="3"/>
  <c r="I230" i="3" s="1"/>
  <c r="H10" i="3"/>
  <c r="H230" i="3" s="1"/>
  <c r="G10" i="3"/>
  <c r="G230" i="3" s="1"/>
  <c r="F10" i="3"/>
  <c r="F230" i="3" s="1"/>
  <c r="E10" i="3"/>
  <c r="E230" i="3" s="1"/>
  <c r="D10" i="3"/>
  <c r="D230" i="3" s="1"/>
  <c r="C10" i="3"/>
  <c r="B10" i="3"/>
  <c r="B230" i="3" s="1"/>
  <c r="N9" i="3"/>
  <c r="M9" i="3"/>
  <c r="M229" i="3" s="1"/>
  <c r="L9" i="3"/>
  <c r="L229" i="3" s="1"/>
  <c r="K9" i="3"/>
  <c r="K229" i="3" s="1"/>
  <c r="G9" i="3"/>
  <c r="G229" i="3" s="1"/>
  <c r="F9" i="3"/>
  <c r="F229" i="3" s="1"/>
  <c r="E9" i="3"/>
  <c r="E229" i="3" s="1"/>
  <c r="C9" i="3"/>
  <c r="C229" i="3" s="1"/>
  <c r="B9" i="3"/>
  <c r="B229" i="3" s="1"/>
  <c r="M8" i="3"/>
  <c r="L8" i="3"/>
  <c r="L228" i="3" s="1"/>
  <c r="K8" i="3"/>
  <c r="K228" i="3" s="1"/>
  <c r="K252" i="3" s="1"/>
  <c r="J8" i="3"/>
  <c r="J228" i="3" s="1"/>
  <c r="J252" i="3" s="1"/>
  <c r="I8" i="3"/>
  <c r="I228" i="3" s="1"/>
  <c r="I252" i="3" s="1"/>
  <c r="H8" i="3"/>
  <c r="H228" i="3" s="1"/>
  <c r="G8" i="3"/>
  <c r="G228" i="3" s="1"/>
  <c r="F8" i="3"/>
  <c r="F228" i="3" s="1"/>
  <c r="E8" i="3"/>
  <c r="D8" i="3"/>
  <c r="D228" i="3" s="1"/>
  <c r="C8" i="3"/>
  <c r="C228" i="3" s="1"/>
  <c r="C252" i="3" s="1"/>
  <c r="B8" i="3"/>
  <c r="N8" i="3" s="1"/>
  <c r="J28" i="2"/>
  <c r="E28" i="2"/>
  <c r="B28" i="2"/>
  <c r="I15" i="1" l="1"/>
  <c r="I64" i="1"/>
  <c r="I115" i="1"/>
  <c r="I27" i="1"/>
  <c r="I51" i="1"/>
  <c r="I77" i="1"/>
  <c r="G286" i="3"/>
  <c r="G287" i="3" s="1"/>
  <c r="B277" i="3"/>
  <c r="M36" i="1"/>
  <c r="G39" i="1"/>
  <c r="G103" i="1"/>
  <c r="I37" i="1"/>
  <c r="M37" i="1" s="1"/>
  <c r="I101" i="1"/>
  <c r="G15" i="1"/>
  <c r="G115" i="1"/>
  <c r="I91" i="1"/>
  <c r="G166" i="1"/>
  <c r="D28" i="2" s="1"/>
  <c r="G91" i="1"/>
  <c r="G77" i="1"/>
  <c r="G64" i="1"/>
  <c r="G51" i="1"/>
  <c r="G27" i="1"/>
  <c r="J264" i="3"/>
  <c r="J265" i="3" s="1"/>
  <c r="C256" i="3"/>
  <c r="C264" i="3" s="1"/>
  <c r="C265" i="3" s="1"/>
  <c r="N238" i="3"/>
  <c r="C259" i="3"/>
  <c r="M253" i="3"/>
  <c r="F252" i="3"/>
  <c r="N229" i="3"/>
  <c r="L264" i="3"/>
  <c r="L265" i="3" s="1"/>
  <c r="C257" i="3"/>
  <c r="K259" i="3"/>
  <c r="F253" i="3"/>
  <c r="D252" i="3"/>
  <c r="E253" i="3"/>
  <c r="G252" i="3"/>
  <c r="N230" i="3"/>
  <c r="E256" i="3"/>
  <c r="E264" i="3" s="1"/>
  <c r="E265" i="3" s="1"/>
  <c r="M256" i="3"/>
  <c r="M264" i="3" s="1"/>
  <c r="M265" i="3" s="1"/>
  <c r="D259" i="3"/>
  <c r="L259" i="3"/>
  <c r="F263" i="3"/>
  <c r="N241" i="3"/>
  <c r="I256" i="3"/>
  <c r="I264" i="3" s="1"/>
  <c r="I265" i="3" s="1"/>
  <c r="G253" i="3"/>
  <c r="L252" i="3"/>
  <c r="K256" i="3"/>
  <c r="H252" i="3"/>
  <c r="F256" i="3"/>
  <c r="F264" i="3" s="1"/>
  <c r="F265" i="3" s="1"/>
  <c r="N233" i="3"/>
  <c r="B262" i="3"/>
  <c r="N236" i="3"/>
  <c r="N262" i="3" s="1"/>
  <c r="K262" i="3"/>
  <c r="E259" i="3"/>
  <c r="M259" i="3"/>
  <c r="N248" i="3"/>
  <c r="N246" i="3"/>
  <c r="N239" i="3"/>
  <c r="H253" i="3"/>
  <c r="H256" i="3"/>
  <c r="H264" i="3" s="1"/>
  <c r="H265" i="3" s="1"/>
  <c r="G257" i="3"/>
  <c r="G264" i="3" s="1"/>
  <c r="G265" i="3" s="1"/>
  <c r="J262" i="3"/>
  <c r="J253" i="3"/>
  <c r="N254" i="3"/>
  <c r="Q254" i="3" s="1"/>
  <c r="N237" i="3"/>
  <c r="N240" i="3"/>
  <c r="N263" i="3" s="1"/>
  <c r="B263" i="3"/>
  <c r="E252" i="3"/>
  <c r="C253" i="3"/>
  <c r="K253" i="3"/>
  <c r="M252" i="3"/>
  <c r="L253" i="3"/>
  <c r="N16" i="3"/>
  <c r="N18" i="3"/>
  <c r="N20" i="3"/>
  <c r="B232" i="3"/>
  <c r="N244" i="3"/>
  <c r="N260" i="3" s="1"/>
  <c r="I253" i="3"/>
  <c r="C258" i="3"/>
  <c r="K258" i="3"/>
  <c r="N108" i="3"/>
  <c r="D235" i="3"/>
  <c r="N235" i="3" s="1"/>
  <c r="B253" i="3"/>
  <c r="D258" i="3"/>
  <c r="L258" i="3"/>
  <c r="B234" i="3"/>
  <c r="E258" i="3"/>
  <c r="M258" i="3"/>
  <c r="N17" i="3"/>
  <c r="N19" i="3"/>
  <c r="N23" i="3"/>
  <c r="F258" i="3"/>
  <c r="N10" i="3"/>
  <c r="N21" i="3"/>
  <c r="B228" i="3"/>
  <c r="G258" i="3"/>
  <c r="I285" i="3" l="1"/>
  <c r="H286" i="3"/>
  <c r="H287" i="3" s="1"/>
  <c r="I103" i="1"/>
  <c r="M101" i="1"/>
  <c r="I39" i="1"/>
  <c r="B252" i="3"/>
  <c r="N252" i="3" s="1"/>
  <c r="Q252" i="3" s="1"/>
  <c r="N228" i="3"/>
  <c r="D253" i="3"/>
  <c r="N253" i="3" s="1"/>
  <c r="Q253" i="3" s="1"/>
  <c r="N234" i="3"/>
  <c r="N257" i="3" s="1"/>
  <c r="B257" i="3"/>
  <c r="B256" i="3"/>
  <c r="N232" i="3"/>
  <c r="N256" i="3" s="1"/>
  <c r="N264" i="3" s="1"/>
  <c r="K264" i="3"/>
  <c r="K265" i="3" s="1"/>
  <c r="D257" i="3"/>
  <c r="D264" i="3" s="1"/>
  <c r="D265" i="3" s="1"/>
  <c r="N259" i="3"/>
  <c r="I139" i="1"/>
  <c r="G139" i="1"/>
  <c r="I138" i="1"/>
  <c r="G138" i="1"/>
  <c r="I137" i="1"/>
  <c r="G137" i="1"/>
  <c r="I136" i="1"/>
  <c r="G136" i="1"/>
  <c r="I135" i="1"/>
  <c r="G135" i="1"/>
  <c r="I134" i="1"/>
  <c r="G134" i="1"/>
  <c r="I131" i="1"/>
  <c r="G131" i="1"/>
  <c r="I130" i="1"/>
  <c r="G130" i="1"/>
  <c r="I129" i="1"/>
  <c r="G129" i="1"/>
  <c r="I128" i="1"/>
  <c r="G128" i="1"/>
  <c r="I127" i="1"/>
  <c r="G127" i="1"/>
  <c r="I126" i="1"/>
  <c r="G126" i="1"/>
  <c r="I125" i="1"/>
  <c r="G125" i="1"/>
  <c r="I151" i="1"/>
  <c r="O151" i="1" s="1"/>
  <c r="G151" i="1"/>
  <c r="I150" i="1"/>
  <c r="O150" i="1" s="1"/>
  <c r="G150" i="1"/>
  <c r="I149" i="1"/>
  <c r="G149" i="1"/>
  <c r="I148" i="1"/>
  <c r="O148" i="1" s="1"/>
  <c r="G148" i="1"/>
  <c r="I147" i="1"/>
  <c r="G147" i="1"/>
  <c r="I146" i="1"/>
  <c r="G146" i="1"/>
  <c r="I145" i="1"/>
  <c r="G145" i="1"/>
  <c r="I144" i="1"/>
  <c r="G144" i="1"/>
  <c r="I143" i="1"/>
  <c r="O143" i="1" s="1"/>
  <c r="G143" i="1"/>
  <c r="I142" i="1"/>
  <c r="G142" i="1"/>
  <c r="I141" i="1"/>
  <c r="O141" i="1" s="1"/>
  <c r="G141" i="1"/>
  <c r="I140" i="1"/>
  <c r="G140" i="1"/>
  <c r="I124" i="1"/>
  <c r="G124" i="1"/>
  <c r="I123" i="1"/>
  <c r="G123" i="1"/>
  <c r="I122" i="1"/>
  <c r="G122" i="1"/>
  <c r="I121" i="1"/>
  <c r="G121" i="1"/>
  <c r="I286" i="3" l="1"/>
  <c r="I287" i="3" s="1"/>
  <c r="J285" i="3"/>
  <c r="N265" i="3"/>
  <c r="B264" i="3"/>
  <c r="B265" i="3" s="1"/>
  <c r="K285" i="3" l="1"/>
  <c r="J286" i="3"/>
  <c r="J287" i="3" s="1"/>
  <c r="L285" i="3" l="1"/>
  <c r="K286" i="3"/>
  <c r="K287" i="3" s="1"/>
  <c r="M285" i="3" l="1"/>
  <c r="L286" i="3"/>
  <c r="L287" i="3" s="1"/>
  <c r="M286" i="3" l="1"/>
  <c r="M287" i="3" l="1"/>
  <c r="N287" i="3" s="1"/>
  <c r="N286" i="3"/>
  <c r="I165" i="1" l="1"/>
  <c r="E27" i="2" s="1"/>
  <c r="I164" i="1"/>
  <c r="E26" i="2" s="1"/>
  <c r="I163" i="1"/>
  <c r="G165" i="1"/>
  <c r="D27" i="2" s="1"/>
  <c r="G164" i="1"/>
  <c r="D26" i="2" s="1"/>
  <c r="G163" i="1"/>
  <c r="C11" i="2"/>
  <c r="C12" i="2"/>
  <c r="C13" i="2"/>
  <c r="C19" i="2"/>
  <c r="C20" i="2"/>
  <c r="C14" i="2"/>
  <c r="C15" i="2"/>
  <c r="C16" i="2"/>
  <c r="B16" i="2"/>
  <c r="B15" i="2"/>
  <c r="B14" i="2"/>
  <c r="B20" i="2"/>
  <c r="B19" i="2"/>
  <c r="B13" i="2"/>
  <c r="B12" i="2"/>
  <c r="B11" i="2"/>
  <c r="C10" i="2"/>
  <c r="C9" i="2"/>
  <c r="B10" i="2"/>
  <c r="B9" i="2"/>
  <c r="I84" i="1"/>
  <c r="G84" i="1"/>
  <c r="N62" i="1"/>
  <c r="N61" i="1"/>
  <c r="M60" i="1"/>
  <c r="I58" i="1"/>
  <c r="G58" i="1"/>
  <c r="I57" i="1"/>
  <c r="G57" i="1"/>
  <c r="I56" i="1"/>
  <c r="G56" i="1"/>
  <c r="N49" i="1"/>
  <c r="N48" i="1"/>
  <c r="M47" i="1"/>
  <c r="I45" i="1"/>
  <c r="G45" i="1"/>
  <c r="I44" i="1"/>
  <c r="G44" i="1"/>
  <c r="N25" i="1"/>
  <c r="N24" i="1"/>
  <c r="M23" i="1"/>
  <c r="I21" i="1"/>
  <c r="G21" i="1"/>
  <c r="I20" i="1"/>
  <c r="G20" i="1"/>
  <c r="N36" i="1"/>
  <c r="M35" i="1"/>
  <c r="I33" i="1"/>
  <c r="G33" i="1"/>
  <c r="I32" i="1"/>
  <c r="G32" i="1"/>
  <c r="N75" i="1"/>
  <c r="M73" i="1"/>
  <c r="I71" i="1"/>
  <c r="G71" i="1"/>
  <c r="I70" i="1"/>
  <c r="G70" i="1"/>
  <c r="I69" i="1"/>
  <c r="G69" i="1"/>
  <c r="N89" i="1"/>
  <c r="N88" i="1"/>
  <c r="M87" i="1"/>
  <c r="I85" i="1"/>
  <c r="G85" i="1"/>
  <c r="I83" i="1"/>
  <c r="G83" i="1"/>
  <c r="I82" i="1"/>
  <c r="G82" i="1"/>
  <c r="N101" i="1"/>
  <c r="N100" i="1"/>
  <c r="M99" i="1"/>
  <c r="I97" i="1"/>
  <c r="G97" i="1"/>
  <c r="I96" i="1"/>
  <c r="G96" i="1"/>
  <c r="N113" i="1"/>
  <c r="N112" i="1"/>
  <c r="M111" i="1"/>
  <c r="I109" i="1"/>
  <c r="G109" i="1"/>
  <c r="I108" i="1"/>
  <c r="G108" i="1"/>
  <c r="D88" i="5" l="1"/>
  <c r="D73" i="5"/>
  <c r="C89" i="5"/>
  <c r="C74" i="5"/>
  <c r="D94" i="5"/>
  <c r="D79" i="5"/>
  <c r="C90" i="5"/>
  <c r="C75" i="5"/>
  <c r="D93" i="5"/>
  <c r="D78" i="5"/>
  <c r="C88" i="5"/>
  <c r="C73" i="5"/>
  <c r="C76" i="5"/>
  <c r="C91" i="5"/>
  <c r="D92" i="5"/>
  <c r="D77" i="5"/>
  <c r="C71" i="5"/>
  <c r="C86" i="5"/>
  <c r="C92" i="5"/>
  <c r="C77" i="5"/>
  <c r="D76" i="5"/>
  <c r="D91" i="5"/>
  <c r="D72" i="5"/>
  <c r="D87" i="5"/>
  <c r="C93" i="5"/>
  <c r="C78" i="5"/>
  <c r="D75" i="5"/>
  <c r="D90" i="5"/>
  <c r="C80" i="5"/>
  <c r="C95" i="5"/>
  <c r="C72" i="5"/>
  <c r="C87" i="5"/>
  <c r="D71" i="5"/>
  <c r="D86" i="5"/>
  <c r="C94" i="5"/>
  <c r="C79" i="5"/>
  <c r="D89" i="5"/>
  <c r="D74" i="5"/>
  <c r="N23" i="1"/>
  <c r="M27" i="1"/>
  <c r="N111" i="1"/>
  <c r="M115" i="1"/>
  <c r="N99" i="1"/>
  <c r="M103" i="1"/>
  <c r="N87" i="1"/>
  <c r="M91" i="1"/>
  <c r="N73" i="1"/>
  <c r="M77" i="1"/>
  <c r="N77" i="1" s="1"/>
  <c r="O77" i="1" s="1"/>
  <c r="N60" i="1"/>
  <c r="M64" i="1"/>
  <c r="N47" i="1"/>
  <c r="M51" i="1"/>
  <c r="N35" i="1"/>
  <c r="M39" i="1"/>
  <c r="N39" i="1" s="1"/>
  <c r="O39" i="1" s="1"/>
  <c r="G167" i="1"/>
  <c r="I167" i="1"/>
  <c r="E25" i="2"/>
  <c r="E29" i="2" s="1"/>
  <c r="G46" i="1"/>
  <c r="D12" i="2" s="1"/>
  <c r="D25" i="2"/>
  <c r="D29" i="2" s="1"/>
  <c r="G22" i="1"/>
  <c r="D10" i="2" s="1"/>
  <c r="G59" i="1"/>
  <c r="I59" i="1"/>
  <c r="I46" i="1"/>
  <c r="O44" i="1"/>
  <c r="I22" i="1"/>
  <c r="G34" i="1"/>
  <c r="N37" i="1"/>
  <c r="G72" i="1"/>
  <c r="I34" i="1"/>
  <c r="I72" i="1"/>
  <c r="J71" i="1" s="1"/>
  <c r="N74" i="1"/>
  <c r="G86" i="1"/>
  <c r="I110" i="1"/>
  <c r="J109" i="1" s="1"/>
  <c r="G98" i="1"/>
  <c r="I86" i="1"/>
  <c r="J85" i="1" s="1"/>
  <c r="I98" i="1"/>
  <c r="J97" i="1" s="1"/>
  <c r="G110" i="1"/>
  <c r="G120" i="1"/>
  <c r="I120" i="1"/>
  <c r="G157" i="1"/>
  <c r="M155" i="1"/>
  <c r="N155" i="1" s="1"/>
  <c r="M154" i="1"/>
  <c r="N154" i="1" s="1"/>
  <c r="M153" i="1"/>
  <c r="N153" i="1" s="1"/>
  <c r="B26" i="2"/>
  <c r="B27" i="2"/>
  <c r="B25" i="2"/>
  <c r="M11" i="1"/>
  <c r="M15" i="1" s="1"/>
  <c r="I9" i="1"/>
  <c r="I8" i="1"/>
  <c r="G8" i="1"/>
  <c r="A2" i="1"/>
  <c r="A1" i="1"/>
  <c r="A9" i="2"/>
  <c r="A10" i="2" s="1"/>
  <c r="A11" i="2" s="1"/>
  <c r="A12" i="2" s="1"/>
  <c r="A13" i="2" s="1"/>
  <c r="A15" i="2" s="1"/>
  <c r="A16" i="2" s="1"/>
  <c r="A17" i="2" s="1"/>
  <c r="A18" i="2" l="1"/>
  <c r="A22" i="2" s="1"/>
  <c r="A23" i="2" s="1"/>
  <c r="A24" i="2" s="1"/>
  <c r="A25" i="2" s="1"/>
  <c r="A26" i="2" s="1"/>
  <c r="A27" i="2" s="1"/>
  <c r="J44" i="1"/>
  <c r="J96" i="1"/>
  <c r="J98" i="1" s="1"/>
  <c r="J84" i="1"/>
  <c r="J33" i="1"/>
  <c r="J32" i="1"/>
  <c r="J82" i="1"/>
  <c r="J108" i="1"/>
  <c r="J110" i="1" s="1"/>
  <c r="J56" i="1"/>
  <c r="J57" i="1"/>
  <c r="J69" i="1"/>
  <c r="J58" i="1"/>
  <c r="J70" i="1"/>
  <c r="J21" i="1"/>
  <c r="J20" i="1"/>
  <c r="J45" i="1"/>
  <c r="J83" i="1"/>
  <c r="G52" i="1"/>
  <c r="G53" i="1" s="1"/>
  <c r="G28" i="1"/>
  <c r="G29" i="1" s="1"/>
  <c r="N12" i="1"/>
  <c r="N164" i="1" s="1"/>
  <c r="M164" i="1"/>
  <c r="J26" i="2" s="1"/>
  <c r="M163" i="1"/>
  <c r="N13" i="1"/>
  <c r="N165" i="1" s="1"/>
  <c r="M165" i="1"/>
  <c r="J27" i="2" s="1"/>
  <c r="G65" i="1"/>
  <c r="G66" i="1" s="1"/>
  <c r="D13" i="2"/>
  <c r="G40" i="1"/>
  <c r="G41" i="1" s="1"/>
  <c r="D11" i="2"/>
  <c r="I78" i="1"/>
  <c r="I79" i="1" s="1"/>
  <c r="E19" i="2"/>
  <c r="G19" i="2" s="1"/>
  <c r="I52" i="1"/>
  <c r="I53" i="1" s="1"/>
  <c r="E12" i="2"/>
  <c r="G116" i="1"/>
  <c r="G117" i="1" s="1"/>
  <c r="D15" i="2"/>
  <c r="I116" i="1"/>
  <c r="I117" i="1" s="1"/>
  <c r="E15" i="2"/>
  <c r="I40" i="1"/>
  <c r="I41" i="1" s="1"/>
  <c r="E11" i="2"/>
  <c r="I92" i="1"/>
  <c r="I93" i="1" s="1"/>
  <c r="E20" i="2"/>
  <c r="G20" i="2" s="1"/>
  <c r="I104" i="1"/>
  <c r="I105" i="1" s="1"/>
  <c r="E14" i="2"/>
  <c r="G104" i="1"/>
  <c r="G105" i="1" s="1"/>
  <c r="D14" i="2"/>
  <c r="G92" i="1"/>
  <c r="G93" i="1" s="1"/>
  <c r="D20" i="2"/>
  <c r="G78" i="1"/>
  <c r="G79" i="1" s="1"/>
  <c r="D19" i="2"/>
  <c r="I28" i="1"/>
  <c r="I29" i="1" s="1"/>
  <c r="E10" i="2"/>
  <c r="I65" i="1"/>
  <c r="I66" i="1" s="1"/>
  <c r="E13" i="2"/>
  <c r="N51" i="1"/>
  <c r="O51" i="1" s="1"/>
  <c r="N64" i="1"/>
  <c r="O64" i="1" s="1"/>
  <c r="N27" i="1"/>
  <c r="O27" i="1" s="1"/>
  <c r="N91" i="1"/>
  <c r="O91" i="1" s="1"/>
  <c r="N103" i="1"/>
  <c r="O103" i="1" s="1"/>
  <c r="N115" i="1"/>
  <c r="O115" i="1" s="1"/>
  <c r="G10" i="1"/>
  <c r="I10" i="1"/>
  <c r="I157" i="1"/>
  <c r="I152" i="1"/>
  <c r="G152" i="1"/>
  <c r="D16" i="2" s="1"/>
  <c r="N11" i="1"/>
  <c r="N163" i="1" s="1"/>
  <c r="A29" i="2" l="1"/>
  <c r="A30" i="2" s="1"/>
  <c r="A31" i="2" s="1"/>
  <c r="A32" i="2" s="1"/>
  <c r="A33" i="2" s="1"/>
  <c r="A34" i="2" s="1"/>
  <c r="A28" i="2"/>
  <c r="J133" i="1"/>
  <c r="J132" i="1"/>
  <c r="G11" i="2"/>
  <c r="G15" i="2"/>
  <c r="G10" i="2"/>
  <c r="G14" i="2"/>
  <c r="G13" i="2"/>
  <c r="G12" i="2"/>
  <c r="J46" i="1"/>
  <c r="J25" i="2"/>
  <c r="J29" i="2" s="1"/>
  <c r="M167" i="1"/>
  <c r="J34" i="1"/>
  <c r="E16" i="2"/>
  <c r="J22" i="1"/>
  <c r="J86" i="1"/>
  <c r="J136" i="1"/>
  <c r="J127" i="1"/>
  <c r="J131" i="1"/>
  <c r="J128" i="1"/>
  <c r="J137" i="1"/>
  <c r="J138" i="1"/>
  <c r="J125" i="1"/>
  <c r="J139" i="1"/>
  <c r="J126" i="1"/>
  <c r="J134" i="1"/>
  <c r="J129" i="1"/>
  <c r="J135" i="1"/>
  <c r="J130" i="1"/>
  <c r="J72" i="1"/>
  <c r="J147" i="1"/>
  <c r="J146" i="1"/>
  <c r="J124" i="1"/>
  <c r="J145" i="1"/>
  <c r="J144" i="1"/>
  <c r="J148" i="1"/>
  <c r="J140" i="1"/>
  <c r="J122" i="1"/>
  <c r="J141" i="1"/>
  <c r="J151" i="1"/>
  <c r="J143" i="1"/>
  <c r="J149" i="1"/>
  <c r="J123" i="1"/>
  <c r="J121" i="1"/>
  <c r="J142" i="1"/>
  <c r="J150" i="1"/>
  <c r="J9" i="1"/>
  <c r="J8" i="1"/>
  <c r="J59" i="1"/>
  <c r="N167" i="1"/>
  <c r="I162" i="1"/>
  <c r="I168" i="1" s="1"/>
  <c r="G158" i="1"/>
  <c r="G162" i="1"/>
  <c r="G168" i="1" s="1"/>
  <c r="E9" i="2"/>
  <c r="G16" i="1"/>
  <c r="D9" i="2"/>
  <c r="D17" i="2" s="1"/>
  <c r="J120" i="1"/>
  <c r="I158" i="1"/>
  <c r="M157" i="1"/>
  <c r="I16" i="1"/>
  <c r="I17" i="1" s="1"/>
  <c r="N15" i="1"/>
  <c r="D33" i="2" l="1"/>
  <c r="D34" i="2" s="1"/>
  <c r="D22" i="2"/>
  <c r="G16" i="2"/>
  <c r="G9" i="2"/>
  <c r="E17" i="2"/>
  <c r="G17" i="1"/>
  <c r="J152" i="1"/>
  <c r="N157" i="1"/>
  <c r="O157" i="1" s="1"/>
  <c r="J10" i="1"/>
  <c r="F9" i="2" l="1"/>
  <c r="E22" i="2"/>
  <c r="F22" i="2" s="1"/>
  <c r="G17" i="2"/>
  <c r="F10" i="2"/>
  <c r="F16" i="2"/>
  <c r="F17" i="2"/>
  <c r="F11" i="2"/>
  <c r="F14" i="2"/>
  <c r="F15" i="2"/>
  <c r="F12" i="2"/>
  <c r="F13" i="2"/>
  <c r="H9" i="2" l="1"/>
  <c r="I9" i="2" s="1"/>
  <c r="K10" i="1" s="1"/>
  <c r="S10" i="1" s="1"/>
  <c r="G22" i="2"/>
  <c r="H16" i="2"/>
  <c r="I16" i="2" s="1"/>
  <c r="K152" i="1" s="1"/>
  <c r="S152" i="1" s="1"/>
  <c r="H14" i="2"/>
  <c r="I14" i="2" s="1"/>
  <c r="K98" i="1" s="1"/>
  <c r="S98" i="1" s="1"/>
  <c r="H12" i="2"/>
  <c r="I12" i="2" s="1"/>
  <c r="K46" i="1" s="1"/>
  <c r="S46" i="1" s="1"/>
  <c r="H13" i="2"/>
  <c r="I13" i="2" s="1"/>
  <c r="K59" i="1" s="1"/>
  <c r="S59" i="1" s="1"/>
  <c r="S86" i="1"/>
  <c r="S72" i="1"/>
  <c r="H10" i="2"/>
  <c r="I10" i="2" s="1"/>
  <c r="K22" i="1" s="1"/>
  <c r="S22" i="1" s="1"/>
  <c r="H15" i="2"/>
  <c r="I15" i="2" s="1"/>
  <c r="K110" i="1" s="1"/>
  <c r="S110" i="1" s="1"/>
  <c r="H11" i="2"/>
  <c r="I11" i="2" s="1"/>
  <c r="K34" i="1" s="1"/>
  <c r="S34" i="1" s="1"/>
  <c r="L131" i="1" l="1"/>
  <c r="L132" i="1"/>
  <c r="G47" i="5" s="1"/>
  <c r="H47" i="5" s="1"/>
  <c r="I47" i="5" s="1"/>
  <c r="L133" i="1"/>
  <c r="G48" i="5" s="1"/>
  <c r="H48" i="5" s="1"/>
  <c r="I48" i="5" s="1"/>
  <c r="L146" i="1"/>
  <c r="L137" i="1"/>
  <c r="G52" i="5" s="1"/>
  <c r="H52" i="5" s="1"/>
  <c r="I52" i="5" s="1"/>
  <c r="L129" i="1"/>
  <c r="G44" i="5" s="1"/>
  <c r="H44" i="5" s="1"/>
  <c r="I44" i="5" s="1"/>
  <c r="L149" i="1"/>
  <c r="G64" i="5" s="1"/>
  <c r="H64" i="5" s="1"/>
  <c r="I64" i="5" s="1"/>
  <c r="L138" i="1"/>
  <c r="L134" i="1"/>
  <c r="G49" i="5" s="1"/>
  <c r="H49" i="5" s="1"/>
  <c r="I49" i="5" s="1"/>
  <c r="L151" i="1"/>
  <c r="G66" i="5" s="1"/>
  <c r="H66" i="5" s="1"/>
  <c r="I66" i="5" s="1"/>
  <c r="L144" i="1"/>
  <c r="G59" i="5" s="1"/>
  <c r="H59" i="5" s="1"/>
  <c r="I59" i="5" s="1"/>
  <c r="L124" i="1"/>
  <c r="G39" i="5" s="1"/>
  <c r="H39" i="5" s="1"/>
  <c r="I39" i="5" s="1"/>
  <c r="L127" i="1"/>
  <c r="L122" i="1"/>
  <c r="L136" i="1"/>
  <c r="L142" i="1"/>
  <c r="L141" i="1"/>
  <c r="L150" i="1"/>
  <c r="G65" i="5" s="1"/>
  <c r="H65" i="5" s="1"/>
  <c r="I65" i="5" s="1"/>
  <c r="L130" i="1"/>
  <c r="L139" i="1"/>
  <c r="G54" i="5" s="1"/>
  <c r="H54" i="5" s="1"/>
  <c r="I54" i="5" s="1"/>
  <c r="L126" i="1"/>
  <c r="G41" i="5" s="1"/>
  <c r="H41" i="5" s="1"/>
  <c r="I41" i="5" s="1"/>
  <c r="L128" i="1"/>
  <c r="L140" i="1"/>
  <c r="L143" i="1"/>
  <c r="L145" i="1"/>
  <c r="G60" i="5" s="1"/>
  <c r="H60" i="5" s="1"/>
  <c r="I60" i="5" s="1"/>
  <c r="L121" i="1"/>
  <c r="L148" i="1"/>
  <c r="L123" i="1"/>
  <c r="L147" i="1"/>
  <c r="G62" i="5" s="1"/>
  <c r="H62" i="5" s="1"/>
  <c r="I62" i="5" s="1"/>
  <c r="L120" i="1"/>
  <c r="T120" i="1" s="1"/>
  <c r="L135" i="1"/>
  <c r="L125" i="1"/>
  <c r="L58" i="1"/>
  <c r="L57" i="1"/>
  <c r="L56" i="1"/>
  <c r="L45" i="1"/>
  <c r="L44" i="1"/>
  <c r="M44" i="1" s="1"/>
  <c r="L97" i="1"/>
  <c r="L96" i="1"/>
  <c r="L33" i="1"/>
  <c r="L32" i="1"/>
  <c r="L85" i="1"/>
  <c r="L83" i="1"/>
  <c r="L84" i="1"/>
  <c r="L82" i="1"/>
  <c r="L108" i="1"/>
  <c r="L109" i="1"/>
  <c r="L21" i="1"/>
  <c r="L20" i="1"/>
  <c r="M20" i="1" s="1"/>
  <c r="L9" i="1"/>
  <c r="L8" i="1"/>
  <c r="L71" i="1"/>
  <c r="L70" i="1"/>
  <c r="L69" i="1"/>
  <c r="I17" i="2"/>
  <c r="I22" i="2" s="1"/>
  <c r="M121" i="1" l="1"/>
  <c r="N121" i="1" s="1"/>
  <c r="O121" i="1" s="1"/>
  <c r="G36" i="5"/>
  <c r="H36" i="5" s="1"/>
  <c r="I36" i="5" s="1"/>
  <c r="M125" i="1"/>
  <c r="N125" i="1" s="1"/>
  <c r="O125" i="1" s="1"/>
  <c r="G40" i="5"/>
  <c r="H40" i="5" s="1"/>
  <c r="I40" i="5" s="1"/>
  <c r="M143" i="1"/>
  <c r="N143" i="1" s="1"/>
  <c r="G58" i="5"/>
  <c r="H58" i="5" s="1"/>
  <c r="I58" i="5" s="1"/>
  <c r="M142" i="1"/>
  <c r="N142" i="1" s="1"/>
  <c r="O142" i="1" s="1"/>
  <c r="G57" i="5"/>
  <c r="H57" i="5" s="1"/>
  <c r="I57" i="5" s="1"/>
  <c r="M138" i="1"/>
  <c r="N138" i="1" s="1"/>
  <c r="O138" i="1" s="1"/>
  <c r="G53" i="5"/>
  <c r="H53" i="5" s="1"/>
  <c r="I53" i="5" s="1"/>
  <c r="T135" i="1"/>
  <c r="G50" i="5"/>
  <c r="H50" i="5" s="1"/>
  <c r="I50" i="5" s="1"/>
  <c r="M140" i="1"/>
  <c r="N140" i="1" s="1"/>
  <c r="O140" i="1" s="1"/>
  <c r="G55" i="5"/>
  <c r="H55" i="5" s="1"/>
  <c r="I55" i="5" s="1"/>
  <c r="T136" i="1"/>
  <c r="G51" i="5"/>
  <c r="H51" i="5" s="1"/>
  <c r="I51" i="5" s="1"/>
  <c r="T128" i="1"/>
  <c r="G43" i="5"/>
  <c r="H43" i="5" s="1"/>
  <c r="I43" i="5" s="1"/>
  <c r="T146" i="1"/>
  <c r="G61" i="5"/>
  <c r="H61" i="5" s="1"/>
  <c r="I61" i="5" s="1"/>
  <c r="M123" i="1"/>
  <c r="N123" i="1" s="1"/>
  <c r="O123" i="1" s="1"/>
  <c r="G38" i="5"/>
  <c r="H38" i="5" s="1"/>
  <c r="I38" i="5" s="1"/>
  <c r="M148" i="1"/>
  <c r="N148" i="1" s="1"/>
  <c r="G63" i="5"/>
  <c r="H63" i="5" s="1"/>
  <c r="I63" i="5" s="1"/>
  <c r="T130" i="1"/>
  <c r="G45" i="5"/>
  <c r="H45" i="5" s="1"/>
  <c r="I45" i="5" s="1"/>
  <c r="T122" i="1"/>
  <c r="G37" i="5"/>
  <c r="H37" i="5" s="1"/>
  <c r="I37" i="5" s="1"/>
  <c r="M127" i="1"/>
  <c r="N127" i="1" s="1"/>
  <c r="O127" i="1" s="1"/>
  <c r="G42" i="5"/>
  <c r="H42" i="5" s="1"/>
  <c r="I42" i="5" s="1"/>
  <c r="M141" i="1"/>
  <c r="N141" i="1" s="1"/>
  <c r="G56" i="5"/>
  <c r="H56" i="5" s="1"/>
  <c r="I56" i="5" s="1"/>
  <c r="T131" i="1"/>
  <c r="G46" i="5"/>
  <c r="H46" i="5" s="1"/>
  <c r="I46" i="5" s="1"/>
  <c r="M131" i="1"/>
  <c r="N131" i="1" s="1"/>
  <c r="O131" i="1" s="1"/>
  <c r="T133" i="1"/>
  <c r="M133" i="1"/>
  <c r="M132" i="1"/>
  <c r="T132" i="1"/>
  <c r="M146" i="1"/>
  <c r="N146" i="1" s="1"/>
  <c r="O146" i="1" s="1"/>
  <c r="T129" i="1"/>
  <c r="M137" i="1"/>
  <c r="N137" i="1" s="1"/>
  <c r="O137" i="1" s="1"/>
  <c r="T137" i="1"/>
  <c r="M129" i="1"/>
  <c r="N129" i="1" s="1"/>
  <c r="O129" i="1" s="1"/>
  <c r="T151" i="1"/>
  <c r="M151" i="1"/>
  <c r="N151" i="1" s="1"/>
  <c r="M134" i="1"/>
  <c r="N134" i="1" s="1"/>
  <c r="O134" i="1" s="1"/>
  <c r="M122" i="1"/>
  <c r="N122" i="1" s="1"/>
  <c r="O122" i="1" s="1"/>
  <c r="M136" i="1"/>
  <c r="N136" i="1" s="1"/>
  <c r="O136" i="1" s="1"/>
  <c r="M149" i="1"/>
  <c r="N149" i="1" s="1"/>
  <c r="O149" i="1" s="1"/>
  <c r="T149" i="1"/>
  <c r="T138" i="1"/>
  <c r="T144" i="1"/>
  <c r="T134" i="1"/>
  <c r="M144" i="1"/>
  <c r="N144" i="1" s="1"/>
  <c r="O144" i="1" s="1"/>
  <c r="T142" i="1"/>
  <c r="M124" i="1"/>
  <c r="N124" i="1" s="1"/>
  <c r="O124" i="1" s="1"/>
  <c r="T127" i="1"/>
  <c r="T124" i="1"/>
  <c r="T148" i="1"/>
  <c r="T150" i="1"/>
  <c r="M130" i="1"/>
  <c r="N130" i="1" s="1"/>
  <c r="O130" i="1" s="1"/>
  <c r="T141" i="1"/>
  <c r="M150" i="1"/>
  <c r="N150" i="1" s="1"/>
  <c r="T139" i="1"/>
  <c r="M139" i="1"/>
  <c r="N139" i="1" s="1"/>
  <c r="O139" i="1" s="1"/>
  <c r="T126" i="1"/>
  <c r="M126" i="1"/>
  <c r="N126" i="1" s="1"/>
  <c r="O126" i="1" s="1"/>
  <c r="T140" i="1"/>
  <c r="M145" i="1"/>
  <c r="N145" i="1" s="1"/>
  <c r="O145" i="1" s="1"/>
  <c r="M128" i="1"/>
  <c r="N128" i="1" s="1"/>
  <c r="O128" i="1" s="1"/>
  <c r="T143" i="1"/>
  <c r="T145" i="1"/>
  <c r="T125" i="1"/>
  <c r="T147" i="1"/>
  <c r="T121" i="1"/>
  <c r="M147" i="1"/>
  <c r="N147" i="1" s="1"/>
  <c r="O147" i="1" s="1"/>
  <c r="M120" i="1"/>
  <c r="N120" i="1" s="1"/>
  <c r="O120" i="1" s="1"/>
  <c r="M135" i="1"/>
  <c r="N135" i="1" s="1"/>
  <c r="O135" i="1" s="1"/>
  <c r="G35" i="5"/>
  <c r="H35" i="5" s="1"/>
  <c r="I35" i="5" s="1"/>
  <c r="T123" i="1"/>
  <c r="G12" i="5"/>
  <c r="H12" i="5" s="1"/>
  <c r="I12" i="5" s="1"/>
  <c r="T33" i="1"/>
  <c r="M33" i="1"/>
  <c r="G29" i="5"/>
  <c r="H29" i="5" s="1"/>
  <c r="I29" i="5" s="1"/>
  <c r="T96" i="1"/>
  <c r="M96" i="1"/>
  <c r="G25" i="5"/>
  <c r="H25" i="5" s="1"/>
  <c r="I25" i="5" s="1"/>
  <c r="T83" i="1"/>
  <c r="M83" i="1"/>
  <c r="G30" i="5"/>
  <c r="H30" i="5" s="1"/>
  <c r="I30" i="5" s="1"/>
  <c r="M97" i="1"/>
  <c r="T97" i="1"/>
  <c r="G32" i="5"/>
  <c r="H32" i="5" s="1"/>
  <c r="I32" i="5" s="1"/>
  <c r="M108" i="1"/>
  <c r="T108" i="1"/>
  <c r="N20" i="1"/>
  <c r="O20" i="1" s="1"/>
  <c r="N44" i="1"/>
  <c r="G20" i="5"/>
  <c r="H20" i="5" s="1"/>
  <c r="I20" i="5" s="1"/>
  <c r="T69" i="1"/>
  <c r="M69" i="1"/>
  <c r="G9" i="5"/>
  <c r="M21" i="1"/>
  <c r="T21" i="1"/>
  <c r="T45" i="1"/>
  <c r="G14" i="5"/>
  <c r="H14" i="5" s="1"/>
  <c r="I14" i="5" s="1"/>
  <c r="M45" i="1"/>
  <c r="G27" i="5"/>
  <c r="H27" i="5" s="1"/>
  <c r="I27" i="5" s="1"/>
  <c r="T85" i="1"/>
  <c r="M85" i="1"/>
  <c r="G21" i="5"/>
  <c r="H21" i="5" s="1"/>
  <c r="I21" i="5" s="1"/>
  <c r="T70" i="1"/>
  <c r="M70" i="1"/>
  <c r="N70" i="1" s="1"/>
  <c r="O70" i="1" s="1"/>
  <c r="T8" i="1"/>
  <c r="G6" i="5"/>
  <c r="H6" i="5" s="1"/>
  <c r="I6" i="5" s="1"/>
  <c r="M8" i="1"/>
  <c r="G16" i="5"/>
  <c r="H16" i="5" s="1"/>
  <c r="I16" i="5" s="1"/>
  <c r="M56" i="1"/>
  <c r="T56" i="1"/>
  <c r="G22" i="5"/>
  <c r="H22" i="5" s="1"/>
  <c r="I22" i="5" s="1"/>
  <c r="M71" i="1"/>
  <c r="T71" i="1"/>
  <c r="G7" i="5"/>
  <c r="M9" i="1"/>
  <c r="N9" i="1" s="1"/>
  <c r="O9" i="1" s="1"/>
  <c r="T9" i="1"/>
  <c r="G17" i="5"/>
  <c r="H17" i="5" s="1"/>
  <c r="I17" i="5" s="1"/>
  <c r="T57" i="1"/>
  <c r="M57" i="1"/>
  <c r="G26" i="5"/>
  <c r="H26" i="5" s="1"/>
  <c r="I26" i="5" s="1"/>
  <c r="M84" i="1"/>
  <c r="T84" i="1"/>
  <c r="G33" i="5"/>
  <c r="H33" i="5" s="1"/>
  <c r="I33" i="5" s="1"/>
  <c r="M109" i="1"/>
  <c r="N109" i="1" s="1"/>
  <c r="O109" i="1" s="1"/>
  <c r="T109" i="1"/>
  <c r="G24" i="5"/>
  <c r="H24" i="5" s="1"/>
  <c r="I24" i="5" s="1"/>
  <c r="M82" i="1"/>
  <c r="T82" i="1"/>
  <c r="G11" i="5"/>
  <c r="H11" i="5" s="1"/>
  <c r="I11" i="5" s="1"/>
  <c r="M32" i="1"/>
  <c r="T32" i="1"/>
  <c r="G18" i="5"/>
  <c r="H18" i="5" s="1"/>
  <c r="I18" i="5" s="1"/>
  <c r="T58" i="1"/>
  <c r="M58" i="1"/>
  <c r="N58" i="1" s="1"/>
  <c r="O58" i="1" s="1"/>
  <c r="H9" i="5" l="1"/>
  <c r="I9" i="5" s="1"/>
  <c r="L9" i="5"/>
  <c r="H7" i="5"/>
  <c r="I7" i="5" s="1"/>
  <c r="O9" i="5"/>
  <c r="P9" i="5" s="1"/>
  <c r="N132" i="1"/>
  <c r="O132" i="1" s="1"/>
  <c r="N133" i="1"/>
  <c r="O133" i="1" s="1"/>
  <c r="M152" i="1"/>
  <c r="P146" i="1" s="1"/>
  <c r="Q146" i="1" s="1"/>
  <c r="N32" i="1"/>
  <c r="O32" i="1" s="1"/>
  <c r="M34" i="1"/>
  <c r="P33" i="1" s="1"/>
  <c r="N45" i="1"/>
  <c r="O45" i="1" s="1"/>
  <c r="M98" i="1"/>
  <c r="P96" i="1" s="1"/>
  <c r="N96" i="1"/>
  <c r="O96" i="1" s="1"/>
  <c r="N69" i="1"/>
  <c r="O69" i="1" s="1"/>
  <c r="M72" i="1"/>
  <c r="P69" i="1" s="1"/>
  <c r="M46" i="1"/>
  <c r="P45" i="1" s="1"/>
  <c r="M10" i="1"/>
  <c r="P8" i="1" s="1"/>
  <c r="N8" i="1"/>
  <c r="O8" i="1" s="1"/>
  <c r="N56" i="1"/>
  <c r="O56" i="1" s="1"/>
  <c r="M59" i="1"/>
  <c r="P57" i="1" s="1"/>
  <c r="Q57" i="1" s="1"/>
  <c r="N97" i="1"/>
  <c r="O97" i="1" s="1"/>
  <c r="N82" i="1"/>
  <c r="O82" i="1" s="1"/>
  <c r="M86" i="1"/>
  <c r="P82" i="1" s="1"/>
  <c r="N84" i="1"/>
  <c r="O84" i="1" s="1"/>
  <c r="N33" i="1"/>
  <c r="O33" i="1" s="1"/>
  <c r="N108" i="1"/>
  <c r="O108" i="1" s="1"/>
  <c r="M110" i="1"/>
  <c r="P108" i="1" s="1"/>
  <c r="N71" i="1"/>
  <c r="O71" i="1" s="1"/>
  <c r="M22" i="1"/>
  <c r="N21" i="1"/>
  <c r="O21" i="1" s="1"/>
  <c r="N83" i="1"/>
  <c r="O83" i="1" s="1"/>
  <c r="N57" i="1"/>
  <c r="O57" i="1" s="1"/>
  <c r="N85" i="1"/>
  <c r="O85" i="1" s="1"/>
  <c r="P132" i="1" l="1"/>
  <c r="Q132" i="1" s="1"/>
  <c r="P133" i="1"/>
  <c r="Q133" i="1" s="1"/>
  <c r="M158" i="1"/>
  <c r="N158" i="1" s="1"/>
  <c r="O158" i="1" s="1"/>
  <c r="N16" i="2" s="1"/>
  <c r="G80" i="5" s="1"/>
  <c r="P130" i="1"/>
  <c r="Q130" i="1" s="1"/>
  <c r="P121" i="1"/>
  <c r="Q121" i="1" s="1"/>
  <c r="J16" i="2"/>
  <c r="O16" i="2" s="1"/>
  <c r="P137" i="1"/>
  <c r="Q137" i="1" s="1"/>
  <c r="P149" i="1"/>
  <c r="Q149" i="1" s="1"/>
  <c r="P134" i="1"/>
  <c r="Q134" i="1" s="1"/>
  <c r="P136" i="1"/>
  <c r="Q136" i="1" s="1"/>
  <c r="P131" i="1"/>
  <c r="Q131" i="1" s="1"/>
  <c r="P135" i="1"/>
  <c r="Q135" i="1" s="1"/>
  <c r="P144" i="1"/>
  <c r="Q144" i="1" s="1"/>
  <c r="P126" i="1"/>
  <c r="Q126" i="1" s="1"/>
  <c r="P127" i="1"/>
  <c r="Q127" i="1" s="1"/>
  <c r="P128" i="1"/>
  <c r="Q128" i="1" s="1"/>
  <c r="P124" i="1"/>
  <c r="Q124" i="1" s="1"/>
  <c r="P129" i="1"/>
  <c r="Q129" i="1" s="1"/>
  <c r="P125" i="1"/>
  <c r="Q125" i="1" s="1"/>
  <c r="P120" i="1"/>
  <c r="Q120" i="1" s="1"/>
  <c r="P122" i="1"/>
  <c r="Q122" i="1" s="1"/>
  <c r="P147" i="1"/>
  <c r="Q147" i="1" s="1"/>
  <c r="N152" i="1"/>
  <c r="O152" i="1" s="1"/>
  <c r="P145" i="1"/>
  <c r="Q145" i="1" s="1"/>
  <c r="R152" i="1"/>
  <c r="P150" i="1"/>
  <c r="Q150" i="1" s="1"/>
  <c r="P151" i="1"/>
  <c r="Q151" i="1" s="1"/>
  <c r="P142" i="1"/>
  <c r="Q142" i="1" s="1"/>
  <c r="P141" i="1"/>
  <c r="Q141" i="1" s="1"/>
  <c r="P84" i="1"/>
  <c r="Q84" i="1" s="1"/>
  <c r="P83" i="1"/>
  <c r="Q83" i="1" s="1"/>
  <c r="P123" i="1"/>
  <c r="Q123" i="1" s="1"/>
  <c r="P138" i="1"/>
  <c r="Q138" i="1" s="1"/>
  <c r="P143" i="1"/>
  <c r="Q143" i="1" s="1"/>
  <c r="P139" i="1"/>
  <c r="Q139" i="1" s="1"/>
  <c r="P148" i="1"/>
  <c r="Q148" i="1" s="1"/>
  <c r="P140" i="1"/>
  <c r="Q140" i="1" s="1"/>
  <c r="P71" i="1"/>
  <c r="Q71" i="1" s="1"/>
  <c r="Q69" i="1"/>
  <c r="Q96" i="1"/>
  <c r="R22" i="1"/>
  <c r="N22" i="1"/>
  <c r="J10" i="2"/>
  <c r="M28" i="1"/>
  <c r="P20" i="1"/>
  <c r="Q108" i="1"/>
  <c r="R86" i="1"/>
  <c r="J20" i="2"/>
  <c r="O20" i="2" s="1"/>
  <c r="N86" i="1"/>
  <c r="M92" i="1"/>
  <c r="N98" i="1"/>
  <c r="M104" i="1"/>
  <c r="R98" i="1"/>
  <c r="J14" i="2"/>
  <c r="P109" i="1"/>
  <c r="Q109" i="1" s="1"/>
  <c r="M116" i="1"/>
  <c r="J15" i="2"/>
  <c r="R110" i="1"/>
  <c r="N110" i="1"/>
  <c r="P9" i="1"/>
  <c r="Q9" i="1" s="1"/>
  <c r="M162" i="1"/>
  <c r="M168" i="1" s="1"/>
  <c r="R10" i="1"/>
  <c r="J9" i="2"/>
  <c r="M16" i="1"/>
  <c r="N10" i="1"/>
  <c r="Q45" i="1"/>
  <c r="P97" i="1"/>
  <c r="Q97" i="1" s="1"/>
  <c r="P44" i="1"/>
  <c r="Q44" i="1" s="1"/>
  <c r="J12" i="2"/>
  <c r="N46" i="1"/>
  <c r="M52" i="1"/>
  <c r="R46" i="1"/>
  <c r="P58" i="1"/>
  <c r="Q58" i="1" s="1"/>
  <c r="J13" i="2"/>
  <c r="M65" i="1"/>
  <c r="R59" i="1"/>
  <c r="N59" i="1"/>
  <c r="Q82" i="1"/>
  <c r="P85" i="1"/>
  <c r="Q85" i="1" s="1"/>
  <c r="P21" i="1"/>
  <c r="Q21" i="1" s="1"/>
  <c r="Q33" i="1"/>
  <c r="P32" i="1"/>
  <c r="Q32" i="1" s="1"/>
  <c r="J11" i="2"/>
  <c r="M40" i="1"/>
  <c r="R34" i="1"/>
  <c r="N34" i="1"/>
  <c r="Q8" i="1"/>
  <c r="P56" i="1"/>
  <c r="P70" i="1"/>
  <c r="Q70" i="1" s="1"/>
  <c r="J19" i="2"/>
  <c r="O19" i="2" s="1"/>
  <c r="M78" i="1"/>
  <c r="N72" i="1"/>
  <c r="R72" i="1"/>
  <c r="G95" i="5" l="1"/>
  <c r="L16" i="2"/>
  <c r="M16" i="2" s="1"/>
  <c r="P152" i="1"/>
  <c r="Q152" i="1" s="1"/>
  <c r="P10" i="1"/>
  <c r="Q10" i="1" s="1"/>
  <c r="P34" i="1"/>
  <c r="Q34" i="1" s="1"/>
  <c r="P110" i="1"/>
  <c r="Q110" i="1" s="1"/>
  <c r="O9" i="2"/>
  <c r="J17" i="2"/>
  <c r="K11" i="2" s="1"/>
  <c r="L10" i="2"/>
  <c r="O22" i="1"/>
  <c r="M105" i="1"/>
  <c r="N105" i="1" s="1"/>
  <c r="N104" i="1"/>
  <c r="O104" i="1" s="1"/>
  <c r="N14" i="2" s="1"/>
  <c r="G78" i="5" s="1"/>
  <c r="P59" i="1"/>
  <c r="Q59" i="1" s="1"/>
  <c r="Q56" i="1"/>
  <c r="P86" i="1"/>
  <c r="Q86" i="1" s="1"/>
  <c r="O110" i="1"/>
  <c r="L15" i="2"/>
  <c r="L14" i="2"/>
  <c r="O98" i="1"/>
  <c r="O13" i="2"/>
  <c r="O34" i="1"/>
  <c r="L11" i="2"/>
  <c r="M53" i="1"/>
  <c r="N53" i="1" s="1"/>
  <c r="N52" i="1"/>
  <c r="O52" i="1" s="1"/>
  <c r="N12" i="2" s="1"/>
  <c r="G74" i="5" s="1"/>
  <c r="M79" i="1"/>
  <c r="N79" i="1" s="1"/>
  <c r="N78" i="1"/>
  <c r="O78" i="1" s="1"/>
  <c r="N19" i="2" s="1"/>
  <c r="G76" i="5" s="1"/>
  <c r="O46" i="1"/>
  <c r="L12" i="2"/>
  <c r="P46" i="1"/>
  <c r="Q46" i="1" s="1"/>
  <c r="M93" i="1"/>
  <c r="N93" i="1" s="1"/>
  <c r="N92" i="1"/>
  <c r="O92" i="1" s="1"/>
  <c r="N20" i="2" s="1"/>
  <c r="G77" i="5" s="1"/>
  <c r="P22" i="1"/>
  <c r="Q22" i="1" s="1"/>
  <c r="Q20" i="1"/>
  <c r="P98" i="1"/>
  <c r="Q98" i="1" s="1"/>
  <c r="N40" i="1"/>
  <c r="O40" i="1" s="1"/>
  <c r="N11" i="2" s="1"/>
  <c r="G73" i="5" s="1"/>
  <c r="M41" i="1"/>
  <c r="N41" i="1" s="1"/>
  <c r="O11" i="2"/>
  <c r="O59" i="1"/>
  <c r="L13" i="2"/>
  <c r="O12" i="2"/>
  <c r="O10" i="1"/>
  <c r="L9" i="2"/>
  <c r="N162" i="1"/>
  <c r="N168" i="1" s="1"/>
  <c r="O15" i="2"/>
  <c r="L20" i="2"/>
  <c r="M20" i="2" s="1"/>
  <c r="O86" i="1"/>
  <c r="N28" i="1"/>
  <c r="O28" i="1" s="1"/>
  <c r="N10" i="2" s="1"/>
  <c r="G72" i="5" s="1"/>
  <c r="M29" i="1"/>
  <c r="N29" i="1" s="1"/>
  <c r="N65" i="1"/>
  <c r="O65" i="1" s="1"/>
  <c r="N13" i="2" s="1"/>
  <c r="G75" i="5" s="1"/>
  <c r="M66" i="1"/>
  <c r="N66" i="1" s="1"/>
  <c r="O14" i="2"/>
  <c r="O72" i="1"/>
  <c r="L19" i="2"/>
  <c r="M17" i="1"/>
  <c r="N17" i="1" s="1"/>
  <c r="N16" i="1"/>
  <c r="O16" i="1" s="1"/>
  <c r="N9" i="2" s="1"/>
  <c r="G71" i="5" s="1"/>
  <c r="N116" i="1"/>
  <c r="O116" i="1" s="1"/>
  <c r="N15" i="2" s="1"/>
  <c r="G79" i="5" s="1"/>
  <c r="M117" i="1"/>
  <c r="N117" i="1" s="1"/>
  <c r="O10" i="2"/>
  <c r="P72" i="1"/>
  <c r="Q72" i="1" s="1"/>
  <c r="J22" i="2" l="1"/>
  <c r="M19" i="2"/>
  <c r="F80" i="5"/>
  <c r="K14" i="2"/>
  <c r="K13" i="2"/>
  <c r="K9" i="2"/>
  <c r="K12" i="2"/>
  <c r="K10" i="2"/>
  <c r="K15" i="2"/>
  <c r="F79" i="5"/>
  <c r="M15" i="2"/>
  <c r="F93" i="5"/>
  <c r="O105" i="1"/>
  <c r="G93" i="5" s="1"/>
  <c r="M9" i="2"/>
  <c r="F71" i="5"/>
  <c r="O93" i="1"/>
  <c r="G92" i="5" s="1"/>
  <c r="F92" i="5"/>
  <c r="F73" i="5"/>
  <c r="M11" i="2"/>
  <c r="M10" i="2"/>
  <c r="F72" i="5"/>
  <c r="O79" i="1"/>
  <c r="G91" i="5" s="1"/>
  <c r="F91" i="5"/>
  <c r="O66" i="1"/>
  <c r="G90" i="5" s="1"/>
  <c r="F90" i="5"/>
  <c r="O117" i="1"/>
  <c r="G94" i="5" s="1"/>
  <c r="F94" i="5"/>
  <c r="F86" i="5"/>
  <c r="O17" i="1"/>
  <c r="G86" i="5" s="1"/>
  <c r="O41" i="1"/>
  <c r="G88" i="5" s="1"/>
  <c r="F88" i="5"/>
  <c r="M12" i="2"/>
  <c r="F74" i="5"/>
  <c r="O17" i="2"/>
  <c r="O22" i="2" s="1"/>
  <c r="K17" i="2"/>
  <c r="L17" i="2"/>
  <c r="M17" i="2" s="1"/>
  <c r="K16" i="2"/>
  <c r="M14" i="2"/>
  <c r="F78" i="5"/>
  <c r="O53" i="1"/>
  <c r="G89" i="5" s="1"/>
  <c r="F89" i="5"/>
  <c r="F76" i="5"/>
  <c r="O168" i="1"/>
  <c r="F87" i="5"/>
  <c r="O29" i="1"/>
  <c r="G87" i="5" s="1"/>
  <c r="F77" i="5"/>
  <c r="M13" i="2"/>
  <c r="F75" i="5"/>
  <c r="K22" i="2" l="1"/>
  <c r="J31" i="2"/>
  <c r="L22" i="2"/>
  <c r="M22" i="2" l="1"/>
  <c r="L31" i="2"/>
  <c r="L33" i="2" l="1"/>
  <c r="L34" i="2" s="1"/>
  <c r="N31" i="2"/>
  <c r="G81" i="5" s="1"/>
  <c r="F81" i="5"/>
</calcChain>
</file>

<file path=xl/sharedStrings.xml><?xml version="1.0" encoding="utf-8"?>
<sst xmlns="http://schemas.openxmlformats.org/spreadsheetml/2006/main" count="708" uniqueCount="225">
  <si>
    <t>Billing Analysis for Pass-Through Rate Increase</t>
  </si>
  <si>
    <t>#</t>
  </si>
  <si>
    <t>Item</t>
  </si>
  <si>
    <t>Present Revenue</t>
  </si>
  <si>
    <t>Proposed Revenue</t>
  </si>
  <si>
    <t>Increase ($)</t>
  </si>
  <si>
    <t>Base Rates</t>
  </si>
  <si>
    <t>Total Base Rates</t>
  </si>
  <si>
    <t>Riders</t>
  </si>
  <si>
    <t>Total Riders</t>
  </si>
  <si>
    <t>Total Revenue</t>
  </si>
  <si>
    <t>Target Revenue</t>
  </si>
  <si>
    <t>Code</t>
  </si>
  <si>
    <t>Classification</t>
  </si>
  <si>
    <t>Billing Component</t>
  </si>
  <si>
    <t>Billing Units</t>
  </si>
  <si>
    <t>Increase $</t>
  </si>
  <si>
    <t>%</t>
  </si>
  <si>
    <t>Customer Charge</t>
  </si>
  <si>
    <t>Average</t>
  </si>
  <si>
    <t>TOTAL REVENUE</t>
  </si>
  <si>
    <t>Present Share</t>
  </si>
  <si>
    <t>Proposed Rate</t>
  </si>
  <si>
    <t>Proposed Share</t>
  </si>
  <si>
    <t xml:space="preserve">       Present Rate</t>
  </si>
  <si>
    <t xml:space="preserve">            Present Revenue</t>
  </si>
  <si>
    <t>Share Variance</t>
  </si>
  <si>
    <t xml:space="preserve">    FAC</t>
  </si>
  <si>
    <t xml:space="preserve">    ES</t>
  </si>
  <si>
    <t>L</t>
  </si>
  <si>
    <t>TOTALS</t>
  </si>
  <si>
    <t>JACKSON ENERGY COOPERATIVE</t>
  </si>
  <si>
    <t xml:space="preserve">    Misc Adj</t>
  </si>
  <si>
    <t>Residential Service</t>
  </si>
  <si>
    <t>Residential Off Peak ETS</t>
  </si>
  <si>
    <t>Commercial Off Peak ETS</t>
  </si>
  <si>
    <t>All Electric Schools AES</t>
  </si>
  <si>
    <t>Lighting</t>
  </si>
  <si>
    <t>Large Power Rate 500 kW +</t>
  </si>
  <si>
    <t>Schools Churches Halls Parks</t>
  </si>
  <si>
    <t>Allocation Revenue</t>
  </si>
  <si>
    <t>Allocation Share</t>
  </si>
  <si>
    <t>Allocated Increase</t>
  </si>
  <si>
    <t>Per Unit Rate Change</t>
  </si>
  <si>
    <t>Rounding</t>
  </si>
  <si>
    <t xml:space="preserve">Total Revenue Increase Allocated by East Kentucky Power Cooperative:   </t>
  </si>
  <si>
    <t>400 Watt Mercury Vapor</t>
  </si>
  <si>
    <t>200 Watt HPS 22,000 Lumens</t>
  </si>
  <si>
    <t>250 Watt HPS 27,500 Lumens</t>
  </si>
  <si>
    <t>400 Watt HPS 50,000 Lumens</t>
  </si>
  <si>
    <t>175 Watt Mercury Vapor</t>
  </si>
  <si>
    <t>1,000 Watt Mercury Vapor</t>
  </si>
  <si>
    <t>100 Watt HPS 9,500 Lumens</t>
  </si>
  <si>
    <t>70 Watt HPS 4,000 Lumens</t>
  </si>
  <si>
    <t>15 ft Aluminum Pole</t>
  </si>
  <si>
    <t>30 ft Wood Pole</t>
  </si>
  <si>
    <t>30 ft Aluminum Pole for Cobra Head</t>
  </si>
  <si>
    <t>35 ft Wood Pole</t>
  </si>
  <si>
    <t>35 ft Aluminum Pole</t>
  </si>
  <si>
    <t>35 ft Aluminum Pole for Cobra Head</t>
  </si>
  <si>
    <t>40 ft Wood Pole</t>
  </si>
  <si>
    <t xml:space="preserve">40 ft Aluminum Pole  </t>
  </si>
  <si>
    <t>40 ft Aluminum Pole for Cobra Head</t>
  </si>
  <si>
    <t>45 ft Wood Pole</t>
  </si>
  <si>
    <t>50 ft Wood Pole</t>
  </si>
  <si>
    <t>Power Installed Foundation</t>
  </si>
  <si>
    <t>Cobra Head Light</t>
  </si>
  <si>
    <t>Security Light</t>
  </si>
  <si>
    <t>Flood Light</t>
  </si>
  <si>
    <t>Acorn Light</t>
  </si>
  <si>
    <t>Colonial Light</t>
  </si>
  <si>
    <t>Interstate Light</t>
  </si>
  <si>
    <t>Variance</t>
  </si>
  <si>
    <t>Total</t>
  </si>
  <si>
    <t xml:space="preserve">    FAC Net Add/Reverse</t>
  </si>
  <si>
    <t>REVENUE BY MONTH BY RATE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</si>
  <si>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</si>
  <si>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</si>
  <si>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</si>
  <si>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</si>
  <si>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</si>
  <si>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</si>
  <si>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</si>
  <si>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</si>
  <si>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</si>
  <si>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</si>
  <si>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</si>
  <si>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</si>
  <si>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RATE 10 + NEW</t>
  </si>
  <si>
    <t xml:space="preserve">  KWH SALES (USAGE)</t>
  </si>
  <si>
    <t xml:space="preserve">  KWH ADJUSTMENTS</t>
  </si>
  <si>
    <t xml:space="preserve">  KWH-DEVICE USAGE</t>
  </si>
  <si>
    <t xml:space="preserve">  KWH-DEVICE ADJUSTMENTS</t>
  </si>
  <si>
    <t xml:space="preserve">  $ KWH REVENUE</t>
  </si>
  <si>
    <t xml:space="preserve">  $ KWH ADJUSTMENTS</t>
  </si>
  <si>
    <t xml:space="preserve">  $ SERVICE CHARGE</t>
  </si>
  <si>
    <t xml:space="preserve">  $ SERVICE CHARGE ADJ.</t>
  </si>
  <si>
    <t xml:space="preserve">  $ PCA - FUEL</t>
  </si>
  <si>
    <t xml:space="preserve">  $ ADJUSTMENTS - FUEL</t>
  </si>
  <si>
    <t xml:space="preserve">  $ DEVICE REVENUE</t>
  </si>
  <si>
    <t xml:space="preserve">  $ DEVICE ADJUSTMENTS</t>
  </si>
  <si>
    <t xml:space="preserve">  $ Environ. Surcharge Billed</t>
  </si>
  <si>
    <t xml:space="preserve">  $ Environ. Surcharge Billed Adj.</t>
  </si>
  <si>
    <t xml:space="preserve">  MISC. ADJUSTMENTS</t>
  </si>
  <si>
    <t xml:space="preserve">  # BILLED ACCOUNTS</t>
  </si>
  <si>
    <t xml:space="preserve">  # MINIMUM BILLS</t>
  </si>
  <si>
    <t xml:space="preserve">  $ FAC Net Added / Reversed</t>
  </si>
  <si>
    <t>RATE 11</t>
  </si>
  <si>
    <t xml:space="preserve">  KWH-SALES-DEVICE USAGE</t>
  </si>
  <si>
    <t xml:space="preserve">  KWH-SL-ADJUSTMENTS</t>
  </si>
  <si>
    <t>RATE 20</t>
  </si>
  <si>
    <t xml:space="preserve">  KWH-DEVICE-ADJUSTMENTS</t>
  </si>
  <si>
    <t xml:space="preserve">  OFFICE USE - $</t>
  </si>
  <si>
    <t xml:space="preserve">  OFFICE USE - KWH</t>
  </si>
  <si>
    <t>RATE 22</t>
  </si>
  <si>
    <t>RATE 40</t>
  </si>
  <si>
    <t xml:space="preserve">  $ ALL PCA - FUEL</t>
  </si>
  <si>
    <t xml:space="preserve">  $ DEMAND REVENUE</t>
  </si>
  <si>
    <t xml:space="preserve">  $ DEMAND ADJUSTMENTS</t>
  </si>
  <si>
    <t xml:space="preserve">  # MINIMUM BILLS-Rate/Svc Min</t>
  </si>
  <si>
    <t>RATE 46</t>
  </si>
  <si>
    <t>RATE 47</t>
  </si>
  <si>
    <t>RATE 50</t>
  </si>
  <si>
    <t>RATE 52</t>
  </si>
  <si>
    <t xml:space="preserve">RATE </t>
  </si>
  <si>
    <t xml:space="preserve">  KWH SALES</t>
  </si>
  <si>
    <t xml:space="preserve">  KWH-SL-SALES</t>
  </si>
  <si>
    <t xml:space="preserve">  $ KWH SALES</t>
  </si>
  <si>
    <t xml:space="preserve">  $ CUSTOMER CHARGE</t>
  </si>
  <si>
    <t xml:space="preserve">  $ CUSTOMER CHARGE ADJ.</t>
  </si>
  <si>
    <t xml:space="preserve">  $ SALES - FUEL</t>
  </si>
  <si>
    <t xml:space="preserve">  $ SYL SALES</t>
  </si>
  <si>
    <t xml:space="preserve">  $ SYL ADJUSTMENTS</t>
  </si>
  <si>
    <t xml:space="preserve">  $ KW SALES</t>
  </si>
  <si>
    <t xml:space="preserve">  $ KW ADJUSTMENTS</t>
  </si>
  <si>
    <t xml:space="preserve">  Power Bill Fuel Added</t>
  </si>
  <si>
    <t xml:space="preserve">  Power Bill Fuel Reversal</t>
  </si>
  <si>
    <t>RATE TOTAL</t>
  </si>
  <si>
    <t xml:space="preserve">  $ KW SALES (DEMAND)</t>
  </si>
  <si>
    <t>FAC NET ADDED &amp; REVERSED</t>
  </si>
  <si>
    <t>Form 7</t>
  </si>
  <si>
    <t>TOTAL KWH</t>
  </si>
  <si>
    <t>TOTAL REV</t>
  </si>
  <si>
    <t>COOP USE</t>
  </si>
  <si>
    <t>Energy</t>
  </si>
  <si>
    <t>Customer</t>
  </si>
  <si>
    <t>Demand</t>
  </si>
  <si>
    <t>MISC</t>
  </si>
  <si>
    <t>FAC Net</t>
  </si>
  <si>
    <t>PCA</t>
  </si>
  <si>
    <t>ES</t>
  </si>
  <si>
    <t>VARIANCE</t>
  </si>
  <si>
    <t>Totals 2019</t>
  </si>
  <si>
    <t>Rate 40</t>
  </si>
  <si>
    <t>Month</t>
  </si>
  <si>
    <t>Demand Revenue</t>
  </si>
  <si>
    <t>Actual Demand</t>
  </si>
  <si>
    <t>Billed Demand</t>
  </si>
  <si>
    <t>Jan.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</si>
  <si>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</si>
  <si>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</si>
  <si>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</si>
  <si>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</si>
  <si>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</si>
  <si>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</si>
  <si>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</si>
  <si>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</si>
  <si>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</si>
  <si>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</si>
  <si>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</si>
  <si>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Yearly Totals</t>
  </si>
  <si>
    <t>Rate 46</t>
  </si>
  <si>
    <t>Rate 47</t>
  </si>
  <si>
    <t>TOTAL</t>
  </si>
  <si>
    <t>FAC Normalization</t>
  </si>
  <si>
    <t>Usage</t>
  </si>
  <si>
    <t>PCA Amount $</t>
  </si>
  <si>
    <t>PCA Rate $/KWH</t>
  </si>
  <si>
    <t>PCA Rate Change $/KWH</t>
  </si>
  <si>
    <t>PCA Amount Change $</t>
  </si>
  <si>
    <t>Normalized PCA Amount $</t>
  </si>
  <si>
    <t>Pole</t>
  </si>
  <si>
    <t>Res Customer Charge</t>
  </si>
  <si>
    <t>Res Energy Charge</t>
  </si>
  <si>
    <t>Rate Rounding Variance</t>
  </si>
  <si>
    <t>Rate Variance</t>
  </si>
  <si>
    <t>Total %</t>
  </si>
  <si>
    <t>Base %</t>
  </si>
  <si>
    <t>Rate</t>
  </si>
  <si>
    <t>Proposed</t>
  </si>
  <si>
    <t>Present</t>
  </si>
  <si>
    <t>Energy Charge per kWh</t>
  </si>
  <si>
    <t>Demand Charge per kW</t>
  </si>
  <si>
    <t>Demand Charge Contract per kW</t>
  </si>
  <si>
    <t>Demand Charge Excess per kW</t>
  </si>
  <si>
    <t>The amount of the change requested in both dollar amounts and percentage change for each customer classification to which the proposed rates will apply is set forth below:</t>
  </si>
  <si>
    <t>Increase</t>
  </si>
  <si>
    <t>Rate Class</t>
  </si>
  <si>
    <t>Dollars</t>
  </si>
  <si>
    <t>Percent</t>
  </si>
  <si>
    <t>The amount of the average usage and the effect upon the average bill for each customer classification to which the proposed rates will apply is set forth below:</t>
  </si>
  <si>
    <t>Usage (kWh)</t>
  </si>
  <si>
    <t>NA</t>
  </si>
  <si>
    <t>PRESENT &amp; PROPOSED RATES</t>
  </si>
  <si>
    <t>Var</t>
  </si>
  <si>
    <t>2023 Rate</t>
  </si>
  <si>
    <t xml:space="preserve">          2023 Revenue</t>
  </si>
  <si>
    <t>FAC Roll In &gt;</t>
  </si>
  <si>
    <t>2023 Revenue</t>
  </si>
  <si>
    <t>70 Watt LED Acorn Head</t>
  </si>
  <si>
    <t>70 Watt LED Security Light</t>
  </si>
  <si>
    <t>129 Watt LED Floodlight</t>
  </si>
  <si>
    <t>70 Watt LED Cobra Head</t>
  </si>
  <si>
    <t>discount</t>
  </si>
  <si>
    <t>Commercial Service &lt; 50 kW</t>
  </si>
  <si>
    <t>Large Power Loads 50 kW +</t>
  </si>
  <si>
    <t>B</t>
  </si>
  <si>
    <t>C</t>
  </si>
  <si>
    <t>E</t>
  </si>
  <si>
    <t xml:space="preserve">Tot  </t>
  </si>
  <si>
    <t xml:space="preserve">Remaining Revenue Increase Allocated by East Kentucky Power Cooperative:   </t>
  </si>
  <si>
    <t xml:space="preserve">Rate B Increase Allocated by East Kentucky Power Cooperative:   </t>
  </si>
  <si>
    <t xml:space="preserve">Rate C Increase Allocated by East Kentucky Power Cooperative:   </t>
  </si>
  <si>
    <t>Subtotal Base Rate E</t>
  </si>
  <si>
    <t>FAC Roll 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</si>
</sst>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0.000000"/>
    <numFmt numFmtId="167" formatCode="0.00000"/>
    <numFmt numFmtId="168" formatCode="_(* #,##0.00000_);_(* \(#,##0.00000\);_(* &quot;-&quot;??_);_(@_)"/>
    <numFmt numFmtId="169" formatCode="_(* #,##0.000000_);_(* \(#,##0.000000\);_(* &quot;-&quot;??_);_(@_)"/>
    <numFmt numFmtId="170" formatCode="0.00000%"/>
    <numFmt numFmtId="171" formatCode="&quot;$&quot;#,##0.00"/>
    <numFmt numFmtId="172" formatCode="#,##0.000"/>
    <numFmt numFmtId="173" formatCode="_(&quot;$&quot;* #,##0.00000_);_(&quot;$&quot;* \(#,##0.00000\);_(&quot;$&quot;* &quot;-&quot;??_);_(@_)"/>
    <numFmt numFmtId="174" formatCode="&quot;$&quot;#,##0"/>
    <numFmt numFmtId="175" formatCode="_(&quot;$&quot;* #,##0.000000_);_(&quot;$&quot;* \(#,##0.000000\);_(&quot;$&quot;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i/>
      <u/>
      <sz val="10"/>
      <color theme="1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2"/>
      <name val="Arial"/>
      <family val="2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5" tint="-0.49998474074526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158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left"/>
    </xf>
    <xf numFmtId="0" fontId="5" fillId="0" borderId="0" xfId="0" applyFont="1"/>
    <xf numFmtId="164" fontId="3" fillId="0" borderId="0" xfId="1" applyNumberFormat="1" applyFont="1"/>
    <xf numFmtId="9" fontId="3" fillId="0" borderId="0" xfId="3" applyFont="1"/>
    <xf numFmtId="10" fontId="3" fillId="0" borderId="0" xfId="3" applyNumberFormat="1" applyFont="1"/>
    <xf numFmtId="165" fontId="3" fillId="0" borderId="0" xfId="2" applyNumberFormat="1" applyFont="1"/>
    <xf numFmtId="0" fontId="3" fillId="0" borderId="2" xfId="0" applyFont="1" applyBorder="1"/>
    <xf numFmtId="165" fontId="3" fillId="0" borderId="2" xfId="2" applyNumberFormat="1" applyFont="1" applyBorder="1"/>
    <xf numFmtId="0" fontId="3" fillId="0" borderId="0" xfId="0" applyFont="1" applyAlignment="1">
      <alignment vertical="center"/>
    </xf>
    <xf numFmtId="0" fontId="3" fillId="0" borderId="3" xfId="0" applyFont="1" applyBorder="1" applyAlignment="1">
      <alignment vertical="center"/>
    </xf>
    <xf numFmtId="165" fontId="3" fillId="0" borderId="3" xfId="2" applyNumberFormat="1" applyFont="1" applyBorder="1" applyAlignment="1">
      <alignment vertical="center"/>
    </xf>
    <xf numFmtId="9" fontId="3" fillId="0" borderId="3" xfId="3" applyFont="1" applyBorder="1" applyAlignment="1">
      <alignment vertical="center"/>
    </xf>
    <xf numFmtId="10" fontId="3" fillId="0" borderId="3" xfId="3" applyNumberFormat="1" applyFont="1" applyBorder="1" applyAlignment="1">
      <alignment vertical="center"/>
    </xf>
    <xf numFmtId="0" fontId="3" fillId="2" borderId="0" xfId="0" applyFont="1" applyFill="1"/>
    <xf numFmtId="165" fontId="3" fillId="2" borderId="0" xfId="2" applyNumberFormat="1" applyFont="1" applyFill="1"/>
    <xf numFmtId="0" fontId="3" fillId="2" borderId="2" xfId="0" applyFont="1" applyFill="1" applyBorder="1"/>
    <xf numFmtId="165" fontId="3" fillId="2" borderId="2" xfId="2" applyNumberFormat="1" applyFont="1" applyFill="1" applyBorder="1"/>
    <xf numFmtId="165" fontId="3" fillId="0" borderId="0" xfId="2" applyNumberFormat="1" applyFont="1" applyBorder="1" applyAlignment="1">
      <alignment vertical="center"/>
    </xf>
    <xf numFmtId="0" fontId="2" fillId="0" borderId="4" xfId="0" applyFont="1" applyBorder="1" applyAlignment="1">
      <alignment horizontal="left" wrapText="1"/>
    </xf>
    <xf numFmtId="0" fontId="2" fillId="0" borderId="0" xfId="0" applyFont="1" applyAlignment="1">
      <alignment horizontal="center"/>
    </xf>
    <xf numFmtId="0" fontId="2" fillId="0" borderId="4" xfId="0" applyFont="1" applyBorder="1" applyAlignment="1">
      <alignment horizontal="right" wrapText="1"/>
    </xf>
    <xf numFmtId="165" fontId="3" fillId="0" borderId="2" xfId="2" applyNumberFormat="1" applyFont="1" applyBorder="1" applyAlignment="1">
      <alignment vertical="center"/>
    </xf>
    <xf numFmtId="165" fontId="3" fillId="0" borderId="0" xfId="0" applyNumberFormat="1" applyFont="1"/>
    <xf numFmtId="165" fontId="3" fillId="0" borderId="3" xfId="0" applyNumberFormat="1" applyFont="1" applyBorder="1" applyAlignment="1">
      <alignment vertical="center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vertical="center"/>
    </xf>
    <xf numFmtId="10" fontId="3" fillId="0" borderId="2" xfId="3" applyNumberFormat="1" applyFont="1" applyBorder="1" applyAlignment="1">
      <alignment vertical="center"/>
    </xf>
    <xf numFmtId="165" fontId="6" fillId="0" borderId="5" xfId="2" applyNumberFormat="1" applyFont="1" applyFill="1" applyBorder="1" applyAlignment="1">
      <alignment vertical="center"/>
    </xf>
    <xf numFmtId="0" fontId="4" fillId="0" borderId="0" xfId="0" applyFont="1" applyAlignment="1">
      <alignment horizontal="right"/>
    </xf>
    <xf numFmtId="0" fontId="3" fillId="5" borderId="0" xfId="0" applyFont="1" applyFill="1"/>
    <xf numFmtId="165" fontId="3" fillId="0" borderId="2" xfId="0" applyNumberFormat="1" applyFont="1" applyBorder="1"/>
    <xf numFmtId="0" fontId="8" fillId="0" borderId="0" xfId="0" applyFont="1"/>
    <xf numFmtId="0" fontId="6" fillId="0" borderId="0" xfId="0" applyFont="1"/>
    <xf numFmtId="0" fontId="8" fillId="0" borderId="0" xfId="0" quotePrefix="1" applyFont="1" applyAlignment="1">
      <alignment horizontal="left"/>
    </xf>
    <xf numFmtId="43" fontId="6" fillId="0" borderId="0" xfId="0" applyNumberFormat="1" applyFont="1"/>
    <xf numFmtId="0" fontId="8" fillId="0" borderId="1" xfId="0" applyFont="1" applyBorder="1"/>
    <xf numFmtId="0" fontId="8" fillId="0" borderId="1" xfId="0" applyFont="1" applyBorder="1" applyAlignment="1">
      <alignment horizontal="center"/>
    </xf>
    <xf numFmtId="43" fontId="8" fillId="0" borderId="1" xfId="1" applyFont="1" applyBorder="1" applyAlignment="1">
      <alignment horizontal="center"/>
    </xf>
    <xf numFmtId="0" fontId="6" fillId="0" borderId="1" xfId="0" applyFont="1" applyBorder="1"/>
    <xf numFmtId="164" fontId="6" fillId="0" borderId="1" xfId="1" applyNumberFormat="1" applyFont="1" applyBorder="1"/>
    <xf numFmtId="43" fontId="6" fillId="0" borderId="1" xfId="1" applyFont="1" applyBorder="1"/>
    <xf numFmtId="43" fontId="6" fillId="0" borderId="0" xfId="1" applyFont="1"/>
    <xf numFmtId="0" fontId="9" fillId="0" borderId="1" xfId="0" applyFont="1" applyBorder="1"/>
    <xf numFmtId="0" fontId="8" fillId="4" borderId="1" xfId="0" applyFont="1" applyFill="1" applyBorder="1"/>
    <xf numFmtId="0" fontId="8" fillId="4" borderId="0" xfId="0" applyFont="1" applyFill="1"/>
    <xf numFmtId="43" fontId="6" fillId="0" borderId="0" xfId="1" applyFont="1" applyBorder="1"/>
    <xf numFmtId="164" fontId="6" fillId="0" borderId="0" xfId="1" applyNumberFormat="1" applyFont="1" applyBorder="1"/>
    <xf numFmtId="0" fontId="7" fillId="0" borderId="0" xfId="0" applyFont="1"/>
    <xf numFmtId="0" fontId="0" fillId="4" borderId="0" xfId="0" applyFill="1"/>
    <xf numFmtId="164" fontId="0" fillId="0" borderId="0" xfId="0" applyNumberFormat="1"/>
    <xf numFmtId="164" fontId="0" fillId="4" borderId="0" xfId="1" applyNumberFormat="1" applyFont="1" applyFill="1"/>
    <xf numFmtId="164" fontId="0" fillId="4" borderId="0" xfId="0" applyNumberFormat="1" applyFill="1"/>
    <xf numFmtId="43" fontId="0" fillId="0" borderId="0" xfId="0" applyNumberFormat="1"/>
    <xf numFmtId="43" fontId="0" fillId="0" borderId="0" xfId="1" applyFont="1"/>
    <xf numFmtId="0" fontId="1" fillId="0" borderId="0" xfId="4"/>
    <xf numFmtId="0" fontId="11" fillId="0" borderId="4" xfId="4" applyFont="1" applyBorder="1"/>
    <xf numFmtId="0" fontId="11" fillId="0" borderId="0" xfId="4" applyFont="1"/>
    <xf numFmtId="171" fontId="12" fillId="0" borderId="0" xfId="4" applyNumberFormat="1" applyFont="1"/>
    <xf numFmtId="172" fontId="12" fillId="0" borderId="0" xfId="4" applyNumberFormat="1" applyFont="1"/>
    <xf numFmtId="0" fontId="11" fillId="0" borderId="7" xfId="4" applyFont="1" applyBorder="1"/>
    <xf numFmtId="171" fontId="12" fillId="0" borderId="7" xfId="4" applyNumberFormat="1" applyFont="1" applyBorder="1"/>
    <xf numFmtId="172" fontId="12" fillId="0" borderId="7" xfId="4" applyNumberFormat="1" applyFont="1" applyBorder="1"/>
    <xf numFmtId="43" fontId="12" fillId="0" borderId="0" xfId="1" applyFont="1"/>
    <xf numFmtId="164" fontId="0" fillId="0" borderId="0" xfId="1" applyNumberFormat="1" applyFont="1"/>
    <xf numFmtId="0" fontId="7" fillId="0" borderId="0" xfId="0" applyFont="1" applyAlignment="1">
      <alignment horizontal="center"/>
    </xf>
    <xf numFmtId="43" fontId="6" fillId="0" borderId="8" xfId="1" applyFont="1" applyFill="1" applyBorder="1"/>
    <xf numFmtId="43" fontId="6" fillId="6" borderId="1" xfId="1" applyFont="1" applyFill="1" applyBorder="1"/>
    <xf numFmtId="9" fontId="0" fillId="0" borderId="0" xfId="3" applyFont="1"/>
    <xf numFmtId="169" fontId="0" fillId="0" borderId="0" xfId="1" applyNumberFormat="1" applyFont="1"/>
    <xf numFmtId="168" fontId="6" fillId="0" borderId="0" xfId="1" applyNumberFormat="1" applyFont="1"/>
    <xf numFmtId="0" fontId="3" fillId="0" borderId="0" xfId="0" applyFont="1" applyAlignment="1">
      <alignment horizontal="left" vertical="center"/>
    </xf>
    <xf numFmtId="0" fontId="3" fillId="2" borderId="4" xfId="0" applyFont="1" applyFill="1" applyBorder="1"/>
    <xf numFmtId="0" fontId="2" fillId="0" borderId="4" xfId="0" applyFont="1" applyBorder="1"/>
    <xf numFmtId="0" fontId="2" fillId="0" borderId="4" xfId="0" applyFont="1" applyBorder="1" applyAlignment="1">
      <alignment horizontal="center"/>
    </xf>
    <xf numFmtId="0" fontId="2" fillId="0" borderId="4" xfId="0" applyFont="1" applyBorder="1" applyAlignment="1">
      <alignment horizontal="right"/>
    </xf>
    <xf numFmtId="43" fontId="3" fillId="0" borderId="0" xfId="0" applyNumberFormat="1" applyFont="1"/>
    <xf numFmtId="0" fontId="3" fillId="0" borderId="0" xfId="0" applyFont="1" applyAlignment="1">
      <alignment horizontal="right"/>
    </xf>
    <xf numFmtId="44" fontId="3" fillId="0" borderId="0" xfId="2" applyFont="1"/>
    <xf numFmtId="173" fontId="3" fillId="0" borderId="0" xfId="2" applyNumberFormat="1" applyFont="1"/>
    <xf numFmtId="0" fontId="8" fillId="0" borderId="4" xfId="0" applyFont="1" applyBorder="1"/>
    <xf numFmtId="0" fontId="3" fillId="0" borderId="4" xfId="0" applyFont="1" applyBorder="1"/>
    <xf numFmtId="0" fontId="2" fillId="0" borderId="5" xfId="0" applyFont="1" applyBorder="1" applyAlignment="1">
      <alignment horizontal="right"/>
    </xf>
    <xf numFmtId="0" fontId="6" fillId="0" borderId="2" xfId="0" applyFont="1" applyBorder="1"/>
    <xf numFmtId="174" fontId="3" fillId="0" borderId="2" xfId="0" applyNumberFormat="1" applyFont="1" applyBorder="1"/>
    <xf numFmtId="10" fontId="3" fillId="0" borderId="2" xfId="3" applyNumberFormat="1" applyFont="1" applyBorder="1"/>
    <xf numFmtId="0" fontId="8" fillId="0" borderId="0" xfId="0" applyFont="1" applyAlignment="1">
      <alignment horizontal="center"/>
    </xf>
    <xf numFmtId="0" fontId="8" fillId="0" borderId="4" xfId="0" applyFont="1" applyBorder="1" applyAlignment="1">
      <alignment horizontal="center"/>
    </xf>
    <xf numFmtId="164" fontId="6" fillId="0" borderId="0" xfId="1" applyNumberFormat="1" applyFont="1"/>
    <xf numFmtId="171" fontId="3" fillId="0" borderId="0" xfId="0" applyNumberFormat="1" applyFont="1"/>
    <xf numFmtId="164" fontId="6" fillId="0" borderId="0" xfId="1" applyNumberFormat="1" applyFont="1" applyAlignment="1">
      <alignment horizontal="right"/>
    </xf>
    <xf numFmtId="0" fontId="6" fillId="0" borderId="0" xfId="0" applyFont="1" applyAlignment="1">
      <alignment horizontal="right"/>
    </xf>
    <xf numFmtId="164" fontId="6" fillId="0" borderId="2" xfId="1" applyNumberFormat="1" applyFont="1" applyBorder="1" applyAlignment="1">
      <alignment horizontal="right"/>
    </xf>
    <xf numFmtId="171" fontId="3" fillId="0" borderId="2" xfId="0" applyNumberFormat="1" applyFont="1" applyBorder="1"/>
    <xf numFmtId="10" fontId="3" fillId="0" borderId="0" xfId="0" applyNumberFormat="1" applyFont="1" applyAlignment="1">
      <alignment horizontal="right"/>
    </xf>
    <xf numFmtId="165" fontId="3" fillId="0" borderId="0" xfId="2" applyNumberFormat="1" applyFont="1" applyBorder="1" applyAlignment="1">
      <alignment horizontal="right"/>
    </xf>
    <xf numFmtId="0" fontId="6" fillId="0" borderId="0" xfId="0" applyFont="1" applyAlignment="1">
      <alignment horizontal="center"/>
    </xf>
    <xf numFmtId="165" fontId="6" fillId="0" borderId="0" xfId="2" applyNumberFormat="1" applyFont="1" applyFill="1"/>
    <xf numFmtId="10" fontId="6" fillId="0" borderId="0" xfId="3" applyNumberFormat="1" applyFont="1" applyFill="1"/>
    <xf numFmtId="43" fontId="6" fillId="0" borderId="0" xfId="1" applyFont="1" applyFill="1"/>
    <xf numFmtId="165" fontId="6" fillId="0" borderId="0" xfId="0" applyNumberFormat="1" applyFont="1" applyAlignment="1">
      <alignment horizontal="right"/>
    </xf>
    <xf numFmtId="165" fontId="6" fillId="0" borderId="0" xfId="0" applyNumberFormat="1" applyFont="1"/>
    <xf numFmtId="0" fontId="8" fillId="0" borderId="0" xfId="0" applyFont="1" applyAlignment="1">
      <alignment vertical="center"/>
    </xf>
    <xf numFmtId="0" fontId="8" fillId="0" borderId="0" xfId="0" applyFont="1" applyAlignment="1">
      <alignment horizontal="right"/>
    </xf>
    <xf numFmtId="0" fontId="6" fillId="0" borderId="0" xfId="0" applyFont="1" applyAlignment="1">
      <alignment vertical="center"/>
    </xf>
    <xf numFmtId="0" fontId="8" fillId="0" borderId="4" xfId="0" applyFont="1" applyBorder="1" applyAlignment="1">
      <alignment vertical="center" wrapText="1"/>
    </xf>
    <xf numFmtId="0" fontId="8" fillId="0" borderId="4" xfId="0" applyFont="1" applyBorder="1" applyAlignment="1">
      <alignment wrapText="1"/>
    </xf>
    <xf numFmtId="0" fontId="8" fillId="0" borderId="4" xfId="0" applyFont="1" applyBorder="1" applyAlignment="1">
      <alignment horizontal="center" wrapText="1"/>
    </xf>
    <xf numFmtId="0" fontId="8" fillId="0" borderId="4" xfId="0" applyFont="1" applyBorder="1" applyAlignment="1">
      <alignment horizontal="right" wrapText="1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wrapText="1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right" wrapText="1"/>
    </xf>
    <xf numFmtId="0" fontId="6" fillId="0" borderId="0" xfId="0" applyFont="1" applyAlignment="1">
      <alignment horizontal="left" vertical="center"/>
    </xf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164" fontId="6" fillId="0" borderId="0" xfId="1" applyNumberFormat="1" applyFont="1" applyFill="1"/>
    <xf numFmtId="10" fontId="6" fillId="0" borderId="0" xfId="0" applyNumberFormat="1" applyFont="1"/>
    <xf numFmtId="168" fontId="6" fillId="0" borderId="0" xfId="1" applyNumberFormat="1" applyFont="1" applyFill="1"/>
    <xf numFmtId="167" fontId="6" fillId="0" borderId="0" xfId="0" applyNumberFormat="1" applyFont="1"/>
    <xf numFmtId="0" fontId="6" fillId="0" borderId="0" xfId="0" applyFont="1" applyAlignment="1">
      <alignment horizontal="center" vertical="center"/>
    </xf>
    <xf numFmtId="0" fontId="6" fillId="0" borderId="5" xfId="0" applyFont="1" applyBorder="1" applyAlignment="1">
      <alignment vertical="center"/>
    </xf>
    <xf numFmtId="10" fontId="6" fillId="0" borderId="5" xfId="3" applyNumberFormat="1" applyFont="1" applyFill="1" applyBorder="1" applyAlignment="1">
      <alignment vertical="center"/>
    </xf>
    <xf numFmtId="165" fontId="6" fillId="0" borderId="5" xfId="3" applyNumberFormat="1" applyFont="1" applyFill="1" applyBorder="1" applyAlignment="1">
      <alignment vertical="center"/>
    </xf>
    <xf numFmtId="10" fontId="6" fillId="0" borderId="5" xfId="0" applyNumberFormat="1" applyFont="1" applyBorder="1" applyAlignment="1">
      <alignment vertical="center"/>
    </xf>
    <xf numFmtId="44" fontId="6" fillId="0" borderId="5" xfId="2" applyFont="1" applyFill="1" applyBorder="1" applyAlignment="1">
      <alignment vertical="center"/>
    </xf>
    <xf numFmtId="170" fontId="6" fillId="0" borderId="0" xfId="3" applyNumberFormat="1" applyFont="1" applyFill="1"/>
    <xf numFmtId="0" fontId="6" fillId="0" borderId="5" xfId="0" applyFont="1" applyBorder="1"/>
    <xf numFmtId="165" fontId="6" fillId="0" borderId="5" xfId="2" applyNumberFormat="1" applyFont="1" applyFill="1" applyBorder="1"/>
    <xf numFmtId="43" fontId="6" fillId="0" borderId="5" xfId="1" applyFont="1" applyFill="1" applyBorder="1"/>
    <xf numFmtId="0" fontId="6" fillId="0" borderId="3" xfId="0" applyFont="1" applyBorder="1" applyAlignment="1">
      <alignment vertical="center"/>
    </xf>
    <xf numFmtId="165" fontId="6" fillId="0" borderId="3" xfId="2" applyNumberFormat="1" applyFont="1" applyFill="1" applyBorder="1" applyAlignment="1">
      <alignment vertical="center"/>
    </xf>
    <xf numFmtId="165" fontId="6" fillId="0" borderId="3" xfId="0" applyNumberFormat="1" applyFont="1" applyBorder="1" applyAlignment="1">
      <alignment vertical="center"/>
    </xf>
    <xf numFmtId="10" fontId="6" fillId="0" borderId="3" xfId="3" applyNumberFormat="1" applyFont="1" applyFill="1" applyBorder="1" applyAlignment="1">
      <alignment vertical="center"/>
    </xf>
    <xf numFmtId="44" fontId="6" fillId="0" borderId="0" xfId="0" applyNumberFormat="1" applyFont="1"/>
    <xf numFmtId="166" fontId="6" fillId="0" borderId="0" xfId="0" applyNumberFormat="1" applyFont="1"/>
    <xf numFmtId="165" fontId="6" fillId="0" borderId="5" xfId="0" applyNumberFormat="1" applyFont="1" applyBorder="1" applyAlignment="1">
      <alignment vertical="center"/>
    </xf>
    <xf numFmtId="165" fontId="6" fillId="0" borderId="5" xfId="0" applyNumberFormat="1" applyFont="1" applyBorder="1"/>
    <xf numFmtId="164" fontId="6" fillId="0" borderId="0" xfId="0" applyNumberFormat="1" applyFont="1"/>
    <xf numFmtId="0" fontId="6" fillId="3" borderId="0" xfId="0" applyFont="1" applyFill="1" applyAlignment="1">
      <alignment horizontal="center"/>
    </xf>
    <xf numFmtId="0" fontId="6" fillId="3" borderId="0" xfId="0" applyFont="1" applyFill="1"/>
    <xf numFmtId="10" fontId="6" fillId="0" borderId="0" xfId="3" applyNumberFormat="1" applyFont="1"/>
    <xf numFmtId="0" fontId="8" fillId="0" borderId="0" xfId="0" applyFont="1" applyAlignment="1">
      <alignment vertical="top" wrapText="1"/>
    </xf>
    <xf numFmtId="10" fontId="3" fillId="0" borderId="0" xfId="3" applyNumberFormat="1" applyFont="1" applyFill="1"/>
    <xf numFmtId="165" fontId="13" fillId="0" borderId="0" xfId="0" applyNumberFormat="1" applyFont="1" applyAlignment="1">
      <alignment horizontal="right"/>
    </xf>
    <xf numFmtId="165" fontId="13" fillId="0" borderId="0" xfId="0" applyNumberFormat="1" applyFont="1"/>
    <xf numFmtId="0" fontId="13" fillId="0" borderId="0" xfId="0" applyFont="1"/>
    <xf numFmtId="173" fontId="3" fillId="0" borderId="0" xfId="0" applyNumberFormat="1" applyFont="1"/>
    <xf numFmtId="175" fontId="3" fillId="0" borderId="0" xfId="0" applyNumberFormat="1" applyFont="1"/>
    <xf numFmtId="10" fontId="3" fillId="0" borderId="0" xfId="3" applyNumberFormat="1" applyFont="1" applyAlignment="1">
      <alignment horizontal="right"/>
    </xf>
    <xf numFmtId="10" fontId="3" fillId="0" borderId="0" xfId="3" applyNumberFormat="1" applyFont="1" applyBorder="1" applyAlignment="1">
      <alignment vertical="center"/>
    </xf>
    <xf numFmtId="6" fontId="6" fillId="0" borderId="1" xfId="0" applyNumberFormat="1" applyFont="1" applyBorder="1"/>
    <xf numFmtId="0" fontId="8" fillId="0" borderId="0" xfId="0" applyFont="1" applyAlignment="1">
      <alignment horizontal="left" vertical="top" wrapText="1"/>
    </xf>
    <xf numFmtId="0" fontId="2" fillId="0" borderId="4" xfId="0" applyFont="1" applyBorder="1" applyAlignment="1">
      <alignment horizontal="center"/>
    </xf>
    <xf numFmtId="0" fontId="10" fillId="0" borderId="4" xfId="4" applyFont="1" applyBorder="1" applyAlignment="1">
      <alignment horizontal="center"/>
    </xf>
  </cellXfs>
  <cellStyles count="5">
    <cellStyle name="Comma" xfId="1" builtinId="3"/>
    <cellStyle name="Currency" xfId="2" builtinId="4"/>
    <cellStyle name="Normal" xfId="0" builtinId="0"/>
    <cellStyle name="Normal 2" xfId="4" xr:uid="{07BB8BC8-C5A2-4D23-8181-BEF9162D0260}"/>
    <cellStyle name="Percent" xfId="3" builtinId="5"/>
  </cellStyles>
  <dxfs count="0"/>
  <tableStyles count="0" defaultTableStyle="TableStyleMedium2" defaultPivotStyle="PivotStyleLight16"/>
  <colors>
    <mruColors>
      <color rgb="FF0000FF"/>
      <color rgb="FFFFFFCC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AA6C87-2D74-4DCB-9000-40376CA871FF}">
  <sheetPr>
    <pageSetUpPr fitToPage="1"/>
  </sheetPr>
  <dimension ref="A1:V35"/>
  <sheetViews>
    <sheetView tabSelected="1" view="pageBreakPreview" topLeftCell="A11" zoomScaleNormal="75" zoomScaleSheetLayoutView="100" workbookViewId="0">
      <selection activeCell="F7" sqref="F7"/>
    </sheetView>
  </sheetViews>
  <sheetFormatPr defaultColWidth="8.88671875" defaultRowHeight="13.2" x14ac:dyDescent="0.25"/>
  <cols>
    <col min="1" max="1" width="6.44140625" style="2" customWidth="1"/>
    <col min="2" max="2" width="27.6640625" style="2" bestFit="1" customWidth="1"/>
    <col min="3" max="3" width="5.88671875" style="2" bestFit="1" customWidth="1"/>
    <col min="4" max="4" width="16.6640625" style="2" hidden="1" customWidth="1"/>
    <col min="5" max="5" width="13.88671875" style="2" bestFit="1" customWidth="1"/>
    <col min="6" max="6" width="8.5546875" style="2" bestFit="1" customWidth="1"/>
    <col min="7" max="7" width="13.88671875" style="2" bestFit="1" customWidth="1"/>
    <col min="8" max="8" width="10.44140625" style="2" bestFit="1" customWidth="1"/>
    <col min="9" max="9" width="11.6640625" style="2" bestFit="1" customWidth="1"/>
    <col min="10" max="10" width="13.88671875" style="2" customWidth="1"/>
    <col min="11" max="11" width="11.33203125" style="2" customWidth="1"/>
    <col min="12" max="12" width="11.6640625" style="2" customWidth="1"/>
    <col min="13" max="14" width="7.6640625" style="2" bestFit="1" customWidth="1"/>
    <col min="15" max="15" width="12.88671875" style="2" bestFit="1" customWidth="1"/>
    <col min="16" max="16" width="28.6640625" style="2" customWidth="1"/>
    <col min="17" max="17" width="9" style="2" bestFit="1" customWidth="1"/>
    <col min="18" max="18" width="14.5546875" style="2" customWidth="1"/>
    <col min="19" max="19" width="8.88671875" style="2"/>
    <col min="20" max="20" width="12.6640625" style="2" bestFit="1" customWidth="1"/>
    <col min="21" max="16384" width="8.88671875" style="2"/>
  </cols>
  <sheetData>
    <row r="1" spans="1:22" x14ac:dyDescent="0.25">
      <c r="A1" s="1" t="s">
        <v>31</v>
      </c>
    </row>
    <row r="2" spans="1:22" x14ac:dyDescent="0.25">
      <c r="A2" s="1" t="s">
        <v>0</v>
      </c>
      <c r="K2" s="32" t="s">
        <v>45</v>
      </c>
      <c r="L2" s="154">
        <v>5843403.1457071453</v>
      </c>
      <c r="P2" s="80" t="s">
        <v>217</v>
      </c>
      <c r="Q2" s="6">
        <v>559101.22714800015</v>
      </c>
    </row>
    <row r="3" spans="1:22" x14ac:dyDescent="0.25">
      <c r="K3" s="32" t="s">
        <v>221</v>
      </c>
      <c r="L3" s="154">
        <v>439217.07054800075</v>
      </c>
      <c r="P3" s="80" t="s">
        <v>216</v>
      </c>
      <c r="Q3" s="6">
        <v>439217.07054800075</v>
      </c>
    </row>
    <row r="4" spans="1:22" x14ac:dyDescent="0.25">
      <c r="K4" s="32" t="s">
        <v>222</v>
      </c>
      <c r="L4" s="154">
        <v>559101.22714800015</v>
      </c>
      <c r="P4" s="152" t="s">
        <v>218</v>
      </c>
      <c r="Q4" s="6">
        <v>4845084.848011151</v>
      </c>
    </row>
    <row r="5" spans="1:22" x14ac:dyDescent="0.25">
      <c r="B5" s="3"/>
      <c r="C5" s="3"/>
      <c r="K5" s="32" t="s">
        <v>220</v>
      </c>
      <c r="L5" s="154">
        <f>L2-L3-L4</f>
        <v>4845084.8480111444</v>
      </c>
      <c r="M5" s="8"/>
      <c r="P5" s="152" t="s">
        <v>219</v>
      </c>
      <c r="Q5" s="6">
        <f>SUM(Q2:Q4)</f>
        <v>5843403.1457071519</v>
      </c>
    </row>
    <row r="6" spans="1:22" x14ac:dyDescent="0.25">
      <c r="M6" s="8"/>
    </row>
    <row r="7" spans="1:22" s="23" customFormat="1" ht="31.95" customHeight="1" x14ac:dyDescent="0.25">
      <c r="A7" s="22" t="s">
        <v>1</v>
      </c>
      <c r="B7" s="22" t="s">
        <v>2</v>
      </c>
      <c r="C7" s="22" t="s">
        <v>12</v>
      </c>
      <c r="D7" s="24" t="s">
        <v>208</v>
      </c>
      <c r="E7" s="24" t="s">
        <v>3</v>
      </c>
      <c r="F7" s="24" t="s">
        <v>21</v>
      </c>
      <c r="G7" s="24" t="s">
        <v>40</v>
      </c>
      <c r="H7" s="24" t="s">
        <v>41</v>
      </c>
      <c r="I7" s="24" t="s">
        <v>42</v>
      </c>
      <c r="J7" s="24" t="s">
        <v>4</v>
      </c>
      <c r="K7" s="24" t="s">
        <v>23</v>
      </c>
      <c r="L7" s="24" t="s">
        <v>5</v>
      </c>
      <c r="M7" s="24" t="s">
        <v>187</v>
      </c>
      <c r="N7" s="24" t="s">
        <v>186</v>
      </c>
      <c r="O7" s="24" t="s">
        <v>44</v>
      </c>
      <c r="Q7" s="2"/>
      <c r="R7" s="2"/>
      <c r="S7" s="2"/>
      <c r="T7" s="2"/>
      <c r="U7" s="2"/>
      <c r="V7" s="2"/>
    </row>
    <row r="8" spans="1:22" x14ac:dyDescent="0.25">
      <c r="A8" s="74">
        <v>1</v>
      </c>
      <c r="B8" s="5" t="s">
        <v>6</v>
      </c>
      <c r="C8" s="5"/>
      <c r="D8" s="5"/>
      <c r="E8" s="6"/>
      <c r="F8" s="7"/>
      <c r="G8" s="7"/>
      <c r="H8" s="23"/>
      <c r="I8" s="23"/>
      <c r="J8" s="6"/>
      <c r="K8" s="7"/>
      <c r="L8" s="6"/>
      <c r="M8" s="8"/>
      <c r="N8" s="8"/>
    </row>
    <row r="9" spans="1:22" x14ac:dyDescent="0.25">
      <c r="A9" s="74">
        <f>A8+1</f>
        <v>2</v>
      </c>
      <c r="B9" s="2" t="str">
        <f>'Billing Detail'!B7</f>
        <v>Residential Service</v>
      </c>
      <c r="C9" s="28">
        <f>'Billing Detail'!C7</f>
        <v>10</v>
      </c>
      <c r="D9" s="9">
        <f>'Billing Detail'!G10</f>
        <v>66210718.25936</v>
      </c>
      <c r="E9" s="9">
        <f>'Billing Detail'!I10</f>
        <v>78825652.29519999</v>
      </c>
      <c r="F9" s="8">
        <f t="shared" ref="F9:F17" si="0">E9/E$17</f>
        <v>0.78344572953780656</v>
      </c>
      <c r="G9" s="100">
        <f>E9</f>
        <v>78825652.29519999</v>
      </c>
      <c r="H9" s="101">
        <f t="shared" ref="H9:H16" si="1">G9/G$17</f>
        <v>0.78344572953780656</v>
      </c>
      <c r="I9" s="100">
        <f>ROUND(L$5*H9,2)</f>
        <v>3795861.03</v>
      </c>
      <c r="J9" s="9">
        <f>'Billing Detail'!M10</f>
        <v>82622094.849687994</v>
      </c>
      <c r="K9" s="8">
        <f t="shared" ref="K9:K17" si="2">J9/J$17</f>
        <v>0.78344493916337232</v>
      </c>
      <c r="L9" s="9">
        <f>'Billing Detail'!N10</f>
        <v>3796442.5544880033</v>
      </c>
      <c r="M9" s="8">
        <f>IF(E9=0,0,L9/E9)</f>
        <v>4.8162526334326113E-2</v>
      </c>
      <c r="N9" s="8">
        <f>'Billing Detail'!O16</f>
        <v>4.4046896072104415E-2</v>
      </c>
      <c r="O9" s="26">
        <f>J9-I9-E9</f>
        <v>581.52448800206184</v>
      </c>
    </row>
    <row r="10" spans="1:22" x14ac:dyDescent="0.25">
      <c r="A10" s="74">
        <f t="shared" ref="A10:A34" si="3">A9+1</f>
        <v>3</v>
      </c>
      <c r="B10" s="2" t="str">
        <f>'Billing Detail'!B19</f>
        <v>Residential Off Peak ETS</v>
      </c>
      <c r="C10" s="28">
        <f>'Billing Detail'!C19</f>
        <v>11</v>
      </c>
      <c r="D10" s="9">
        <f>'Billing Detail'!G22</f>
        <v>193627.54488</v>
      </c>
      <c r="E10" s="9">
        <f>'Billing Detail'!I22</f>
        <v>202582.57008</v>
      </c>
      <c r="F10" s="8">
        <f t="shared" si="0"/>
        <v>2.0134619224411298E-3</v>
      </c>
      <c r="G10" s="100">
        <f t="shared" ref="G10:G16" si="4">E10</f>
        <v>202582.57008</v>
      </c>
      <c r="H10" s="101">
        <f t="shared" si="1"/>
        <v>2.0134619224411298E-3</v>
      </c>
      <c r="I10" s="100">
        <f t="shared" ref="I10:I16" si="5">ROUND(L$5*H10,2)</f>
        <v>9755.39</v>
      </c>
      <c r="J10" s="9">
        <f>'Billing Detail'!M22</f>
        <v>212336.91419599997</v>
      </c>
      <c r="K10" s="8">
        <f t="shared" si="2"/>
        <v>2.0134357659058024E-3</v>
      </c>
      <c r="L10" s="9">
        <f>'Billing Detail'!N22</f>
        <v>9754.3441159999638</v>
      </c>
      <c r="M10" s="8">
        <f t="shared" ref="M10:M16" si="6">IF(E10=0,0,L10/E10)</f>
        <v>4.8149967256057448E-2</v>
      </c>
      <c r="N10" s="8">
        <f>'Billing Detail'!O28</f>
        <v>4.2989529974145714E-2</v>
      </c>
      <c r="O10" s="26">
        <f t="shared" ref="O10:O20" si="7">J10-I10-E10</f>
        <v>-1.0458840000501368</v>
      </c>
    </row>
    <row r="11" spans="1:22" x14ac:dyDescent="0.25">
      <c r="A11" s="74">
        <f t="shared" si="3"/>
        <v>4</v>
      </c>
      <c r="B11" s="2" t="str">
        <f>'Billing Detail'!B31</f>
        <v>Commercial Service &lt; 50 kW</v>
      </c>
      <c r="C11" s="28">
        <f>'Billing Detail'!C31</f>
        <v>20</v>
      </c>
      <c r="D11" s="9">
        <f>'Billing Detail'!G34</f>
        <v>6912785.6647100002</v>
      </c>
      <c r="E11" s="9">
        <f>'Billing Detail'!I34</f>
        <v>7614568.6501700003</v>
      </c>
      <c r="F11" s="8">
        <f t="shared" si="0"/>
        <v>7.5680963208615476E-2</v>
      </c>
      <c r="G11" s="100">
        <f t="shared" si="4"/>
        <v>7614568.6501700003</v>
      </c>
      <c r="H11" s="101">
        <f t="shared" si="1"/>
        <v>7.5680963208615476E-2</v>
      </c>
      <c r="I11" s="100">
        <f t="shared" si="5"/>
        <v>366680.69</v>
      </c>
      <c r="J11" s="9">
        <f>'Billing Detail'!M34</f>
        <v>7981212.0093840007</v>
      </c>
      <c r="K11" s="8">
        <f t="shared" si="2"/>
        <v>7.5680000228963429E-2</v>
      </c>
      <c r="L11" s="9">
        <f>'Billing Detail'!N34</f>
        <v>366643.3592140004</v>
      </c>
      <c r="M11" s="8">
        <f t="shared" si="6"/>
        <v>4.8150246725507537E-2</v>
      </c>
      <c r="N11" s="8">
        <f>'Billing Detail'!O40</f>
        <v>4.3839222340777376E-2</v>
      </c>
      <c r="O11" s="26">
        <f t="shared" si="7"/>
        <v>-37.330786000005901</v>
      </c>
    </row>
    <row r="12" spans="1:22" x14ac:dyDescent="0.25">
      <c r="A12" s="74">
        <f t="shared" si="3"/>
        <v>5</v>
      </c>
      <c r="B12" s="2" t="str">
        <f>'Billing Detail'!B43</f>
        <v>Commercial Off Peak ETS</v>
      </c>
      <c r="C12" s="28">
        <f>'Billing Detail'!C43</f>
        <v>22</v>
      </c>
      <c r="D12" s="9">
        <f>'Billing Detail'!G46</f>
        <v>1202.4110000000001</v>
      </c>
      <c r="E12" s="9">
        <f>'Billing Detail'!I46</f>
        <v>1366.5445</v>
      </c>
      <c r="F12" s="8">
        <f t="shared" si="0"/>
        <v>1.3582043682162728E-5</v>
      </c>
      <c r="G12" s="100">
        <f t="shared" si="4"/>
        <v>1366.5445</v>
      </c>
      <c r="H12" s="101">
        <f t="shared" si="1"/>
        <v>1.3582043682162728E-5</v>
      </c>
      <c r="I12" s="100">
        <f t="shared" si="5"/>
        <v>65.81</v>
      </c>
      <c r="J12" s="9">
        <f>'Billing Detail'!M46</f>
        <v>1432.35995</v>
      </c>
      <c r="K12" s="8">
        <f t="shared" si="2"/>
        <v>1.3582022531979395E-5</v>
      </c>
      <c r="L12" s="9">
        <f>'Billing Detail'!N46</f>
        <v>65.815450000000055</v>
      </c>
      <c r="M12" s="8">
        <f t="shared" si="6"/>
        <v>4.8161951550059333E-2</v>
      </c>
      <c r="N12" s="8">
        <f>'Billing Detail'!O52</f>
        <v>4.353128473458933E-2</v>
      </c>
      <c r="O12" s="26">
        <f t="shared" si="7"/>
        <v>5.450000000109867E-3</v>
      </c>
    </row>
    <row r="13" spans="1:22" x14ac:dyDescent="0.25">
      <c r="A13" s="74">
        <f t="shared" si="3"/>
        <v>6</v>
      </c>
      <c r="B13" s="2" t="str">
        <f>'Billing Detail'!B55</f>
        <v>Large Power Loads 50 kW +</v>
      </c>
      <c r="C13" s="28">
        <f>'Billing Detail'!C55</f>
        <v>40</v>
      </c>
      <c r="D13" s="9">
        <f>'Billing Detail'!G59</f>
        <v>6453179.3096000003</v>
      </c>
      <c r="E13" s="9">
        <f>'Billing Detail'!I59</f>
        <v>7338516.9308000002</v>
      </c>
      <c r="F13" s="8">
        <f t="shared" si="0"/>
        <v>7.2937293674970968E-2</v>
      </c>
      <c r="G13" s="100">
        <f t="shared" si="4"/>
        <v>7338516.9308000002</v>
      </c>
      <c r="H13" s="101">
        <f t="shared" si="1"/>
        <v>7.2937293674970968E-2</v>
      </c>
      <c r="I13" s="100">
        <f t="shared" si="5"/>
        <v>353387.38</v>
      </c>
      <c r="J13" s="9">
        <f>'Billing Detail'!M59</f>
        <v>7692503.4965999993</v>
      </c>
      <c r="K13" s="8">
        <f t="shared" si="2"/>
        <v>7.2942388411622011E-2</v>
      </c>
      <c r="L13" s="9">
        <f>'Billing Detail'!N59</f>
        <v>353986.56579999905</v>
      </c>
      <c r="M13" s="8">
        <f t="shared" si="6"/>
        <v>4.8236798952429424E-2</v>
      </c>
      <c r="N13" s="8">
        <f>'Billing Detail'!O65</f>
        <v>4.4118049447126363E-2</v>
      </c>
      <c r="O13" s="26">
        <f t="shared" si="7"/>
        <v>599.18579999916255</v>
      </c>
    </row>
    <row r="14" spans="1:22" x14ac:dyDescent="0.25">
      <c r="A14" s="74">
        <f t="shared" si="3"/>
        <v>7</v>
      </c>
      <c r="B14" s="2" t="str">
        <f>'Billing Detail'!B95</f>
        <v>Schools Churches Halls Parks</v>
      </c>
      <c r="C14" s="28">
        <f>'Billing Detail'!C95</f>
        <v>50</v>
      </c>
      <c r="D14" s="9">
        <f>'Billing Detail'!G98</f>
        <v>2398137.5092799999</v>
      </c>
      <c r="E14" s="9">
        <f>'Billing Detail'!I98</f>
        <v>2666244.8247599998</v>
      </c>
      <c r="F14" s="8">
        <f t="shared" si="0"/>
        <v>2.6499725166089085E-2</v>
      </c>
      <c r="G14" s="100">
        <f t="shared" si="4"/>
        <v>2666244.8247599998</v>
      </c>
      <c r="H14" s="101">
        <f t="shared" si="1"/>
        <v>2.6499725166089085E-2</v>
      </c>
      <c r="I14" s="100">
        <f t="shared" si="5"/>
        <v>128393.42</v>
      </c>
      <c r="J14" s="9">
        <f>'Billing Detail'!M98</f>
        <v>2794679.2982819998</v>
      </c>
      <c r="K14" s="8">
        <f t="shared" si="2"/>
        <v>2.6499901228683814E-2</v>
      </c>
      <c r="L14" s="9">
        <f>'Billing Detail'!N98</f>
        <v>128434.47352200001</v>
      </c>
      <c r="M14" s="8">
        <f t="shared" ref="M14" si="8">IF(E14=0,0,L14/E14)</f>
        <v>4.8170547704133267E-2</v>
      </c>
      <c r="N14" s="8">
        <f>'Billing Detail'!O104</f>
        <v>4.4099891415225877E-2</v>
      </c>
      <c r="O14" s="26">
        <f t="shared" si="7"/>
        <v>41.053522000089288</v>
      </c>
    </row>
    <row r="15" spans="1:22" x14ac:dyDescent="0.25">
      <c r="A15" s="74">
        <f t="shared" si="3"/>
        <v>8</v>
      </c>
      <c r="B15" s="2" t="str">
        <f>'Billing Detail'!B107</f>
        <v>All Electric Schools AES</v>
      </c>
      <c r="C15" s="28">
        <f>'Billing Detail'!C107</f>
        <v>52</v>
      </c>
      <c r="D15" s="9">
        <f>'Billing Detail'!G110</f>
        <v>782132.60889000003</v>
      </c>
      <c r="E15" s="9">
        <f>'Billing Detail'!I110</f>
        <v>899611.83710999996</v>
      </c>
      <c r="F15" s="8">
        <f t="shared" si="0"/>
        <v>8.9412143319289508E-3</v>
      </c>
      <c r="G15" s="100">
        <f t="shared" si="4"/>
        <v>899611.83710999996</v>
      </c>
      <c r="H15" s="101">
        <f t="shared" si="1"/>
        <v>8.9412143319289508E-3</v>
      </c>
      <c r="I15" s="100">
        <f t="shared" si="5"/>
        <v>43320.94</v>
      </c>
      <c r="J15" s="9">
        <f>'Billing Detail'!M110</f>
        <v>942928.06601099996</v>
      </c>
      <c r="K15" s="8">
        <f t="shared" si="2"/>
        <v>8.9410976888855045E-3</v>
      </c>
      <c r="L15" s="9">
        <f>'Billing Detail'!N110</f>
        <v>43316.228900999995</v>
      </c>
      <c r="M15" s="8">
        <f t="shared" si="6"/>
        <v>4.8149909899088517E-2</v>
      </c>
      <c r="N15" s="8">
        <f>'Billing Detail'!O116</f>
        <v>4.4160191594046355E-2</v>
      </c>
      <c r="O15" s="26">
        <f t="shared" si="7"/>
        <v>-4.7110989999491721</v>
      </c>
    </row>
    <row r="16" spans="1:22" x14ac:dyDescent="0.25">
      <c r="A16" s="74">
        <f t="shared" si="3"/>
        <v>9</v>
      </c>
      <c r="B16" s="2" t="str">
        <f>'Billing Detail'!B119</f>
        <v>Lighting</v>
      </c>
      <c r="C16" s="28" t="str">
        <f>'Billing Detail'!C119</f>
        <v>L</v>
      </c>
      <c r="D16" s="9">
        <f>'Billing Detail'!G152</f>
        <v>2823029.2800000007</v>
      </c>
      <c r="E16" s="9">
        <f>'Billing Detail'!I152</f>
        <v>3065512.0800000005</v>
      </c>
      <c r="F16" s="8">
        <f t="shared" si="0"/>
        <v>3.0468030114465746E-2</v>
      </c>
      <c r="G16" s="100">
        <f t="shared" si="4"/>
        <v>3065512.0800000005</v>
      </c>
      <c r="H16" s="101">
        <f t="shared" si="1"/>
        <v>3.0468030114465746E-2</v>
      </c>
      <c r="I16" s="100">
        <f t="shared" si="5"/>
        <v>147620.19</v>
      </c>
      <c r="J16" s="9">
        <f>'Billing Detail'!M152</f>
        <v>3212802.24</v>
      </c>
      <c r="K16" s="8">
        <f t="shared" si="2"/>
        <v>3.0464655490035082E-2</v>
      </c>
      <c r="L16" s="9">
        <f t="shared" ref="L16:L17" si="9">J16-E16</f>
        <v>147290.15999999968</v>
      </c>
      <c r="M16" s="8">
        <f t="shared" si="6"/>
        <v>4.8047489670958878E-2</v>
      </c>
      <c r="N16" s="8">
        <f>'Billing Detail'!O158</f>
        <v>4.8047489670958878E-2</v>
      </c>
      <c r="O16" s="26">
        <f t="shared" si="7"/>
        <v>-330.03000000026077</v>
      </c>
    </row>
    <row r="17" spans="1:22" s="12" customFormat="1" ht="16.2" customHeight="1" x14ac:dyDescent="0.25">
      <c r="A17" s="74">
        <f t="shared" si="3"/>
        <v>10</v>
      </c>
      <c r="B17" s="29" t="s">
        <v>223</v>
      </c>
      <c r="C17" s="29"/>
      <c r="D17" s="25">
        <f>SUM(D9:D16)</f>
        <v>85774812.587719992</v>
      </c>
      <c r="E17" s="25">
        <f>SUM(E9:E16)</f>
        <v>100614055.73261999</v>
      </c>
      <c r="F17" s="30">
        <f t="shared" si="0"/>
        <v>1</v>
      </c>
      <c r="G17" s="25">
        <f>SUM(G9:G16)</f>
        <v>100614055.73261999</v>
      </c>
      <c r="H17" s="30">
        <v>1</v>
      </c>
      <c r="I17" s="25">
        <f>SUM(I9:I16)</f>
        <v>4845084.8500000006</v>
      </c>
      <c r="J17" s="25">
        <f>SUM(J9:J16)</f>
        <v>105459989.234111</v>
      </c>
      <c r="K17" s="30">
        <f t="shared" si="2"/>
        <v>1</v>
      </c>
      <c r="L17" s="25">
        <f t="shared" si="9"/>
        <v>4845933.5014910102</v>
      </c>
      <c r="M17" s="30">
        <f t="shared" ref="M17" si="10">L17/E17</f>
        <v>4.8163583767749013E-2</v>
      </c>
      <c r="N17" s="30"/>
      <c r="O17" s="34">
        <f t="shared" si="7"/>
        <v>848.65149101614952</v>
      </c>
      <c r="Q17" s="2"/>
      <c r="R17" s="2"/>
      <c r="S17" s="2"/>
      <c r="T17" s="2"/>
      <c r="U17" s="2"/>
      <c r="V17" s="2"/>
    </row>
    <row r="18" spans="1:22" s="12" customFormat="1" ht="16.2" customHeight="1" x14ac:dyDescent="0.25">
      <c r="A18" s="74">
        <f t="shared" si="3"/>
        <v>11</v>
      </c>
      <c r="D18" s="21"/>
      <c r="E18" s="21"/>
      <c r="F18" s="153"/>
      <c r="G18" s="21"/>
      <c r="H18" s="153"/>
      <c r="I18" s="21"/>
      <c r="J18" s="21"/>
      <c r="K18" s="153"/>
      <c r="L18" s="21"/>
      <c r="M18" s="153"/>
      <c r="N18" s="153"/>
      <c r="O18" s="26"/>
      <c r="Q18" s="2"/>
      <c r="R18" s="2"/>
      <c r="S18" s="2"/>
      <c r="T18" s="2"/>
      <c r="U18" s="2"/>
      <c r="V18" s="2"/>
    </row>
    <row r="19" spans="1:22" s="12" customFormat="1" ht="16.2" customHeight="1" x14ac:dyDescent="0.25">
      <c r="A19" s="74">
        <f t="shared" si="3"/>
        <v>12</v>
      </c>
      <c r="B19" s="2" t="str">
        <f>'Billing Detail'!B68</f>
        <v>Large Power Rate 500 kW +</v>
      </c>
      <c r="C19" s="28">
        <f>'Billing Detail'!C68</f>
        <v>46</v>
      </c>
      <c r="D19" s="9">
        <f>'Billing Detail'!G72</f>
        <v>6164156.0259200009</v>
      </c>
      <c r="E19" s="9">
        <f>'Billing Detail'!I72</f>
        <v>7319922.1978400005</v>
      </c>
      <c r="F19" s="153">
        <v>1</v>
      </c>
      <c r="G19" s="21">
        <f>E19</f>
        <v>7319922.1978400005</v>
      </c>
      <c r="H19" s="153">
        <v>1</v>
      </c>
      <c r="I19" s="100">
        <f>ROUND(L$4*H19,2)</f>
        <v>559101.23</v>
      </c>
      <c r="J19" s="9">
        <f>'Billing Detail'!M72</f>
        <v>7879204.8721040003</v>
      </c>
      <c r="K19" s="153">
        <v>1</v>
      </c>
      <c r="L19" s="9">
        <f>'Billing Detail'!N72</f>
        <v>559282.6742639998</v>
      </c>
      <c r="M19" s="8">
        <f t="shared" ref="M19:M20" si="11">IF(E19=0,0,L19/E19)</f>
        <v>7.6405549013763521E-2</v>
      </c>
      <c r="N19" s="8">
        <f>'Billing Detail'!O78</f>
        <v>6.8628314257615688E-2</v>
      </c>
      <c r="O19" s="26">
        <f t="shared" si="7"/>
        <v>181.44426399935037</v>
      </c>
      <c r="Q19" s="2"/>
      <c r="R19" s="2"/>
      <c r="S19" s="2"/>
      <c r="T19" s="2"/>
      <c r="U19" s="2"/>
      <c r="V19" s="2"/>
    </row>
    <row r="20" spans="1:22" s="12" customFormat="1" ht="16.2" customHeight="1" x14ac:dyDescent="0.25">
      <c r="A20" s="74">
        <f t="shared" si="3"/>
        <v>13</v>
      </c>
      <c r="B20" s="2" t="str">
        <f>'Billing Detail'!B81</f>
        <v>Large Power Rate 500 kW +</v>
      </c>
      <c r="C20" s="28">
        <f>'Billing Detail'!C81</f>
        <v>47</v>
      </c>
      <c r="D20" s="9">
        <f>'Billing Detail'!G86</f>
        <v>4040436.3532000002</v>
      </c>
      <c r="E20" s="9">
        <f>'Billing Detail'!I86</f>
        <v>4788691.14616</v>
      </c>
      <c r="F20" s="153">
        <v>1</v>
      </c>
      <c r="G20" s="21">
        <f>E20</f>
        <v>4788691.14616</v>
      </c>
      <c r="H20" s="153">
        <v>1</v>
      </c>
      <c r="I20" s="100">
        <f>ROUND(L$3*H20,2)</f>
        <v>439217.07</v>
      </c>
      <c r="J20" s="9">
        <f>'Billing Detail'!M86</f>
        <v>5228163.9348800005</v>
      </c>
      <c r="K20" s="153">
        <v>1</v>
      </c>
      <c r="L20" s="9">
        <f>'Billing Detail'!N86</f>
        <v>439472.78872000054</v>
      </c>
      <c r="M20" s="8">
        <f t="shared" si="11"/>
        <v>9.1773049316911798E-2</v>
      </c>
      <c r="N20" s="8">
        <f>'Billing Detail'!O92</f>
        <v>8.1289819221773557E-2</v>
      </c>
      <c r="O20" s="26">
        <f t="shared" si="7"/>
        <v>255.71872000023723</v>
      </c>
      <c r="Q20" s="2"/>
      <c r="R20" s="2"/>
      <c r="S20" s="2"/>
      <c r="T20" s="2"/>
      <c r="U20" s="2"/>
      <c r="V20" s="2"/>
    </row>
    <row r="21" spans="1:22" s="12" customFormat="1" ht="16.2" customHeight="1" x14ac:dyDescent="0.25">
      <c r="A21" s="74">
        <f t="shared" si="3"/>
        <v>14</v>
      </c>
      <c r="B21" s="2"/>
      <c r="C21" s="28"/>
      <c r="D21" s="9"/>
      <c r="E21" s="9"/>
      <c r="F21" s="153"/>
      <c r="G21" s="21"/>
      <c r="H21" s="153"/>
      <c r="I21" s="21"/>
      <c r="J21" s="9"/>
      <c r="K21" s="153"/>
      <c r="L21" s="9"/>
      <c r="M21" s="153"/>
      <c r="N21" s="8"/>
      <c r="O21" s="26"/>
      <c r="Q21" s="2"/>
      <c r="R21" s="2"/>
      <c r="S21" s="2"/>
      <c r="T21" s="2"/>
      <c r="U21" s="2"/>
      <c r="V21" s="2"/>
    </row>
    <row r="22" spans="1:22" s="12" customFormat="1" ht="16.2" customHeight="1" x14ac:dyDescent="0.25">
      <c r="A22" s="74">
        <f t="shared" si="3"/>
        <v>15</v>
      </c>
      <c r="B22" s="29" t="s">
        <v>7</v>
      </c>
      <c r="C22" s="29"/>
      <c r="D22" s="25">
        <f>D17+D19+D20</f>
        <v>95979404.966839999</v>
      </c>
      <c r="E22" s="25">
        <f>E17+E19+E20</f>
        <v>112722669.07662</v>
      </c>
      <c r="F22" s="30">
        <f>E22/E$22</f>
        <v>1</v>
      </c>
      <c r="G22" s="25">
        <f>G17+G19+G20</f>
        <v>112722669.07662</v>
      </c>
      <c r="H22" s="30">
        <v>1</v>
      </c>
      <c r="I22" s="25">
        <f>I17+I19+I20</f>
        <v>5843403.1500000004</v>
      </c>
      <c r="J22" s="25">
        <f>J17+J19+J20</f>
        <v>118567358.041095</v>
      </c>
      <c r="K22" s="30">
        <f>J22/J$22</f>
        <v>1</v>
      </c>
      <c r="L22" s="25">
        <f>L17+L19+L20</f>
        <v>5844688.9644750105</v>
      </c>
      <c r="M22" s="30">
        <f t="shared" ref="M22" si="12">L22/E22</f>
        <v>5.1850164765902151E-2</v>
      </c>
      <c r="N22" s="30"/>
      <c r="O22" s="25">
        <f>O17+O19+O20</f>
        <v>1285.8144750157371</v>
      </c>
      <c r="Q22" s="2"/>
      <c r="R22" s="2"/>
      <c r="S22" s="2"/>
      <c r="T22" s="2"/>
      <c r="U22" s="2"/>
      <c r="V22" s="2"/>
    </row>
    <row r="23" spans="1:22" x14ac:dyDescent="0.25">
      <c r="A23" s="74">
        <f t="shared" si="3"/>
        <v>16</v>
      </c>
    </row>
    <row r="24" spans="1:22" x14ac:dyDescent="0.25">
      <c r="A24" s="74">
        <f t="shared" si="3"/>
        <v>17</v>
      </c>
      <c r="B24" s="5" t="s">
        <v>8</v>
      </c>
      <c r="C24" s="5"/>
      <c r="D24" s="5"/>
    </row>
    <row r="25" spans="1:22" x14ac:dyDescent="0.25">
      <c r="A25" s="74">
        <f t="shared" si="3"/>
        <v>18</v>
      </c>
      <c r="B25" s="2" t="str">
        <f>'Billing Detail'!D11</f>
        <v xml:space="preserve">    FAC</v>
      </c>
      <c r="D25" s="9">
        <f>'Billing Detail'!G163</f>
        <v>10486696</v>
      </c>
      <c r="E25" s="9">
        <f>'Billing Detail'!I163</f>
        <v>-248691.81680000067</v>
      </c>
      <c r="F25" s="17"/>
      <c r="G25" s="17"/>
      <c r="H25" s="17"/>
      <c r="I25" s="17"/>
      <c r="J25" s="9">
        <f>'Billing Detail'!M163</f>
        <v>-248691.81680000067</v>
      </c>
      <c r="K25" s="18"/>
      <c r="L25" s="18"/>
      <c r="M25" s="17"/>
      <c r="N25" s="17"/>
    </row>
    <row r="26" spans="1:22" x14ac:dyDescent="0.25">
      <c r="A26" s="74">
        <f t="shared" si="3"/>
        <v>19</v>
      </c>
      <c r="B26" s="2" t="str">
        <f>'Billing Detail'!D12</f>
        <v xml:space="preserve">    ES</v>
      </c>
      <c r="D26" s="9">
        <f>'Billing Detail'!G164</f>
        <v>10846788</v>
      </c>
      <c r="E26" s="9">
        <f>'Billing Detail'!I164</f>
        <v>10846788</v>
      </c>
      <c r="F26" s="17"/>
      <c r="G26" s="17"/>
      <c r="H26" s="17"/>
      <c r="I26" s="17"/>
      <c r="J26" s="9">
        <f>'Billing Detail'!M164</f>
        <v>10846788</v>
      </c>
      <c r="K26" s="18"/>
      <c r="L26" s="18"/>
      <c r="M26" s="17"/>
      <c r="N26" s="17"/>
    </row>
    <row r="27" spans="1:22" x14ac:dyDescent="0.25">
      <c r="A27" s="74">
        <f t="shared" si="3"/>
        <v>20</v>
      </c>
      <c r="B27" s="2" t="str">
        <f>'Billing Detail'!D13</f>
        <v xml:space="preserve">    Misc Adj</v>
      </c>
      <c r="D27" s="9">
        <f>'Billing Detail'!G165</f>
        <v>0</v>
      </c>
      <c r="E27" s="9">
        <f>'Billing Detail'!I165</f>
        <v>0</v>
      </c>
      <c r="F27" s="17"/>
      <c r="G27" s="17"/>
      <c r="H27" s="17"/>
      <c r="I27" s="17"/>
      <c r="J27" s="9">
        <f>'Billing Detail'!M165</f>
        <v>0</v>
      </c>
      <c r="K27" s="18"/>
      <c r="L27" s="18"/>
      <c r="M27" s="17"/>
      <c r="N27" s="17"/>
    </row>
    <row r="28" spans="1:22" x14ac:dyDescent="0.25">
      <c r="A28" s="74">
        <f t="shared" si="3"/>
        <v>21</v>
      </c>
      <c r="B28" s="2" t="str">
        <f>'Billing Detail'!D14</f>
        <v xml:space="preserve">    Misc Adj</v>
      </c>
      <c r="D28" s="9">
        <f>'Billing Detail'!G166</f>
        <v>0</v>
      </c>
      <c r="E28" s="9">
        <f>'Billing Detail'!I166</f>
        <v>0</v>
      </c>
      <c r="F28" s="17"/>
      <c r="G28" s="17"/>
      <c r="H28" s="17"/>
      <c r="I28" s="17"/>
      <c r="J28" s="9">
        <f>'Billing Detail'!M166</f>
        <v>0</v>
      </c>
      <c r="K28" s="18"/>
      <c r="L28" s="18"/>
      <c r="M28" s="17"/>
      <c r="N28" s="75"/>
    </row>
    <row r="29" spans="1:22" x14ac:dyDescent="0.25">
      <c r="A29" s="74">
        <f>A27+1</f>
        <v>21</v>
      </c>
      <c r="B29" s="10" t="s">
        <v>9</v>
      </c>
      <c r="C29" s="10"/>
      <c r="D29" s="11">
        <f>SUM(D25:D28)</f>
        <v>21333484</v>
      </c>
      <c r="E29" s="11">
        <f>SUM(E25:E28)</f>
        <v>10598096.1832</v>
      </c>
      <c r="F29" s="19"/>
      <c r="G29" s="19"/>
      <c r="H29" s="19"/>
      <c r="I29" s="19"/>
      <c r="J29" s="11">
        <f>SUM(J25:J28)</f>
        <v>10598096.1832</v>
      </c>
      <c r="K29" s="20"/>
      <c r="L29" s="20"/>
      <c r="M29" s="19"/>
      <c r="N29" s="17"/>
    </row>
    <row r="30" spans="1:22" x14ac:dyDescent="0.25">
      <c r="A30" s="74">
        <f t="shared" si="3"/>
        <v>22</v>
      </c>
    </row>
    <row r="31" spans="1:22" s="12" customFormat="1" ht="18" customHeight="1" thickBot="1" x14ac:dyDescent="0.3">
      <c r="A31" s="74">
        <f t="shared" si="3"/>
        <v>23</v>
      </c>
      <c r="B31" s="13" t="s">
        <v>10</v>
      </c>
      <c r="C31" s="13"/>
      <c r="D31" s="27">
        <f>D22+D29</f>
        <v>117312888.96684</v>
      </c>
      <c r="E31" s="27">
        <f>E22+E29</f>
        <v>123320765.25982</v>
      </c>
      <c r="F31" s="14"/>
      <c r="G31" s="14"/>
      <c r="H31" s="14"/>
      <c r="I31" s="27">
        <f>I22+I29</f>
        <v>5843403.1500000004</v>
      </c>
      <c r="J31" s="27">
        <f>J22+J29</f>
        <v>129165454.22429501</v>
      </c>
      <c r="K31" s="15"/>
      <c r="L31" s="27">
        <f>L22+L29</f>
        <v>5844688.9644750105</v>
      </c>
      <c r="M31" s="13"/>
      <c r="N31" s="16">
        <f>L31/E31</f>
        <v>4.7394199607511754E-2</v>
      </c>
      <c r="R31" s="2"/>
    </row>
    <row r="32" spans="1:22" s="12" customFormat="1" ht="18" customHeight="1" thickTop="1" x14ac:dyDescent="0.25">
      <c r="A32" s="74">
        <f t="shared" si="3"/>
        <v>24</v>
      </c>
      <c r="B32" s="12" t="s">
        <v>11</v>
      </c>
      <c r="D32" s="21">
        <v>115951618</v>
      </c>
      <c r="L32" s="21">
        <f>L2</f>
        <v>5843403.1457071453</v>
      </c>
      <c r="R32" s="2"/>
    </row>
    <row r="33" spans="1:12" ht="15" customHeight="1" x14ac:dyDescent="0.25">
      <c r="A33" s="74">
        <f t="shared" si="3"/>
        <v>25</v>
      </c>
      <c r="B33" s="10" t="s">
        <v>184</v>
      </c>
      <c r="C33" s="10"/>
      <c r="D33" s="25">
        <f>D31-D32</f>
        <v>1361270.966839999</v>
      </c>
      <c r="E33" s="10"/>
      <c r="F33" s="10"/>
      <c r="G33" s="10"/>
      <c r="H33" s="10"/>
      <c r="I33" s="10"/>
      <c r="J33" s="10"/>
      <c r="K33" s="10"/>
      <c r="L33" s="25">
        <f>L31-L32</f>
        <v>1285.8187678651884</v>
      </c>
    </row>
    <row r="34" spans="1:12" ht="15" customHeight="1" x14ac:dyDescent="0.25">
      <c r="A34" s="74">
        <f t="shared" si="3"/>
        <v>26</v>
      </c>
      <c r="B34" s="2" t="s">
        <v>184</v>
      </c>
      <c r="D34" s="8">
        <f>D33/D32</f>
        <v>1.1739991130093578E-2</v>
      </c>
      <c r="L34" s="8">
        <f>L33/L32</f>
        <v>2.2004621892463724E-4</v>
      </c>
    </row>
    <row r="35" spans="1:12" x14ac:dyDescent="0.25">
      <c r="A35" s="4"/>
    </row>
  </sheetData>
  <printOptions horizontalCentered="1"/>
  <pageMargins left="0.7" right="0.7" top="0.75" bottom="0.75" header="0.3" footer="0.3"/>
  <pageSetup scale="75" orientation="landscape" r:id="rId1"/>
  <headerFooter>
    <oddHeader>&amp;R&amp;"Arial,Bold"&amp;10Exhibit 4
 Page &amp;P of &amp;N</oddHeader>
  </headerFooter>
  <ignoredErrors>
    <ignoredError sqref="J17 F17 J9:J13 G9:G13 J14:J15 G14:G16 F22:K22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C936A2-12A9-4965-8FFC-07FECC5A7A7C}">
  <dimension ref="A1:T176"/>
  <sheetViews>
    <sheetView view="pageBreakPreview" zoomScaleNormal="75" zoomScaleSheetLayoutView="100" workbookViewId="0">
      <pane xSplit="4" ySplit="5" topLeftCell="E133" activePane="bottomRight" state="frozen"/>
      <selection activeCell="D1" sqref="D1:D1048576"/>
      <selection pane="topRight" activeCell="D1" sqref="D1:D1048576"/>
      <selection pane="bottomLeft" activeCell="D1" sqref="D1:D1048576"/>
      <selection pane="bottomRight" activeCell="H4" sqref="H4"/>
    </sheetView>
  </sheetViews>
  <sheetFormatPr defaultColWidth="8.88671875" defaultRowHeight="13.2" x14ac:dyDescent="0.25"/>
  <cols>
    <col min="1" max="1" width="7.44140625" style="107" customWidth="1"/>
    <col min="2" max="2" width="27.109375" style="36" bestFit="1" customWidth="1"/>
    <col min="3" max="3" width="6.6640625" style="99" customWidth="1"/>
    <col min="4" max="4" width="22.6640625" style="36" customWidth="1"/>
    <col min="5" max="5" width="15.44140625" style="36" bestFit="1" customWidth="1"/>
    <col min="6" max="6" width="11.6640625" style="36" customWidth="1"/>
    <col min="7" max="7" width="14.109375" style="36" customWidth="1"/>
    <col min="8" max="8" width="13.44140625" style="36" customWidth="1"/>
    <col min="9" max="9" width="16.44140625" style="36" bestFit="1" customWidth="1"/>
    <col min="10" max="10" width="9.5546875" style="36" customWidth="1"/>
    <col min="11" max="11" width="13.6640625" style="36" customWidth="1"/>
    <col min="12" max="12" width="11.44140625" style="36" bestFit="1" customWidth="1"/>
    <col min="13" max="13" width="14.6640625" style="36" customWidth="1"/>
    <col min="14" max="14" width="12.33203125" style="36" bestFit="1" customWidth="1"/>
    <col min="15" max="15" width="6.6640625" style="36" bestFit="1" customWidth="1"/>
    <col min="16" max="16" width="11.44140625" style="36" bestFit="1" customWidth="1"/>
    <col min="17" max="17" width="10.88671875" style="36" bestFit="1" customWidth="1"/>
    <col min="18" max="18" width="11.44140625" style="36" bestFit="1" customWidth="1"/>
    <col min="19" max="19" width="8.88671875" style="2"/>
    <col min="20" max="20" width="14.109375" style="2" customWidth="1"/>
    <col min="21" max="16384" width="8.88671875" style="2"/>
  </cols>
  <sheetData>
    <row r="1" spans="1:20" x14ac:dyDescent="0.25">
      <c r="A1" s="105" t="str">
        <f>Summary!A1</f>
        <v>JACKSON ENERGY COOPERATIVE</v>
      </c>
      <c r="F1" s="102"/>
    </row>
    <row r="2" spans="1:20" x14ac:dyDescent="0.25">
      <c r="A2" s="105" t="str">
        <f>Summary!A2</f>
        <v>Billing Analysis for Pass-Through Rate Increase</v>
      </c>
      <c r="F2" s="102"/>
      <c r="P2" s="106"/>
    </row>
    <row r="4" spans="1:20" x14ac:dyDescent="0.25">
      <c r="S4" s="33"/>
      <c r="T4" s="33"/>
    </row>
    <row r="5" spans="1:20" ht="38.4" customHeight="1" x14ac:dyDescent="0.25">
      <c r="A5" s="108" t="s">
        <v>1</v>
      </c>
      <c r="B5" s="109" t="s">
        <v>13</v>
      </c>
      <c r="C5" s="110" t="s">
        <v>12</v>
      </c>
      <c r="D5" s="109" t="s">
        <v>14</v>
      </c>
      <c r="E5" s="111" t="s">
        <v>15</v>
      </c>
      <c r="F5" s="111" t="s">
        <v>205</v>
      </c>
      <c r="G5" s="111" t="s">
        <v>206</v>
      </c>
      <c r="H5" s="111" t="s">
        <v>24</v>
      </c>
      <c r="I5" s="111" t="s">
        <v>25</v>
      </c>
      <c r="J5" s="111" t="s">
        <v>21</v>
      </c>
      <c r="K5" s="111" t="s">
        <v>11</v>
      </c>
      <c r="L5" s="111" t="s">
        <v>22</v>
      </c>
      <c r="M5" s="111" t="s">
        <v>4</v>
      </c>
      <c r="N5" s="111" t="s">
        <v>16</v>
      </c>
      <c r="O5" s="110" t="s">
        <v>17</v>
      </c>
      <c r="P5" s="111" t="s">
        <v>23</v>
      </c>
      <c r="Q5" s="111" t="s">
        <v>26</v>
      </c>
      <c r="R5" s="111" t="s">
        <v>185</v>
      </c>
      <c r="T5" s="24" t="s">
        <v>43</v>
      </c>
    </row>
    <row r="6" spans="1:20" ht="30.6" customHeight="1" thickBot="1" x14ac:dyDescent="0.3">
      <c r="A6" s="112"/>
      <c r="B6" s="113"/>
      <c r="C6" s="114"/>
      <c r="D6" s="113"/>
      <c r="E6" s="115"/>
      <c r="F6" s="115"/>
      <c r="G6" s="115"/>
      <c r="H6" s="115"/>
      <c r="I6" s="115"/>
      <c r="J6" s="115"/>
      <c r="K6" s="115"/>
      <c r="L6" s="115"/>
      <c r="M6" s="115"/>
      <c r="N6" s="115"/>
      <c r="O6" s="114"/>
      <c r="P6" s="115"/>
      <c r="Q6" s="115"/>
      <c r="R6" s="115"/>
    </row>
    <row r="7" spans="1:20" x14ac:dyDescent="0.25">
      <c r="A7" s="116">
        <v>1</v>
      </c>
      <c r="B7" s="117" t="s">
        <v>33</v>
      </c>
      <c r="C7" s="118">
        <v>10</v>
      </c>
      <c r="D7" s="117"/>
      <c r="E7" s="117"/>
      <c r="F7" s="117"/>
      <c r="G7" s="117"/>
      <c r="H7" s="117"/>
      <c r="I7" s="117"/>
      <c r="J7" s="117"/>
      <c r="K7" s="117"/>
      <c r="L7" s="117"/>
      <c r="M7" s="117"/>
      <c r="N7" s="117"/>
      <c r="O7" s="117"/>
      <c r="P7" s="117"/>
      <c r="Q7" s="117"/>
      <c r="R7" s="117"/>
    </row>
    <row r="8" spans="1:20" x14ac:dyDescent="0.25">
      <c r="A8" s="116">
        <f>A7+1</f>
        <v>2</v>
      </c>
      <c r="C8" s="36"/>
      <c r="D8" s="36" t="s">
        <v>18</v>
      </c>
      <c r="E8" s="119">
        <v>577526</v>
      </c>
      <c r="F8" s="102">
        <v>24.76</v>
      </c>
      <c r="G8" s="100">
        <f>F8*E8</f>
        <v>14299543.760000002</v>
      </c>
      <c r="H8" s="102">
        <v>30.5</v>
      </c>
      <c r="I8" s="100">
        <f>H8*E8</f>
        <v>17614543</v>
      </c>
      <c r="J8" s="101">
        <f>I8/I10</f>
        <v>0.22346206453241899</v>
      </c>
      <c r="K8" s="101"/>
      <c r="L8" s="102">
        <f>ROUND(H8*S10,2)</f>
        <v>31.97</v>
      </c>
      <c r="M8" s="100">
        <f>L8*E8</f>
        <v>18463506.219999999</v>
      </c>
      <c r="N8" s="100">
        <f t="shared" ref="N8:N13" si="0">M8-I8</f>
        <v>848963.21999999881</v>
      </c>
      <c r="O8" s="101">
        <f>IF(I8=0,0,N8/I8)</f>
        <v>4.8196721311475343E-2</v>
      </c>
      <c r="P8" s="101">
        <f>M8/M10</f>
        <v>0.22346935469973409</v>
      </c>
      <c r="Q8" s="120">
        <f>P8-J8</f>
        <v>7.2901673150993496E-6</v>
      </c>
      <c r="R8" s="120"/>
      <c r="T8" s="8">
        <f>L8/H8-1</f>
        <v>4.8196721311475343E-2</v>
      </c>
    </row>
    <row r="9" spans="1:20" x14ac:dyDescent="0.25">
      <c r="A9" s="116">
        <f t="shared" ref="A9:A72" si="1">A8+1</f>
        <v>3</v>
      </c>
      <c r="B9" s="102"/>
      <c r="D9" s="36" t="s">
        <v>191</v>
      </c>
      <c r="E9" s="119">
        <v>576919032</v>
      </c>
      <c r="F9" s="121">
        <v>8.9980000000000004E-2</v>
      </c>
      <c r="G9" s="100">
        <f t="shared" ref="G9" si="2">F9*E9</f>
        <v>51911174.499360003</v>
      </c>
      <c r="H9" s="122">
        <v>0.1061</v>
      </c>
      <c r="I9" s="100">
        <f t="shared" ref="I9" si="3">H9*E9</f>
        <v>61211109.295199998</v>
      </c>
      <c r="J9" s="101">
        <f>I9/I10</f>
        <v>0.7765379354675811</v>
      </c>
      <c r="K9" s="101"/>
      <c r="L9" s="122">
        <f>ROUND(H9*S10,6)</f>
        <v>0.111209</v>
      </c>
      <c r="M9" s="100">
        <f t="shared" ref="M9" si="4">L9*E9</f>
        <v>64158588.629688002</v>
      </c>
      <c r="N9" s="100">
        <f t="shared" si="0"/>
        <v>2947479.3344880044</v>
      </c>
      <c r="O9" s="101">
        <f t="shared" ref="O9" si="5">IF(I9=0,0,N9/I9)</f>
        <v>4.8152686145146166E-2</v>
      </c>
      <c r="P9" s="101">
        <f>M9/M10</f>
        <v>0.77653064530026605</v>
      </c>
      <c r="Q9" s="120">
        <f t="shared" ref="Q9:Q10" si="6">P9-J9</f>
        <v>-7.2901673150438384E-6</v>
      </c>
      <c r="R9" s="120"/>
      <c r="T9" s="8">
        <f>L9/H9-1</f>
        <v>4.8152686145146006E-2</v>
      </c>
    </row>
    <row r="10" spans="1:20" s="12" customFormat="1" ht="20.399999999999999" customHeight="1" x14ac:dyDescent="0.3">
      <c r="A10" s="116">
        <f t="shared" si="1"/>
        <v>4</v>
      </c>
      <c r="B10" s="107"/>
      <c r="C10" s="123"/>
      <c r="D10" s="124" t="s">
        <v>7</v>
      </c>
      <c r="E10" s="124"/>
      <c r="F10" s="124"/>
      <c r="G10" s="31">
        <f>SUM(G8:G9)</f>
        <v>66210718.25936</v>
      </c>
      <c r="H10" s="124"/>
      <c r="I10" s="31">
        <f>SUM(I8:I9)</f>
        <v>78825652.29519999</v>
      </c>
      <c r="J10" s="125">
        <f>SUM(J8:J9)</f>
        <v>1</v>
      </c>
      <c r="K10" s="126">
        <f>I10+Summary!I9</f>
        <v>82621513.325199991</v>
      </c>
      <c r="L10" s="124"/>
      <c r="M10" s="31">
        <f>SUM(M8:M9)</f>
        <v>82622094.849687994</v>
      </c>
      <c r="N10" s="31">
        <f t="shared" si="0"/>
        <v>3796442.5544880033</v>
      </c>
      <c r="O10" s="125">
        <f t="shared" ref="O10" si="7">N10/I10</f>
        <v>4.8162526334326113E-2</v>
      </c>
      <c r="P10" s="125">
        <f>SUM(P8:P9)</f>
        <v>1.0000000000000002</v>
      </c>
      <c r="Q10" s="127">
        <f t="shared" si="6"/>
        <v>0</v>
      </c>
      <c r="R10" s="128">
        <f>M10-K10</f>
        <v>581.52448800206184</v>
      </c>
      <c r="S10" s="12">
        <f>K10/I10</f>
        <v>1.048155148983539</v>
      </c>
    </row>
    <row r="11" spans="1:20" x14ac:dyDescent="0.25">
      <c r="A11" s="116">
        <f t="shared" si="1"/>
        <v>5</v>
      </c>
      <c r="D11" s="36" t="s">
        <v>27</v>
      </c>
      <c r="G11" s="100">
        <v>6756030</v>
      </c>
      <c r="I11" s="104">
        <f>G11-($H$171*E9)</f>
        <v>-63152.958240000531</v>
      </c>
      <c r="M11" s="100">
        <f>I11</f>
        <v>-63152.958240000531</v>
      </c>
      <c r="N11" s="100">
        <f t="shared" si="0"/>
        <v>0</v>
      </c>
      <c r="O11" s="102">
        <v>0</v>
      </c>
      <c r="R11" s="129"/>
    </row>
    <row r="12" spans="1:20" x14ac:dyDescent="0.25">
      <c r="A12" s="116">
        <f t="shared" si="1"/>
        <v>6</v>
      </c>
      <c r="D12" s="36" t="s">
        <v>28</v>
      </c>
      <c r="G12" s="100">
        <v>7428422</v>
      </c>
      <c r="I12" s="104">
        <f>G12</f>
        <v>7428422</v>
      </c>
      <c r="M12" s="100">
        <f t="shared" ref="M12:M14" si="8">I12</f>
        <v>7428422</v>
      </c>
      <c r="N12" s="100">
        <f t="shared" si="0"/>
        <v>0</v>
      </c>
      <c r="O12" s="102">
        <v>0</v>
      </c>
    </row>
    <row r="13" spans="1:20" x14ac:dyDescent="0.25">
      <c r="A13" s="116">
        <f t="shared" si="1"/>
        <v>7</v>
      </c>
      <c r="D13" s="36" t="s">
        <v>32</v>
      </c>
      <c r="G13" s="100">
        <v>0</v>
      </c>
      <c r="I13" s="104">
        <f>G13</f>
        <v>0</v>
      </c>
      <c r="M13" s="100">
        <f t="shared" si="8"/>
        <v>0</v>
      </c>
      <c r="N13" s="100">
        <f t="shared" si="0"/>
        <v>0</v>
      </c>
      <c r="O13" s="102">
        <v>0</v>
      </c>
    </row>
    <row r="14" spans="1:20" x14ac:dyDescent="0.25">
      <c r="A14" s="116">
        <f t="shared" si="1"/>
        <v>8</v>
      </c>
      <c r="D14" s="36" t="s">
        <v>32</v>
      </c>
      <c r="G14" s="100">
        <v>0</v>
      </c>
      <c r="I14" s="104">
        <f>G14</f>
        <v>0</v>
      </c>
      <c r="M14" s="100">
        <f t="shared" si="8"/>
        <v>0</v>
      </c>
      <c r="N14" s="100"/>
      <c r="O14" s="102">
        <v>0</v>
      </c>
    </row>
    <row r="15" spans="1:20" x14ac:dyDescent="0.25">
      <c r="A15" s="116">
        <f t="shared" si="1"/>
        <v>9</v>
      </c>
      <c r="D15" s="130" t="s">
        <v>9</v>
      </c>
      <c r="E15" s="130"/>
      <c r="F15" s="130"/>
      <c r="G15" s="131">
        <f>SUM(G11:G14)</f>
        <v>14184452</v>
      </c>
      <c r="H15" s="130"/>
      <c r="I15" s="131">
        <f>SUM(I11:I14)</f>
        <v>7365269.0417599995</v>
      </c>
      <c r="J15" s="130"/>
      <c r="K15" s="130"/>
      <c r="L15" s="130"/>
      <c r="M15" s="131">
        <f>SUM(M11:M14)</f>
        <v>7365269.0417599995</v>
      </c>
      <c r="N15" s="131">
        <f>M15-I15</f>
        <v>0</v>
      </c>
      <c r="O15" s="132">
        <v>0</v>
      </c>
    </row>
    <row r="16" spans="1:20" s="12" customFormat="1" ht="26.4" customHeight="1" thickBot="1" x14ac:dyDescent="0.3">
      <c r="A16" s="116">
        <f t="shared" si="1"/>
        <v>10</v>
      </c>
      <c r="B16" s="107"/>
      <c r="C16" s="123"/>
      <c r="D16" s="133" t="s">
        <v>20</v>
      </c>
      <c r="E16" s="133"/>
      <c r="F16" s="133"/>
      <c r="G16" s="134">
        <f>G10+G15</f>
        <v>80395170.25936</v>
      </c>
      <c r="H16" s="133"/>
      <c r="I16" s="135">
        <f>I15+I10</f>
        <v>86190921.336959988</v>
      </c>
      <c r="J16" s="133"/>
      <c r="K16" s="133"/>
      <c r="L16" s="133"/>
      <c r="M16" s="134">
        <f>M15+M10</f>
        <v>89987363.891447991</v>
      </c>
      <c r="N16" s="134">
        <f>M16-I16</f>
        <v>3796442.5544880033</v>
      </c>
      <c r="O16" s="136">
        <f>N16/I16</f>
        <v>4.4046896072104415E-2</v>
      </c>
      <c r="P16" s="36"/>
      <c r="Q16" s="36"/>
      <c r="R16" s="36"/>
    </row>
    <row r="17" spans="1:20" ht="13.8" thickTop="1" x14ac:dyDescent="0.25">
      <c r="A17" s="116">
        <f t="shared" si="1"/>
        <v>11</v>
      </c>
      <c r="D17" s="36" t="s">
        <v>19</v>
      </c>
      <c r="E17" s="102">
        <f>E9/E8</f>
        <v>998.9490204770002</v>
      </c>
      <c r="G17" s="137">
        <f>G16/E8</f>
        <v>139.20614874371023</v>
      </c>
      <c r="I17" s="137">
        <f>I16/E8</f>
        <v>149.24162953176133</v>
      </c>
      <c r="M17" s="137">
        <f>M16/E8</f>
        <v>155.81526007737833</v>
      </c>
      <c r="N17" s="137">
        <f>M17-I17</f>
        <v>6.573630545616993</v>
      </c>
      <c r="O17" s="101">
        <f>N17/I17</f>
        <v>4.4046896072104366E-2</v>
      </c>
    </row>
    <row r="18" spans="1:20" ht="13.8" thickBot="1" x14ac:dyDescent="0.3">
      <c r="A18" s="116">
        <f t="shared" si="1"/>
        <v>12</v>
      </c>
    </row>
    <row r="19" spans="1:20" x14ac:dyDescent="0.25">
      <c r="A19" s="116">
        <f t="shared" si="1"/>
        <v>13</v>
      </c>
      <c r="B19" s="117" t="s">
        <v>34</v>
      </c>
      <c r="C19" s="118">
        <v>11</v>
      </c>
      <c r="D19" s="117"/>
      <c r="E19" s="117"/>
      <c r="F19" s="117"/>
      <c r="G19" s="117"/>
      <c r="H19" s="117"/>
      <c r="I19" s="117"/>
      <c r="J19" s="117"/>
      <c r="K19" s="117"/>
      <c r="L19" s="117"/>
      <c r="M19" s="117"/>
      <c r="N19" s="117"/>
      <c r="O19" s="117"/>
      <c r="P19" s="117"/>
      <c r="Q19" s="117"/>
      <c r="R19" s="117"/>
    </row>
    <row r="20" spans="1:20" x14ac:dyDescent="0.25">
      <c r="A20" s="116">
        <f t="shared" si="1"/>
        <v>14</v>
      </c>
      <c r="C20" s="36"/>
      <c r="D20" s="36" t="s">
        <v>18</v>
      </c>
      <c r="E20" s="119">
        <v>4318</v>
      </c>
      <c r="F20" s="36">
        <v>0</v>
      </c>
      <c r="G20" s="100">
        <f>F20*E20</f>
        <v>0</v>
      </c>
      <c r="H20" s="102">
        <v>0</v>
      </c>
      <c r="I20" s="100">
        <f>H20*E20</f>
        <v>0</v>
      </c>
      <c r="J20" s="101">
        <f>I20/I22</f>
        <v>0</v>
      </c>
      <c r="K20" s="101"/>
      <c r="L20" s="102">
        <f>ROUND(H20*S22,2)</f>
        <v>0</v>
      </c>
      <c r="M20" s="100">
        <f>L20*E20</f>
        <v>0</v>
      </c>
      <c r="N20" s="100">
        <f>M20-I20</f>
        <v>0</v>
      </c>
      <c r="O20" s="101">
        <f>IF(I20=0,0,N20/I20)</f>
        <v>0</v>
      </c>
      <c r="P20" s="101">
        <f>M20/M22</f>
        <v>0</v>
      </c>
      <c r="Q20" s="120">
        <f>P20-J20</f>
        <v>0</v>
      </c>
      <c r="R20" s="120"/>
    </row>
    <row r="21" spans="1:20" x14ac:dyDescent="0.25">
      <c r="A21" s="116">
        <f t="shared" si="1"/>
        <v>15</v>
      </c>
      <c r="D21" s="36" t="s">
        <v>191</v>
      </c>
      <c r="E21" s="119">
        <v>3316676</v>
      </c>
      <c r="F21" s="122">
        <v>5.8380000000000001E-2</v>
      </c>
      <c r="G21" s="100">
        <f t="shared" ref="G21" si="9">F21*E21</f>
        <v>193627.54488</v>
      </c>
      <c r="H21" s="122">
        <v>6.1080000000000002E-2</v>
      </c>
      <c r="I21" s="100">
        <f t="shared" ref="I21" si="10">H21*E21</f>
        <v>202582.57008</v>
      </c>
      <c r="J21" s="101">
        <f>I21/I22</f>
        <v>1</v>
      </c>
      <c r="K21" s="101"/>
      <c r="L21" s="122">
        <f>ROUND(H21*S22,6)</f>
        <v>6.4020999999999995E-2</v>
      </c>
      <c r="M21" s="100">
        <f t="shared" ref="M21" si="11">L21*E21</f>
        <v>212336.91419599997</v>
      </c>
      <c r="N21" s="100">
        <f t="shared" ref="N21:N29" si="12">M21-I21</f>
        <v>9754.3441159999638</v>
      </c>
      <c r="O21" s="101">
        <f t="shared" ref="O21" si="13">IF(I21=0,0,N21/I21)</f>
        <v>4.8149967256057448E-2</v>
      </c>
      <c r="P21" s="101">
        <f>M21/M22</f>
        <v>1</v>
      </c>
      <c r="Q21" s="120">
        <f t="shared" ref="Q21:Q22" si="14">P21-J21</f>
        <v>0</v>
      </c>
      <c r="R21" s="120"/>
      <c r="T21" s="8">
        <f>L21/H21-1</f>
        <v>4.8149967256057469E-2</v>
      </c>
    </row>
    <row r="22" spans="1:20" s="12" customFormat="1" ht="20.399999999999999" customHeight="1" x14ac:dyDescent="0.3">
      <c r="A22" s="116">
        <f t="shared" si="1"/>
        <v>16</v>
      </c>
      <c r="B22" s="107"/>
      <c r="C22" s="123"/>
      <c r="D22" s="124" t="s">
        <v>7</v>
      </c>
      <c r="E22" s="124"/>
      <c r="F22" s="124"/>
      <c r="G22" s="31">
        <f>SUM(G20:G21)</f>
        <v>193627.54488</v>
      </c>
      <c r="H22" s="124"/>
      <c r="I22" s="31">
        <f>SUM(I20:I21)</f>
        <v>202582.57008</v>
      </c>
      <c r="J22" s="125">
        <f>SUM(J20:J21)</f>
        <v>1</v>
      </c>
      <c r="K22" s="126">
        <f>I22+Summary!I10</f>
        <v>212337.96007999999</v>
      </c>
      <c r="L22" s="124"/>
      <c r="M22" s="31">
        <f>SUM(M20:M21)</f>
        <v>212336.91419599997</v>
      </c>
      <c r="N22" s="31">
        <f t="shared" si="12"/>
        <v>9754.3441159999638</v>
      </c>
      <c r="O22" s="125">
        <f t="shared" ref="O22" si="15">N22/I22</f>
        <v>4.8149967256057448E-2</v>
      </c>
      <c r="P22" s="125">
        <f>SUM(P20:P21)</f>
        <v>1</v>
      </c>
      <c r="Q22" s="127">
        <f t="shared" si="14"/>
        <v>0</v>
      </c>
      <c r="R22" s="128">
        <f>M22-K22</f>
        <v>-1.045884000021033</v>
      </c>
      <c r="S22" s="12">
        <f>K22/I22</f>
        <v>1.0481551300101859</v>
      </c>
    </row>
    <row r="23" spans="1:20" x14ac:dyDescent="0.25">
      <c r="A23" s="116">
        <f t="shared" si="1"/>
        <v>17</v>
      </c>
      <c r="D23" s="36" t="s">
        <v>27</v>
      </c>
      <c r="G23" s="100">
        <v>42619</v>
      </c>
      <c r="I23" s="104">
        <f>G23-($H$171*E21)</f>
        <v>3415.8896800000002</v>
      </c>
      <c r="M23" s="100">
        <f>I23</f>
        <v>3415.8896800000002</v>
      </c>
      <c r="N23" s="100">
        <f t="shared" si="12"/>
        <v>0</v>
      </c>
      <c r="O23" s="102">
        <v>0</v>
      </c>
    </row>
    <row r="24" spans="1:20" x14ac:dyDescent="0.25">
      <c r="A24" s="116">
        <f t="shared" si="1"/>
        <v>18</v>
      </c>
      <c r="D24" s="36" t="s">
        <v>28</v>
      </c>
      <c r="G24" s="100">
        <v>20902</v>
      </c>
      <c r="I24" s="104">
        <f t="shared" ref="I24:I26" si="16">G24</f>
        <v>20902</v>
      </c>
      <c r="M24" s="100">
        <f t="shared" ref="M24:M26" si="17">I24</f>
        <v>20902</v>
      </c>
      <c r="N24" s="100">
        <f t="shared" si="12"/>
        <v>0</v>
      </c>
      <c r="O24" s="102">
        <v>0</v>
      </c>
    </row>
    <row r="25" spans="1:20" x14ac:dyDescent="0.25">
      <c r="A25" s="116">
        <f t="shared" si="1"/>
        <v>19</v>
      </c>
      <c r="D25" s="36" t="s">
        <v>32</v>
      </c>
      <c r="G25" s="100">
        <v>0</v>
      </c>
      <c r="I25" s="104">
        <f t="shared" si="16"/>
        <v>0</v>
      </c>
      <c r="M25" s="100">
        <f t="shared" si="17"/>
        <v>0</v>
      </c>
      <c r="N25" s="100">
        <f t="shared" si="12"/>
        <v>0</v>
      </c>
      <c r="O25" s="102">
        <v>0</v>
      </c>
    </row>
    <row r="26" spans="1:20" x14ac:dyDescent="0.25">
      <c r="A26" s="116">
        <f t="shared" si="1"/>
        <v>20</v>
      </c>
      <c r="D26" s="36" t="s">
        <v>32</v>
      </c>
      <c r="G26" s="100">
        <v>0</v>
      </c>
      <c r="I26" s="104">
        <f t="shared" si="16"/>
        <v>0</v>
      </c>
      <c r="M26" s="100">
        <f t="shared" si="17"/>
        <v>0</v>
      </c>
      <c r="N26" s="100"/>
      <c r="O26" s="102"/>
    </row>
    <row r="27" spans="1:20" x14ac:dyDescent="0.25">
      <c r="A27" s="116">
        <f t="shared" si="1"/>
        <v>21</v>
      </c>
      <c r="D27" s="130" t="s">
        <v>9</v>
      </c>
      <c r="E27" s="130"/>
      <c r="F27" s="130"/>
      <c r="G27" s="131">
        <f>SUM(G23:G26)</f>
        <v>63521</v>
      </c>
      <c r="H27" s="130"/>
      <c r="I27" s="131">
        <f>SUM(I23:I26)</f>
        <v>24317.88968</v>
      </c>
      <c r="J27" s="130"/>
      <c r="K27" s="130"/>
      <c r="L27" s="130"/>
      <c r="M27" s="131">
        <f>SUM(M23:M26)</f>
        <v>24317.88968</v>
      </c>
      <c r="N27" s="131">
        <f t="shared" si="12"/>
        <v>0</v>
      </c>
      <c r="O27" s="132">
        <f t="shared" ref="O27" si="18">N27-J27</f>
        <v>0</v>
      </c>
    </row>
    <row r="28" spans="1:20" s="12" customFormat="1" ht="26.4" customHeight="1" thickBot="1" x14ac:dyDescent="0.3">
      <c r="A28" s="116">
        <f t="shared" si="1"/>
        <v>22</v>
      </c>
      <c r="B28" s="107"/>
      <c r="C28" s="123"/>
      <c r="D28" s="133" t="s">
        <v>20</v>
      </c>
      <c r="E28" s="133"/>
      <c r="F28" s="133"/>
      <c r="G28" s="134">
        <f>G22+G27</f>
        <v>257148.54488</v>
      </c>
      <c r="H28" s="133"/>
      <c r="I28" s="135">
        <f>I27+I22</f>
        <v>226900.45976</v>
      </c>
      <c r="J28" s="133"/>
      <c r="K28" s="133"/>
      <c r="L28" s="133"/>
      <c r="M28" s="134">
        <f>M27+M22</f>
        <v>236654.80387599996</v>
      </c>
      <c r="N28" s="134">
        <f t="shared" si="12"/>
        <v>9754.3441159999638</v>
      </c>
      <c r="O28" s="136">
        <f>N28/I28</f>
        <v>4.2989529974145714E-2</v>
      </c>
      <c r="P28" s="36"/>
      <c r="Q28" s="36"/>
      <c r="R28" s="36"/>
    </row>
    <row r="29" spans="1:20" ht="13.8" thickTop="1" x14ac:dyDescent="0.25">
      <c r="A29" s="116">
        <f t="shared" si="1"/>
        <v>23</v>
      </c>
      <c r="D29" s="36" t="s">
        <v>19</v>
      </c>
      <c r="E29" s="102">
        <f>E21/E20</f>
        <v>768.10467809170916</v>
      </c>
      <c r="G29" s="137">
        <f>G28/E20</f>
        <v>59.55269682260306</v>
      </c>
      <c r="I29" s="137">
        <f>I28/E20</f>
        <v>52.547582158406669</v>
      </c>
      <c r="M29" s="137">
        <f>M28/E20</f>
        <v>54.806578016674379</v>
      </c>
      <c r="N29" s="137">
        <f t="shared" si="12"/>
        <v>2.2589958582677099</v>
      </c>
      <c r="O29" s="101">
        <f>N29/I29</f>
        <v>4.2989529974145749E-2</v>
      </c>
    </row>
    <row r="30" spans="1:20" ht="13.8" thickBot="1" x14ac:dyDescent="0.3">
      <c r="A30" s="116">
        <f t="shared" si="1"/>
        <v>24</v>
      </c>
    </row>
    <row r="31" spans="1:20" x14ac:dyDescent="0.25">
      <c r="A31" s="116">
        <f t="shared" si="1"/>
        <v>25</v>
      </c>
      <c r="B31" s="117" t="s">
        <v>214</v>
      </c>
      <c r="C31" s="118">
        <v>20</v>
      </c>
      <c r="D31" s="117"/>
      <c r="E31" s="117"/>
      <c r="F31" s="117"/>
      <c r="G31" s="117"/>
      <c r="H31" s="117"/>
      <c r="I31" s="117"/>
      <c r="J31" s="117"/>
      <c r="K31" s="117"/>
      <c r="L31" s="117"/>
      <c r="M31" s="117"/>
      <c r="N31" s="117"/>
      <c r="O31" s="117"/>
      <c r="P31" s="117"/>
      <c r="Q31" s="117"/>
      <c r="R31" s="117"/>
    </row>
    <row r="32" spans="1:20" x14ac:dyDescent="0.25">
      <c r="A32" s="116">
        <f t="shared" si="1"/>
        <v>26</v>
      </c>
      <c r="C32" s="36"/>
      <c r="D32" s="36" t="s">
        <v>18</v>
      </c>
      <c r="E32" s="119">
        <v>43539</v>
      </c>
      <c r="F32" s="36">
        <v>40.72</v>
      </c>
      <c r="G32" s="100">
        <f>F32*E32</f>
        <v>1772908.0799999998</v>
      </c>
      <c r="H32" s="102">
        <v>40.72</v>
      </c>
      <c r="I32" s="100">
        <f>H32*E32</f>
        <v>1772908.0799999998</v>
      </c>
      <c r="J32" s="101">
        <f>I32/I34</f>
        <v>0.23283105865233988</v>
      </c>
      <c r="K32" s="101"/>
      <c r="L32" s="102">
        <f>ROUND(H32*S34,2)</f>
        <v>42.68</v>
      </c>
      <c r="M32" s="100">
        <f>L32*E32</f>
        <v>1858244.52</v>
      </c>
      <c r="N32" s="100">
        <f>M32-I32</f>
        <v>85336.440000000177</v>
      </c>
      <c r="O32" s="101">
        <f>IF(I32=0,0,N32/I32)</f>
        <v>4.8133595284872405E-2</v>
      </c>
      <c r="P32" s="101">
        <f>M32/M34</f>
        <v>0.23282735978133998</v>
      </c>
      <c r="Q32" s="120">
        <f>P32-J32</f>
        <v>-3.6988709999075109E-6</v>
      </c>
      <c r="R32" s="120"/>
      <c r="T32" s="8">
        <f>L32/H32-1</f>
        <v>4.8133595284872266E-2</v>
      </c>
    </row>
    <row r="33" spans="1:20" x14ac:dyDescent="0.25">
      <c r="A33" s="116">
        <f t="shared" si="1"/>
        <v>27</v>
      </c>
      <c r="D33" s="36" t="s">
        <v>191</v>
      </c>
      <c r="E33" s="119">
        <v>59372503</v>
      </c>
      <c r="F33" s="122">
        <v>8.6569999999999994E-2</v>
      </c>
      <c r="G33" s="100">
        <f t="shared" ref="G33" si="19">F33*E33</f>
        <v>5139877.5847100001</v>
      </c>
      <c r="H33" s="122">
        <v>9.8390000000000005E-2</v>
      </c>
      <c r="I33" s="100">
        <f t="shared" ref="I33" si="20">H33*E33</f>
        <v>5841660.5701700002</v>
      </c>
      <c r="J33" s="101">
        <f>I33/I34</f>
        <v>0.76716894134766012</v>
      </c>
      <c r="K33" s="101"/>
      <c r="L33" s="122">
        <f>ROUND(H33*S34,6)</f>
        <v>0.103128</v>
      </c>
      <c r="M33" s="100">
        <f t="shared" ref="M33" si="21">L33*E33</f>
        <v>6122967.4893840002</v>
      </c>
      <c r="N33" s="100">
        <f t="shared" ref="N33:N41" si="22">M33-I33</f>
        <v>281306.91921399999</v>
      </c>
      <c r="O33" s="101">
        <f t="shared" ref="O33" si="23">IF(I33=0,0,N33/I33)</f>
        <v>4.8155300335399935E-2</v>
      </c>
      <c r="P33" s="101">
        <f>M33/M34</f>
        <v>0.76717264021865994</v>
      </c>
      <c r="Q33" s="120">
        <f t="shared" ref="Q33:Q34" si="24">P33-J33</f>
        <v>3.6988709998242442E-6</v>
      </c>
      <c r="R33" s="120"/>
      <c r="T33" s="8">
        <f>L33/H33-1</f>
        <v>4.8155300335399831E-2</v>
      </c>
    </row>
    <row r="34" spans="1:20" s="12" customFormat="1" ht="20.399999999999999" customHeight="1" x14ac:dyDescent="0.3">
      <c r="A34" s="116">
        <f t="shared" si="1"/>
        <v>28</v>
      </c>
      <c r="B34" s="107"/>
      <c r="C34" s="123"/>
      <c r="D34" s="124" t="s">
        <v>7</v>
      </c>
      <c r="E34" s="124"/>
      <c r="F34" s="124"/>
      <c r="G34" s="31">
        <f>SUM(G32:G33)</f>
        <v>6912785.6647100002</v>
      </c>
      <c r="H34" s="124"/>
      <c r="I34" s="31">
        <f>SUM(I32:I33)</f>
        <v>7614568.6501700003</v>
      </c>
      <c r="J34" s="125">
        <f>SUM(J32:J33)</f>
        <v>1</v>
      </c>
      <c r="K34" s="126">
        <f>I34+Summary!I11</f>
        <v>7981249.3401700007</v>
      </c>
      <c r="L34" s="124"/>
      <c r="M34" s="31">
        <f>SUM(M32:M33)</f>
        <v>7981212.0093840007</v>
      </c>
      <c r="N34" s="31">
        <f t="shared" si="22"/>
        <v>366643.3592140004</v>
      </c>
      <c r="O34" s="125">
        <f t="shared" ref="O34" si="25">N34/I34</f>
        <v>4.8150246725507537E-2</v>
      </c>
      <c r="P34" s="125">
        <f>SUM(P32:P33)</f>
        <v>0.99999999999999989</v>
      </c>
      <c r="Q34" s="127">
        <f t="shared" si="24"/>
        <v>0</v>
      </c>
      <c r="R34" s="128">
        <f>M34-K34</f>
        <v>-37.330786000005901</v>
      </c>
      <c r="S34" s="12">
        <f>K34/I34</f>
        <v>1.0481551492732046</v>
      </c>
    </row>
    <row r="35" spans="1:20" x14ac:dyDescent="0.25">
      <c r="A35" s="116">
        <f t="shared" si="1"/>
        <v>29</v>
      </c>
      <c r="D35" s="36" t="s">
        <v>27</v>
      </c>
      <c r="G35" s="100">
        <v>673714</v>
      </c>
      <c r="I35" s="104">
        <f>G35-($H$171*E33)</f>
        <v>-28068.985459999996</v>
      </c>
      <c r="M35" s="100">
        <f>I35</f>
        <v>-28068.985459999996</v>
      </c>
      <c r="N35" s="100">
        <f t="shared" si="22"/>
        <v>0</v>
      </c>
      <c r="O35" s="102">
        <v>0</v>
      </c>
    </row>
    <row r="36" spans="1:20" x14ac:dyDescent="0.25">
      <c r="A36" s="116">
        <f t="shared" si="1"/>
        <v>30</v>
      </c>
      <c r="D36" s="36" t="s">
        <v>28</v>
      </c>
      <c r="G36" s="100">
        <v>776864</v>
      </c>
      <c r="I36" s="104">
        <f t="shared" ref="I36:I38" si="26">G36</f>
        <v>776864</v>
      </c>
      <c r="M36" s="100">
        <f t="shared" ref="M36:M38" si="27">I36</f>
        <v>776864</v>
      </c>
      <c r="N36" s="100">
        <f t="shared" si="22"/>
        <v>0</v>
      </c>
      <c r="O36" s="102">
        <v>0</v>
      </c>
    </row>
    <row r="37" spans="1:20" x14ac:dyDescent="0.25">
      <c r="A37" s="116">
        <f t="shared" si="1"/>
        <v>31</v>
      </c>
      <c r="D37" s="36" t="s">
        <v>32</v>
      </c>
      <c r="G37" s="100">
        <v>0</v>
      </c>
      <c r="I37" s="104">
        <f t="shared" si="26"/>
        <v>0</v>
      </c>
      <c r="M37" s="100">
        <f t="shared" si="27"/>
        <v>0</v>
      </c>
      <c r="N37" s="100">
        <f t="shared" si="22"/>
        <v>0</v>
      </c>
      <c r="O37" s="102">
        <v>0</v>
      </c>
    </row>
    <row r="38" spans="1:20" x14ac:dyDescent="0.25">
      <c r="A38" s="116">
        <f t="shared" si="1"/>
        <v>32</v>
      </c>
      <c r="D38" s="36" t="s">
        <v>32</v>
      </c>
      <c r="G38" s="100">
        <v>0</v>
      </c>
      <c r="I38" s="104">
        <f t="shared" si="26"/>
        <v>0</v>
      </c>
      <c r="M38" s="100">
        <f t="shared" si="27"/>
        <v>0</v>
      </c>
      <c r="N38" s="100"/>
      <c r="O38" s="102"/>
    </row>
    <row r="39" spans="1:20" x14ac:dyDescent="0.25">
      <c r="A39" s="116">
        <f t="shared" si="1"/>
        <v>33</v>
      </c>
      <c r="D39" s="130" t="s">
        <v>9</v>
      </c>
      <c r="E39" s="130"/>
      <c r="F39" s="130"/>
      <c r="G39" s="131">
        <f>SUM(G35:G38)</f>
        <v>1450578</v>
      </c>
      <c r="H39" s="130"/>
      <c r="I39" s="131">
        <f>SUM(I35:I38)</f>
        <v>748795.01454</v>
      </c>
      <c r="J39" s="130"/>
      <c r="K39" s="130"/>
      <c r="L39" s="130"/>
      <c r="M39" s="131">
        <f>SUM(M35:M38)</f>
        <v>748795.01454</v>
      </c>
      <c r="N39" s="131">
        <f t="shared" si="22"/>
        <v>0</v>
      </c>
      <c r="O39" s="132">
        <f t="shared" ref="O39" si="28">N39-J39</f>
        <v>0</v>
      </c>
    </row>
    <row r="40" spans="1:20" s="12" customFormat="1" ht="26.4" customHeight="1" thickBot="1" x14ac:dyDescent="0.3">
      <c r="A40" s="116">
        <f t="shared" si="1"/>
        <v>34</v>
      </c>
      <c r="B40" s="107"/>
      <c r="C40" s="123"/>
      <c r="D40" s="133" t="s">
        <v>20</v>
      </c>
      <c r="E40" s="133"/>
      <c r="F40" s="133"/>
      <c r="G40" s="134">
        <f>G34+G39</f>
        <v>8363363.6647100002</v>
      </c>
      <c r="H40" s="133"/>
      <c r="I40" s="135">
        <f>I39+I34</f>
        <v>8363363.6647100002</v>
      </c>
      <c r="J40" s="133"/>
      <c r="K40" s="133"/>
      <c r="L40" s="133"/>
      <c r="M40" s="134">
        <f>M39+M34</f>
        <v>8730007.0239240006</v>
      </c>
      <c r="N40" s="134">
        <f t="shared" si="22"/>
        <v>366643.3592140004</v>
      </c>
      <c r="O40" s="136">
        <f>N40/I40</f>
        <v>4.3839222340777376E-2</v>
      </c>
      <c r="P40" s="36"/>
      <c r="Q40" s="36"/>
      <c r="R40" s="36"/>
    </row>
    <row r="41" spans="1:20" ht="13.8" thickTop="1" x14ac:dyDescent="0.25">
      <c r="A41" s="116">
        <f t="shared" si="1"/>
        <v>35</v>
      </c>
      <c r="D41" s="36" t="s">
        <v>19</v>
      </c>
      <c r="E41" s="102">
        <f>E33/E32</f>
        <v>1363.6625324421782</v>
      </c>
      <c r="G41" s="137">
        <f>G40/E32</f>
        <v>192.08901593307149</v>
      </c>
      <c r="I41" s="137">
        <f>I40/E32</f>
        <v>192.08901593307149</v>
      </c>
      <c r="M41" s="137">
        <f>M40/E32</f>
        <v>200.51004901178254</v>
      </c>
      <c r="N41" s="137">
        <f t="shared" si="22"/>
        <v>8.4210330787110479</v>
      </c>
      <c r="O41" s="101">
        <f>N41/I41</f>
        <v>4.3839222340777369E-2</v>
      </c>
    </row>
    <row r="42" spans="1:20" ht="13.8" thickBot="1" x14ac:dyDescent="0.3">
      <c r="A42" s="116">
        <f t="shared" si="1"/>
        <v>36</v>
      </c>
    </row>
    <row r="43" spans="1:20" x14ac:dyDescent="0.25">
      <c r="A43" s="116">
        <f t="shared" si="1"/>
        <v>37</v>
      </c>
      <c r="B43" s="117" t="s">
        <v>35</v>
      </c>
      <c r="C43" s="118">
        <v>22</v>
      </c>
      <c r="D43" s="117"/>
      <c r="E43" s="117"/>
      <c r="F43" s="117"/>
      <c r="G43" s="117"/>
      <c r="H43" s="117"/>
      <c r="I43" s="117"/>
      <c r="J43" s="117"/>
      <c r="K43" s="117"/>
      <c r="L43" s="117"/>
      <c r="M43" s="117"/>
      <c r="N43" s="117"/>
      <c r="O43" s="117"/>
      <c r="P43" s="117"/>
      <c r="Q43" s="117"/>
      <c r="R43" s="117"/>
    </row>
    <row r="44" spans="1:20" x14ac:dyDescent="0.25">
      <c r="A44" s="116">
        <f t="shared" si="1"/>
        <v>38</v>
      </c>
      <c r="C44" s="36"/>
      <c r="D44" s="36" t="s">
        <v>18</v>
      </c>
      <c r="E44" s="119">
        <v>35</v>
      </c>
      <c r="F44" s="36">
        <v>0</v>
      </c>
      <c r="G44" s="100">
        <f>F44*E44</f>
        <v>0</v>
      </c>
      <c r="H44" s="102">
        <v>0</v>
      </c>
      <c r="I44" s="100">
        <f>H44*E44</f>
        <v>0</v>
      </c>
      <c r="J44" s="101">
        <f>I44/I46</f>
        <v>0</v>
      </c>
      <c r="K44" s="101"/>
      <c r="L44" s="102">
        <f>ROUND(H44*S46,2)</f>
        <v>0</v>
      </c>
      <c r="M44" s="100">
        <f>L44*E44</f>
        <v>0</v>
      </c>
      <c r="N44" s="100">
        <f>M44-I44</f>
        <v>0</v>
      </c>
      <c r="O44" s="101">
        <f>IF(I44=0,0,N44/I44)</f>
        <v>0</v>
      </c>
      <c r="P44" s="101">
        <f>M44/M46</f>
        <v>0</v>
      </c>
      <c r="Q44" s="120">
        <f>P44-J44</f>
        <v>0</v>
      </c>
      <c r="R44" s="120"/>
    </row>
    <row r="45" spans="1:20" x14ac:dyDescent="0.25">
      <c r="A45" s="116">
        <f t="shared" si="1"/>
        <v>39</v>
      </c>
      <c r="D45" s="36" t="s">
        <v>191</v>
      </c>
      <c r="E45" s="119">
        <v>23150</v>
      </c>
      <c r="F45" s="122">
        <v>5.194E-2</v>
      </c>
      <c r="G45" s="100">
        <f t="shared" ref="G45" si="29">F45*E45</f>
        <v>1202.4110000000001</v>
      </c>
      <c r="H45" s="122">
        <v>5.9029999999999999E-2</v>
      </c>
      <c r="I45" s="100">
        <f t="shared" ref="I45" si="30">H45*E45</f>
        <v>1366.5445</v>
      </c>
      <c r="J45" s="101">
        <f>I45/I46</f>
        <v>1</v>
      </c>
      <c r="K45" s="101"/>
      <c r="L45" s="138">
        <f>ROUND(H45*S46,6)</f>
        <v>6.1872999999999997E-2</v>
      </c>
      <c r="M45" s="100">
        <f t="shared" ref="M45" si="31">L45*E45</f>
        <v>1432.35995</v>
      </c>
      <c r="N45" s="100">
        <f t="shared" ref="N45:N53" si="32">M45-I45</f>
        <v>65.815450000000055</v>
      </c>
      <c r="O45" s="101">
        <f t="shared" ref="O45" si="33">IF(I45=0,0,N45/I45)</f>
        <v>4.8161951550059333E-2</v>
      </c>
      <c r="P45" s="101">
        <f>M45/M46</f>
        <v>1</v>
      </c>
      <c r="Q45" s="120">
        <f t="shared" ref="Q45:Q46" si="34">P45-J45</f>
        <v>0</v>
      </c>
      <c r="R45" s="120"/>
      <c r="T45" s="8">
        <f>L45/H45-1</f>
        <v>4.8161951550059312E-2</v>
      </c>
    </row>
    <row r="46" spans="1:20" s="12" customFormat="1" ht="20.399999999999999" customHeight="1" x14ac:dyDescent="0.3">
      <c r="A46" s="116">
        <f t="shared" si="1"/>
        <v>40</v>
      </c>
      <c r="B46" s="107"/>
      <c r="C46" s="123"/>
      <c r="D46" s="124" t="s">
        <v>7</v>
      </c>
      <c r="E46" s="124"/>
      <c r="F46" s="124"/>
      <c r="G46" s="31">
        <f>SUM(G44:G45)</f>
        <v>1202.4110000000001</v>
      </c>
      <c r="H46" s="124"/>
      <c r="I46" s="31">
        <f>SUM(I44:I45)</f>
        <v>1366.5445</v>
      </c>
      <c r="J46" s="125">
        <f>SUM(J44:J45)</f>
        <v>1</v>
      </c>
      <c r="K46" s="126">
        <f>I46+Summary!I12</f>
        <v>1432.3544999999999</v>
      </c>
      <c r="L46" s="124"/>
      <c r="M46" s="31">
        <f>SUM(M44:M45)</f>
        <v>1432.35995</v>
      </c>
      <c r="N46" s="31">
        <f t="shared" si="32"/>
        <v>65.815450000000055</v>
      </c>
      <c r="O46" s="125">
        <f t="shared" ref="O46" si="35">N46/I46</f>
        <v>4.8161951550059333E-2</v>
      </c>
      <c r="P46" s="125">
        <f>SUM(P44:P45)</f>
        <v>1</v>
      </c>
      <c r="Q46" s="127">
        <f t="shared" si="34"/>
        <v>0</v>
      </c>
      <c r="R46" s="128">
        <f>M46-K46</f>
        <v>5.450000000109867E-3</v>
      </c>
      <c r="S46" s="12">
        <f>K46/I46</f>
        <v>1.0481579633886784</v>
      </c>
    </row>
    <row r="47" spans="1:20" x14ac:dyDescent="0.25">
      <c r="A47" s="116">
        <f t="shared" si="1"/>
        <v>41</v>
      </c>
      <c r="D47" s="36" t="s">
        <v>27</v>
      </c>
      <c r="G47" s="100">
        <v>288</v>
      </c>
      <c r="I47" s="104">
        <f>G47-($H$171*E45)</f>
        <v>14.366999999999962</v>
      </c>
      <c r="M47" s="100">
        <f>I47</f>
        <v>14.366999999999962</v>
      </c>
      <c r="N47" s="100">
        <f t="shared" si="32"/>
        <v>0</v>
      </c>
      <c r="O47" s="102">
        <v>0</v>
      </c>
    </row>
    <row r="48" spans="1:20" x14ac:dyDescent="0.25">
      <c r="A48" s="116">
        <f t="shared" si="1"/>
        <v>42</v>
      </c>
      <c r="D48" s="36" t="s">
        <v>28</v>
      </c>
      <c r="G48" s="100">
        <v>131</v>
      </c>
      <c r="I48" s="104">
        <f t="shared" ref="I48:I50" si="36">G48</f>
        <v>131</v>
      </c>
      <c r="M48" s="100">
        <f t="shared" ref="M48:M50" si="37">I48</f>
        <v>131</v>
      </c>
      <c r="N48" s="100">
        <f t="shared" si="32"/>
        <v>0</v>
      </c>
      <c r="O48" s="102">
        <v>0</v>
      </c>
    </row>
    <row r="49" spans="1:20" x14ac:dyDescent="0.25">
      <c r="A49" s="116">
        <f t="shared" si="1"/>
        <v>43</v>
      </c>
      <c r="D49" s="36" t="s">
        <v>32</v>
      </c>
      <c r="G49" s="100">
        <v>0</v>
      </c>
      <c r="I49" s="104">
        <f t="shared" si="36"/>
        <v>0</v>
      </c>
      <c r="M49" s="100">
        <f t="shared" si="37"/>
        <v>0</v>
      </c>
      <c r="N49" s="100">
        <f t="shared" si="32"/>
        <v>0</v>
      </c>
      <c r="O49" s="102">
        <v>0</v>
      </c>
    </row>
    <row r="50" spans="1:20" x14ac:dyDescent="0.25">
      <c r="A50" s="116">
        <f t="shared" si="1"/>
        <v>44</v>
      </c>
      <c r="D50" s="36" t="s">
        <v>32</v>
      </c>
      <c r="G50" s="100">
        <v>0</v>
      </c>
      <c r="I50" s="104">
        <f t="shared" si="36"/>
        <v>0</v>
      </c>
      <c r="M50" s="100">
        <f t="shared" si="37"/>
        <v>0</v>
      </c>
      <c r="N50" s="100"/>
      <c r="O50" s="102"/>
    </row>
    <row r="51" spans="1:20" x14ac:dyDescent="0.25">
      <c r="A51" s="116">
        <f t="shared" si="1"/>
        <v>45</v>
      </c>
      <c r="D51" s="130" t="s">
        <v>9</v>
      </c>
      <c r="E51" s="130"/>
      <c r="F51" s="130"/>
      <c r="G51" s="131">
        <f>SUM(G47:G50)</f>
        <v>419</v>
      </c>
      <c r="H51" s="130"/>
      <c r="I51" s="131">
        <f>SUM(I47:I50)</f>
        <v>145.36699999999996</v>
      </c>
      <c r="J51" s="130"/>
      <c r="K51" s="130"/>
      <c r="L51" s="130"/>
      <c r="M51" s="131">
        <f>SUM(M47:M50)</f>
        <v>145.36699999999996</v>
      </c>
      <c r="N51" s="131">
        <f t="shared" si="32"/>
        <v>0</v>
      </c>
      <c r="O51" s="132">
        <f t="shared" ref="O51" si="38">N51-J51</f>
        <v>0</v>
      </c>
    </row>
    <row r="52" spans="1:20" s="12" customFormat="1" ht="26.4" customHeight="1" thickBot="1" x14ac:dyDescent="0.3">
      <c r="A52" s="116">
        <f t="shared" si="1"/>
        <v>46</v>
      </c>
      <c r="B52" s="107"/>
      <c r="C52" s="123"/>
      <c r="D52" s="133" t="s">
        <v>20</v>
      </c>
      <c r="E52" s="133"/>
      <c r="F52" s="133"/>
      <c r="G52" s="134">
        <f>G46+G51</f>
        <v>1621.4110000000001</v>
      </c>
      <c r="H52" s="133"/>
      <c r="I52" s="135">
        <f>I51+I46</f>
        <v>1511.9114999999999</v>
      </c>
      <c r="J52" s="133"/>
      <c r="K52" s="133"/>
      <c r="L52" s="133"/>
      <c r="M52" s="134">
        <f>M51+M46</f>
        <v>1577.72695</v>
      </c>
      <c r="N52" s="134">
        <f t="shared" si="32"/>
        <v>65.815450000000055</v>
      </c>
      <c r="O52" s="136">
        <f>N52/I52</f>
        <v>4.353128473458933E-2</v>
      </c>
      <c r="P52" s="36"/>
      <c r="Q52" s="36"/>
      <c r="R52" s="36"/>
    </row>
    <row r="53" spans="1:20" ht="13.8" thickTop="1" x14ac:dyDescent="0.25">
      <c r="A53" s="116">
        <f t="shared" si="1"/>
        <v>47</v>
      </c>
      <c r="D53" s="36" t="s">
        <v>19</v>
      </c>
      <c r="E53" s="102">
        <f>E45/E44</f>
        <v>661.42857142857144</v>
      </c>
      <c r="G53" s="137">
        <f>G52/E44</f>
        <v>46.326028571428573</v>
      </c>
      <c r="I53" s="137">
        <f>I52/E44</f>
        <v>43.197471428571426</v>
      </c>
      <c r="M53" s="137">
        <f>M52/E44</f>
        <v>45.077912857142856</v>
      </c>
      <c r="N53" s="137">
        <f t="shared" si="32"/>
        <v>1.8804414285714302</v>
      </c>
      <c r="O53" s="101">
        <f>N53/I53</f>
        <v>4.353128473458933E-2</v>
      </c>
    </row>
    <row r="54" spans="1:20" ht="13.8" thickBot="1" x14ac:dyDescent="0.3">
      <c r="A54" s="116">
        <f t="shared" si="1"/>
        <v>48</v>
      </c>
    </row>
    <row r="55" spans="1:20" x14ac:dyDescent="0.25">
      <c r="A55" s="116">
        <f t="shared" si="1"/>
        <v>49</v>
      </c>
      <c r="B55" s="117" t="s">
        <v>215</v>
      </c>
      <c r="C55" s="118">
        <v>40</v>
      </c>
      <c r="D55" s="117"/>
      <c r="E55" s="117"/>
      <c r="F55" s="117"/>
      <c r="G55" s="117"/>
      <c r="H55" s="117"/>
      <c r="I55" s="117"/>
      <c r="J55" s="117"/>
      <c r="K55" s="117"/>
      <c r="L55" s="117"/>
      <c r="M55" s="117"/>
      <c r="N55" s="117"/>
      <c r="O55" s="117"/>
      <c r="P55" s="117"/>
      <c r="Q55" s="117"/>
      <c r="R55" s="117"/>
    </row>
    <row r="56" spans="1:20" x14ac:dyDescent="0.25">
      <c r="A56" s="116">
        <f t="shared" si="1"/>
        <v>50</v>
      </c>
      <c r="C56" s="36"/>
      <c r="D56" s="36" t="s">
        <v>18</v>
      </c>
      <c r="E56" s="119">
        <v>1852</v>
      </c>
      <c r="F56" s="36">
        <v>58.75</v>
      </c>
      <c r="G56" s="100">
        <f>F56*E56</f>
        <v>108805</v>
      </c>
      <c r="H56" s="102">
        <v>58.75</v>
      </c>
      <c r="I56" s="100">
        <f>H56*E56</f>
        <v>108805</v>
      </c>
      <c r="J56" s="101">
        <f>I56/I59</f>
        <v>1.4826565234637776E-2</v>
      </c>
      <c r="K56" s="101"/>
      <c r="L56" s="102">
        <f>ROUND(H56*S59,2)</f>
        <v>61.58</v>
      </c>
      <c r="M56" s="100">
        <f>L56*E56</f>
        <v>114046.16</v>
      </c>
      <c r="N56" s="100">
        <f>M56-I56</f>
        <v>5241.1600000000035</v>
      </c>
      <c r="O56" s="101">
        <f>IF(I56=0,0,N56/I56)</f>
        <v>4.8170212765957482E-2</v>
      </c>
      <c r="P56" s="101">
        <f>M56/M59</f>
        <v>1.4825623420308763E-2</v>
      </c>
      <c r="Q56" s="120">
        <f>P56-J56</f>
        <v>-9.4181432901303819E-7</v>
      </c>
      <c r="R56" s="120"/>
      <c r="T56" s="8">
        <f>L56/H56-1</f>
        <v>4.8170212765957343E-2</v>
      </c>
    </row>
    <row r="57" spans="1:20" x14ac:dyDescent="0.25">
      <c r="A57" s="116">
        <f t="shared" si="1"/>
        <v>51</v>
      </c>
      <c r="D57" s="36" t="s">
        <v>191</v>
      </c>
      <c r="E57" s="119">
        <v>74901660</v>
      </c>
      <c r="F57" s="122">
        <v>6.3560000000000005E-2</v>
      </c>
      <c r="G57" s="100">
        <f t="shared" ref="G57:G58" si="39">F57*E57</f>
        <v>4760749.5096000005</v>
      </c>
      <c r="H57" s="122">
        <v>7.5380000000000003E-2</v>
      </c>
      <c r="I57" s="100">
        <f t="shared" ref="I57:I58" si="40">H57*E57</f>
        <v>5646087.1308000004</v>
      </c>
      <c r="J57" s="101">
        <f>I57/I59</f>
        <v>0.76937713492261417</v>
      </c>
      <c r="K57" s="101"/>
      <c r="L57" s="138">
        <f>ROUND(H57*S59,6)</f>
        <v>7.9009999999999997E-2</v>
      </c>
      <c r="M57" s="100">
        <f t="shared" ref="M57:M58" si="41">L57*E57</f>
        <v>5917980.1565999994</v>
      </c>
      <c r="N57" s="100">
        <f t="shared" ref="N57:N66" si="42">M57-I57</f>
        <v>271893.02579999901</v>
      </c>
      <c r="O57" s="101">
        <f t="shared" ref="O57:O58" si="43">IF(I57=0,0,N57/I57)</f>
        <v>4.8156009551605025E-2</v>
      </c>
      <c r="P57" s="101">
        <f>M57/M59</f>
        <v>0.76931783771247952</v>
      </c>
      <c r="Q57" s="120">
        <f t="shared" ref="Q57:Q59" si="44">P57-J57</f>
        <v>-5.9297210134645617E-5</v>
      </c>
      <c r="R57" s="120"/>
      <c r="T57" s="8">
        <f>L57/H57-1</f>
        <v>4.815600955160515E-2</v>
      </c>
    </row>
    <row r="58" spans="1:20" x14ac:dyDescent="0.25">
      <c r="A58" s="116">
        <f t="shared" si="1"/>
        <v>52</v>
      </c>
      <c r="D58" s="36" t="s">
        <v>192</v>
      </c>
      <c r="E58" s="119">
        <v>232886</v>
      </c>
      <c r="F58" s="102">
        <v>6.8</v>
      </c>
      <c r="G58" s="100">
        <f t="shared" si="39"/>
        <v>1583624.8</v>
      </c>
      <c r="H58" s="102">
        <v>6.8</v>
      </c>
      <c r="I58" s="100">
        <f t="shared" si="40"/>
        <v>1583624.8</v>
      </c>
      <c r="J58" s="101">
        <f>I58/I59</f>
        <v>0.21579629984274806</v>
      </c>
      <c r="K58" s="101"/>
      <c r="L58" s="102">
        <f>ROUND(H58*S59,2)</f>
        <v>7.13</v>
      </c>
      <c r="M58" s="100">
        <f t="shared" si="41"/>
        <v>1660477.18</v>
      </c>
      <c r="N58" s="100">
        <f t="shared" si="42"/>
        <v>76852.379999999888</v>
      </c>
      <c r="O58" s="101">
        <f t="shared" si="43"/>
        <v>4.8529411764705807E-2</v>
      </c>
      <c r="P58" s="101">
        <f>M58/M59</f>
        <v>0.21585653886721173</v>
      </c>
      <c r="Q58" s="120">
        <f t="shared" si="44"/>
        <v>6.0239024463670798E-5</v>
      </c>
      <c r="R58" s="120"/>
      <c r="T58" s="8">
        <f>L58/H58-1</f>
        <v>4.8529411764705932E-2</v>
      </c>
    </row>
    <row r="59" spans="1:20" s="12" customFormat="1" ht="20.399999999999999" customHeight="1" x14ac:dyDescent="0.3">
      <c r="A59" s="116">
        <f t="shared" si="1"/>
        <v>53</v>
      </c>
      <c r="B59" s="107"/>
      <c r="C59" s="123"/>
      <c r="D59" s="124" t="s">
        <v>7</v>
      </c>
      <c r="E59" s="124"/>
      <c r="F59" s="124"/>
      <c r="G59" s="31">
        <f>SUM(G56:G58)</f>
        <v>6453179.3096000003</v>
      </c>
      <c r="H59" s="124"/>
      <c r="I59" s="31">
        <f>SUM(I56:I58)</f>
        <v>7338516.9308000002</v>
      </c>
      <c r="J59" s="125">
        <f>SUM(J56:J58)</f>
        <v>1</v>
      </c>
      <c r="K59" s="126">
        <f>I59+Summary!I13</f>
        <v>7691904.3108000001</v>
      </c>
      <c r="L59" s="124"/>
      <c r="M59" s="31">
        <f>SUM(M56:M58)</f>
        <v>7692503.4965999993</v>
      </c>
      <c r="N59" s="31">
        <f t="shared" si="42"/>
        <v>353986.56579999905</v>
      </c>
      <c r="O59" s="125">
        <f t="shared" ref="O59" si="45">N59/I59</f>
        <v>4.8236798952429424E-2</v>
      </c>
      <c r="P59" s="125">
        <f>SUM(P56:P58)</f>
        <v>1</v>
      </c>
      <c r="Q59" s="127">
        <f t="shared" si="44"/>
        <v>0</v>
      </c>
      <c r="R59" s="128">
        <f>M59-K59</f>
        <v>599.18579999916255</v>
      </c>
      <c r="S59" s="12">
        <f>K59/I59</f>
        <v>1.048155149512134</v>
      </c>
    </row>
    <row r="60" spans="1:20" x14ac:dyDescent="0.25">
      <c r="A60" s="116">
        <f t="shared" si="1"/>
        <v>54</v>
      </c>
      <c r="D60" s="36" t="s">
        <v>27</v>
      </c>
      <c r="G60" s="100">
        <v>848101</v>
      </c>
      <c r="I60" s="104">
        <f>G60-($H$171*E57)</f>
        <v>-37236.621200000052</v>
      </c>
      <c r="M60" s="100">
        <f>I60</f>
        <v>-37236.621200000052</v>
      </c>
      <c r="N60" s="100">
        <f t="shared" si="42"/>
        <v>0</v>
      </c>
      <c r="O60" s="102">
        <v>0</v>
      </c>
    </row>
    <row r="61" spans="1:20" x14ac:dyDescent="0.25">
      <c r="A61" s="116">
        <f t="shared" si="1"/>
        <v>55</v>
      </c>
      <c r="D61" s="36" t="s">
        <v>28</v>
      </c>
      <c r="G61" s="100">
        <v>722342</v>
      </c>
      <c r="I61" s="104">
        <f t="shared" ref="I61:I63" si="46">G61</f>
        <v>722342</v>
      </c>
      <c r="M61" s="100">
        <f t="shared" ref="M61:M63" si="47">I61</f>
        <v>722342</v>
      </c>
      <c r="N61" s="100">
        <f t="shared" si="42"/>
        <v>0</v>
      </c>
      <c r="O61" s="102">
        <v>0</v>
      </c>
    </row>
    <row r="62" spans="1:20" x14ac:dyDescent="0.25">
      <c r="A62" s="116">
        <f t="shared" si="1"/>
        <v>56</v>
      </c>
      <c r="D62" s="36" t="s">
        <v>32</v>
      </c>
      <c r="G62" s="100">
        <v>0</v>
      </c>
      <c r="I62" s="104">
        <f t="shared" si="46"/>
        <v>0</v>
      </c>
      <c r="M62" s="100">
        <f t="shared" si="47"/>
        <v>0</v>
      </c>
      <c r="N62" s="100">
        <f t="shared" si="42"/>
        <v>0</v>
      </c>
      <c r="O62" s="102">
        <v>0</v>
      </c>
    </row>
    <row r="63" spans="1:20" x14ac:dyDescent="0.25">
      <c r="A63" s="116">
        <f t="shared" si="1"/>
        <v>57</v>
      </c>
      <c r="D63" s="36" t="s">
        <v>32</v>
      </c>
      <c r="G63" s="100">
        <v>0</v>
      </c>
      <c r="I63" s="104">
        <f t="shared" si="46"/>
        <v>0</v>
      </c>
      <c r="M63" s="100">
        <f t="shared" si="47"/>
        <v>0</v>
      </c>
      <c r="N63" s="100"/>
      <c r="O63" s="102"/>
    </row>
    <row r="64" spans="1:20" x14ac:dyDescent="0.25">
      <c r="A64" s="116">
        <f t="shared" si="1"/>
        <v>58</v>
      </c>
      <c r="D64" s="130" t="s">
        <v>9</v>
      </c>
      <c r="E64" s="130"/>
      <c r="F64" s="130"/>
      <c r="G64" s="131">
        <f>SUM(G60:G63)</f>
        <v>1570443</v>
      </c>
      <c r="H64" s="130"/>
      <c r="I64" s="131">
        <f>SUM(I60:I63)</f>
        <v>685105.37879999995</v>
      </c>
      <c r="J64" s="130"/>
      <c r="K64" s="130"/>
      <c r="L64" s="130"/>
      <c r="M64" s="131">
        <f>SUM(M60:M63)</f>
        <v>685105.37879999995</v>
      </c>
      <c r="N64" s="131">
        <f t="shared" si="42"/>
        <v>0</v>
      </c>
      <c r="O64" s="132">
        <f t="shared" ref="O64" si="48">N64-J64</f>
        <v>0</v>
      </c>
    </row>
    <row r="65" spans="1:20" s="12" customFormat="1" ht="26.4" customHeight="1" thickBot="1" x14ac:dyDescent="0.3">
      <c r="A65" s="116">
        <f t="shared" si="1"/>
        <v>59</v>
      </c>
      <c r="B65" s="107"/>
      <c r="C65" s="123"/>
      <c r="D65" s="133" t="s">
        <v>20</v>
      </c>
      <c r="E65" s="133"/>
      <c r="F65" s="133"/>
      <c r="G65" s="134">
        <f>G59+G64</f>
        <v>8023622.3096000003</v>
      </c>
      <c r="H65" s="133"/>
      <c r="I65" s="135">
        <f>I64+I59</f>
        <v>8023622.3096000003</v>
      </c>
      <c r="J65" s="133"/>
      <c r="K65" s="133"/>
      <c r="L65" s="133"/>
      <c r="M65" s="134">
        <f>M64+M59</f>
        <v>8377608.8753999993</v>
      </c>
      <c r="N65" s="134">
        <f t="shared" si="42"/>
        <v>353986.56579999905</v>
      </c>
      <c r="O65" s="136">
        <f>N65/I65</f>
        <v>4.4118049447126363E-2</v>
      </c>
      <c r="P65" s="36"/>
      <c r="Q65" s="36"/>
      <c r="R65" s="36"/>
    </row>
    <row r="66" spans="1:20" ht="13.8" thickTop="1" x14ac:dyDescent="0.25">
      <c r="A66" s="116">
        <f t="shared" si="1"/>
        <v>60</v>
      </c>
      <c r="D66" s="36" t="s">
        <v>19</v>
      </c>
      <c r="E66" s="36">
        <f>E57/E56</f>
        <v>40443.660907127429</v>
      </c>
      <c r="G66" s="137">
        <f>G65/E56</f>
        <v>4332.4094544276459</v>
      </c>
      <c r="I66" s="137">
        <f>I65/E56</f>
        <v>4332.4094544276459</v>
      </c>
      <c r="M66" s="137">
        <f>M65/E56</f>
        <v>4523.5469089632825</v>
      </c>
      <c r="N66" s="137">
        <f t="shared" si="42"/>
        <v>191.13745453563661</v>
      </c>
      <c r="O66" s="101">
        <f>N66/I66</f>
        <v>4.4118049447126356E-2</v>
      </c>
    </row>
    <row r="67" spans="1:20" ht="13.8" thickBot="1" x14ac:dyDescent="0.3">
      <c r="A67" s="116">
        <f t="shared" si="1"/>
        <v>61</v>
      </c>
    </row>
    <row r="68" spans="1:20" x14ac:dyDescent="0.25">
      <c r="A68" s="116">
        <f t="shared" si="1"/>
        <v>62</v>
      </c>
      <c r="B68" s="117" t="s">
        <v>38</v>
      </c>
      <c r="C68" s="118">
        <v>46</v>
      </c>
      <c r="D68" s="117"/>
      <c r="E68" s="117"/>
      <c r="F68" s="117"/>
      <c r="G68" s="117"/>
      <c r="H68" s="117"/>
      <c r="I68" s="117"/>
      <c r="J68" s="117"/>
      <c r="K68" s="117"/>
      <c r="L68" s="117"/>
      <c r="M68" s="117"/>
      <c r="N68" s="117"/>
      <c r="O68" s="117"/>
      <c r="P68" s="117"/>
      <c r="Q68" s="117"/>
      <c r="R68" s="117"/>
    </row>
    <row r="69" spans="1:20" x14ac:dyDescent="0.25">
      <c r="A69" s="116">
        <f t="shared" si="1"/>
        <v>63</v>
      </c>
      <c r="C69" s="36"/>
      <c r="D69" s="36" t="s">
        <v>18</v>
      </c>
      <c r="E69" s="119">
        <v>92</v>
      </c>
      <c r="F69" s="36">
        <v>1754.33</v>
      </c>
      <c r="G69" s="100">
        <f>F69*E69</f>
        <v>161398.35999999999</v>
      </c>
      <c r="H69" s="102">
        <v>1754.33</v>
      </c>
      <c r="I69" s="100">
        <f>H69*E69</f>
        <v>161398.35999999999</v>
      </c>
      <c r="J69" s="101">
        <f>I69/I72</f>
        <v>2.204919063861447E-2</v>
      </c>
      <c r="K69" s="101"/>
      <c r="L69" s="102">
        <f>ROUND(H69*S72,2)</f>
        <v>1888.33</v>
      </c>
      <c r="M69" s="100">
        <f>L69*E69</f>
        <v>173726.36</v>
      </c>
      <c r="N69" s="100">
        <f>M69-I69</f>
        <v>12328</v>
      </c>
      <c r="O69" s="101">
        <f>IF(I69=0,0,N69/I69)</f>
        <v>7.6382436599727543E-2</v>
      </c>
      <c r="P69" s="101">
        <f>M69/M72</f>
        <v>2.2048717201791641E-2</v>
      </c>
      <c r="Q69" s="120">
        <f>P69-J69</f>
        <v>-4.7343682282874333E-7</v>
      </c>
      <c r="R69" s="120"/>
      <c r="T69" s="8">
        <f>L69/H69-1</f>
        <v>7.6382436599727432E-2</v>
      </c>
    </row>
    <row r="70" spans="1:20" x14ac:dyDescent="0.25">
      <c r="A70" s="116">
        <f t="shared" si="1"/>
        <v>64</v>
      </c>
      <c r="D70" s="36" t="s">
        <v>191</v>
      </c>
      <c r="E70" s="119">
        <v>97780556</v>
      </c>
      <c r="F70" s="122">
        <v>4.8320000000000002E-2</v>
      </c>
      <c r="G70" s="100">
        <f t="shared" ref="G70:G71" si="49">F70*E70</f>
        <v>4724756.4659200003</v>
      </c>
      <c r="H70" s="122">
        <v>6.0139999999999999E-2</v>
      </c>
      <c r="I70" s="100">
        <f t="shared" ref="I70:I71" si="50">H70*E70</f>
        <v>5880522.63784</v>
      </c>
      <c r="J70" s="101">
        <f>I70/I72</f>
        <v>0.80335862580277895</v>
      </c>
      <c r="K70" s="101"/>
      <c r="L70" s="138">
        <f>ROUND(H70*S72,6)</f>
        <v>6.4734E-2</v>
      </c>
      <c r="M70" s="100">
        <f t="shared" ref="M70:M71" si="51">L70*E70</f>
        <v>6329726.512104</v>
      </c>
      <c r="N70" s="100">
        <f t="shared" ref="N70:N79" si="52">M70-I70</f>
        <v>449203.87426399998</v>
      </c>
      <c r="O70" s="101">
        <f t="shared" ref="O70:O71" si="53">IF(I70=0,0,N70/I70)</f>
        <v>7.6388427003658124E-2</v>
      </c>
      <c r="P70" s="101">
        <f>M70/M72</f>
        <v>0.80334584705547329</v>
      </c>
      <c r="Q70" s="120">
        <f t="shared" ref="Q70:Q72" si="54">P70-J70</f>
        <v>-1.2778747305652871E-5</v>
      </c>
      <c r="R70" s="120"/>
      <c r="T70" s="8">
        <f>L70/H70-1</f>
        <v>7.638842700365811E-2</v>
      </c>
    </row>
    <row r="71" spans="1:20" x14ac:dyDescent="0.25">
      <c r="A71" s="116">
        <f t="shared" si="1"/>
        <v>65</v>
      </c>
      <c r="D71" s="36" t="s">
        <v>192</v>
      </c>
      <c r="E71" s="119">
        <v>181020</v>
      </c>
      <c r="F71" s="102">
        <v>7.06</v>
      </c>
      <c r="G71" s="100">
        <f t="shared" si="49"/>
        <v>1278001.2</v>
      </c>
      <c r="H71" s="102">
        <v>7.06</v>
      </c>
      <c r="I71" s="100">
        <f t="shared" si="50"/>
        <v>1278001.2</v>
      </c>
      <c r="J71" s="101">
        <f>I71/I72</f>
        <v>0.17459218355860653</v>
      </c>
      <c r="K71" s="101"/>
      <c r="L71" s="102">
        <f>ROUND(H71*S72,2)</f>
        <v>7.6</v>
      </c>
      <c r="M71" s="100">
        <f t="shared" si="51"/>
        <v>1375752</v>
      </c>
      <c r="N71" s="100">
        <f t="shared" si="52"/>
        <v>97750.800000000047</v>
      </c>
      <c r="O71" s="101">
        <f t="shared" si="53"/>
        <v>7.6487252124645938E-2</v>
      </c>
      <c r="P71" s="101">
        <f>M71/M72</f>
        <v>0.17460543574273504</v>
      </c>
      <c r="Q71" s="120">
        <f t="shared" si="54"/>
        <v>1.325218412850937E-5</v>
      </c>
      <c r="R71" s="120"/>
      <c r="T71" s="8">
        <f>L71/H71-1</f>
        <v>7.6487252124645799E-2</v>
      </c>
    </row>
    <row r="72" spans="1:20" s="12" customFormat="1" ht="20.399999999999999" customHeight="1" x14ac:dyDescent="0.3">
      <c r="A72" s="116">
        <f t="shared" si="1"/>
        <v>66</v>
      </c>
      <c r="B72" s="107"/>
      <c r="C72" s="123"/>
      <c r="D72" s="124" t="s">
        <v>7</v>
      </c>
      <c r="E72" s="124"/>
      <c r="F72" s="124"/>
      <c r="G72" s="31">
        <f>SUM(G69:G71)</f>
        <v>6164156.0259200009</v>
      </c>
      <c r="H72" s="124"/>
      <c r="I72" s="31">
        <f>SUM(I69:I71)</f>
        <v>7319922.1978400005</v>
      </c>
      <c r="J72" s="125">
        <f>SUM(J69:J71)</f>
        <v>0.99999999999999989</v>
      </c>
      <c r="K72" s="126">
        <f>I72+Summary!I19</f>
        <v>7879023.42784</v>
      </c>
      <c r="L72" s="124"/>
      <c r="M72" s="31">
        <f>SUM(M69:M71)</f>
        <v>7879204.8721040003</v>
      </c>
      <c r="N72" s="31">
        <f t="shared" si="52"/>
        <v>559282.6742639998</v>
      </c>
      <c r="O72" s="125">
        <f t="shared" ref="O72" si="55">N72/I72</f>
        <v>7.6405549013763521E-2</v>
      </c>
      <c r="P72" s="125">
        <f>SUM(P69:P71)</f>
        <v>1</v>
      </c>
      <c r="Q72" s="127">
        <f t="shared" si="54"/>
        <v>0</v>
      </c>
      <c r="R72" s="128">
        <f>M72-K72</f>
        <v>181.44426400028169</v>
      </c>
      <c r="S72" s="12">
        <f>K72/I72</f>
        <v>1.0763807612825422</v>
      </c>
    </row>
    <row r="73" spans="1:20" x14ac:dyDescent="0.25">
      <c r="A73" s="116">
        <f t="shared" ref="A73:A138" si="56">A72+1</f>
        <v>67</v>
      </c>
      <c r="D73" s="36" t="s">
        <v>27</v>
      </c>
      <c r="G73" s="100">
        <v>1093819</v>
      </c>
      <c r="I73" s="104">
        <f>G73-($H$171*E70)</f>
        <v>-61947.17192000011</v>
      </c>
      <c r="M73" s="100">
        <f>I73</f>
        <v>-61947.17192000011</v>
      </c>
      <c r="N73" s="100">
        <f t="shared" si="52"/>
        <v>0</v>
      </c>
      <c r="O73" s="102">
        <v>0</v>
      </c>
    </row>
    <row r="74" spans="1:20" x14ac:dyDescent="0.25">
      <c r="A74" s="116">
        <f t="shared" si="56"/>
        <v>68</v>
      </c>
      <c r="D74" s="36" t="s">
        <v>28</v>
      </c>
      <c r="G74" s="100">
        <v>891470</v>
      </c>
      <c r="I74" s="104">
        <f t="shared" ref="I74:I75" si="57">G74</f>
        <v>891470</v>
      </c>
      <c r="M74" s="100">
        <f t="shared" ref="M74:M76" si="58">I74</f>
        <v>891470</v>
      </c>
      <c r="N74" s="100">
        <f t="shared" si="52"/>
        <v>0</v>
      </c>
      <c r="O74" s="102">
        <v>0</v>
      </c>
    </row>
    <row r="75" spans="1:20" x14ac:dyDescent="0.25">
      <c r="A75" s="116">
        <f t="shared" si="56"/>
        <v>69</v>
      </c>
      <c r="D75" s="36" t="s">
        <v>32</v>
      </c>
      <c r="G75" s="100">
        <f>Sheet1!N131</f>
        <v>0</v>
      </c>
      <c r="I75" s="104">
        <f t="shared" si="57"/>
        <v>0</v>
      </c>
      <c r="M75" s="100">
        <f t="shared" si="58"/>
        <v>0</v>
      </c>
      <c r="N75" s="100">
        <f t="shared" si="52"/>
        <v>0</v>
      </c>
      <c r="O75" s="102">
        <v>0</v>
      </c>
    </row>
    <row r="76" spans="1:20" x14ac:dyDescent="0.25">
      <c r="A76" s="116">
        <f t="shared" si="56"/>
        <v>70</v>
      </c>
      <c r="D76" s="36" t="s">
        <v>32</v>
      </c>
      <c r="G76" s="100">
        <v>0</v>
      </c>
      <c r="I76" s="104">
        <f>G76</f>
        <v>0</v>
      </c>
      <c r="M76" s="100">
        <f t="shared" si="58"/>
        <v>0</v>
      </c>
      <c r="N76" s="100"/>
      <c r="O76" s="102"/>
    </row>
    <row r="77" spans="1:20" x14ac:dyDescent="0.25">
      <c r="A77" s="116">
        <f t="shared" si="56"/>
        <v>71</v>
      </c>
      <c r="D77" s="130" t="s">
        <v>9</v>
      </c>
      <c r="E77" s="130"/>
      <c r="F77" s="130"/>
      <c r="G77" s="131">
        <f>SUM(G73:G76)</f>
        <v>1985289</v>
      </c>
      <c r="H77" s="130"/>
      <c r="I77" s="131">
        <f>SUM(I73:I76)</f>
        <v>829522.82807999989</v>
      </c>
      <c r="J77" s="130"/>
      <c r="K77" s="130"/>
      <c r="L77" s="130"/>
      <c r="M77" s="131">
        <f>SUM(M73:M76)</f>
        <v>829522.82807999989</v>
      </c>
      <c r="N77" s="131">
        <f t="shared" si="52"/>
        <v>0</v>
      </c>
      <c r="O77" s="132">
        <f t="shared" ref="O77" si="59">N77-J77</f>
        <v>0</v>
      </c>
    </row>
    <row r="78" spans="1:20" s="12" customFormat="1" ht="26.4" customHeight="1" thickBot="1" x14ac:dyDescent="0.3">
      <c r="A78" s="116">
        <f t="shared" si="56"/>
        <v>72</v>
      </c>
      <c r="B78" s="107"/>
      <c r="C78" s="123"/>
      <c r="D78" s="133" t="s">
        <v>20</v>
      </c>
      <c r="E78" s="133"/>
      <c r="F78" s="133"/>
      <c r="G78" s="134">
        <f>G72+G77</f>
        <v>8149445.0259200009</v>
      </c>
      <c r="H78" s="133"/>
      <c r="I78" s="135">
        <f>I77+I72</f>
        <v>8149445.0259199999</v>
      </c>
      <c r="J78" s="133"/>
      <c r="K78" s="133"/>
      <c r="L78" s="133"/>
      <c r="M78" s="134">
        <f>M77+M72</f>
        <v>8708727.7001840007</v>
      </c>
      <c r="N78" s="134">
        <f t="shared" si="52"/>
        <v>559282.67426400073</v>
      </c>
      <c r="O78" s="136">
        <f>N78/I78</f>
        <v>6.8628314257615688E-2</v>
      </c>
      <c r="P78" s="36"/>
      <c r="Q78" s="36"/>
      <c r="R78" s="36"/>
    </row>
    <row r="79" spans="1:20" ht="13.8" thickTop="1" x14ac:dyDescent="0.25">
      <c r="A79" s="116">
        <f t="shared" si="56"/>
        <v>73</v>
      </c>
      <c r="D79" s="36" t="s">
        <v>19</v>
      </c>
      <c r="E79" s="36">
        <f>E70/E69</f>
        <v>1062832.1304347827</v>
      </c>
      <c r="G79" s="137">
        <f>G78/E69</f>
        <v>88580.924194782623</v>
      </c>
      <c r="I79" s="137">
        <f>I78/E69</f>
        <v>88580.924194782609</v>
      </c>
      <c r="M79" s="137">
        <f>M78/E69</f>
        <v>94660.083697652182</v>
      </c>
      <c r="N79" s="137">
        <f t="shared" si="52"/>
        <v>6079.1595028695738</v>
      </c>
      <c r="O79" s="101">
        <f>N79/I79</f>
        <v>6.8628314257615688E-2</v>
      </c>
    </row>
    <row r="80" spans="1:20" ht="13.8" thickBot="1" x14ac:dyDescent="0.3">
      <c r="A80" s="116">
        <f t="shared" si="56"/>
        <v>74</v>
      </c>
    </row>
    <row r="81" spans="1:20" x14ac:dyDescent="0.25">
      <c r="A81" s="116">
        <f t="shared" si="56"/>
        <v>75</v>
      </c>
      <c r="B81" s="117" t="s">
        <v>38</v>
      </c>
      <c r="C81" s="118">
        <v>47</v>
      </c>
      <c r="D81" s="117"/>
      <c r="E81" s="117"/>
      <c r="F81" s="117"/>
      <c r="G81" s="117"/>
      <c r="H81" s="117"/>
      <c r="I81" s="117"/>
      <c r="J81" s="117"/>
      <c r="K81" s="117"/>
      <c r="L81" s="117"/>
      <c r="M81" s="117"/>
      <c r="N81" s="117"/>
      <c r="O81" s="117"/>
      <c r="P81" s="117"/>
      <c r="Q81" s="117"/>
      <c r="R81" s="117"/>
    </row>
    <row r="82" spans="1:20" x14ac:dyDescent="0.25">
      <c r="A82" s="116">
        <f t="shared" si="56"/>
        <v>76</v>
      </c>
      <c r="C82" s="36"/>
      <c r="D82" s="36" t="s">
        <v>18</v>
      </c>
      <c r="E82" s="119">
        <v>71</v>
      </c>
      <c r="F82" s="36">
        <v>1754.33</v>
      </c>
      <c r="G82" s="100">
        <f>F82*E82</f>
        <v>124557.43</v>
      </c>
      <c r="H82" s="102">
        <v>1754.33</v>
      </c>
      <c r="I82" s="100">
        <f>H82*E82</f>
        <v>124557.43</v>
      </c>
      <c r="J82" s="101">
        <f>I82/I86</f>
        <v>2.6010746193118189E-2</v>
      </c>
      <c r="K82" s="101"/>
      <c r="L82" s="102">
        <f>ROUND(H82*S$86,2)</f>
        <v>1915.24</v>
      </c>
      <c r="M82" s="100">
        <f>L82*E82</f>
        <v>135982.04</v>
      </c>
      <c r="N82" s="100">
        <f>M82-I82</f>
        <v>11424.610000000015</v>
      </c>
      <c r="O82" s="101">
        <f>IF(I82=0,0,N82/I82)</f>
        <v>9.1721625919866975E-2</v>
      </c>
      <c r="P82" s="101">
        <f>M82/M86</f>
        <v>2.6009521065854094E-2</v>
      </c>
      <c r="Q82" s="120">
        <f>P82-J82</f>
        <v>-1.2251272640956268E-6</v>
      </c>
      <c r="R82" s="120"/>
      <c r="T82" s="8">
        <f t="shared" ref="T82:T85" si="60">L82/H82-1</f>
        <v>9.1721625919866989E-2</v>
      </c>
    </row>
    <row r="83" spans="1:20" x14ac:dyDescent="0.25">
      <c r="A83" s="116">
        <f t="shared" si="56"/>
        <v>77</v>
      </c>
      <c r="D83" s="36" t="s">
        <v>191</v>
      </c>
      <c r="E83" s="119">
        <v>63304128</v>
      </c>
      <c r="F83" s="122">
        <v>4.9399999999999999E-2</v>
      </c>
      <c r="G83" s="100">
        <f t="shared" ref="G83:G85" si="61">F83*E83</f>
        <v>3127223.9232000001</v>
      </c>
      <c r="H83" s="122">
        <v>6.1219999999999997E-2</v>
      </c>
      <c r="I83" s="100">
        <f t="shared" ref="I83:I85" si="62">H83*E83</f>
        <v>3875478.7161599998</v>
      </c>
      <c r="J83" s="101">
        <f>I83/I86</f>
        <v>0.80929811463570889</v>
      </c>
      <c r="K83" s="101"/>
      <c r="L83" s="121">
        <f>ROUND(H83*S$86,6)</f>
        <v>6.6835000000000006E-2</v>
      </c>
      <c r="M83" s="100">
        <f t="shared" ref="M83:M85" si="63">L83*E83</f>
        <v>4230931.3948800005</v>
      </c>
      <c r="N83" s="100">
        <f t="shared" ref="N83:N93" si="64">M83-I83</f>
        <v>355452.67872000067</v>
      </c>
      <c r="O83" s="101">
        <f t="shared" ref="O83:O85" si="65">IF(I83=0,0,N83/I83)</f>
        <v>9.1718392682130195E-2</v>
      </c>
      <c r="P83" s="101">
        <f>M83/M86</f>
        <v>0.80925759933675667</v>
      </c>
      <c r="Q83" s="120">
        <f t="shared" ref="Q83:Q86" si="66">P83-J83</f>
        <v>-4.0515298952215062E-5</v>
      </c>
      <c r="R83" s="120"/>
      <c r="T83" s="8">
        <f t="shared" si="60"/>
        <v>9.1718392682130112E-2</v>
      </c>
    </row>
    <row r="84" spans="1:20" x14ac:dyDescent="0.25">
      <c r="A84" s="116">
        <f t="shared" si="56"/>
        <v>78</v>
      </c>
      <c r="D84" s="36" t="s">
        <v>193</v>
      </c>
      <c r="E84" s="119">
        <v>102900</v>
      </c>
      <c r="F84" s="102">
        <v>7.06</v>
      </c>
      <c r="G84" s="100">
        <f t="shared" ref="G84" si="67">F84*E84</f>
        <v>726474</v>
      </c>
      <c r="H84" s="102">
        <v>7.06</v>
      </c>
      <c r="I84" s="100">
        <f t="shared" ref="I84" si="68">H84*E84</f>
        <v>726474</v>
      </c>
      <c r="J84" s="101">
        <f>I84/I86</f>
        <v>0.15170617144155385</v>
      </c>
      <c r="K84" s="101"/>
      <c r="L84" s="102">
        <f>ROUND(H84*S$86,2)</f>
        <v>7.71</v>
      </c>
      <c r="M84" s="100">
        <f t="shared" ref="M84" si="69">L84*E84</f>
        <v>793359</v>
      </c>
      <c r="N84" s="100">
        <f t="shared" ref="N84" si="70">M84-I84</f>
        <v>66885</v>
      </c>
      <c r="O84" s="101">
        <f t="shared" ref="O84" si="71">IF(I84=0,0,N84/I84)</f>
        <v>9.2067988668555242E-2</v>
      </c>
      <c r="P84" s="101">
        <f>M84/M86</f>
        <v>0.1517471544277828</v>
      </c>
      <c r="Q84" s="120">
        <f t="shared" ref="Q84" si="72">P84-J84</f>
        <v>4.0982986228954577E-5</v>
      </c>
      <c r="R84" s="120"/>
      <c r="T84" s="8">
        <f t="shared" si="60"/>
        <v>9.2067988668555367E-2</v>
      </c>
    </row>
    <row r="85" spans="1:20" x14ac:dyDescent="0.25">
      <c r="A85" s="116">
        <f t="shared" si="56"/>
        <v>79</v>
      </c>
      <c r="D85" s="36" t="s">
        <v>194</v>
      </c>
      <c r="E85" s="119">
        <v>6345</v>
      </c>
      <c r="F85" s="102">
        <v>9.8000000000000007</v>
      </c>
      <c r="G85" s="100">
        <f t="shared" si="61"/>
        <v>62181.000000000007</v>
      </c>
      <c r="H85" s="102">
        <v>9.8000000000000007</v>
      </c>
      <c r="I85" s="100">
        <f t="shared" si="62"/>
        <v>62181.000000000007</v>
      </c>
      <c r="J85" s="101">
        <f>I85/I86</f>
        <v>1.2984967729619039E-2</v>
      </c>
      <c r="K85" s="101"/>
      <c r="L85" s="102">
        <f>ROUND(H85*S$86,2)</f>
        <v>10.7</v>
      </c>
      <c r="M85" s="100">
        <f t="shared" si="63"/>
        <v>67891.5</v>
      </c>
      <c r="N85" s="100">
        <f t="shared" si="64"/>
        <v>5710.4999999999927</v>
      </c>
      <c r="O85" s="101">
        <f t="shared" si="65"/>
        <v>9.1836734693877417E-2</v>
      </c>
      <c r="P85" s="101">
        <f>M85/M86</f>
        <v>1.2985725169606466E-2</v>
      </c>
      <c r="Q85" s="120">
        <f t="shared" si="66"/>
        <v>7.5743998742723584E-7</v>
      </c>
      <c r="R85" s="120"/>
      <c r="T85" s="8">
        <f t="shared" si="60"/>
        <v>9.183673469387732E-2</v>
      </c>
    </row>
    <row r="86" spans="1:20" s="12" customFormat="1" ht="20.399999999999999" customHeight="1" x14ac:dyDescent="0.3">
      <c r="A86" s="116">
        <f t="shared" si="56"/>
        <v>80</v>
      </c>
      <c r="B86" s="107"/>
      <c r="C86" s="123"/>
      <c r="D86" s="124" t="s">
        <v>7</v>
      </c>
      <c r="E86" s="124"/>
      <c r="F86" s="124"/>
      <c r="G86" s="31">
        <f>SUM(G82:G85)</f>
        <v>4040436.3532000002</v>
      </c>
      <c r="H86" s="124"/>
      <c r="I86" s="31">
        <f>SUM(I82:I85)</f>
        <v>4788691.14616</v>
      </c>
      <c r="J86" s="125">
        <f>SUM(J82:J85)</f>
        <v>0.99999999999999989</v>
      </c>
      <c r="K86" s="126">
        <f>I86+Summary!I20</f>
        <v>5227908.2161600003</v>
      </c>
      <c r="L86" s="124"/>
      <c r="M86" s="31">
        <f>SUM(M82:M85)</f>
        <v>5228163.9348800005</v>
      </c>
      <c r="N86" s="31">
        <f t="shared" si="64"/>
        <v>439472.78872000054</v>
      </c>
      <c r="O86" s="125">
        <f t="shared" ref="O86" si="73">N86/I86</f>
        <v>9.1773049316911798E-2</v>
      </c>
      <c r="P86" s="125">
        <f>SUM(P82:P85)</f>
        <v>1</v>
      </c>
      <c r="Q86" s="127">
        <f t="shared" si="66"/>
        <v>0</v>
      </c>
      <c r="R86" s="128">
        <f>M86-K86</f>
        <v>255.71872000023723</v>
      </c>
      <c r="S86" s="12">
        <f>K86/I86</f>
        <v>1.0917196487712939</v>
      </c>
    </row>
    <row r="87" spans="1:20" x14ac:dyDescent="0.25">
      <c r="A87" s="116">
        <f t="shared" si="56"/>
        <v>81</v>
      </c>
      <c r="D87" s="36" t="s">
        <v>27</v>
      </c>
      <c r="G87" s="100">
        <v>713438</v>
      </c>
      <c r="I87" s="104">
        <f>G87-($H$171*E83)</f>
        <v>-34816.792959999992</v>
      </c>
      <c r="M87" s="100">
        <f>I87</f>
        <v>-34816.792959999992</v>
      </c>
      <c r="N87" s="100">
        <f t="shared" si="64"/>
        <v>0</v>
      </c>
      <c r="O87" s="102">
        <v>0</v>
      </c>
    </row>
    <row r="88" spans="1:20" x14ac:dyDescent="0.25">
      <c r="A88" s="116">
        <f t="shared" si="56"/>
        <v>82</v>
      </c>
      <c r="D88" s="36" t="s">
        <v>28</v>
      </c>
      <c r="G88" s="100">
        <v>652372</v>
      </c>
      <c r="I88" s="104">
        <f t="shared" ref="I88:I90" si="74">G88</f>
        <v>652372</v>
      </c>
      <c r="M88" s="100">
        <f t="shared" ref="M88:M90" si="75">I88</f>
        <v>652372</v>
      </c>
      <c r="N88" s="100">
        <f t="shared" si="64"/>
        <v>0</v>
      </c>
      <c r="O88" s="102">
        <v>0</v>
      </c>
    </row>
    <row r="89" spans="1:20" x14ac:dyDescent="0.25">
      <c r="A89" s="116">
        <f t="shared" si="56"/>
        <v>83</v>
      </c>
      <c r="D89" s="36" t="s">
        <v>32</v>
      </c>
      <c r="G89" s="100">
        <f>Sheet1!N154</f>
        <v>0</v>
      </c>
      <c r="I89" s="104">
        <f t="shared" si="74"/>
        <v>0</v>
      </c>
      <c r="M89" s="100">
        <f t="shared" si="75"/>
        <v>0</v>
      </c>
      <c r="N89" s="100">
        <f t="shared" si="64"/>
        <v>0</v>
      </c>
      <c r="O89" s="102">
        <v>0</v>
      </c>
    </row>
    <row r="90" spans="1:20" x14ac:dyDescent="0.25">
      <c r="A90" s="116">
        <f t="shared" si="56"/>
        <v>84</v>
      </c>
      <c r="D90" s="36" t="s">
        <v>32</v>
      </c>
      <c r="G90" s="100">
        <v>0</v>
      </c>
      <c r="I90" s="104">
        <f t="shared" si="74"/>
        <v>0</v>
      </c>
      <c r="M90" s="100">
        <f t="shared" si="75"/>
        <v>0</v>
      </c>
      <c r="N90" s="100"/>
      <c r="O90" s="102"/>
    </row>
    <row r="91" spans="1:20" x14ac:dyDescent="0.25">
      <c r="A91" s="116">
        <f t="shared" si="56"/>
        <v>85</v>
      </c>
      <c r="D91" s="130" t="s">
        <v>9</v>
      </c>
      <c r="E91" s="130"/>
      <c r="F91" s="130"/>
      <c r="G91" s="131">
        <f>SUM(G87:G90)</f>
        <v>1365810</v>
      </c>
      <c r="H91" s="130"/>
      <c r="I91" s="131">
        <f>SUM(I87:I90)</f>
        <v>617555.20704000001</v>
      </c>
      <c r="J91" s="130"/>
      <c r="K91" s="130"/>
      <c r="L91" s="130"/>
      <c r="M91" s="131">
        <f>SUM(M87:M90)</f>
        <v>617555.20704000001</v>
      </c>
      <c r="N91" s="131">
        <f t="shared" si="64"/>
        <v>0</v>
      </c>
      <c r="O91" s="132">
        <f t="shared" ref="O91" si="76">N91-J91</f>
        <v>0</v>
      </c>
    </row>
    <row r="92" spans="1:20" s="12" customFormat="1" ht="26.4" customHeight="1" thickBot="1" x14ac:dyDescent="0.3">
      <c r="A92" s="116">
        <f t="shared" si="56"/>
        <v>86</v>
      </c>
      <c r="B92" s="107"/>
      <c r="C92" s="123"/>
      <c r="D92" s="133" t="s">
        <v>20</v>
      </c>
      <c r="E92" s="133"/>
      <c r="F92" s="133"/>
      <c r="G92" s="134">
        <f>G86+G91</f>
        <v>5406246.3531999998</v>
      </c>
      <c r="H92" s="133"/>
      <c r="I92" s="135">
        <f>I91+I86</f>
        <v>5406246.3531999998</v>
      </c>
      <c r="J92" s="133"/>
      <c r="K92" s="133"/>
      <c r="L92" s="133"/>
      <c r="M92" s="134">
        <f>M91+M86</f>
        <v>5845719.1419200003</v>
      </c>
      <c r="N92" s="134">
        <f t="shared" si="64"/>
        <v>439472.78872000054</v>
      </c>
      <c r="O92" s="136">
        <f>N92/I92</f>
        <v>8.1289819221773557E-2</v>
      </c>
      <c r="P92" s="36"/>
      <c r="Q92" s="36"/>
      <c r="R92" s="36"/>
    </row>
    <row r="93" spans="1:20" ht="13.8" thickTop="1" x14ac:dyDescent="0.25">
      <c r="A93" s="116">
        <f t="shared" si="56"/>
        <v>87</v>
      </c>
      <c r="D93" s="36" t="s">
        <v>19</v>
      </c>
      <c r="E93" s="36">
        <f>E83/E82</f>
        <v>891607.43661971833</v>
      </c>
      <c r="G93" s="137">
        <f>G92/E82</f>
        <v>76144.314833802811</v>
      </c>
      <c r="I93" s="137">
        <f>I92/E82</f>
        <v>76144.314833802811</v>
      </c>
      <c r="M93" s="137">
        <f>M92/E82</f>
        <v>82334.072421408462</v>
      </c>
      <c r="N93" s="137">
        <f t="shared" si="64"/>
        <v>6189.7575876056508</v>
      </c>
      <c r="O93" s="101">
        <f>N93/I93</f>
        <v>8.1289819221773682E-2</v>
      </c>
    </row>
    <row r="94" spans="1:20" ht="13.8" thickBot="1" x14ac:dyDescent="0.3">
      <c r="A94" s="116">
        <f t="shared" si="56"/>
        <v>88</v>
      </c>
    </row>
    <row r="95" spans="1:20" x14ac:dyDescent="0.25">
      <c r="A95" s="116">
        <f t="shared" si="56"/>
        <v>89</v>
      </c>
      <c r="B95" s="117" t="s">
        <v>39</v>
      </c>
      <c r="C95" s="118">
        <v>50</v>
      </c>
      <c r="D95" s="117"/>
      <c r="E95" s="117"/>
      <c r="F95" s="117"/>
      <c r="G95" s="117"/>
      <c r="H95" s="117"/>
      <c r="I95" s="117"/>
      <c r="J95" s="117"/>
      <c r="K95" s="117"/>
      <c r="L95" s="117"/>
      <c r="M95" s="117"/>
      <c r="N95" s="117"/>
      <c r="O95" s="117"/>
      <c r="P95" s="117"/>
      <c r="Q95" s="117"/>
      <c r="R95" s="117"/>
    </row>
    <row r="96" spans="1:20" x14ac:dyDescent="0.25">
      <c r="A96" s="116">
        <f t="shared" si="56"/>
        <v>90</v>
      </c>
      <c r="C96" s="36"/>
      <c r="D96" s="36" t="s">
        <v>18</v>
      </c>
      <c r="E96" s="119">
        <v>11934</v>
      </c>
      <c r="F96" s="36">
        <v>23.2</v>
      </c>
      <c r="G96" s="100">
        <f>F96*E96</f>
        <v>276868.8</v>
      </c>
      <c r="H96" s="102">
        <v>23.2</v>
      </c>
      <c r="I96" s="100">
        <f>H96*E96</f>
        <v>276868.8</v>
      </c>
      <c r="J96" s="101">
        <f>I96/I98</f>
        <v>0.10384222687611673</v>
      </c>
      <c r="K96" s="101"/>
      <c r="L96" s="102">
        <f>ROUND(H96*S98,2)</f>
        <v>24.32</v>
      </c>
      <c r="M96" s="100">
        <f>L96*E96</f>
        <v>290234.88</v>
      </c>
      <c r="N96" s="100">
        <f>M96-I96</f>
        <v>13366.080000000016</v>
      </c>
      <c r="O96" s="101">
        <f>IF(I96=0,0,N96/I96)</f>
        <v>4.8275862068965579E-2</v>
      </c>
      <c r="P96" s="101">
        <f>M96/M98</f>
        <v>0.10385266036729827</v>
      </c>
      <c r="Q96" s="120">
        <f>P96-J96</f>
        <v>1.0433491181544019E-5</v>
      </c>
      <c r="R96" s="120"/>
      <c r="T96" s="8">
        <f t="shared" ref="T96:T97" si="77">L96/H96-1</f>
        <v>4.8275862068965614E-2</v>
      </c>
    </row>
    <row r="97" spans="1:20" x14ac:dyDescent="0.25">
      <c r="A97" s="116">
        <f t="shared" si="56"/>
        <v>91</v>
      </c>
      <c r="D97" s="36" t="s">
        <v>191</v>
      </c>
      <c r="E97" s="119">
        <v>22682514</v>
      </c>
      <c r="F97" s="122">
        <v>9.3520000000000006E-2</v>
      </c>
      <c r="G97" s="100">
        <f t="shared" ref="G97" si="78">F97*E97</f>
        <v>2121268.7092800001</v>
      </c>
      <c r="H97" s="122">
        <v>0.10534</v>
      </c>
      <c r="I97" s="100">
        <f t="shared" ref="I97" si="79">H97*E97</f>
        <v>2389376.0247599999</v>
      </c>
      <c r="J97" s="101">
        <f>I97/I98</f>
        <v>0.89615777312388334</v>
      </c>
      <c r="K97" s="101"/>
      <c r="L97" s="138">
        <f>ROUND(H97*S98,6)</f>
        <v>0.110413</v>
      </c>
      <c r="M97" s="100">
        <f t="shared" ref="M97" si="80">L97*E97</f>
        <v>2504444.4182819999</v>
      </c>
      <c r="N97" s="100">
        <f t="shared" ref="N97:N105" si="81">M97-I97</f>
        <v>115068.39352199994</v>
      </c>
      <c r="O97" s="101">
        <f t="shared" ref="O97" si="82">IF(I97=0,0,N97/I97)</f>
        <v>4.8158344408581709E-2</v>
      </c>
      <c r="P97" s="101">
        <f>M97/M98</f>
        <v>0.89614733963270177</v>
      </c>
      <c r="Q97" s="120">
        <f t="shared" ref="Q97:Q98" si="83">P97-J97</f>
        <v>-1.0433491181571775E-5</v>
      </c>
      <c r="R97" s="120"/>
      <c r="T97" s="8">
        <f t="shared" si="77"/>
        <v>4.8158344408581577E-2</v>
      </c>
    </row>
    <row r="98" spans="1:20" s="12" customFormat="1" ht="20.399999999999999" customHeight="1" x14ac:dyDescent="0.3">
      <c r="A98" s="116">
        <f t="shared" si="56"/>
        <v>92</v>
      </c>
      <c r="B98" s="107"/>
      <c r="C98" s="123"/>
      <c r="D98" s="124" t="s">
        <v>7</v>
      </c>
      <c r="E98" s="124"/>
      <c r="F98" s="124"/>
      <c r="G98" s="31">
        <f>SUM(G96:G97)</f>
        <v>2398137.5092799999</v>
      </c>
      <c r="H98" s="124"/>
      <c r="I98" s="31">
        <f>SUM(I96:I97)</f>
        <v>2666244.8247599998</v>
      </c>
      <c r="J98" s="125">
        <f>SUM(J96:J97)</f>
        <v>1</v>
      </c>
      <c r="K98" s="126">
        <f>I98+Summary!I14</f>
        <v>2794638.2447599997</v>
      </c>
      <c r="L98" s="124"/>
      <c r="M98" s="31">
        <f>SUM(M96:M97)</f>
        <v>2794679.2982819998</v>
      </c>
      <c r="N98" s="31">
        <f t="shared" si="81"/>
        <v>128434.47352200001</v>
      </c>
      <c r="O98" s="125">
        <f t="shared" ref="O98" si="84">N98/I98</f>
        <v>4.8170547704133267E-2</v>
      </c>
      <c r="P98" s="125">
        <f>SUM(P96:P97)</f>
        <v>1</v>
      </c>
      <c r="Q98" s="127">
        <f t="shared" si="83"/>
        <v>0</v>
      </c>
      <c r="R98" s="128">
        <f>M98-K98</f>
        <v>41.053522000089288</v>
      </c>
      <c r="S98" s="12">
        <f>K98/I98</f>
        <v>1.0481551501976407</v>
      </c>
    </row>
    <row r="99" spans="1:20" x14ac:dyDescent="0.25">
      <c r="A99" s="116">
        <f t="shared" si="56"/>
        <v>93</v>
      </c>
      <c r="D99" s="36" t="s">
        <v>27</v>
      </c>
      <c r="G99" s="100">
        <v>247825</v>
      </c>
      <c r="I99" s="104">
        <f>G99-($H$171*E97)</f>
        <v>-20282.31547999999</v>
      </c>
      <c r="M99" s="100">
        <f>I99</f>
        <v>-20282.31547999999</v>
      </c>
      <c r="N99" s="100">
        <f t="shared" si="81"/>
        <v>0</v>
      </c>
      <c r="O99" s="102">
        <v>0</v>
      </c>
    </row>
    <row r="100" spans="1:20" x14ac:dyDescent="0.25">
      <c r="A100" s="116">
        <f t="shared" si="56"/>
        <v>94</v>
      </c>
      <c r="D100" s="36" t="s">
        <v>28</v>
      </c>
      <c r="G100" s="100">
        <v>266391</v>
      </c>
      <c r="I100" s="104">
        <f t="shared" ref="I100:I102" si="85">G100</f>
        <v>266391</v>
      </c>
      <c r="M100" s="100">
        <f t="shared" ref="M100:M102" si="86">I100</f>
        <v>266391</v>
      </c>
      <c r="N100" s="100">
        <f t="shared" si="81"/>
        <v>0</v>
      </c>
      <c r="O100" s="102">
        <v>0</v>
      </c>
    </row>
    <row r="101" spans="1:20" x14ac:dyDescent="0.25">
      <c r="A101" s="116">
        <f t="shared" si="56"/>
        <v>95</v>
      </c>
      <c r="D101" s="36" t="s">
        <v>32</v>
      </c>
      <c r="G101" s="100">
        <f>Sheet1!N175</f>
        <v>0</v>
      </c>
      <c r="I101" s="104">
        <f t="shared" si="85"/>
        <v>0</v>
      </c>
      <c r="M101" s="100">
        <f t="shared" si="86"/>
        <v>0</v>
      </c>
      <c r="N101" s="100">
        <f t="shared" si="81"/>
        <v>0</v>
      </c>
      <c r="O101" s="102">
        <v>0</v>
      </c>
    </row>
    <row r="102" spans="1:20" x14ac:dyDescent="0.25">
      <c r="A102" s="116">
        <f t="shared" si="56"/>
        <v>96</v>
      </c>
      <c r="D102" s="36" t="s">
        <v>74</v>
      </c>
      <c r="G102" s="100">
        <v>0</v>
      </c>
      <c r="I102" s="104">
        <f t="shared" si="85"/>
        <v>0</v>
      </c>
      <c r="M102" s="100">
        <f t="shared" si="86"/>
        <v>0</v>
      </c>
      <c r="N102" s="100"/>
      <c r="O102" s="102"/>
    </row>
    <row r="103" spans="1:20" x14ac:dyDescent="0.25">
      <c r="A103" s="116">
        <f t="shared" si="56"/>
        <v>97</v>
      </c>
      <c r="D103" s="130" t="s">
        <v>9</v>
      </c>
      <c r="E103" s="130"/>
      <c r="F103" s="130"/>
      <c r="G103" s="131">
        <f>SUM(G99:G102)</f>
        <v>514216</v>
      </c>
      <c r="H103" s="130"/>
      <c r="I103" s="131">
        <f>SUM(I99:I102)</f>
        <v>246108.68452000001</v>
      </c>
      <c r="J103" s="130"/>
      <c r="K103" s="130"/>
      <c r="L103" s="130"/>
      <c r="M103" s="131">
        <f>SUM(M99:M102)</f>
        <v>246108.68452000001</v>
      </c>
      <c r="N103" s="131">
        <f t="shared" si="81"/>
        <v>0</v>
      </c>
      <c r="O103" s="132">
        <f t="shared" ref="O103" si="87">N103-J103</f>
        <v>0</v>
      </c>
    </row>
    <row r="104" spans="1:20" s="12" customFormat="1" ht="26.4" customHeight="1" thickBot="1" x14ac:dyDescent="0.3">
      <c r="A104" s="116">
        <f t="shared" si="56"/>
        <v>98</v>
      </c>
      <c r="B104" s="107"/>
      <c r="C104" s="123"/>
      <c r="D104" s="133" t="s">
        <v>20</v>
      </c>
      <c r="E104" s="133"/>
      <c r="F104" s="133"/>
      <c r="G104" s="134">
        <f>G98+G103</f>
        <v>2912353.5092799999</v>
      </c>
      <c r="H104" s="133"/>
      <c r="I104" s="135">
        <f>I103+I98</f>
        <v>2912353.5092799999</v>
      </c>
      <c r="J104" s="133"/>
      <c r="K104" s="133"/>
      <c r="L104" s="133"/>
      <c r="M104" s="134">
        <f>M103+M98</f>
        <v>3040787.9828019999</v>
      </c>
      <c r="N104" s="134">
        <f t="shared" si="81"/>
        <v>128434.47352200001</v>
      </c>
      <c r="O104" s="136">
        <f>N104/I104</f>
        <v>4.4099891415225877E-2</v>
      </c>
      <c r="P104" s="36"/>
      <c r="Q104" s="36"/>
      <c r="R104" s="36"/>
    </row>
    <row r="105" spans="1:20" ht="13.8" thickTop="1" x14ac:dyDescent="0.25">
      <c r="A105" s="116">
        <f t="shared" si="56"/>
        <v>99</v>
      </c>
      <c r="D105" s="36" t="s">
        <v>19</v>
      </c>
      <c r="E105" s="36">
        <f>E97/E96</f>
        <v>1900.6631473102061</v>
      </c>
      <c r="G105" s="137">
        <f>G104/E96</f>
        <v>244.03833662476956</v>
      </c>
      <c r="I105" s="137">
        <f>I104/E96</f>
        <v>244.03833662476956</v>
      </c>
      <c r="M105" s="137">
        <f>M104/E96</f>
        <v>254.80040077107424</v>
      </c>
      <c r="N105" s="137">
        <f t="shared" si="81"/>
        <v>10.762064146304681</v>
      </c>
      <c r="O105" s="101">
        <f>N105/I105</f>
        <v>4.4099891415225891E-2</v>
      </c>
    </row>
    <row r="106" spans="1:20" ht="13.8" thickBot="1" x14ac:dyDescent="0.3">
      <c r="A106" s="116">
        <f t="shared" si="56"/>
        <v>100</v>
      </c>
    </row>
    <row r="107" spans="1:20" x14ac:dyDescent="0.25">
      <c r="A107" s="116">
        <f t="shared" si="56"/>
        <v>101</v>
      </c>
      <c r="B107" s="117" t="s">
        <v>36</v>
      </c>
      <c r="C107" s="118">
        <v>52</v>
      </c>
      <c r="D107" s="117"/>
      <c r="E107" s="117"/>
      <c r="F107" s="117"/>
      <c r="G107" s="117"/>
      <c r="H107" s="117"/>
      <c r="I107" s="117"/>
      <c r="J107" s="117"/>
      <c r="K107" s="117"/>
      <c r="L107" s="117"/>
      <c r="M107" s="117"/>
      <c r="N107" s="117"/>
      <c r="O107" s="117"/>
      <c r="P107" s="117"/>
      <c r="Q107" s="117"/>
      <c r="R107" s="117"/>
    </row>
    <row r="108" spans="1:20" x14ac:dyDescent="0.25">
      <c r="A108" s="116">
        <f t="shared" si="56"/>
        <v>102</v>
      </c>
      <c r="C108" s="36"/>
      <c r="D108" s="36" t="s">
        <v>18</v>
      </c>
      <c r="E108" s="119">
        <v>276</v>
      </c>
      <c r="F108" s="36">
        <v>57.73</v>
      </c>
      <c r="G108" s="100">
        <f>F108*E108</f>
        <v>15933.48</v>
      </c>
      <c r="H108" s="102">
        <v>57.73</v>
      </c>
      <c r="I108" s="100">
        <f>H108*E108</f>
        <v>15933.48</v>
      </c>
      <c r="J108" s="101">
        <f>I108/I110</f>
        <v>1.7711505499067522E-2</v>
      </c>
      <c r="K108" s="101"/>
      <c r="L108" s="102">
        <f>ROUND(H108*S110,2)</f>
        <v>60.51</v>
      </c>
      <c r="M108" s="100">
        <f>L108*E108</f>
        <v>16700.759999999998</v>
      </c>
      <c r="N108" s="100">
        <f>M108-I108</f>
        <v>767.27999999999884</v>
      </c>
      <c r="O108" s="101">
        <f>IF(I108=0,0,N108/I108)</f>
        <v>4.8155205265892877E-2</v>
      </c>
      <c r="P108" s="101">
        <f>M108/M110</f>
        <v>1.7711594979510529E-2</v>
      </c>
      <c r="Q108" s="120">
        <f>P108-J108</f>
        <v>8.9480443006551003E-8</v>
      </c>
      <c r="R108" s="120"/>
      <c r="T108" s="8">
        <f>L108/H108-1</f>
        <v>4.8155205265892898E-2</v>
      </c>
    </row>
    <row r="109" spans="1:20" x14ac:dyDescent="0.25">
      <c r="A109" s="116">
        <f t="shared" si="56"/>
        <v>103</v>
      </c>
      <c r="D109" s="36" t="s">
        <v>191</v>
      </c>
      <c r="E109" s="119">
        <v>9939021</v>
      </c>
      <c r="F109" s="122">
        <v>7.7090000000000006E-2</v>
      </c>
      <c r="G109" s="100">
        <f t="shared" ref="G109" si="88">F109*E109</f>
        <v>766199.12889000005</v>
      </c>
      <c r="H109" s="122">
        <v>8.8910000000000003E-2</v>
      </c>
      <c r="I109" s="100">
        <f t="shared" ref="I109" si="89">H109*E109</f>
        <v>883678.35710999998</v>
      </c>
      <c r="J109" s="101">
        <f>I109/I110</f>
        <v>0.98228849450093247</v>
      </c>
      <c r="K109" s="101"/>
      <c r="L109" s="138">
        <f>ROUND(H109*S110,6)</f>
        <v>9.3190999999999996E-2</v>
      </c>
      <c r="M109" s="100">
        <f t="shared" ref="M109" si="90">L109*E109</f>
        <v>926227.30601099995</v>
      </c>
      <c r="N109" s="100">
        <f t="shared" ref="N109:N117" si="91">M109-I109</f>
        <v>42548.948900999967</v>
      </c>
      <c r="O109" s="101">
        <f t="shared" ref="O109" si="92">IF(I109=0,0,N109/I109)</f>
        <v>4.8149814419075433E-2</v>
      </c>
      <c r="P109" s="101">
        <f>M109/M110</f>
        <v>0.98228840502048942</v>
      </c>
      <c r="Q109" s="120">
        <f t="shared" ref="Q109:Q110" si="93">P109-J109</f>
        <v>-8.948044305512326E-8</v>
      </c>
      <c r="R109" s="120"/>
      <c r="T109" s="8">
        <f>L109/H109-1</f>
        <v>4.8149814419075287E-2</v>
      </c>
    </row>
    <row r="110" spans="1:20" s="12" customFormat="1" ht="20.399999999999999" customHeight="1" x14ac:dyDescent="0.3">
      <c r="A110" s="116">
        <f t="shared" si="56"/>
        <v>104</v>
      </c>
      <c r="B110" s="107"/>
      <c r="C110" s="123"/>
      <c r="D110" s="124" t="s">
        <v>7</v>
      </c>
      <c r="E110" s="124"/>
      <c r="F110" s="124"/>
      <c r="G110" s="31">
        <f>SUM(G108:G109)</f>
        <v>782132.60889000003</v>
      </c>
      <c r="H110" s="124"/>
      <c r="I110" s="31">
        <f>SUM(I108:I109)</f>
        <v>899611.83710999996</v>
      </c>
      <c r="J110" s="125">
        <f>SUM(J108:J109)</f>
        <v>1</v>
      </c>
      <c r="K110" s="126">
        <f>I110+Summary!I15</f>
        <v>942932.77710999991</v>
      </c>
      <c r="L110" s="124"/>
      <c r="M110" s="31">
        <f>SUM(M108:M109)</f>
        <v>942928.06601099996</v>
      </c>
      <c r="N110" s="31">
        <f t="shared" si="91"/>
        <v>43316.228900999995</v>
      </c>
      <c r="O110" s="125">
        <f t="shared" ref="O110" si="94">N110/I110</f>
        <v>4.8149909899088517E-2</v>
      </c>
      <c r="P110" s="125">
        <f>SUM(P108:P109)</f>
        <v>1</v>
      </c>
      <c r="Q110" s="127">
        <f t="shared" si="93"/>
        <v>0</v>
      </c>
      <c r="R110" s="128">
        <f>M110-K110</f>
        <v>-4.7110989999491721</v>
      </c>
      <c r="S110" s="12">
        <f>K110/I110</f>
        <v>1.0481551467121291</v>
      </c>
    </row>
    <row r="111" spans="1:20" x14ac:dyDescent="0.25">
      <c r="A111" s="116">
        <f t="shared" si="56"/>
        <v>105</v>
      </c>
      <c r="D111" s="36" t="s">
        <v>27</v>
      </c>
      <c r="G111" s="100">
        <v>110862</v>
      </c>
      <c r="I111" s="104">
        <f>G111-($H$171*E109)</f>
        <v>-6617.2282200000045</v>
      </c>
      <c r="M111" s="100">
        <f>I111</f>
        <v>-6617.2282200000045</v>
      </c>
      <c r="N111" s="100">
        <f t="shared" si="91"/>
        <v>0</v>
      </c>
      <c r="O111" s="102">
        <v>0</v>
      </c>
    </row>
    <row r="112" spans="1:20" x14ac:dyDescent="0.25">
      <c r="A112" s="116">
        <f t="shared" si="56"/>
        <v>106</v>
      </c>
      <c r="D112" s="36" t="s">
        <v>28</v>
      </c>
      <c r="G112" s="100">
        <v>87894</v>
      </c>
      <c r="I112" s="104">
        <f t="shared" ref="I112:I114" si="95">G112</f>
        <v>87894</v>
      </c>
      <c r="M112" s="100">
        <f t="shared" ref="M112:M114" si="96">I112</f>
        <v>87894</v>
      </c>
      <c r="N112" s="100">
        <f t="shared" si="91"/>
        <v>0</v>
      </c>
      <c r="O112" s="102">
        <v>0</v>
      </c>
    </row>
    <row r="113" spans="1:20" x14ac:dyDescent="0.25">
      <c r="A113" s="116">
        <f t="shared" si="56"/>
        <v>107</v>
      </c>
      <c r="D113" s="36" t="s">
        <v>32</v>
      </c>
      <c r="G113" s="100">
        <f>Sheet1!N196</f>
        <v>0</v>
      </c>
      <c r="I113" s="104">
        <f t="shared" si="95"/>
        <v>0</v>
      </c>
      <c r="M113" s="100">
        <f t="shared" si="96"/>
        <v>0</v>
      </c>
      <c r="N113" s="100">
        <f t="shared" si="91"/>
        <v>0</v>
      </c>
      <c r="O113" s="102">
        <v>0</v>
      </c>
    </row>
    <row r="114" spans="1:20" x14ac:dyDescent="0.25">
      <c r="A114" s="116">
        <f t="shared" si="56"/>
        <v>108</v>
      </c>
      <c r="D114" s="36" t="s">
        <v>74</v>
      </c>
      <c r="G114" s="100">
        <v>0</v>
      </c>
      <c r="I114" s="104">
        <f t="shared" si="95"/>
        <v>0</v>
      </c>
      <c r="M114" s="100">
        <f t="shared" si="96"/>
        <v>0</v>
      </c>
      <c r="N114" s="100"/>
      <c r="O114" s="102"/>
    </row>
    <row r="115" spans="1:20" x14ac:dyDescent="0.25">
      <c r="A115" s="116">
        <f t="shared" si="56"/>
        <v>109</v>
      </c>
      <c r="D115" s="130" t="s">
        <v>9</v>
      </c>
      <c r="E115" s="130"/>
      <c r="F115" s="130"/>
      <c r="G115" s="131">
        <f>SUM(G111:G114)</f>
        <v>198756</v>
      </c>
      <c r="H115" s="130"/>
      <c r="I115" s="131">
        <f>SUM(I111:I114)</f>
        <v>81276.771779999995</v>
      </c>
      <c r="J115" s="130"/>
      <c r="K115" s="130"/>
      <c r="L115" s="130"/>
      <c r="M115" s="131">
        <f>SUM(M111:M114)</f>
        <v>81276.771779999995</v>
      </c>
      <c r="N115" s="131">
        <f t="shared" si="91"/>
        <v>0</v>
      </c>
      <c r="O115" s="132">
        <f t="shared" ref="O115" si="97">N115-J115</f>
        <v>0</v>
      </c>
    </row>
    <row r="116" spans="1:20" s="12" customFormat="1" ht="26.4" customHeight="1" thickBot="1" x14ac:dyDescent="0.3">
      <c r="A116" s="116">
        <f t="shared" si="56"/>
        <v>110</v>
      </c>
      <c r="B116" s="107"/>
      <c r="C116" s="123"/>
      <c r="D116" s="133" t="s">
        <v>20</v>
      </c>
      <c r="E116" s="133"/>
      <c r="F116" s="133"/>
      <c r="G116" s="134">
        <f>G110+G115</f>
        <v>980888.60889000003</v>
      </c>
      <c r="H116" s="133"/>
      <c r="I116" s="135">
        <f>I115+I110</f>
        <v>980888.60888999992</v>
      </c>
      <c r="J116" s="133"/>
      <c r="K116" s="133"/>
      <c r="L116" s="133"/>
      <c r="M116" s="134">
        <f>M115+M110</f>
        <v>1024204.8377909999</v>
      </c>
      <c r="N116" s="134">
        <f t="shared" si="91"/>
        <v>43316.228900999995</v>
      </c>
      <c r="O116" s="136">
        <f>N116/I116</f>
        <v>4.4160191594046355E-2</v>
      </c>
      <c r="P116" s="36"/>
      <c r="Q116" s="36"/>
      <c r="R116" s="36"/>
    </row>
    <row r="117" spans="1:20" ht="13.8" thickTop="1" x14ac:dyDescent="0.25">
      <c r="A117" s="116">
        <f t="shared" si="56"/>
        <v>111</v>
      </c>
      <c r="D117" s="36" t="s">
        <v>19</v>
      </c>
      <c r="E117" s="36">
        <f>E109/E108</f>
        <v>36010.945652173912</v>
      </c>
      <c r="G117" s="137">
        <f>G116/E108</f>
        <v>3553.9442351086959</v>
      </c>
      <c r="I117" s="137">
        <f>I116/E108</f>
        <v>3553.9442351086955</v>
      </c>
      <c r="M117" s="137">
        <f>M116/E108</f>
        <v>3710.8870934456518</v>
      </c>
      <c r="N117" s="137">
        <f t="shared" si="91"/>
        <v>156.94285833695631</v>
      </c>
      <c r="O117" s="101">
        <f>N117/I117</f>
        <v>4.4160191594046293E-2</v>
      </c>
    </row>
    <row r="118" spans="1:20" ht="13.8" thickBot="1" x14ac:dyDescent="0.3">
      <c r="A118" s="116">
        <f t="shared" si="56"/>
        <v>112</v>
      </c>
    </row>
    <row r="119" spans="1:20" x14ac:dyDescent="0.25">
      <c r="A119" s="116">
        <f t="shared" si="56"/>
        <v>113</v>
      </c>
      <c r="B119" s="117" t="s">
        <v>37</v>
      </c>
      <c r="C119" s="118" t="s">
        <v>29</v>
      </c>
      <c r="D119" s="117"/>
      <c r="E119" s="117"/>
      <c r="F119" s="117"/>
      <c r="G119" s="117"/>
      <c r="H119" s="117"/>
      <c r="I119" s="117"/>
      <c r="J119" s="117"/>
      <c r="K119" s="117"/>
      <c r="L119" s="117"/>
      <c r="M119" s="117"/>
      <c r="N119" s="117"/>
      <c r="O119" s="117"/>
      <c r="P119" s="117"/>
      <c r="Q119" s="117"/>
      <c r="R119" s="117"/>
    </row>
    <row r="120" spans="1:20" x14ac:dyDescent="0.25">
      <c r="A120" s="116">
        <f t="shared" si="56"/>
        <v>114</v>
      </c>
      <c r="B120" s="103" t="s">
        <v>66</v>
      </c>
      <c r="C120" s="104" t="s">
        <v>46</v>
      </c>
      <c r="E120" s="119">
        <v>1116</v>
      </c>
      <c r="F120" s="45">
        <v>15.89</v>
      </c>
      <c r="G120" s="100">
        <f t="shared" ref="G120" si="98">F120*E120</f>
        <v>17733.240000000002</v>
      </c>
      <c r="H120" s="102">
        <v>17.73</v>
      </c>
      <c r="I120" s="100">
        <f t="shared" ref="I120" si="99">H120*E120</f>
        <v>19786.68</v>
      </c>
      <c r="J120" s="101">
        <f t="shared" ref="J120:J151" si="100">I120/I$152</f>
        <v>6.4546083928659634E-3</v>
      </c>
      <c r="K120" s="101"/>
      <c r="L120" s="102">
        <f t="shared" ref="L120:L151" si="101">ROUND(H120*S$152,2)</f>
        <v>18.579999999999998</v>
      </c>
      <c r="M120" s="100">
        <f t="shared" ref="M120" si="102">L120*E120</f>
        <v>20735.28</v>
      </c>
      <c r="N120" s="100">
        <f t="shared" ref="N120" si="103">M120-I120</f>
        <v>948.59999999999854</v>
      </c>
      <c r="O120" s="101">
        <f t="shared" ref="O120" si="104">IF(I120=0,0,N120/I120)</f>
        <v>4.7941342357585938E-2</v>
      </c>
      <c r="P120" s="101">
        <f t="shared" ref="P120:P151" si="105">M120/M$152</f>
        <v>6.4539546635774252E-3</v>
      </c>
      <c r="Q120" s="120">
        <f t="shared" ref="Q120" si="106">P120-J120</f>
        <v>-6.5372928853817819E-7</v>
      </c>
      <c r="R120" s="120"/>
      <c r="T120" s="8">
        <f>L120/H120-1</f>
        <v>4.7941342357585848E-2</v>
      </c>
    </row>
    <row r="121" spans="1:20" x14ac:dyDescent="0.25">
      <c r="A121" s="116">
        <f t="shared" si="56"/>
        <v>115</v>
      </c>
      <c r="B121" s="103" t="s">
        <v>66</v>
      </c>
      <c r="C121" s="104" t="s">
        <v>47</v>
      </c>
      <c r="E121" s="119">
        <v>432</v>
      </c>
      <c r="F121" s="45">
        <v>17.32</v>
      </c>
      <c r="G121" s="100">
        <f t="shared" ref="G121:G151" si="107">F121*E121</f>
        <v>7482.24</v>
      </c>
      <c r="H121" s="102">
        <v>18.350000000000001</v>
      </c>
      <c r="I121" s="100">
        <f t="shared" ref="I121:I151" si="108">H121*E121</f>
        <v>7927.2000000000007</v>
      </c>
      <c r="J121" s="101">
        <f t="shared" si="100"/>
        <v>2.5859301131835695E-3</v>
      </c>
      <c r="K121" s="101"/>
      <c r="L121" s="102">
        <f t="shared" si="101"/>
        <v>19.23</v>
      </c>
      <c r="M121" s="100">
        <f t="shared" ref="M121:M151" si="109">L121*E121</f>
        <v>8307.36</v>
      </c>
      <c r="N121" s="100">
        <f t="shared" ref="N121:N151" si="110">M121-I121</f>
        <v>380.15999999999985</v>
      </c>
      <c r="O121" s="101">
        <f t="shared" ref="O121:O151" si="111">IF(I121=0,0,N121/I121)</f>
        <v>4.7956403269754748E-2</v>
      </c>
      <c r="P121" s="101">
        <f t="shared" si="105"/>
        <v>2.5857053685321135E-3</v>
      </c>
      <c r="Q121" s="120">
        <f t="shared" ref="Q121:Q151" si="112">P121-J121</f>
        <v>-2.2474465145600614E-7</v>
      </c>
      <c r="R121" s="120"/>
      <c r="T121" s="8">
        <f t="shared" ref="T121:T151" si="113">L121/H121-1</f>
        <v>4.795640326975481E-2</v>
      </c>
    </row>
    <row r="122" spans="1:20" x14ac:dyDescent="0.25">
      <c r="A122" s="116">
        <f t="shared" si="56"/>
        <v>116</v>
      </c>
      <c r="B122" s="103" t="s">
        <v>66</v>
      </c>
      <c r="C122" s="104" t="s">
        <v>48</v>
      </c>
      <c r="E122" s="119">
        <v>1704</v>
      </c>
      <c r="F122" s="45">
        <v>13.77</v>
      </c>
      <c r="G122" s="100">
        <f t="shared" si="107"/>
        <v>23464.079999999998</v>
      </c>
      <c r="H122" s="102">
        <v>14.81</v>
      </c>
      <c r="I122" s="100">
        <f t="shared" si="108"/>
        <v>25236.240000000002</v>
      </c>
      <c r="J122" s="101">
        <f t="shared" si="100"/>
        <v>8.2323081238681647E-3</v>
      </c>
      <c r="K122" s="101"/>
      <c r="L122" s="102">
        <f t="shared" si="101"/>
        <v>15.52</v>
      </c>
      <c r="M122" s="100">
        <f t="shared" si="109"/>
        <v>26446.079999999998</v>
      </c>
      <c r="N122" s="100">
        <f t="shared" si="110"/>
        <v>1209.8399999999965</v>
      </c>
      <c r="O122" s="101">
        <f t="shared" si="111"/>
        <v>4.7940580688723693E-2</v>
      </c>
      <c r="P122" s="101">
        <f t="shared" si="105"/>
        <v>8.2314683645140878E-3</v>
      </c>
      <c r="Q122" s="120">
        <f t="shared" si="112"/>
        <v>-8.3975935407688829E-7</v>
      </c>
      <c r="R122" s="120"/>
      <c r="T122" s="8">
        <f t="shared" si="113"/>
        <v>4.7940580688723866E-2</v>
      </c>
    </row>
    <row r="123" spans="1:20" x14ac:dyDescent="0.25">
      <c r="A123" s="116">
        <f t="shared" si="56"/>
        <v>117</v>
      </c>
      <c r="B123" s="103" t="s">
        <v>66</v>
      </c>
      <c r="C123" s="104" t="s">
        <v>49</v>
      </c>
      <c r="E123" s="119">
        <v>924</v>
      </c>
      <c r="F123" s="45">
        <v>13.37</v>
      </c>
      <c r="G123" s="100">
        <f t="shared" si="107"/>
        <v>12353.88</v>
      </c>
      <c r="H123" s="102">
        <v>15.37</v>
      </c>
      <c r="I123" s="100">
        <f t="shared" si="108"/>
        <v>14201.88</v>
      </c>
      <c r="J123" s="101">
        <f t="shared" si="100"/>
        <v>4.6327920521520164E-3</v>
      </c>
      <c r="K123" s="101"/>
      <c r="L123" s="102">
        <f t="shared" si="101"/>
        <v>16.11</v>
      </c>
      <c r="M123" s="100">
        <f t="shared" si="109"/>
        <v>14885.64</v>
      </c>
      <c r="N123" s="100">
        <f t="shared" si="110"/>
        <v>683.76000000000022</v>
      </c>
      <c r="O123" s="101">
        <f t="shared" si="111"/>
        <v>4.8145738451528967E-2</v>
      </c>
      <c r="P123" s="101">
        <f t="shared" si="105"/>
        <v>4.6332263513362091E-3</v>
      </c>
      <c r="Q123" s="120">
        <f t="shared" si="112"/>
        <v>4.3429918419272268E-7</v>
      </c>
      <c r="R123" s="120"/>
      <c r="T123" s="8">
        <f t="shared" si="113"/>
        <v>4.8145738451528919E-2</v>
      </c>
    </row>
    <row r="124" spans="1:20" x14ac:dyDescent="0.25">
      <c r="A124" s="116">
        <f t="shared" si="56"/>
        <v>118</v>
      </c>
      <c r="B124" s="103" t="s">
        <v>67</v>
      </c>
      <c r="C124" s="104" t="s">
        <v>50</v>
      </c>
      <c r="E124" s="119">
        <v>138564</v>
      </c>
      <c r="F124" s="45">
        <v>9.58</v>
      </c>
      <c r="G124" s="100">
        <f t="shared" si="107"/>
        <v>1327443.1200000001</v>
      </c>
      <c r="H124" s="102">
        <v>10.41</v>
      </c>
      <c r="I124" s="100">
        <f t="shared" si="108"/>
        <v>1442451.24</v>
      </c>
      <c r="J124" s="101">
        <f t="shared" si="100"/>
        <v>0.47054169168369409</v>
      </c>
      <c r="K124" s="101"/>
      <c r="L124" s="102">
        <f t="shared" si="101"/>
        <v>10.91</v>
      </c>
      <c r="M124" s="100">
        <f t="shared" si="109"/>
        <v>1511733.24</v>
      </c>
      <c r="N124" s="100">
        <f t="shared" si="110"/>
        <v>69282</v>
      </c>
      <c r="O124" s="101">
        <f t="shared" si="111"/>
        <v>4.8030739673390971E-2</v>
      </c>
      <c r="P124" s="101">
        <f t="shared" si="105"/>
        <v>0.47053417144031867</v>
      </c>
      <c r="Q124" s="120">
        <f t="shared" si="112"/>
        <v>-7.5202433754140152E-6</v>
      </c>
      <c r="R124" s="120"/>
      <c r="T124" s="8">
        <f t="shared" si="113"/>
        <v>4.8030739673390999E-2</v>
      </c>
    </row>
    <row r="125" spans="1:20" x14ac:dyDescent="0.25">
      <c r="A125" s="116">
        <f t="shared" si="56"/>
        <v>119</v>
      </c>
      <c r="B125" s="103" t="s">
        <v>68</v>
      </c>
      <c r="C125" s="104" t="s">
        <v>46</v>
      </c>
      <c r="E125" s="119">
        <v>3720</v>
      </c>
      <c r="F125" s="45">
        <v>18.190000000000001</v>
      </c>
      <c r="G125" s="100">
        <f t="shared" ref="G125:G139" si="114">F125*E125</f>
        <v>67666.8</v>
      </c>
      <c r="H125" s="102">
        <v>20.03</v>
      </c>
      <c r="I125" s="100">
        <f t="shared" ref="I125:I139" si="115">H125*E125</f>
        <v>74511.600000000006</v>
      </c>
      <c r="J125" s="101">
        <f t="shared" si="100"/>
        <v>2.4306412128051375E-2</v>
      </c>
      <c r="K125" s="101"/>
      <c r="L125" s="102">
        <f t="shared" si="101"/>
        <v>20.99</v>
      </c>
      <c r="M125" s="100">
        <f t="shared" ref="M125:M139" si="116">L125*E125</f>
        <v>78082.799999999988</v>
      </c>
      <c r="N125" s="100">
        <f t="shared" ref="N125:N139" si="117">M125-I125</f>
        <v>3571.1999999999825</v>
      </c>
      <c r="O125" s="101">
        <f t="shared" ref="O125:O139" si="118">IF(I125=0,0,N125/I125)</f>
        <v>4.7928107838242397E-2</v>
      </c>
      <c r="P125" s="101">
        <f t="shared" si="105"/>
        <v>2.4303643413794426E-2</v>
      </c>
      <c r="Q125" s="120">
        <f t="shared" ref="Q125:Q139" si="119">P125-J125</f>
        <v>-2.7687142569489398E-6</v>
      </c>
      <c r="R125" s="120"/>
      <c r="T125" s="8">
        <f t="shared" si="113"/>
        <v>4.7928107838242529E-2</v>
      </c>
    </row>
    <row r="126" spans="1:20" x14ac:dyDescent="0.25">
      <c r="A126" s="116">
        <f t="shared" si="56"/>
        <v>120</v>
      </c>
      <c r="B126" s="103" t="s">
        <v>68</v>
      </c>
      <c r="C126" s="104" t="s">
        <v>51</v>
      </c>
      <c r="E126" s="119">
        <v>1536</v>
      </c>
      <c r="F126" s="45">
        <v>36.51</v>
      </c>
      <c r="G126" s="100">
        <f t="shared" si="114"/>
        <v>56079.360000000001</v>
      </c>
      <c r="H126" s="102">
        <v>40.950000000000003</v>
      </c>
      <c r="I126" s="100">
        <f t="shared" si="115"/>
        <v>62899.200000000004</v>
      </c>
      <c r="J126" s="101">
        <f t="shared" si="100"/>
        <v>2.0518333759102326E-2</v>
      </c>
      <c r="K126" s="101"/>
      <c r="L126" s="102">
        <f t="shared" si="101"/>
        <v>42.92</v>
      </c>
      <c r="M126" s="100">
        <f t="shared" si="116"/>
        <v>65925.119999999995</v>
      </c>
      <c r="N126" s="100">
        <f t="shared" si="117"/>
        <v>3025.919999999991</v>
      </c>
      <c r="O126" s="101">
        <f t="shared" si="118"/>
        <v>4.8107448107447957E-2</v>
      </c>
      <c r="P126" s="101">
        <f t="shared" si="105"/>
        <v>2.051950760592099E-2</v>
      </c>
      <c r="Q126" s="120">
        <f t="shared" si="119"/>
        <v>1.1738468186639484E-6</v>
      </c>
      <c r="R126" s="120"/>
      <c r="T126" s="8">
        <f t="shared" si="113"/>
        <v>4.8107448107448159E-2</v>
      </c>
    </row>
    <row r="127" spans="1:20" x14ac:dyDescent="0.25">
      <c r="A127" s="116">
        <f t="shared" si="56"/>
        <v>121</v>
      </c>
      <c r="B127" s="103" t="s">
        <v>67</v>
      </c>
      <c r="C127" s="104" t="s">
        <v>52</v>
      </c>
      <c r="E127" s="119">
        <v>103620</v>
      </c>
      <c r="F127" s="45">
        <v>9.58</v>
      </c>
      <c r="G127" s="100">
        <f t="shared" si="114"/>
        <v>992679.6</v>
      </c>
      <c r="H127" s="102">
        <v>10.41</v>
      </c>
      <c r="I127" s="100">
        <f t="shared" si="115"/>
        <v>1078684.2</v>
      </c>
      <c r="J127" s="101">
        <f t="shared" si="100"/>
        <v>0.35187732811021893</v>
      </c>
      <c r="K127" s="101"/>
      <c r="L127" s="102">
        <f t="shared" si="101"/>
        <v>10.91</v>
      </c>
      <c r="M127" s="100">
        <f t="shared" si="116"/>
        <v>1130494.2</v>
      </c>
      <c r="N127" s="100">
        <f t="shared" si="117"/>
        <v>51810</v>
      </c>
      <c r="O127" s="101">
        <f t="shared" si="118"/>
        <v>4.8030739673390971E-2</v>
      </c>
      <c r="P127" s="101">
        <f t="shared" si="105"/>
        <v>0.35187170437231763</v>
      </c>
      <c r="Q127" s="120">
        <f t="shared" si="119"/>
        <v>-5.6237379013057698E-6</v>
      </c>
      <c r="R127" s="120"/>
      <c r="T127" s="8">
        <f t="shared" si="113"/>
        <v>4.8030739673390999E-2</v>
      </c>
    </row>
    <row r="128" spans="1:20" x14ac:dyDescent="0.25">
      <c r="A128" s="116">
        <f t="shared" si="56"/>
        <v>122</v>
      </c>
      <c r="B128" s="103" t="s">
        <v>68</v>
      </c>
      <c r="C128" s="104" t="s">
        <v>48</v>
      </c>
      <c r="E128" s="119">
        <v>4860</v>
      </c>
      <c r="F128" s="45">
        <v>15.35</v>
      </c>
      <c r="G128" s="100">
        <f t="shared" si="114"/>
        <v>74601</v>
      </c>
      <c r="H128" s="102">
        <v>16.39</v>
      </c>
      <c r="I128" s="100">
        <f t="shared" si="115"/>
        <v>79655.400000000009</v>
      </c>
      <c r="J128" s="101">
        <f t="shared" si="100"/>
        <v>2.5984369958835716E-2</v>
      </c>
      <c r="K128" s="101"/>
      <c r="L128" s="102">
        <f t="shared" si="101"/>
        <v>17.18</v>
      </c>
      <c r="M128" s="100">
        <f t="shared" si="116"/>
        <v>83494.8</v>
      </c>
      <c r="N128" s="100">
        <f t="shared" si="117"/>
        <v>3839.3999999999942</v>
      </c>
      <c r="O128" s="101">
        <f t="shared" si="118"/>
        <v>4.8200122025625305E-2</v>
      </c>
      <c r="P128" s="101">
        <f t="shared" si="105"/>
        <v>2.5988154191525961E-2</v>
      </c>
      <c r="Q128" s="120">
        <f t="shared" si="119"/>
        <v>3.7842326902452761E-6</v>
      </c>
      <c r="R128" s="120"/>
      <c r="T128" s="8">
        <f t="shared" si="113"/>
        <v>4.8200122025625403E-2</v>
      </c>
    </row>
    <row r="129" spans="1:20" x14ac:dyDescent="0.25">
      <c r="A129" s="116">
        <f t="shared" si="56"/>
        <v>123</v>
      </c>
      <c r="B129" s="103" t="s">
        <v>68</v>
      </c>
      <c r="C129" s="104" t="s">
        <v>49</v>
      </c>
      <c r="E129" s="119">
        <v>7152</v>
      </c>
      <c r="F129" s="45">
        <v>17.79</v>
      </c>
      <c r="G129" s="100">
        <f t="shared" si="114"/>
        <v>127234.07999999999</v>
      </c>
      <c r="H129" s="102">
        <v>19.670000000000002</v>
      </c>
      <c r="I129" s="100">
        <f t="shared" si="115"/>
        <v>140679.84000000003</v>
      </c>
      <c r="J129" s="101">
        <f t="shared" si="100"/>
        <v>4.5891138683752962E-2</v>
      </c>
      <c r="K129" s="101"/>
      <c r="L129" s="102">
        <f t="shared" si="101"/>
        <v>20.62</v>
      </c>
      <c r="M129" s="100">
        <f t="shared" si="116"/>
        <v>147474.24000000002</v>
      </c>
      <c r="N129" s="100">
        <f t="shared" si="117"/>
        <v>6794.3999999999942</v>
      </c>
      <c r="O129" s="101">
        <f t="shared" si="118"/>
        <v>4.8296898830706612E-2</v>
      </c>
      <c r="P129" s="101">
        <f t="shared" si="105"/>
        <v>4.5902059630038107E-2</v>
      </c>
      <c r="Q129" s="120">
        <f t="shared" si="119"/>
        <v>1.0920946285145061E-5</v>
      </c>
      <c r="R129" s="120"/>
      <c r="T129" s="8">
        <f t="shared" si="113"/>
        <v>4.8296898830706647E-2</v>
      </c>
    </row>
    <row r="130" spans="1:20" x14ac:dyDescent="0.25">
      <c r="A130" s="116">
        <f t="shared" si="56"/>
        <v>124</v>
      </c>
      <c r="B130" s="103" t="s">
        <v>67</v>
      </c>
      <c r="C130" s="148" t="s">
        <v>210</v>
      </c>
      <c r="E130" s="119">
        <v>264</v>
      </c>
      <c r="F130" s="45">
        <v>9.9499999999999993</v>
      </c>
      <c r="G130" s="100">
        <f t="shared" si="114"/>
        <v>2626.7999999999997</v>
      </c>
      <c r="H130" s="102">
        <v>10.25</v>
      </c>
      <c r="I130" s="100">
        <f t="shared" si="115"/>
        <v>2706</v>
      </c>
      <c r="J130" s="101">
        <f t="shared" si="100"/>
        <v>8.8272364596260196E-4</v>
      </c>
      <c r="K130" s="101"/>
      <c r="L130" s="102">
        <f t="shared" si="101"/>
        <v>10.74</v>
      </c>
      <c r="M130" s="100">
        <f t="shared" si="116"/>
        <v>2835.36</v>
      </c>
      <c r="N130" s="100">
        <f t="shared" si="117"/>
        <v>129.36000000000013</v>
      </c>
      <c r="O130" s="101">
        <f t="shared" si="118"/>
        <v>4.7804878048780537E-2</v>
      </c>
      <c r="P130" s="101">
        <f t="shared" si="105"/>
        <v>8.8251930501642077E-4</v>
      </c>
      <c r="Q130" s="120">
        <f t="shared" si="119"/>
        <v>-2.0434094618118626E-7</v>
      </c>
      <c r="R130" s="120"/>
      <c r="T130" s="8">
        <f t="shared" si="113"/>
        <v>4.780487804878053E-2</v>
      </c>
    </row>
    <row r="131" spans="1:20" x14ac:dyDescent="0.25">
      <c r="A131" s="116">
        <f t="shared" si="56"/>
        <v>125</v>
      </c>
      <c r="B131" s="103" t="s">
        <v>68</v>
      </c>
      <c r="C131" s="148" t="s">
        <v>211</v>
      </c>
      <c r="D131" s="149"/>
      <c r="E131" s="119">
        <v>60</v>
      </c>
      <c r="F131" s="45">
        <v>15.6</v>
      </c>
      <c r="G131" s="100">
        <f t="shared" si="114"/>
        <v>936</v>
      </c>
      <c r="H131" s="102">
        <v>16.14</v>
      </c>
      <c r="I131" s="100">
        <f t="shared" si="115"/>
        <v>968.40000000000009</v>
      </c>
      <c r="J131" s="101">
        <f t="shared" si="100"/>
        <v>3.1590154425357867E-4</v>
      </c>
      <c r="K131" s="101"/>
      <c r="L131" s="102">
        <f t="shared" si="101"/>
        <v>16.920000000000002</v>
      </c>
      <c r="M131" s="100">
        <f t="shared" si="116"/>
        <v>1015.2</v>
      </c>
      <c r="N131" s="100">
        <f t="shared" si="117"/>
        <v>46.799999999999955</v>
      </c>
      <c r="O131" s="101">
        <f t="shared" si="118"/>
        <v>4.8327137546468349E-2</v>
      </c>
      <c r="P131" s="101">
        <f t="shared" si="105"/>
        <v>3.1598583546804302E-4</v>
      </c>
      <c r="Q131" s="120">
        <f t="shared" si="119"/>
        <v>8.4291214464348417E-8</v>
      </c>
      <c r="R131" s="120"/>
      <c r="T131" s="8">
        <f t="shared" si="113"/>
        <v>4.8327137546468446E-2</v>
      </c>
    </row>
    <row r="132" spans="1:20" x14ac:dyDescent="0.25">
      <c r="A132" s="116">
        <f t="shared" si="56"/>
        <v>126</v>
      </c>
      <c r="B132" s="147" t="s">
        <v>66</v>
      </c>
      <c r="C132" s="148" t="s">
        <v>212</v>
      </c>
      <c r="D132" s="149"/>
      <c r="E132" s="119">
        <v>0</v>
      </c>
      <c r="F132" s="102">
        <v>0</v>
      </c>
      <c r="G132" s="100">
        <f t="shared" ref="G132:G133" si="120">F132*E132</f>
        <v>0</v>
      </c>
      <c r="H132" s="102">
        <v>11.83</v>
      </c>
      <c r="I132" s="100">
        <f t="shared" ref="I132:I133" si="121">H132*E132</f>
        <v>0</v>
      </c>
      <c r="J132" s="101">
        <f t="shared" si="100"/>
        <v>0</v>
      </c>
      <c r="K132" s="101"/>
      <c r="L132" s="102">
        <f t="shared" si="101"/>
        <v>12.4</v>
      </c>
      <c r="M132" s="100">
        <f t="shared" ref="M132:M133" si="122">L132*E132</f>
        <v>0</v>
      </c>
      <c r="N132" s="100">
        <f t="shared" ref="N132:N133" si="123">M132-I132</f>
        <v>0</v>
      </c>
      <c r="O132" s="101">
        <f t="shared" ref="O132:O133" si="124">IF(I132=0,0,N132/I132)</f>
        <v>0</v>
      </c>
      <c r="P132" s="101">
        <f t="shared" si="105"/>
        <v>0</v>
      </c>
      <c r="Q132" s="120">
        <f t="shared" ref="Q132:Q133" si="125">P132-J132</f>
        <v>0</v>
      </c>
      <c r="R132" s="120"/>
      <c r="T132" s="146">
        <f t="shared" ref="T132:T133" si="126">L132/H132-1</f>
        <v>4.8182586644125225E-2</v>
      </c>
    </row>
    <row r="133" spans="1:20" x14ac:dyDescent="0.25">
      <c r="A133" s="116">
        <f t="shared" si="56"/>
        <v>127</v>
      </c>
      <c r="B133" s="147" t="s">
        <v>69</v>
      </c>
      <c r="C133" s="148" t="s">
        <v>209</v>
      </c>
      <c r="D133" s="149"/>
      <c r="E133" s="119">
        <v>0</v>
      </c>
      <c r="F133" s="102">
        <v>0</v>
      </c>
      <c r="G133" s="100">
        <f t="shared" si="120"/>
        <v>0</v>
      </c>
      <c r="H133" s="102">
        <v>16.5</v>
      </c>
      <c r="I133" s="100">
        <f t="shared" si="121"/>
        <v>0</v>
      </c>
      <c r="J133" s="101">
        <f t="shared" si="100"/>
        <v>0</v>
      </c>
      <c r="K133" s="101"/>
      <c r="L133" s="102">
        <f t="shared" si="101"/>
        <v>17.29</v>
      </c>
      <c r="M133" s="100">
        <f t="shared" si="122"/>
        <v>0</v>
      </c>
      <c r="N133" s="100">
        <f t="shared" si="123"/>
        <v>0</v>
      </c>
      <c r="O133" s="101">
        <f t="shared" si="124"/>
        <v>0</v>
      </c>
      <c r="P133" s="101">
        <f t="shared" si="105"/>
        <v>0</v>
      </c>
      <c r="Q133" s="120">
        <f t="shared" si="125"/>
        <v>0</v>
      </c>
      <c r="R133" s="120"/>
      <c r="T133" s="146">
        <f t="shared" si="126"/>
        <v>4.7878787878787854E-2</v>
      </c>
    </row>
    <row r="134" spans="1:20" x14ac:dyDescent="0.25">
      <c r="A134" s="116">
        <f>A131+1</f>
        <v>126</v>
      </c>
      <c r="B134" s="103" t="s">
        <v>69</v>
      </c>
      <c r="C134" s="104" t="s">
        <v>50</v>
      </c>
      <c r="E134" s="119">
        <v>192</v>
      </c>
      <c r="F134" s="45">
        <v>17.64</v>
      </c>
      <c r="G134" s="100">
        <f t="shared" si="114"/>
        <v>3386.88</v>
      </c>
      <c r="H134" s="102">
        <v>18.489999999999998</v>
      </c>
      <c r="I134" s="100">
        <f t="shared" si="115"/>
        <v>3550.08</v>
      </c>
      <c r="J134" s="101">
        <f t="shared" si="100"/>
        <v>1.1580707912265018E-3</v>
      </c>
      <c r="K134" s="101"/>
      <c r="L134" s="102">
        <f t="shared" si="101"/>
        <v>19.38</v>
      </c>
      <c r="M134" s="100">
        <f t="shared" si="116"/>
        <v>3720.96</v>
      </c>
      <c r="N134" s="100">
        <f t="shared" si="117"/>
        <v>170.88000000000011</v>
      </c>
      <c r="O134" s="101">
        <f t="shared" si="118"/>
        <v>4.8134126554894567E-2</v>
      </c>
      <c r="P134" s="101">
        <f t="shared" si="105"/>
        <v>1.1581665231906711E-3</v>
      </c>
      <c r="Q134" s="120">
        <f t="shared" si="119"/>
        <v>9.5731964169266937E-8</v>
      </c>
      <c r="R134" s="120"/>
      <c r="T134" s="8">
        <f t="shared" si="113"/>
        <v>4.8134126554894463E-2</v>
      </c>
    </row>
    <row r="135" spans="1:20" x14ac:dyDescent="0.25">
      <c r="A135" s="116">
        <f t="shared" si="56"/>
        <v>127</v>
      </c>
      <c r="B135" s="103" t="s">
        <v>69</v>
      </c>
      <c r="C135" s="104" t="s">
        <v>52</v>
      </c>
      <c r="E135" s="119">
        <v>468</v>
      </c>
      <c r="F135" s="45">
        <v>12.44</v>
      </c>
      <c r="G135" s="100">
        <f t="shared" si="114"/>
        <v>5821.92</v>
      </c>
      <c r="H135" s="102">
        <v>12.94</v>
      </c>
      <c r="I135" s="100">
        <f t="shared" si="115"/>
        <v>6055.92</v>
      </c>
      <c r="J135" s="101">
        <f t="shared" si="100"/>
        <v>1.9755002890088102E-3</v>
      </c>
      <c r="K135" s="101"/>
      <c r="L135" s="102">
        <f t="shared" si="101"/>
        <v>13.56</v>
      </c>
      <c r="M135" s="100">
        <f t="shared" si="116"/>
        <v>6346.08</v>
      </c>
      <c r="N135" s="100">
        <f t="shared" si="117"/>
        <v>290.15999999999985</v>
      </c>
      <c r="O135" s="101">
        <f t="shared" si="118"/>
        <v>4.791344667697061E-2</v>
      </c>
      <c r="P135" s="101">
        <f t="shared" si="105"/>
        <v>1.9752476268193836E-3</v>
      </c>
      <c r="Q135" s="120">
        <f t="shared" si="119"/>
        <v>-2.5266218942662094E-7</v>
      </c>
      <c r="R135" s="120"/>
      <c r="T135" s="8">
        <f t="shared" si="113"/>
        <v>4.7913446676970617E-2</v>
      </c>
    </row>
    <row r="136" spans="1:20" x14ac:dyDescent="0.25">
      <c r="A136" s="116">
        <f t="shared" si="56"/>
        <v>128</v>
      </c>
      <c r="B136" s="103" t="s">
        <v>70</v>
      </c>
      <c r="C136" s="104" t="s">
        <v>52</v>
      </c>
      <c r="E136" s="119">
        <v>336</v>
      </c>
      <c r="F136" s="45">
        <v>8.1300000000000008</v>
      </c>
      <c r="G136" s="100">
        <f t="shared" si="114"/>
        <v>2731.6800000000003</v>
      </c>
      <c r="H136" s="102">
        <v>8.6300000000000008</v>
      </c>
      <c r="I136" s="100">
        <f t="shared" si="115"/>
        <v>2899.6800000000003</v>
      </c>
      <c r="J136" s="101">
        <f t="shared" si="100"/>
        <v>9.4590395481331782E-4</v>
      </c>
      <c r="K136" s="101"/>
      <c r="L136" s="102">
        <f t="shared" si="101"/>
        <v>9.0500000000000007</v>
      </c>
      <c r="M136" s="100">
        <f t="shared" si="116"/>
        <v>3040.8</v>
      </c>
      <c r="N136" s="100">
        <f t="shared" si="117"/>
        <v>141.11999999999989</v>
      </c>
      <c r="O136" s="101">
        <f t="shared" si="118"/>
        <v>4.8667439165701001E-2</v>
      </c>
      <c r="P136" s="101">
        <f t="shared" si="105"/>
        <v>9.4646348354139598E-4</v>
      </c>
      <c r="Q136" s="120">
        <f t="shared" si="119"/>
        <v>5.5952872807815777E-7</v>
      </c>
      <c r="R136" s="120"/>
      <c r="T136" s="8">
        <f t="shared" si="113"/>
        <v>4.8667439165700932E-2</v>
      </c>
    </row>
    <row r="137" spans="1:20" x14ac:dyDescent="0.25">
      <c r="A137" s="116">
        <f t="shared" si="56"/>
        <v>129</v>
      </c>
      <c r="B137" s="103" t="s">
        <v>70</v>
      </c>
      <c r="C137" s="104" t="s">
        <v>50</v>
      </c>
      <c r="E137" s="119">
        <v>1680</v>
      </c>
      <c r="F137" s="45">
        <v>9.44</v>
      </c>
      <c r="G137" s="100">
        <f t="shared" si="114"/>
        <v>15859.199999999999</v>
      </c>
      <c r="H137" s="102">
        <v>10.29</v>
      </c>
      <c r="I137" s="100">
        <f t="shared" si="115"/>
        <v>17287.199999999997</v>
      </c>
      <c r="J137" s="101">
        <f t="shared" si="100"/>
        <v>5.6392535892404623E-3</v>
      </c>
      <c r="K137" s="101"/>
      <c r="L137" s="102">
        <f t="shared" si="101"/>
        <v>10.79</v>
      </c>
      <c r="M137" s="100">
        <f t="shared" si="116"/>
        <v>18127.199999999997</v>
      </c>
      <c r="N137" s="100">
        <f t="shared" si="117"/>
        <v>840</v>
      </c>
      <c r="O137" s="101">
        <f t="shared" si="118"/>
        <v>4.8590864917395539E-2</v>
      </c>
      <c r="P137" s="101">
        <f t="shared" si="105"/>
        <v>5.6421773411114142E-3</v>
      </c>
      <c r="Q137" s="120">
        <f t="shared" si="119"/>
        <v>2.9237518709519447E-6</v>
      </c>
      <c r="R137" s="120"/>
      <c r="T137" s="8">
        <f t="shared" si="113"/>
        <v>4.8590864917395615E-2</v>
      </c>
    </row>
    <row r="138" spans="1:20" x14ac:dyDescent="0.25">
      <c r="A138" s="116">
        <f t="shared" si="56"/>
        <v>130</v>
      </c>
      <c r="B138" s="103" t="s">
        <v>71</v>
      </c>
      <c r="C138" s="104" t="s">
        <v>49</v>
      </c>
      <c r="E138" s="119">
        <v>408</v>
      </c>
      <c r="F138" s="45">
        <v>22.15</v>
      </c>
      <c r="G138" s="100">
        <f t="shared" si="114"/>
        <v>9037.1999999999989</v>
      </c>
      <c r="H138" s="102">
        <v>23.99</v>
      </c>
      <c r="I138" s="100">
        <f t="shared" si="115"/>
        <v>9787.92</v>
      </c>
      <c r="J138" s="101">
        <f t="shared" si="100"/>
        <v>3.1929151621545716E-3</v>
      </c>
      <c r="K138" s="101"/>
      <c r="L138" s="102">
        <f t="shared" si="101"/>
        <v>25.15</v>
      </c>
      <c r="M138" s="100">
        <f t="shared" si="116"/>
        <v>10261.199999999999</v>
      </c>
      <c r="N138" s="100">
        <f t="shared" si="117"/>
        <v>473.27999999999884</v>
      </c>
      <c r="O138" s="101">
        <f t="shared" si="118"/>
        <v>4.83534806169236E-2</v>
      </c>
      <c r="P138" s="101">
        <f t="shared" si="105"/>
        <v>3.1938473748076065E-3</v>
      </c>
      <c r="Q138" s="120">
        <f t="shared" si="119"/>
        <v>9.3221265303486747E-7</v>
      </c>
      <c r="R138" s="120"/>
      <c r="T138" s="8">
        <f t="shared" si="113"/>
        <v>4.8353480616923683E-2</v>
      </c>
    </row>
    <row r="139" spans="1:20" x14ac:dyDescent="0.25">
      <c r="A139" s="116">
        <f t="shared" ref="A139:A170" si="127">A138+1</f>
        <v>131</v>
      </c>
      <c r="B139" s="103" t="s">
        <v>70</v>
      </c>
      <c r="C139" s="104" t="s">
        <v>53</v>
      </c>
      <c r="E139" s="119">
        <v>1380</v>
      </c>
      <c r="F139" s="45">
        <v>12.5</v>
      </c>
      <c r="G139" s="100">
        <f t="shared" si="114"/>
        <v>17250</v>
      </c>
      <c r="H139" s="102">
        <v>12.74</v>
      </c>
      <c r="I139" s="100">
        <f t="shared" si="115"/>
        <v>17581.2</v>
      </c>
      <c r="J139" s="101">
        <f t="shared" si="100"/>
        <v>5.7351592625268658E-3</v>
      </c>
      <c r="K139" s="101"/>
      <c r="L139" s="102">
        <f t="shared" si="101"/>
        <v>13.35</v>
      </c>
      <c r="M139" s="100">
        <f t="shared" si="116"/>
        <v>18423</v>
      </c>
      <c r="N139" s="100">
        <f t="shared" si="117"/>
        <v>841.79999999999927</v>
      </c>
      <c r="O139" s="101">
        <f t="shared" si="118"/>
        <v>4.7880690737833555E-2</v>
      </c>
      <c r="P139" s="101">
        <f t="shared" si="105"/>
        <v>5.73424650002734E-3</v>
      </c>
      <c r="Q139" s="120">
        <f t="shared" si="119"/>
        <v>-9.1276249952580712E-7</v>
      </c>
      <c r="R139" s="120"/>
      <c r="T139" s="8">
        <f t="shared" si="113"/>
        <v>4.788069073783352E-2</v>
      </c>
    </row>
    <row r="140" spans="1:20" x14ac:dyDescent="0.25">
      <c r="A140" s="116">
        <f t="shared" si="127"/>
        <v>132</v>
      </c>
      <c r="B140" s="103" t="s">
        <v>181</v>
      </c>
      <c r="C140" s="104" t="s">
        <v>54</v>
      </c>
      <c r="E140" s="119">
        <v>3180</v>
      </c>
      <c r="F140" s="45">
        <v>5.29</v>
      </c>
      <c r="G140" s="100">
        <f t="shared" si="107"/>
        <v>16822.2</v>
      </c>
      <c r="H140" s="45">
        <v>5.29</v>
      </c>
      <c r="I140" s="100">
        <f t="shared" si="108"/>
        <v>16822.2</v>
      </c>
      <c r="J140" s="101">
        <f t="shared" si="100"/>
        <v>5.4875660447568676E-3</v>
      </c>
      <c r="K140" s="101"/>
      <c r="L140" s="102">
        <f t="shared" si="101"/>
        <v>5.54</v>
      </c>
      <c r="M140" s="100">
        <f t="shared" si="109"/>
        <v>17617.2</v>
      </c>
      <c r="N140" s="100">
        <f t="shared" si="110"/>
        <v>795</v>
      </c>
      <c r="O140" s="101">
        <f t="shared" si="111"/>
        <v>4.725897920604915E-2</v>
      </c>
      <c r="P140" s="101">
        <f t="shared" si="105"/>
        <v>5.4834374119460275E-3</v>
      </c>
      <c r="Q140" s="120">
        <f t="shared" si="112"/>
        <v>-4.1286328108401313E-6</v>
      </c>
      <c r="R140" s="120"/>
      <c r="T140" s="8">
        <f t="shared" si="113"/>
        <v>4.7258979206049156E-2</v>
      </c>
    </row>
    <row r="141" spans="1:20" x14ac:dyDescent="0.25">
      <c r="A141" s="116">
        <f t="shared" si="127"/>
        <v>133</v>
      </c>
      <c r="B141" s="103" t="s">
        <v>181</v>
      </c>
      <c r="C141" s="104" t="s">
        <v>55</v>
      </c>
      <c r="E141" s="119">
        <v>0</v>
      </c>
      <c r="F141" s="45">
        <v>4.63</v>
      </c>
      <c r="G141" s="100">
        <f t="shared" si="107"/>
        <v>0</v>
      </c>
      <c r="H141" s="45">
        <v>4.63</v>
      </c>
      <c r="I141" s="100">
        <f t="shared" si="108"/>
        <v>0</v>
      </c>
      <c r="J141" s="101">
        <f t="shared" si="100"/>
        <v>0</v>
      </c>
      <c r="K141" s="101"/>
      <c r="L141" s="102">
        <f t="shared" si="101"/>
        <v>4.8499999999999996</v>
      </c>
      <c r="M141" s="100">
        <f t="shared" si="109"/>
        <v>0</v>
      </c>
      <c r="N141" s="100">
        <f t="shared" si="110"/>
        <v>0</v>
      </c>
      <c r="O141" s="101">
        <f t="shared" si="111"/>
        <v>0</v>
      </c>
      <c r="P141" s="101">
        <f t="shared" si="105"/>
        <v>0</v>
      </c>
      <c r="Q141" s="120">
        <f t="shared" si="112"/>
        <v>0</v>
      </c>
      <c r="R141" s="120"/>
      <c r="T141" s="8">
        <f t="shared" si="113"/>
        <v>4.7516198704103729E-2</v>
      </c>
    </row>
    <row r="142" spans="1:20" x14ac:dyDescent="0.25">
      <c r="A142" s="116">
        <f t="shared" si="127"/>
        <v>134</v>
      </c>
      <c r="B142" s="103" t="s">
        <v>181</v>
      </c>
      <c r="C142" s="104" t="s">
        <v>56</v>
      </c>
      <c r="E142" s="119">
        <v>60</v>
      </c>
      <c r="F142" s="45">
        <v>25.19</v>
      </c>
      <c r="G142" s="100">
        <f t="shared" si="107"/>
        <v>1511.4</v>
      </c>
      <c r="H142" s="45">
        <v>25.19</v>
      </c>
      <c r="I142" s="100">
        <f t="shared" si="108"/>
        <v>1511.4</v>
      </c>
      <c r="J142" s="101">
        <f t="shared" si="100"/>
        <v>4.9303345103764845E-4</v>
      </c>
      <c r="K142" s="101"/>
      <c r="L142" s="102">
        <f t="shared" si="101"/>
        <v>26.4</v>
      </c>
      <c r="M142" s="100">
        <f t="shared" si="109"/>
        <v>1584</v>
      </c>
      <c r="N142" s="100">
        <f t="shared" si="110"/>
        <v>72.599999999999909</v>
      </c>
      <c r="O142" s="101">
        <f t="shared" si="111"/>
        <v>4.8034934497816532E-2</v>
      </c>
      <c r="P142" s="101">
        <f t="shared" si="105"/>
        <v>4.9302754470191101E-4</v>
      </c>
      <c r="Q142" s="120">
        <f t="shared" si="112"/>
        <v>-5.9063357374421546E-9</v>
      </c>
      <c r="R142" s="120"/>
      <c r="T142" s="8">
        <f t="shared" si="113"/>
        <v>4.8034934497816595E-2</v>
      </c>
    </row>
    <row r="143" spans="1:20" x14ac:dyDescent="0.25">
      <c r="A143" s="116">
        <f t="shared" si="127"/>
        <v>135</v>
      </c>
      <c r="B143" s="103" t="s">
        <v>181</v>
      </c>
      <c r="C143" s="104" t="s">
        <v>57</v>
      </c>
      <c r="E143" s="119">
        <v>0</v>
      </c>
      <c r="F143" s="45">
        <v>9.0399999999999991</v>
      </c>
      <c r="G143" s="100">
        <f t="shared" si="107"/>
        <v>0</v>
      </c>
      <c r="H143" s="45">
        <v>9.0399999999999991</v>
      </c>
      <c r="I143" s="100">
        <f t="shared" si="108"/>
        <v>0</v>
      </c>
      <c r="J143" s="101">
        <f t="shared" si="100"/>
        <v>0</v>
      </c>
      <c r="K143" s="101"/>
      <c r="L143" s="102">
        <f t="shared" si="101"/>
        <v>9.48</v>
      </c>
      <c r="M143" s="100">
        <f t="shared" si="109"/>
        <v>0</v>
      </c>
      <c r="N143" s="100">
        <f t="shared" si="110"/>
        <v>0</v>
      </c>
      <c r="O143" s="101">
        <f t="shared" si="111"/>
        <v>0</v>
      </c>
      <c r="P143" s="101">
        <f t="shared" si="105"/>
        <v>0</v>
      </c>
      <c r="Q143" s="120">
        <f t="shared" si="112"/>
        <v>0</v>
      </c>
      <c r="R143" s="120"/>
      <c r="T143" s="8">
        <f t="shared" si="113"/>
        <v>4.8672566371681603E-2</v>
      </c>
    </row>
    <row r="144" spans="1:20" x14ac:dyDescent="0.25">
      <c r="A144" s="116">
        <f t="shared" si="127"/>
        <v>136</v>
      </c>
      <c r="B144" s="103" t="s">
        <v>181</v>
      </c>
      <c r="C144" s="104" t="s">
        <v>58</v>
      </c>
      <c r="E144" s="119">
        <v>1020</v>
      </c>
      <c r="F144" s="45">
        <v>30.48</v>
      </c>
      <c r="G144" s="100">
        <f t="shared" si="107"/>
        <v>31089.600000000002</v>
      </c>
      <c r="H144" s="45">
        <v>30.48</v>
      </c>
      <c r="I144" s="100">
        <f t="shared" si="108"/>
        <v>31089.600000000002</v>
      </c>
      <c r="J144" s="101">
        <f t="shared" si="100"/>
        <v>1.0141731361241283E-2</v>
      </c>
      <c r="K144" s="101"/>
      <c r="L144" s="102">
        <f t="shared" si="101"/>
        <v>31.95</v>
      </c>
      <c r="M144" s="100">
        <f t="shared" si="109"/>
        <v>32589</v>
      </c>
      <c r="N144" s="100">
        <f t="shared" si="110"/>
        <v>1499.3999999999978</v>
      </c>
      <c r="O144" s="101">
        <f t="shared" si="111"/>
        <v>4.8228346456692842E-2</v>
      </c>
      <c r="P144" s="101">
        <f t="shared" si="105"/>
        <v>1.0143481473668295E-2</v>
      </c>
      <c r="Q144" s="120">
        <f t="shared" si="112"/>
        <v>1.7501124270121599E-6</v>
      </c>
      <c r="R144" s="120"/>
      <c r="T144" s="8">
        <f t="shared" si="113"/>
        <v>4.8228346456692828E-2</v>
      </c>
    </row>
    <row r="145" spans="1:20" x14ac:dyDescent="0.25">
      <c r="A145" s="116">
        <f t="shared" si="127"/>
        <v>137</v>
      </c>
      <c r="B145" s="103" t="s">
        <v>181</v>
      </c>
      <c r="C145" s="104" t="s">
        <v>59</v>
      </c>
      <c r="E145" s="119">
        <v>60</v>
      </c>
      <c r="F145" s="45">
        <v>29.96</v>
      </c>
      <c r="G145" s="100">
        <f t="shared" si="107"/>
        <v>1797.6000000000001</v>
      </c>
      <c r="H145" s="45">
        <v>29.96</v>
      </c>
      <c r="I145" s="100">
        <f t="shared" si="108"/>
        <v>1797.6000000000001</v>
      </c>
      <c r="J145" s="101">
        <f t="shared" si="100"/>
        <v>5.863946880940035E-4</v>
      </c>
      <c r="K145" s="101"/>
      <c r="L145" s="102">
        <f t="shared" si="101"/>
        <v>31.4</v>
      </c>
      <c r="M145" s="100">
        <f t="shared" si="109"/>
        <v>1884</v>
      </c>
      <c r="N145" s="100">
        <f t="shared" si="110"/>
        <v>86.399999999999864</v>
      </c>
      <c r="O145" s="101">
        <f t="shared" si="111"/>
        <v>4.8064085447262934E-2</v>
      </c>
      <c r="P145" s="101">
        <f t="shared" si="105"/>
        <v>5.8640397362272746E-4</v>
      </c>
      <c r="Q145" s="120">
        <f t="shared" si="112"/>
        <v>9.2855287239616835E-9</v>
      </c>
      <c r="R145" s="120"/>
      <c r="T145" s="8">
        <f t="shared" si="113"/>
        <v>4.8064085447262928E-2</v>
      </c>
    </row>
    <row r="146" spans="1:20" x14ac:dyDescent="0.25">
      <c r="A146" s="116">
        <f t="shared" si="127"/>
        <v>138</v>
      </c>
      <c r="B146" s="103" t="s">
        <v>181</v>
      </c>
      <c r="C146" s="104" t="s">
        <v>60</v>
      </c>
      <c r="E146" s="119">
        <v>192</v>
      </c>
      <c r="F146" s="45">
        <v>10.37</v>
      </c>
      <c r="G146" s="100">
        <f t="shared" si="107"/>
        <v>1991.04</v>
      </c>
      <c r="H146" s="45">
        <v>10.37</v>
      </c>
      <c r="I146" s="100">
        <f t="shared" si="108"/>
        <v>1991.04</v>
      </c>
      <c r="J146" s="101">
        <f t="shared" si="100"/>
        <v>6.4949670659917918E-4</v>
      </c>
      <c r="K146" s="101"/>
      <c r="L146" s="102">
        <f t="shared" si="101"/>
        <v>10.87</v>
      </c>
      <c r="M146" s="100">
        <f t="shared" si="109"/>
        <v>2087.04</v>
      </c>
      <c r="N146" s="100">
        <f t="shared" si="110"/>
        <v>96</v>
      </c>
      <c r="O146" s="101">
        <f t="shared" si="111"/>
        <v>4.8216007714561235E-2</v>
      </c>
      <c r="P146" s="101">
        <f t="shared" si="105"/>
        <v>6.4960114071633613E-4</v>
      </c>
      <c r="Q146" s="120">
        <f t="shared" si="112"/>
        <v>1.0443411715694694E-7</v>
      </c>
      <c r="R146" s="120"/>
      <c r="T146" s="8">
        <f t="shared" si="113"/>
        <v>4.8216007714561249E-2</v>
      </c>
    </row>
    <row r="147" spans="1:20" x14ac:dyDescent="0.25">
      <c r="A147" s="116">
        <f t="shared" si="127"/>
        <v>139</v>
      </c>
      <c r="B147" s="103" t="s">
        <v>181</v>
      </c>
      <c r="C147" s="104" t="s">
        <v>61</v>
      </c>
      <c r="E147" s="119">
        <v>156</v>
      </c>
      <c r="F147" s="45">
        <v>34.81</v>
      </c>
      <c r="G147" s="100">
        <f t="shared" si="107"/>
        <v>5430.3600000000006</v>
      </c>
      <c r="H147" s="45">
        <v>34.81</v>
      </c>
      <c r="I147" s="100">
        <f t="shared" si="108"/>
        <v>5430.3600000000006</v>
      </c>
      <c r="J147" s="101">
        <f t="shared" si="100"/>
        <v>1.7714365033590081E-3</v>
      </c>
      <c r="K147" s="101"/>
      <c r="L147" s="102">
        <f t="shared" si="101"/>
        <v>36.49</v>
      </c>
      <c r="M147" s="100">
        <f t="shared" si="109"/>
        <v>5692.4400000000005</v>
      </c>
      <c r="N147" s="100">
        <f t="shared" si="110"/>
        <v>262.07999999999993</v>
      </c>
      <c r="O147" s="101">
        <f t="shared" si="111"/>
        <v>4.8261993679977001E-2</v>
      </c>
      <c r="P147" s="101">
        <f t="shared" si="105"/>
        <v>1.7717990634867088E-3</v>
      </c>
      <c r="Q147" s="120">
        <f t="shared" si="112"/>
        <v>3.62560127700794E-7</v>
      </c>
      <c r="R147" s="120"/>
      <c r="T147" s="8">
        <f t="shared" si="113"/>
        <v>4.8261993679977078E-2</v>
      </c>
    </row>
    <row r="148" spans="1:20" x14ac:dyDescent="0.25">
      <c r="A148" s="116">
        <f t="shared" si="127"/>
        <v>140</v>
      </c>
      <c r="B148" s="103" t="s">
        <v>181</v>
      </c>
      <c r="C148" s="104" t="s">
        <v>62</v>
      </c>
      <c r="E148" s="119">
        <v>0</v>
      </c>
      <c r="F148" s="45">
        <v>60.66</v>
      </c>
      <c r="G148" s="100">
        <f t="shared" si="107"/>
        <v>0</v>
      </c>
      <c r="H148" s="45">
        <v>60.66</v>
      </c>
      <c r="I148" s="100">
        <f t="shared" si="108"/>
        <v>0</v>
      </c>
      <c r="J148" s="101">
        <f t="shared" si="100"/>
        <v>0</v>
      </c>
      <c r="K148" s="101"/>
      <c r="L148" s="102">
        <f t="shared" si="101"/>
        <v>63.58</v>
      </c>
      <c r="M148" s="100">
        <f t="shared" si="109"/>
        <v>0</v>
      </c>
      <c r="N148" s="100">
        <f t="shared" si="110"/>
        <v>0</v>
      </c>
      <c r="O148" s="101">
        <f t="shared" si="111"/>
        <v>0</v>
      </c>
      <c r="P148" s="101">
        <f t="shared" si="105"/>
        <v>0</v>
      </c>
      <c r="Q148" s="120">
        <f t="shared" si="112"/>
        <v>0</v>
      </c>
      <c r="R148" s="120"/>
      <c r="T148" s="8">
        <f t="shared" si="113"/>
        <v>4.8137157929442731E-2</v>
      </c>
    </row>
    <row r="149" spans="1:20" x14ac:dyDescent="0.25">
      <c r="A149" s="116">
        <f t="shared" si="127"/>
        <v>141</v>
      </c>
      <c r="B149" s="103" t="s">
        <v>181</v>
      </c>
      <c r="C149" s="104" t="s">
        <v>63</v>
      </c>
      <c r="E149" s="119">
        <v>0</v>
      </c>
      <c r="F149" s="45">
        <v>12.49</v>
      </c>
      <c r="G149" s="100">
        <f t="shared" si="107"/>
        <v>0</v>
      </c>
      <c r="H149" s="45">
        <v>12.49</v>
      </c>
      <c r="I149" s="100">
        <f t="shared" si="108"/>
        <v>0</v>
      </c>
      <c r="J149" s="101">
        <f t="shared" si="100"/>
        <v>0</v>
      </c>
      <c r="K149" s="101"/>
      <c r="L149" s="102">
        <f t="shared" si="101"/>
        <v>13.09</v>
      </c>
      <c r="M149" s="100">
        <f t="shared" si="109"/>
        <v>0</v>
      </c>
      <c r="N149" s="100">
        <f t="shared" si="110"/>
        <v>0</v>
      </c>
      <c r="O149" s="101">
        <f t="shared" si="111"/>
        <v>0</v>
      </c>
      <c r="P149" s="101">
        <f t="shared" si="105"/>
        <v>0</v>
      </c>
      <c r="Q149" s="120">
        <f t="shared" si="112"/>
        <v>0</v>
      </c>
      <c r="R149" s="120"/>
      <c r="T149" s="8">
        <f t="shared" si="113"/>
        <v>4.8038430744595573E-2</v>
      </c>
    </row>
    <row r="150" spans="1:20" x14ac:dyDescent="0.25">
      <c r="A150" s="116">
        <f t="shared" si="127"/>
        <v>142</v>
      </c>
      <c r="B150" s="103" t="s">
        <v>181</v>
      </c>
      <c r="C150" s="104" t="s">
        <v>64</v>
      </c>
      <c r="E150" s="119">
        <v>0</v>
      </c>
      <c r="F150" s="45">
        <v>17.440000000000001</v>
      </c>
      <c r="G150" s="100">
        <f t="shared" si="107"/>
        <v>0</v>
      </c>
      <c r="H150" s="45">
        <v>17.440000000000001</v>
      </c>
      <c r="I150" s="100">
        <f t="shared" si="108"/>
        <v>0</v>
      </c>
      <c r="J150" s="101">
        <f t="shared" si="100"/>
        <v>0</v>
      </c>
      <c r="K150" s="101"/>
      <c r="L150" s="102">
        <f t="shared" si="101"/>
        <v>18.28</v>
      </c>
      <c r="M150" s="100">
        <f t="shared" si="109"/>
        <v>0</v>
      </c>
      <c r="N150" s="100">
        <f t="shared" si="110"/>
        <v>0</v>
      </c>
      <c r="O150" s="101">
        <f t="shared" si="111"/>
        <v>0</v>
      </c>
      <c r="P150" s="101">
        <f t="shared" si="105"/>
        <v>0</v>
      </c>
      <c r="Q150" s="120">
        <f t="shared" si="112"/>
        <v>0</v>
      </c>
      <c r="R150" s="120"/>
      <c r="T150" s="8">
        <f t="shared" si="113"/>
        <v>4.8165137614678777E-2</v>
      </c>
    </row>
    <row r="151" spans="1:20" x14ac:dyDescent="0.25">
      <c r="A151" s="116">
        <f t="shared" si="127"/>
        <v>143</v>
      </c>
      <c r="B151" s="103" t="s">
        <v>181</v>
      </c>
      <c r="C151" s="104" t="s">
        <v>65</v>
      </c>
      <c r="E151" s="119">
        <v>0</v>
      </c>
      <c r="F151" s="45">
        <v>8.66</v>
      </c>
      <c r="G151" s="100">
        <f t="shared" si="107"/>
        <v>0</v>
      </c>
      <c r="H151" s="45">
        <v>8.66</v>
      </c>
      <c r="I151" s="100">
        <f t="shared" si="108"/>
        <v>0</v>
      </c>
      <c r="J151" s="101">
        <f t="shared" si="100"/>
        <v>0</v>
      </c>
      <c r="K151" s="101"/>
      <c r="L151" s="102">
        <f t="shared" si="101"/>
        <v>9.08</v>
      </c>
      <c r="M151" s="100">
        <f t="shared" si="109"/>
        <v>0</v>
      </c>
      <c r="N151" s="100">
        <f t="shared" si="110"/>
        <v>0</v>
      </c>
      <c r="O151" s="101">
        <f t="shared" si="111"/>
        <v>0</v>
      </c>
      <c r="P151" s="101">
        <f t="shared" si="105"/>
        <v>0</v>
      </c>
      <c r="Q151" s="120">
        <f t="shared" si="112"/>
        <v>0</v>
      </c>
      <c r="R151" s="120"/>
      <c r="T151" s="8">
        <f t="shared" si="113"/>
        <v>4.8498845265589008E-2</v>
      </c>
    </row>
    <row r="152" spans="1:20" s="12" customFormat="1" ht="24.6" customHeight="1" x14ac:dyDescent="0.3">
      <c r="A152" s="116">
        <f t="shared" si="127"/>
        <v>144</v>
      </c>
      <c r="B152" s="107"/>
      <c r="C152" s="123"/>
      <c r="D152" s="124" t="s">
        <v>7</v>
      </c>
      <c r="E152" s="124"/>
      <c r="F152" s="124"/>
      <c r="G152" s="31">
        <f>SUM(G120:G151)</f>
        <v>2823029.2800000007</v>
      </c>
      <c r="H152" s="124"/>
      <c r="I152" s="31">
        <f>SUM(I120:I151)</f>
        <v>3065512.0800000005</v>
      </c>
      <c r="J152" s="125">
        <f>SUM(J120:J151)</f>
        <v>0.99999999999999989</v>
      </c>
      <c r="K152" s="126">
        <f>I152+Summary!I16</f>
        <v>3213132.2700000005</v>
      </c>
      <c r="L152" s="124"/>
      <c r="M152" s="31">
        <f>SUM(M120:M151)</f>
        <v>3212802.24</v>
      </c>
      <c r="N152" s="31">
        <f>M152-I152</f>
        <v>147290.15999999968</v>
      </c>
      <c r="O152" s="125">
        <f t="shared" ref="O152" si="128">N152/I152</f>
        <v>4.8047489670958878E-2</v>
      </c>
      <c r="P152" s="125">
        <f>SUM(P120:P151)</f>
        <v>0.99999999999999978</v>
      </c>
      <c r="Q152" s="127">
        <f t="shared" ref="Q152" si="129">P152-J152</f>
        <v>0</v>
      </c>
      <c r="R152" s="128">
        <f>M152-K152</f>
        <v>-330.03000000026077</v>
      </c>
      <c r="S152" s="12">
        <f>K152/I152</f>
        <v>1.0481551486823695</v>
      </c>
    </row>
    <row r="153" spans="1:20" x14ac:dyDescent="0.25">
      <c r="A153" s="116">
        <f t="shared" si="127"/>
        <v>145</v>
      </c>
      <c r="D153" s="36" t="s">
        <v>27</v>
      </c>
      <c r="G153" s="100">
        <v>0</v>
      </c>
      <c r="I153" s="104">
        <v>0</v>
      </c>
      <c r="M153" s="100">
        <f>I153</f>
        <v>0</v>
      </c>
      <c r="N153" s="100">
        <f>M153-I153</f>
        <v>0</v>
      </c>
      <c r="O153" s="102">
        <v>0</v>
      </c>
    </row>
    <row r="154" spans="1:20" x14ac:dyDescent="0.25">
      <c r="A154" s="116">
        <f t="shared" si="127"/>
        <v>146</v>
      </c>
      <c r="D154" s="36" t="s">
        <v>28</v>
      </c>
      <c r="G154" s="100">
        <v>0</v>
      </c>
      <c r="I154" s="104">
        <v>0</v>
      </c>
      <c r="M154" s="100">
        <f t="shared" ref="M154:M155" si="130">I154</f>
        <v>0</v>
      </c>
      <c r="N154" s="100">
        <f>M154-I154</f>
        <v>0</v>
      </c>
      <c r="O154" s="102">
        <v>0</v>
      </c>
    </row>
    <row r="155" spans="1:20" x14ac:dyDescent="0.25">
      <c r="A155" s="116">
        <f t="shared" si="127"/>
        <v>147</v>
      </c>
      <c r="D155" s="36" t="s">
        <v>32</v>
      </c>
      <c r="G155" s="100">
        <v>0</v>
      </c>
      <c r="I155" s="104">
        <v>0</v>
      </c>
      <c r="M155" s="100">
        <f t="shared" si="130"/>
        <v>0</v>
      </c>
      <c r="N155" s="100">
        <f>M155-I155</f>
        <v>0</v>
      </c>
      <c r="O155" s="102">
        <v>0</v>
      </c>
    </row>
    <row r="156" spans="1:20" x14ac:dyDescent="0.25">
      <c r="A156" s="116">
        <f t="shared" si="127"/>
        <v>148</v>
      </c>
      <c r="D156" s="36" t="s">
        <v>74</v>
      </c>
      <c r="G156" s="100"/>
      <c r="I156" s="104"/>
      <c r="M156" s="100"/>
      <c r="N156" s="100"/>
      <c r="O156" s="102"/>
    </row>
    <row r="157" spans="1:20" x14ac:dyDescent="0.25">
      <c r="A157" s="116">
        <f t="shared" si="127"/>
        <v>149</v>
      </c>
      <c r="D157" s="130" t="s">
        <v>9</v>
      </c>
      <c r="E157" s="130"/>
      <c r="F157" s="130"/>
      <c r="G157" s="131">
        <f>SUM(G153:G155)</f>
        <v>0</v>
      </c>
      <c r="H157" s="130"/>
      <c r="I157" s="131">
        <f>SUM(I153:I155)</f>
        <v>0</v>
      </c>
      <c r="J157" s="130"/>
      <c r="K157" s="130"/>
      <c r="L157" s="130"/>
      <c r="M157" s="131">
        <f>SUM(M153:M155)</f>
        <v>0</v>
      </c>
      <c r="N157" s="131">
        <f>M157-I157</f>
        <v>0</v>
      </c>
      <c r="O157" s="132">
        <f>N157-J157</f>
        <v>0</v>
      </c>
    </row>
    <row r="158" spans="1:20" s="12" customFormat="1" ht="26.4" customHeight="1" thickBot="1" x14ac:dyDescent="0.3">
      <c r="A158" s="116">
        <f t="shared" si="127"/>
        <v>150</v>
      </c>
      <c r="B158" s="107"/>
      <c r="C158" s="123"/>
      <c r="D158" s="133" t="s">
        <v>20</v>
      </c>
      <c r="E158" s="133"/>
      <c r="F158" s="133"/>
      <c r="G158" s="134">
        <f>G152+G157</f>
        <v>2823029.2800000007</v>
      </c>
      <c r="H158" s="133"/>
      <c r="I158" s="135">
        <f>I157+I152</f>
        <v>3065512.0800000005</v>
      </c>
      <c r="J158" s="133"/>
      <c r="K158" s="133"/>
      <c r="L158" s="133"/>
      <c r="M158" s="134">
        <f>M157+M152</f>
        <v>3212802.24</v>
      </c>
      <c r="N158" s="134">
        <f>M158-I158</f>
        <v>147290.15999999968</v>
      </c>
      <c r="O158" s="136">
        <f>N158/I158</f>
        <v>4.8047489670958878E-2</v>
      </c>
      <c r="P158" s="36"/>
      <c r="Q158" s="36"/>
      <c r="R158" s="36"/>
    </row>
    <row r="159" spans="1:20" ht="13.8" thickTop="1" x14ac:dyDescent="0.25">
      <c r="A159" s="116">
        <f t="shared" si="127"/>
        <v>151</v>
      </c>
      <c r="G159" s="137"/>
      <c r="I159" s="137"/>
      <c r="M159" s="137"/>
      <c r="N159" s="137"/>
      <c r="O159" s="101"/>
    </row>
    <row r="160" spans="1:20" x14ac:dyDescent="0.25">
      <c r="A160" s="116">
        <f t="shared" si="127"/>
        <v>152</v>
      </c>
      <c r="B160" s="107" t="s">
        <v>30</v>
      </c>
      <c r="C160" s="142"/>
      <c r="D160" s="143"/>
      <c r="E160" s="143"/>
      <c r="F160" s="143"/>
      <c r="G160" s="143"/>
      <c r="H160" s="143"/>
      <c r="I160" s="143"/>
      <c r="J160" s="143"/>
      <c r="K160" s="143"/>
      <c r="L160" s="143"/>
      <c r="M160" s="143"/>
      <c r="N160" s="143"/>
      <c r="O160" s="143"/>
      <c r="P160" s="143"/>
      <c r="Q160" s="143"/>
      <c r="R160" s="143"/>
    </row>
    <row r="161" spans="1:18" x14ac:dyDescent="0.25">
      <c r="A161" s="116">
        <f t="shared" si="127"/>
        <v>153</v>
      </c>
    </row>
    <row r="162" spans="1:18" s="12" customFormat="1" ht="19.95" customHeight="1" x14ac:dyDescent="0.3">
      <c r="A162" s="116">
        <f t="shared" si="127"/>
        <v>154</v>
      </c>
      <c r="C162" s="123"/>
      <c r="D162" s="124" t="s">
        <v>7</v>
      </c>
      <c r="E162" s="124"/>
      <c r="F162" s="124"/>
      <c r="G162" s="139">
        <f>G10+G22+G34+G46+G59+G72+G86+G98+G110+G152</f>
        <v>95979404.966839999</v>
      </c>
      <c r="H162" s="139"/>
      <c r="I162" s="139">
        <f>I10+I22+I34+I46+I59+I72+I86+I98+I110+I152</f>
        <v>112722669.07662</v>
      </c>
      <c r="J162" s="124"/>
      <c r="K162" s="124"/>
      <c r="L162" s="124"/>
      <c r="M162" s="139">
        <f t="shared" ref="M162:N165" si="131">M10+M22+M34+M46+M59+M72+M86+M98+M110+M152</f>
        <v>118567358.041095</v>
      </c>
      <c r="N162" s="139">
        <f t="shared" si="131"/>
        <v>5844688.9644750021</v>
      </c>
      <c r="O162" s="124"/>
      <c r="P162" s="107"/>
      <c r="Q162" s="107"/>
      <c r="R162" s="107"/>
    </row>
    <row r="163" spans="1:18" x14ac:dyDescent="0.25">
      <c r="A163" s="116">
        <f t="shared" si="127"/>
        <v>155</v>
      </c>
      <c r="D163" s="36" t="s">
        <v>27</v>
      </c>
      <c r="G163" s="104">
        <f>G11+G23+G35+G47+G60+G73+G87+G99+G111+G153</f>
        <v>10486696</v>
      </c>
      <c r="H163" s="104"/>
      <c r="I163" s="104">
        <f>I11+I23+I35+I47+I60+I73+I87+I99+I111+I153</f>
        <v>-248691.81680000067</v>
      </c>
      <c r="M163" s="104">
        <f t="shared" si="131"/>
        <v>-248691.81680000067</v>
      </c>
      <c r="N163" s="104">
        <f t="shared" si="131"/>
        <v>0</v>
      </c>
    </row>
    <row r="164" spans="1:18" x14ac:dyDescent="0.25">
      <c r="A164" s="116">
        <f t="shared" si="127"/>
        <v>156</v>
      </c>
      <c r="D164" s="36" t="s">
        <v>28</v>
      </c>
      <c r="G164" s="104">
        <f>G12+G24+G36+G48+G61+G74+G88+G100+G112+G154</f>
        <v>10846788</v>
      </c>
      <c r="H164" s="104"/>
      <c r="I164" s="104">
        <f>I12+I24+I36+I48+I61+I74+I88+I100+I112+I154</f>
        <v>10846788</v>
      </c>
      <c r="M164" s="104">
        <f t="shared" si="131"/>
        <v>10846788</v>
      </c>
      <c r="N164" s="104">
        <f t="shared" si="131"/>
        <v>0</v>
      </c>
    </row>
    <row r="165" spans="1:18" x14ac:dyDescent="0.25">
      <c r="A165" s="116">
        <f t="shared" si="127"/>
        <v>157</v>
      </c>
      <c r="D165" s="36" t="s">
        <v>32</v>
      </c>
      <c r="G165" s="104">
        <f>G13+G25+G37+G49+G62+G75+G89+G101+G113+G155</f>
        <v>0</v>
      </c>
      <c r="H165" s="104"/>
      <c r="I165" s="104">
        <f>I13+I25+I37+I49+I62+I75+I89+I101+I113+I155</f>
        <v>0</v>
      </c>
      <c r="M165" s="104">
        <f t="shared" si="131"/>
        <v>0</v>
      </c>
      <c r="N165" s="104">
        <f t="shared" si="131"/>
        <v>0</v>
      </c>
    </row>
    <row r="166" spans="1:18" x14ac:dyDescent="0.25">
      <c r="A166" s="116">
        <f t="shared" si="127"/>
        <v>158</v>
      </c>
      <c r="D166" s="36" t="s">
        <v>74</v>
      </c>
      <c r="G166" s="104">
        <f>G14+G26+G38+G50+G63+G76+G90+G102+G114+G156</f>
        <v>0</v>
      </c>
      <c r="I166" s="104"/>
      <c r="M166" s="100"/>
      <c r="N166" s="100"/>
      <c r="O166" s="102"/>
    </row>
    <row r="167" spans="1:18" x14ac:dyDescent="0.25">
      <c r="A167" s="116">
        <f t="shared" si="127"/>
        <v>159</v>
      </c>
      <c r="D167" s="130" t="s">
        <v>9</v>
      </c>
      <c r="E167" s="130"/>
      <c r="F167" s="130"/>
      <c r="G167" s="140">
        <f>SUM(G163:G166)</f>
        <v>21333484</v>
      </c>
      <c r="H167" s="140"/>
      <c r="I167" s="140">
        <f>SUM(I163:I166)</f>
        <v>10598096.1832</v>
      </c>
      <c r="J167" s="130"/>
      <c r="K167" s="130"/>
      <c r="L167" s="130"/>
      <c r="M167" s="140">
        <f>SUM(M163:M166)</f>
        <v>10598096.1832</v>
      </c>
      <c r="N167" s="140">
        <f>SUM(N163:N165)</f>
        <v>0</v>
      </c>
      <c r="O167" s="130"/>
    </row>
    <row r="168" spans="1:18" s="12" customFormat="1" ht="21" customHeight="1" thickBot="1" x14ac:dyDescent="0.35">
      <c r="A168" s="116">
        <f t="shared" si="127"/>
        <v>160</v>
      </c>
      <c r="B168" s="107"/>
      <c r="C168" s="123"/>
      <c r="D168" s="133" t="s">
        <v>20</v>
      </c>
      <c r="E168" s="133"/>
      <c r="F168" s="133"/>
      <c r="G168" s="135">
        <f>G167+G162</f>
        <v>117312888.96684</v>
      </c>
      <c r="H168" s="135"/>
      <c r="I168" s="135">
        <f>I167+I162</f>
        <v>123320765.25982</v>
      </c>
      <c r="J168" s="133"/>
      <c r="K168" s="133"/>
      <c r="L168" s="133"/>
      <c r="M168" s="135">
        <f>M167+M162</f>
        <v>129165454.22429501</v>
      </c>
      <c r="N168" s="135">
        <f>N167+N162</f>
        <v>5844688.9644750021</v>
      </c>
      <c r="O168" s="136">
        <f>N168/I168</f>
        <v>4.7394199607511692E-2</v>
      </c>
      <c r="P168" s="107"/>
      <c r="Q168" s="107"/>
      <c r="R168" s="107"/>
    </row>
    <row r="169" spans="1:18" ht="13.8" thickTop="1" x14ac:dyDescent="0.25">
      <c r="A169" s="116">
        <f t="shared" si="127"/>
        <v>161</v>
      </c>
    </row>
    <row r="170" spans="1:18" x14ac:dyDescent="0.25">
      <c r="A170" s="116">
        <f t="shared" si="127"/>
        <v>162</v>
      </c>
      <c r="D170" s="36" t="s">
        <v>184</v>
      </c>
      <c r="N170" s="104">
        <f>N168-Summary!L2</f>
        <v>1285.8187678568065</v>
      </c>
    </row>
    <row r="171" spans="1:18" x14ac:dyDescent="0.25">
      <c r="A171" s="116"/>
      <c r="G171" s="94" t="s">
        <v>207</v>
      </c>
      <c r="H171" s="36">
        <v>1.1820000000000001E-2</v>
      </c>
      <c r="I171" s="36" t="s">
        <v>224</v>
      </c>
      <c r="N171" s="104"/>
    </row>
    <row r="172" spans="1:18" x14ac:dyDescent="0.25">
      <c r="A172" s="116"/>
    </row>
    <row r="173" spans="1:18" x14ac:dyDescent="0.25">
      <c r="A173" s="116"/>
      <c r="E173" s="141">
        <v>926179996</v>
      </c>
      <c r="G173" s="104"/>
    </row>
    <row r="174" spans="1:18" x14ac:dyDescent="0.25">
      <c r="A174" s="116"/>
      <c r="E174" s="141">
        <f>E9+E21+E33+E45+E57+E70+E83+E97+E109</f>
        <v>908239240</v>
      </c>
    </row>
    <row r="175" spans="1:18" x14ac:dyDescent="0.25">
      <c r="E175" s="141">
        <f>E174-E173</f>
        <v>-17940756</v>
      </c>
      <c r="G175" s="104"/>
    </row>
    <row r="176" spans="1:18" x14ac:dyDescent="0.25">
      <c r="E176" s="144">
        <f>E175/E173</f>
        <v>-1.9370701243260277E-2</v>
      </c>
    </row>
  </sheetData>
  <printOptions horizontalCentered="1"/>
  <pageMargins left="0.7" right="0.7" top="0.75" bottom="0.75" header="0.3" footer="0.3"/>
  <pageSetup scale="49" fitToHeight="5" orientation="landscape" r:id="rId1"/>
  <headerFooter>
    <oddHeader>&amp;R&amp;"Arial,Bold"&amp;10Exhibit 4
 Page &amp;P of &amp;N</oddHeader>
  </headerFooter>
  <rowBreaks count="2" manualBreakCount="2">
    <brk id="54" max="17" man="1"/>
    <brk id="106" max="17" man="1"/>
  </rowBreaks>
  <ignoredErrors>
    <ignoredError sqref="M10 L83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7F1D6B-8EA4-4BE5-853F-3B99FEBC1CAB}">
  <sheetPr>
    <pageSetUpPr fitToPage="1"/>
  </sheetPr>
  <dimension ref="A1:P104"/>
  <sheetViews>
    <sheetView view="pageBreakPreview" topLeftCell="A34" zoomScaleNormal="100" zoomScaleSheetLayoutView="100" workbookViewId="0">
      <selection activeCell="I62" sqref="I62"/>
    </sheetView>
  </sheetViews>
  <sheetFormatPr defaultColWidth="8.88671875" defaultRowHeight="13.2" x14ac:dyDescent="0.25"/>
  <cols>
    <col min="1" max="1" width="2.44140625" style="2" customWidth="1"/>
    <col min="2" max="2" width="2.88671875" style="2" customWidth="1"/>
    <col min="3" max="3" width="26.44140625" style="2" customWidth="1"/>
    <col min="4" max="4" width="5.33203125" style="28" bestFit="1" customWidth="1"/>
    <col min="5" max="5" width="30.6640625" style="2" bestFit="1" customWidth="1"/>
    <col min="6" max="6" width="12" style="2" customWidth="1"/>
    <col min="7" max="7" width="11.6640625" style="2" customWidth="1"/>
    <col min="8" max="8" width="12.33203125" style="2" customWidth="1"/>
    <col min="9" max="9" width="10.6640625" style="2" customWidth="1"/>
    <col min="10" max="14" width="8.88671875" style="2"/>
    <col min="15" max="15" width="10.6640625" style="2" bestFit="1" customWidth="1"/>
    <col min="16" max="16384" width="8.88671875" style="2"/>
  </cols>
  <sheetData>
    <row r="1" spans="1:16" x14ac:dyDescent="0.25">
      <c r="A1" s="1" t="str">
        <f>Summary!A1</f>
        <v>JACKSON ENERGY COOPERATIVE</v>
      </c>
    </row>
    <row r="2" spans="1:16" x14ac:dyDescent="0.25">
      <c r="A2" s="1" t="s">
        <v>203</v>
      </c>
    </row>
    <row r="4" spans="1:16" x14ac:dyDescent="0.25">
      <c r="C4" s="76" t="s">
        <v>188</v>
      </c>
      <c r="D4" s="77" t="s">
        <v>12</v>
      </c>
      <c r="E4" s="77" t="s">
        <v>2</v>
      </c>
      <c r="F4" s="78" t="s">
        <v>190</v>
      </c>
      <c r="G4" s="78" t="s">
        <v>189</v>
      </c>
      <c r="H4" s="78" t="s">
        <v>204</v>
      </c>
    </row>
    <row r="5" spans="1:16" x14ac:dyDescent="0.25">
      <c r="C5" s="2" t="str">
        <f>'Billing Detail'!B7</f>
        <v>Residential Service</v>
      </c>
      <c r="D5" s="28">
        <f>'Billing Detail'!C7</f>
        <v>10</v>
      </c>
    </row>
    <row r="6" spans="1:16" x14ac:dyDescent="0.25">
      <c r="E6" s="2" t="str">
        <f>'Billing Detail'!D8</f>
        <v>Customer Charge</v>
      </c>
      <c r="F6" s="81">
        <f>'Billing Detail'!H8</f>
        <v>30.5</v>
      </c>
      <c r="G6" s="81">
        <f>'Billing Detail'!L8</f>
        <v>31.97</v>
      </c>
      <c r="H6" s="81">
        <f>G6-F6</f>
        <v>1.4699999999999989</v>
      </c>
      <c r="I6" s="8">
        <f>H6/F6</f>
        <v>4.8196721311475371E-2</v>
      </c>
    </row>
    <row r="7" spans="1:16" x14ac:dyDescent="0.25">
      <c r="E7" s="2" t="str">
        <f>'Billing Detail'!D9</f>
        <v>Energy Charge per kWh</v>
      </c>
      <c r="F7" s="82">
        <f>'Billing Detail'!H9</f>
        <v>0.1061</v>
      </c>
      <c r="G7" s="82">
        <f>'Billing Detail'!L9</f>
        <v>0.111209</v>
      </c>
      <c r="H7" s="81">
        <f t="shared" ref="H7:H35" si="0">G7-F7</f>
        <v>5.1090000000000024E-3</v>
      </c>
      <c r="I7" s="8">
        <f t="shared" ref="I7:I35" si="1">H7/F7</f>
        <v>4.8152686145146111E-2</v>
      </c>
      <c r="P7" s="7"/>
    </row>
    <row r="8" spans="1:16" x14ac:dyDescent="0.25">
      <c r="C8" s="2" t="str">
        <f>'Billing Detail'!B19</f>
        <v>Residential Off Peak ETS</v>
      </c>
      <c r="D8" s="28">
        <f>'Billing Detail'!C19</f>
        <v>11</v>
      </c>
      <c r="F8" s="81"/>
      <c r="G8" s="81"/>
      <c r="H8" s="81"/>
      <c r="I8" s="8"/>
      <c r="O8" s="151">
        <f>F7-F9</f>
        <v>4.5019999999999998E-2</v>
      </c>
      <c r="P8" s="7">
        <f>O8/F7</f>
        <v>0.42431668237511777</v>
      </c>
    </row>
    <row r="9" spans="1:16" x14ac:dyDescent="0.25">
      <c r="E9" s="2" t="str">
        <f>'Billing Detail'!D21</f>
        <v>Energy Charge per kWh</v>
      </c>
      <c r="F9" s="82">
        <f>'Billing Detail'!H21</f>
        <v>6.1080000000000002E-2</v>
      </c>
      <c r="G9" s="82">
        <f>'Billing Detail'!L21</f>
        <v>6.4020999999999995E-2</v>
      </c>
      <c r="H9" s="81">
        <f t="shared" si="0"/>
        <v>2.9409999999999922E-3</v>
      </c>
      <c r="I9" s="8">
        <f t="shared" si="1"/>
        <v>4.8149967256057503E-2</v>
      </c>
      <c r="L9" s="7">
        <f>G9/G7</f>
        <v>0.57568182431278037</v>
      </c>
      <c r="N9" s="2" t="s">
        <v>213</v>
      </c>
      <c r="O9" s="150">
        <f>G7-G9</f>
        <v>4.7188000000000008E-2</v>
      </c>
      <c r="P9" s="7">
        <f>O9/G7</f>
        <v>0.42431817568721963</v>
      </c>
    </row>
    <row r="10" spans="1:16" x14ac:dyDescent="0.25">
      <c r="C10" s="2" t="str">
        <f>'Billing Detail'!B31</f>
        <v>Commercial Service &lt; 50 kW</v>
      </c>
      <c r="D10" s="28">
        <f>'Billing Detail'!C31</f>
        <v>20</v>
      </c>
      <c r="F10" s="81"/>
      <c r="G10" s="81"/>
      <c r="H10" s="81"/>
      <c r="I10" s="8"/>
    </row>
    <row r="11" spans="1:16" x14ac:dyDescent="0.25">
      <c r="E11" s="2" t="str">
        <f>'Billing Detail'!D32</f>
        <v>Customer Charge</v>
      </c>
      <c r="F11" s="81">
        <f>'Billing Detail'!H32</f>
        <v>40.72</v>
      </c>
      <c r="G11" s="81">
        <f>'Billing Detail'!L32</f>
        <v>42.68</v>
      </c>
      <c r="H11" s="81">
        <f t="shared" si="0"/>
        <v>1.9600000000000009</v>
      </c>
      <c r="I11" s="8">
        <f t="shared" si="1"/>
        <v>4.8133595284872321E-2</v>
      </c>
    </row>
    <row r="12" spans="1:16" x14ac:dyDescent="0.25">
      <c r="E12" s="2" t="str">
        <f>'Billing Detail'!D33</f>
        <v>Energy Charge per kWh</v>
      </c>
      <c r="F12" s="82">
        <f>'Billing Detail'!H33</f>
        <v>9.8390000000000005E-2</v>
      </c>
      <c r="G12" s="82">
        <f>'Billing Detail'!L33</f>
        <v>0.103128</v>
      </c>
      <c r="H12" s="81">
        <f t="shared" si="0"/>
        <v>4.7379999999999922E-3</v>
      </c>
      <c r="I12" s="8">
        <f t="shared" si="1"/>
        <v>4.8155300335399859E-2</v>
      </c>
    </row>
    <row r="13" spans="1:16" x14ac:dyDescent="0.25">
      <c r="C13" s="2" t="str">
        <f>'Billing Detail'!B43</f>
        <v>Commercial Off Peak ETS</v>
      </c>
      <c r="D13" s="28">
        <f>'Billing Detail'!C43</f>
        <v>22</v>
      </c>
      <c r="F13" s="81"/>
      <c r="G13" s="81"/>
      <c r="H13" s="81"/>
      <c r="I13" s="8"/>
    </row>
    <row r="14" spans="1:16" x14ac:dyDescent="0.25">
      <c r="E14" s="2" t="str">
        <f>'Billing Detail'!D45</f>
        <v>Energy Charge per kWh</v>
      </c>
      <c r="F14" s="82">
        <f>'Billing Detail'!H45</f>
        <v>5.9029999999999999E-2</v>
      </c>
      <c r="G14" s="82">
        <f>'Billing Detail'!L45</f>
        <v>6.1872999999999997E-2</v>
      </c>
      <c r="H14" s="81">
        <f t="shared" si="0"/>
        <v>2.8429999999999983E-3</v>
      </c>
      <c r="I14" s="8">
        <f t="shared" si="1"/>
        <v>4.8161951550059263E-2</v>
      </c>
    </row>
    <row r="15" spans="1:16" x14ac:dyDescent="0.25">
      <c r="C15" s="2" t="str">
        <f>'Billing Detail'!B55</f>
        <v>Large Power Loads 50 kW +</v>
      </c>
      <c r="D15" s="28">
        <f>'Billing Detail'!C55</f>
        <v>40</v>
      </c>
      <c r="F15" s="81"/>
      <c r="G15" s="81"/>
      <c r="H15" s="81"/>
      <c r="I15" s="8"/>
    </row>
    <row r="16" spans="1:16" x14ac:dyDescent="0.25">
      <c r="E16" s="2" t="str">
        <f>'Billing Detail'!D56</f>
        <v>Customer Charge</v>
      </c>
      <c r="F16" s="81">
        <f>'Billing Detail'!H56</f>
        <v>58.75</v>
      </c>
      <c r="G16" s="81">
        <f>'Billing Detail'!L56</f>
        <v>61.58</v>
      </c>
      <c r="H16" s="81">
        <f t="shared" si="0"/>
        <v>2.8299999999999983</v>
      </c>
      <c r="I16" s="8">
        <f t="shared" si="1"/>
        <v>4.8170212765957419E-2</v>
      </c>
    </row>
    <row r="17" spans="3:9" x14ac:dyDescent="0.25">
      <c r="E17" s="2" t="str">
        <f>'Billing Detail'!D57</f>
        <v>Energy Charge per kWh</v>
      </c>
      <c r="F17" s="82">
        <f>'Billing Detail'!H57</f>
        <v>7.5380000000000003E-2</v>
      </c>
      <c r="G17" s="82">
        <f>'Billing Detail'!L57</f>
        <v>7.9009999999999997E-2</v>
      </c>
      <c r="H17" s="81">
        <f t="shared" si="0"/>
        <v>3.6299999999999943E-3</v>
      </c>
      <c r="I17" s="8">
        <f t="shared" si="1"/>
        <v>4.8156009551605122E-2</v>
      </c>
    </row>
    <row r="18" spans="3:9" x14ac:dyDescent="0.25">
      <c r="E18" s="2" t="str">
        <f>'Billing Detail'!D58</f>
        <v>Demand Charge per kW</v>
      </c>
      <c r="F18" s="81">
        <f>'Billing Detail'!H58</f>
        <v>6.8</v>
      </c>
      <c r="G18" s="81">
        <f>'Billing Detail'!L58</f>
        <v>7.13</v>
      </c>
      <c r="H18" s="81">
        <f t="shared" si="0"/>
        <v>0.33000000000000007</v>
      </c>
      <c r="I18" s="8">
        <f t="shared" si="1"/>
        <v>4.8529411764705897E-2</v>
      </c>
    </row>
    <row r="19" spans="3:9" x14ac:dyDescent="0.25">
      <c r="C19" s="2" t="str">
        <f>'Billing Detail'!B68</f>
        <v>Large Power Rate 500 kW +</v>
      </c>
      <c r="D19" s="28">
        <f>'Billing Detail'!C68</f>
        <v>46</v>
      </c>
      <c r="F19" s="81"/>
      <c r="G19" s="81"/>
      <c r="H19" s="81"/>
      <c r="I19" s="8"/>
    </row>
    <row r="20" spans="3:9" x14ac:dyDescent="0.25">
      <c r="E20" s="2" t="str">
        <f>'Billing Detail'!D69</f>
        <v>Customer Charge</v>
      </c>
      <c r="F20" s="81">
        <f>'Billing Detail'!H69</f>
        <v>1754.33</v>
      </c>
      <c r="G20" s="81">
        <f>'Billing Detail'!L69</f>
        <v>1888.33</v>
      </c>
      <c r="H20" s="81">
        <f t="shared" si="0"/>
        <v>134</v>
      </c>
      <c r="I20" s="8">
        <f t="shared" si="1"/>
        <v>7.638243659972753E-2</v>
      </c>
    </row>
    <row r="21" spans="3:9" x14ac:dyDescent="0.25">
      <c r="E21" s="2" t="str">
        <f>'Billing Detail'!D70</f>
        <v>Energy Charge per kWh</v>
      </c>
      <c r="F21" s="82">
        <f>'Billing Detail'!H70</f>
        <v>6.0139999999999999E-2</v>
      </c>
      <c r="G21" s="82">
        <f>'Billing Detail'!L70</f>
        <v>6.4734E-2</v>
      </c>
      <c r="H21" s="81">
        <f t="shared" si="0"/>
        <v>4.5940000000000009E-3</v>
      </c>
      <c r="I21" s="8">
        <f t="shared" si="1"/>
        <v>7.6388427003658152E-2</v>
      </c>
    </row>
    <row r="22" spans="3:9" x14ac:dyDescent="0.25">
      <c r="E22" s="2" t="str">
        <f>'Billing Detail'!D71</f>
        <v>Demand Charge per kW</v>
      </c>
      <c r="F22" s="81">
        <f>'Billing Detail'!H71</f>
        <v>7.06</v>
      </c>
      <c r="G22" s="81">
        <f>'Billing Detail'!L71</f>
        <v>7.6</v>
      </c>
      <c r="H22" s="81">
        <f t="shared" si="0"/>
        <v>0.54</v>
      </c>
      <c r="I22" s="8">
        <f t="shared" si="1"/>
        <v>7.6487252124645896E-2</v>
      </c>
    </row>
    <row r="23" spans="3:9" x14ac:dyDescent="0.25">
      <c r="C23" s="2" t="str">
        <f>'Billing Detail'!B81</f>
        <v>Large Power Rate 500 kW +</v>
      </c>
      <c r="D23" s="28">
        <f>'Billing Detail'!C81</f>
        <v>47</v>
      </c>
      <c r="F23" s="81"/>
      <c r="G23" s="81"/>
      <c r="H23" s="81"/>
      <c r="I23" s="8"/>
    </row>
    <row r="24" spans="3:9" x14ac:dyDescent="0.25">
      <c r="E24" s="2" t="str">
        <f>'Billing Detail'!D82</f>
        <v>Customer Charge</v>
      </c>
      <c r="F24" s="81">
        <f>'Billing Detail'!H82</f>
        <v>1754.33</v>
      </c>
      <c r="G24" s="81">
        <f>'Billing Detail'!L82</f>
        <v>1915.24</v>
      </c>
      <c r="H24" s="81">
        <f t="shared" si="0"/>
        <v>160.91000000000008</v>
      </c>
      <c r="I24" s="8">
        <f t="shared" si="1"/>
        <v>9.1721625919866892E-2</v>
      </c>
    </row>
    <row r="25" spans="3:9" x14ac:dyDescent="0.25">
      <c r="E25" s="2" t="str">
        <f>'Billing Detail'!D83</f>
        <v>Energy Charge per kWh</v>
      </c>
      <c r="F25" s="82">
        <f>'Billing Detail'!H83</f>
        <v>6.1219999999999997E-2</v>
      </c>
      <c r="G25" s="82">
        <f>'Billing Detail'!L83</f>
        <v>6.6835000000000006E-2</v>
      </c>
      <c r="H25" s="81">
        <f t="shared" si="0"/>
        <v>5.6150000000000089E-3</v>
      </c>
      <c r="I25" s="8">
        <f t="shared" si="1"/>
        <v>9.1718392682130168E-2</v>
      </c>
    </row>
    <row r="26" spans="3:9" x14ac:dyDescent="0.25">
      <c r="E26" s="2" t="str">
        <f>'Billing Detail'!D84</f>
        <v>Demand Charge Contract per kW</v>
      </c>
      <c r="F26" s="81">
        <f>'Billing Detail'!H84</f>
        <v>7.06</v>
      </c>
      <c r="G26" s="81">
        <f>'Billing Detail'!L84</f>
        <v>7.71</v>
      </c>
      <c r="H26" s="81">
        <f t="shared" si="0"/>
        <v>0.65000000000000036</v>
      </c>
      <c r="I26" s="8">
        <f t="shared" si="1"/>
        <v>9.2067988668555298E-2</v>
      </c>
    </row>
    <row r="27" spans="3:9" x14ac:dyDescent="0.25">
      <c r="E27" s="2" t="str">
        <f>'Billing Detail'!D85</f>
        <v>Demand Charge Excess per kW</v>
      </c>
      <c r="F27" s="81">
        <f>'Billing Detail'!H85</f>
        <v>9.8000000000000007</v>
      </c>
      <c r="G27" s="81">
        <f>'Billing Detail'!L85</f>
        <v>10.7</v>
      </c>
      <c r="H27" s="81">
        <f t="shared" si="0"/>
        <v>0.89999999999999858</v>
      </c>
      <c r="I27" s="8">
        <f t="shared" si="1"/>
        <v>9.1836734693877403E-2</v>
      </c>
    </row>
    <row r="28" spans="3:9" x14ac:dyDescent="0.25">
      <c r="C28" s="2" t="str">
        <f>'Billing Detail'!B95</f>
        <v>Schools Churches Halls Parks</v>
      </c>
      <c r="D28" s="28">
        <f>'Billing Detail'!C95</f>
        <v>50</v>
      </c>
      <c r="F28" s="81"/>
      <c r="G28" s="81"/>
      <c r="H28" s="81"/>
      <c r="I28" s="8"/>
    </row>
    <row r="29" spans="3:9" x14ac:dyDescent="0.25">
      <c r="E29" s="2" t="str">
        <f>'Billing Detail'!D96</f>
        <v>Customer Charge</v>
      </c>
      <c r="F29" s="81">
        <f>'Billing Detail'!H96</f>
        <v>23.2</v>
      </c>
      <c r="G29" s="81">
        <f>'Billing Detail'!L96</f>
        <v>24.32</v>
      </c>
      <c r="H29" s="81">
        <f t="shared" si="0"/>
        <v>1.120000000000001</v>
      </c>
      <c r="I29" s="8">
        <f t="shared" si="1"/>
        <v>4.8275862068965558E-2</v>
      </c>
    </row>
    <row r="30" spans="3:9" x14ac:dyDescent="0.25">
      <c r="E30" s="2" t="str">
        <f>'Billing Detail'!D97</f>
        <v>Energy Charge per kWh</v>
      </c>
      <c r="F30" s="82">
        <f>'Billing Detail'!H97</f>
        <v>0.10534</v>
      </c>
      <c r="G30" s="82">
        <f>'Billing Detail'!L97</f>
        <v>0.110413</v>
      </c>
      <c r="H30" s="81">
        <f t="shared" si="0"/>
        <v>5.0729999999999942E-3</v>
      </c>
      <c r="I30" s="8">
        <f t="shared" si="1"/>
        <v>4.8158344408581681E-2</v>
      </c>
    </row>
    <row r="31" spans="3:9" x14ac:dyDescent="0.25">
      <c r="C31" s="2" t="str">
        <f>'Billing Detail'!B107</f>
        <v>All Electric Schools AES</v>
      </c>
      <c r="D31" s="28">
        <f>'Billing Detail'!C107</f>
        <v>52</v>
      </c>
      <c r="F31" s="81"/>
      <c r="G31" s="81"/>
      <c r="H31" s="81"/>
      <c r="I31" s="8"/>
    </row>
    <row r="32" spans="3:9" x14ac:dyDescent="0.25">
      <c r="E32" s="2" t="str">
        <f>'Billing Detail'!D108</f>
        <v>Customer Charge</v>
      </c>
      <c r="F32" s="81">
        <f>'Billing Detail'!H108</f>
        <v>57.73</v>
      </c>
      <c r="G32" s="81">
        <f>'Billing Detail'!L108</f>
        <v>60.51</v>
      </c>
      <c r="H32" s="81">
        <f t="shared" si="0"/>
        <v>2.7800000000000011</v>
      </c>
      <c r="I32" s="8">
        <f t="shared" si="1"/>
        <v>4.8155205265892974E-2</v>
      </c>
    </row>
    <row r="33" spans="3:9" x14ac:dyDescent="0.25">
      <c r="E33" s="2" t="str">
        <f>'Billing Detail'!D109</f>
        <v>Energy Charge per kWh</v>
      </c>
      <c r="F33" s="82">
        <f>'Billing Detail'!H109</f>
        <v>8.8910000000000003E-2</v>
      </c>
      <c r="G33" s="82">
        <f>'Billing Detail'!L109</f>
        <v>9.3190999999999996E-2</v>
      </c>
      <c r="H33" s="81">
        <f t="shared" si="0"/>
        <v>4.2809999999999931E-3</v>
      </c>
      <c r="I33" s="8">
        <f t="shared" si="1"/>
        <v>4.8149814419075392E-2</v>
      </c>
    </row>
    <row r="34" spans="3:9" x14ac:dyDescent="0.25">
      <c r="C34" s="2" t="str">
        <f>'Billing Detail'!B119</f>
        <v>Lighting</v>
      </c>
      <c r="F34" s="81"/>
      <c r="G34" s="81"/>
      <c r="H34" s="81"/>
      <c r="I34" s="8"/>
    </row>
    <row r="35" spans="3:9" x14ac:dyDescent="0.25">
      <c r="C35" s="80" t="str">
        <f>'Billing Detail'!B120</f>
        <v>Cobra Head Light</v>
      </c>
      <c r="E35" s="2" t="str">
        <f>'Billing Detail'!C120</f>
        <v>400 Watt Mercury Vapor</v>
      </c>
      <c r="F35" s="81">
        <f>'Billing Detail'!H120</f>
        <v>17.73</v>
      </c>
      <c r="G35" s="81">
        <f>'Billing Detail'!L120</f>
        <v>18.579999999999998</v>
      </c>
      <c r="H35" s="81">
        <f t="shared" si="0"/>
        <v>0.84999999999999787</v>
      </c>
      <c r="I35" s="8">
        <f t="shared" si="1"/>
        <v>4.7941342357585889E-2</v>
      </c>
    </row>
    <row r="36" spans="3:9" x14ac:dyDescent="0.25">
      <c r="C36" s="80" t="str">
        <f>'Billing Detail'!B121</f>
        <v>Cobra Head Light</v>
      </c>
      <c r="E36" s="2" t="str">
        <f>'Billing Detail'!C121</f>
        <v>200 Watt HPS 22,000 Lumens</v>
      </c>
      <c r="F36" s="81">
        <f>'Billing Detail'!H121</f>
        <v>18.350000000000001</v>
      </c>
      <c r="G36" s="81">
        <f>'Billing Detail'!L121</f>
        <v>19.23</v>
      </c>
      <c r="H36" s="81">
        <f t="shared" ref="H36:H66" si="2">G36-F36</f>
        <v>0.87999999999999901</v>
      </c>
      <c r="I36" s="8">
        <f t="shared" ref="I36:I66" si="3">H36/F36</f>
        <v>4.7956403269754713E-2</v>
      </c>
    </row>
    <row r="37" spans="3:9" x14ac:dyDescent="0.25">
      <c r="C37" s="80" t="str">
        <f>'Billing Detail'!B122</f>
        <v>Cobra Head Light</v>
      </c>
      <c r="E37" s="2" t="str">
        <f>'Billing Detail'!C122</f>
        <v>250 Watt HPS 27,500 Lumens</v>
      </c>
      <c r="F37" s="81">
        <f>'Billing Detail'!H122</f>
        <v>14.81</v>
      </c>
      <c r="G37" s="81">
        <f>'Billing Detail'!L122</f>
        <v>15.52</v>
      </c>
      <c r="H37" s="81">
        <f t="shared" si="2"/>
        <v>0.70999999999999908</v>
      </c>
      <c r="I37" s="8">
        <f t="shared" si="3"/>
        <v>4.7940580688723769E-2</v>
      </c>
    </row>
    <row r="38" spans="3:9" x14ac:dyDescent="0.25">
      <c r="C38" s="80" t="str">
        <f>'Billing Detail'!B123</f>
        <v>Cobra Head Light</v>
      </c>
      <c r="E38" s="2" t="str">
        <f>'Billing Detail'!C123</f>
        <v>400 Watt HPS 50,000 Lumens</v>
      </c>
      <c r="F38" s="81">
        <f>'Billing Detail'!H123</f>
        <v>15.37</v>
      </c>
      <c r="G38" s="81">
        <f>'Billing Detail'!L123</f>
        <v>16.11</v>
      </c>
      <c r="H38" s="81">
        <f t="shared" si="2"/>
        <v>0.74000000000000021</v>
      </c>
      <c r="I38" s="8">
        <f t="shared" si="3"/>
        <v>4.8145738451528967E-2</v>
      </c>
    </row>
    <row r="39" spans="3:9" x14ac:dyDescent="0.25">
      <c r="C39" s="80" t="str">
        <f>'Billing Detail'!B124</f>
        <v>Security Light</v>
      </c>
      <c r="E39" s="2" t="str">
        <f>'Billing Detail'!C124</f>
        <v>175 Watt Mercury Vapor</v>
      </c>
      <c r="F39" s="81">
        <f>'Billing Detail'!H124</f>
        <v>10.41</v>
      </c>
      <c r="G39" s="81">
        <f>'Billing Detail'!L124</f>
        <v>10.91</v>
      </c>
      <c r="H39" s="81">
        <f t="shared" si="2"/>
        <v>0.5</v>
      </c>
      <c r="I39" s="8">
        <f t="shared" si="3"/>
        <v>4.8030739673390971E-2</v>
      </c>
    </row>
    <row r="40" spans="3:9" x14ac:dyDescent="0.25">
      <c r="C40" s="80" t="str">
        <f>'Billing Detail'!B125</f>
        <v>Flood Light</v>
      </c>
      <c r="E40" s="2" t="str">
        <f>'Billing Detail'!C125</f>
        <v>400 Watt Mercury Vapor</v>
      </c>
      <c r="F40" s="81">
        <f>'Billing Detail'!H125</f>
        <v>20.03</v>
      </c>
      <c r="G40" s="81">
        <f>'Billing Detail'!L125</f>
        <v>20.99</v>
      </c>
      <c r="H40" s="81">
        <f t="shared" si="2"/>
        <v>0.9599999999999973</v>
      </c>
      <c r="I40" s="8">
        <f t="shared" si="3"/>
        <v>4.7928107838242501E-2</v>
      </c>
    </row>
    <row r="41" spans="3:9" x14ac:dyDescent="0.25">
      <c r="C41" s="80" t="str">
        <f>'Billing Detail'!B126</f>
        <v>Flood Light</v>
      </c>
      <c r="E41" s="2" t="str">
        <f>'Billing Detail'!C126</f>
        <v>1,000 Watt Mercury Vapor</v>
      </c>
      <c r="F41" s="81">
        <f>'Billing Detail'!H126</f>
        <v>40.950000000000003</v>
      </c>
      <c r="G41" s="81">
        <f>'Billing Detail'!L126</f>
        <v>42.92</v>
      </c>
      <c r="H41" s="81">
        <f t="shared" si="2"/>
        <v>1.9699999999999989</v>
      </c>
      <c r="I41" s="8">
        <f t="shared" si="3"/>
        <v>4.8107448107448075E-2</v>
      </c>
    </row>
    <row r="42" spans="3:9" x14ac:dyDescent="0.25">
      <c r="C42" s="80" t="str">
        <f>'Billing Detail'!B127</f>
        <v>Security Light</v>
      </c>
      <c r="E42" s="2" t="str">
        <f>'Billing Detail'!C127</f>
        <v>100 Watt HPS 9,500 Lumens</v>
      </c>
      <c r="F42" s="81">
        <f>'Billing Detail'!H127</f>
        <v>10.41</v>
      </c>
      <c r="G42" s="81">
        <f>'Billing Detail'!L127</f>
        <v>10.91</v>
      </c>
      <c r="H42" s="81">
        <f t="shared" si="2"/>
        <v>0.5</v>
      </c>
      <c r="I42" s="8">
        <f t="shared" si="3"/>
        <v>4.8030739673390971E-2</v>
      </c>
    </row>
    <row r="43" spans="3:9" x14ac:dyDescent="0.25">
      <c r="C43" s="80" t="str">
        <f>'Billing Detail'!B128</f>
        <v>Flood Light</v>
      </c>
      <c r="E43" s="2" t="str">
        <f>'Billing Detail'!C128</f>
        <v>250 Watt HPS 27,500 Lumens</v>
      </c>
      <c r="F43" s="81">
        <f>'Billing Detail'!H128</f>
        <v>16.39</v>
      </c>
      <c r="G43" s="81">
        <f>'Billing Detail'!L128</f>
        <v>17.18</v>
      </c>
      <c r="H43" s="81">
        <f t="shared" si="2"/>
        <v>0.78999999999999915</v>
      </c>
      <c r="I43" s="8">
        <f t="shared" si="3"/>
        <v>4.8200122025625326E-2</v>
      </c>
    </row>
    <row r="44" spans="3:9" x14ac:dyDescent="0.25">
      <c r="C44" s="80" t="str">
        <f>'Billing Detail'!B129</f>
        <v>Flood Light</v>
      </c>
      <c r="E44" s="2" t="str">
        <f>'Billing Detail'!C129</f>
        <v>400 Watt HPS 50,000 Lumens</v>
      </c>
      <c r="F44" s="81">
        <f>'Billing Detail'!H129</f>
        <v>19.670000000000002</v>
      </c>
      <c r="G44" s="81">
        <f>'Billing Detail'!L129</f>
        <v>20.62</v>
      </c>
      <c r="H44" s="81">
        <f t="shared" si="2"/>
        <v>0.94999999999999929</v>
      </c>
      <c r="I44" s="8">
        <f t="shared" si="3"/>
        <v>4.8296898830706619E-2</v>
      </c>
    </row>
    <row r="45" spans="3:9" x14ac:dyDescent="0.25">
      <c r="C45" s="80" t="str">
        <f>'Billing Detail'!B130</f>
        <v>Security Light</v>
      </c>
      <c r="E45" s="2" t="str">
        <f>'Billing Detail'!C130</f>
        <v>70 Watt LED Security Light</v>
      </c>
      <c r="F45" s="81">
        <f>'Billing Detail'!H130</f>
        <v>10.25</v>
      </c>
      <c r="G45" s="81">
        <f>'Billing Detail'!L130</f>
        <v>10.74</v>
      </c>
      <c r="H45" s="81">
        <f t="shared" si="2"/>
        <v>0.49000000000000021</v>
      </c>
      <c r="I45" s="8">
        <f t="shared" si="3"/>
        <v>4.7804878048780509E-2</v>
      </c>
    </row>
    <row r="46" spans="3:9" x14ac:dyDescent="0.25">
      <c r="C46" s="80" t="str">
        <f>'Billing Detail'!B131</f>
        <v>Flood Light</v>
      </c>
      <c r="E46" s="2" t="str">
        <f>'Billing Detail'!C131</f>
        <v>129 Watt LED Floodlight</v>
      </c>
      <c r="F46" s="81">
        <f>'Billing Detail'!H131</f>
        <v>16.14</v>
      </c>
      <c r="G46" s="81">
        <f>'Billing Detail'!L131</f>
        <v>16.920000000000002</v>
      </c>
      <c r="H46" s="81">
        <f t="shared" si="2"/>
        <v>0.78000000000000114</v>
      </c>
      <c r="I46" s="8">
        <f t="shared" si="3"/>
        <v>4.8327137546468467E-2</v>
      </c>
    </row>
    <row r="47" spans="3:9" x14ac:dyDescent="0.25">
      <c r="C47" s="80" t="str">
        <f>'Billing Detail'!B132</f>
        <v>Cobra Head Light</v>
      </c>
      <c r="E47" s="2" t="str">
        <f>'Billing Detail'!C132</f>
        <v>70 Watt LED Cobra Head</v>
      </c>
      <c r="F47" s="81">
        <f>'Billing Detail'!H132</f>
        <v>11.83</v>
      </c>
      <c r="G47" s="81">
        <f>'Billing Detail'!L132</f>
        <v>12.4</v>
      </c>
      <c r="H47" s="81">
        <f t="shared" si="2"/>
        <v>0.57000000000000028</v>
      </c>
      <c r="I47" s="8">
        <f t="shared" si="3"/>
        <v>4.8182586644125128E-2</v>
      </c>
    </row>
    <row r="48" spans="3:9" x14ac:dyDescent="0.25">
      <c r="C48" s="80" t="str">
        <f>'Billing Detail'!B133</f>
        <v>Acorn Light</v>
      </c>
      <c r="E48" s="2" t="str">
        <f>'Billing Detail'!C133</f>
        <v>70 Watt LED Acorn Head</v>
      </c>
      <c r="F48" s="81">
        <f>'Billing Detail'!H133</f>
        <v>16.5</v>
      </c>
      <c r="G48" s="81">
        <f>'Billing Detail'!L133</f>
        <v>17.29</v>
      </c>
      <c r="H48" s="81">
        <f t="shared" si="2"/>
        <v>0.78999999999999915</v>
      </c>
      <c r="I48" s="8">
        <f t="shared" si="3"/>
        <v>4.7878787878787826E-2</v>
      </c>
    </row>
    <row r="49" spans="3:9" x14ac:dyDescent="0.25">
      <c r="C49" s="80" t="str">
        <f>'Billing Detail'!B134</f>
        <v>Acorn Light</v>
      </c>
      <c r="E49" s="2" t="str">
        <f>'Billing Detail'!C134</f>
        <v>175 Watt Mercury Vapor</v>
      </c>
      <c r="F49" s="81">
        <f>'Billing Detail'!H134</f>
        <v>18.489999999999998</v>
      </c>
      <c r="G49" s="81">
        <f>'Billing Detail'!L134</f>
        <v>19.38</v>
      </c>
      <c r="H49" s="81">
        <f t="shared" si="2"/>
        <v>0.89000000000000057</v>
      </c>
      <c r="I49" s="8">
        <f t="shared" si="3"/>
        <v>4.8134126554894574E-2</v>
      </c>
    </row>
    <row r="50" spans="3:9" x14ac:dyDescent="0.25">
      <c r="C50" s="80" t="str">
        <f>'Billing Detail'!B135</f>
        <v>Acorn Light</v>
      </c>
      <c r="E50" s="2" t="str">
        <f>'Billing Detail'!C135</f>
        <v>100 Watt HPS 9,500 Lumens</v>
      </c>
      <c r="F50" s="81">
        <f>'Billing Detail'!H135</f>
        <v>12.94</v>
      </c>
      <c r="G50" s="81">
        <f>'Billing Detail'!L135</f>
        <v>13.56</v>
      </c>
      <c r="H50" s="81">
        <f t="shared" si="2"/>
        <v>0.62000000000000099</v>
      </c>
      <c r="I50" s="8">
        <f t="shared" si="3"/>
        <v>4.7913446676970714E-2</v>
      </c>
    </row>
    <row r="51" spans="3:9" x14ac:dyDescent="0.25">
      <c r="C51" s="80" t="str">
        <f>'Billing Detail'!B136</f>
        <v>Colonial Light</v>
      </c>
      <c r="E51" s="2" t="str">
        <f>'Billing Detail'!C136</f>
        <v>100 Watt HPS 9,500 Lumens</v>
      </c>
      <c r="F51" s="81">
        <f>'Billing Detail'!H136</f>
        <v>8.6300000000000008</v>
      </c>
      <c r="G51" s="81">
        <f>'Billing Detail'!L136</f>
        <v>9.0500000000000007</v>
      </c>
      <c r="H51" s="81">
        <f t="shared" si="2"/>
        <v>0.41999999999999993</v>
      </c>
      <c r="I51" s="8">
        <f t="shared" si="3"/>
        <v>4.8667439165701029E-2</v>
      </c>
    </row>
    <row r="52" spans="3:9" x14ac:dyDescent="0.25">
      <c r="C52" s="80" t="str">
        <f>'Billing Detail'!B137</f>
        <v>Colonial Light</v>
      </c>
      <c r="E52" s="2" t="str">
        <f>'Billing Detail'!C137</f>
        <v>175 Watt Mercury Vapor</v>
      </c>
      <c r="F52" s="81">
        <f>'Billing Detail'!H137</f>
        <v>10.29</v>
      </c>
      <c r="G52" s="81">
        <f>'Billing Detail'!L137</f>
        <v>10.79</v>
      </c>
      <c r="H52" s="81">
        <f t="shared" si="2"/>
        <v>0.5</v>
      </c>
      <c r="I52" s="8">
        <f t="shared" si="3"/>
        <v>4.8590864917395532E-2</v>
      </c>
    </row>
    <row r="53" spans="3:9" x14ac:dyDescent="0.25">
      <c r="C53" s="80" t="str">
        <f>'Billing Detail'!B138</f>
        <v>Interstate Light</v>
      </c>
      <c r="E53" s="2" t="str">
        <f>'Billing Detail'!C138</f>
        <v>400 Watt HPS 50,000 Lumens</v>
      </c>
      <c r="F53" s="81">
        <f>'Billing Detail'!H138</f>
        <v>23.99</v>
      </c>
      <c r="G53" s="81">
        <f>'Billing Detail'!L138</f>
        <v>25.15</v>
      </c>
      <c r="H53" s="81">
        <f t="shared" si="2"/>
        <v>1.1600000000000001</v>
      </c>
      <c r="I53" s="8">
        <f t="shared" si="3"/>
        <v>4.8353480616923725E-2</v>
      </c>
    </row>
    <row r="54" spans="3:9" x14ac:dyDescent="0.25">
      <c r="C54" s="80" t="str">
        <f>'Billing Detail'!B139</f>
        <v>Colonial Light</v>
      </c>
      <c r="E54" s="2" t="str">
        <f>'Billing Detail'!C139</f>
        <v>70 Watt HPS 4,000 Lumens</v>
      </c>
      <c r="F54" s="81">
        <f>'Billing Detail'!H139</f>
        <v>12.74</v>
      </c>
      <c r="G54" s="81">
        <f>'Billing Detail'!L139</f>
        <v>13.35</v>
      </c>
      <c r="H54" s="81">
        <f t="shared" si="2"/>
        <v>0.60999999999999943</v>
      </c>
      <c r="I54" s="8">
        <f t="shared" si="3"/>
        <v>4.7880690737833548E-2</v>
      </c>
    </row>
    <row r="55" spans="3:9" x14ac:dyDescent="0.25">
      <c r="C55" s="80" t="str">
        <f>'Billing Detail'!B140</f>
        <v>Pole</v>
      </c>
      <c r="E55" s="2" t="str">
        <f>'Billing Detail'!C140</f>
        <v>15 ft Aluminum Pole</v>
      </c>
      <c r="F55" s="81">
        <f>'Billing Detail'!H140</f>
        <v>5.29</v>
      </c>
      <c r="G55" s="81">
        <f>'Billing Detail'!L140</f>
        <v>5.54</v>
      </c>
      <c r="H55" s="81">
        <f t="shared" si="2"/>
        <v>0.25</v>
      </c>
      <c r="I55" s="8">
        <f t="shared" si="3"/>
        <v>4.725897920604915E-2</v>
      </c>
    </row>
    <row r="56" spans="3:9" x14ac:dyDescent="0.25">
      <c r="C56" s="80" t="str">
        <f>'Billing Detail'!B141</f>
        <v>Pole</v>
      </c>
      <c r="E56" s="2" t="str">
        <f>'Billing Detail'!C141</f>
        <v>30 ft Wood Pole</v>
      </c>
      <c r="F56" s="81">
        <f>'Billing Detail'!H141</f>
        <v>4.63</v>
      </c>
      <c r="G56" s="81">
        <f>'Billing Detail'!L141</f>
        <v>4.8499999999999996</v>
      </c>
      <c r="H56" s="81">
        <f t="shared" si="2"/>
        <v>0.21999999999999975</v>
      </c>
      <c r="I56" s="8">
        <f t="shared" si="3"/>
        <v>4.7516198704103618E-2</v>
      </c>
    </row>
    <row r="57" spans="3:9" x14ac:dyDescent="0.25">
      <c r="C57" s="80" t="str">
        <f>'Billing Detail'!B142</f>
        <v>Pole</v>
      </c>
      <c r="E57" s="2" t="str">
        <f>'Billing Detail'!C142</f>
        <v>30 ft Aluminum Pole for Cobra Head</v>
      </c>
      <c r="F57" s="81">
        <f>'Billing Detail'!H142</f>
        <v>25.19</v>
      </c>
      <c r="G57" s="81">
        <f>'Billing Detail'!L142</f>
        <v>26.4</v>
      </c>
      <c r="H57" s="81">
        <f t="shared" si="2"/>
        <v>1.2099999999999973</v>
      </c>
      <c r="I57" s="8">
        <f t="shared" si="3"/>
        <v>4.8034934497816484E-2</v>
      </c>
    </row>
    <row r="58" spans="3:9" x14ac:dyDescent="0.25">
      <c r="C58" s="80" t="str">
        <f>'Billing Detail'!B143</f>
        <v>Pole</v>
      </c>
      <c r="E58" s="2" t="str">
        <f>'Billing Detail'!C143</f>
        <v>35 ft Wood Pole</v>
      </c>
      <c r="F58" s="81">
        <f>'Billing Detail'!H143</f>
        <v>9.0399999999999991</v>
      </c>
      <c r="G58" s="81">
        <f>'Billing Detail'!L143</f>
        <v>9.48</v>
      </c>
      <c r="H58" s="81">
        <f t="shared" si="2"/>
        <v>0.44000000000000128</v>
      </c>
      <c r="I58" s="8">
        <f t="shared" si="3"/>
        <v>4.8672566371681561E-2</v>
      </c>
    </row>
    <row r="59" spans="3:9" x14ac:dyDescent="0.25">
      <c r="C59" s="80" t="str">
        <f>'Billing Detail'!B144</f>
        <v>Pole</v>
      </c>
      <c r="E59" s="2" t="str">
        <f>'Billing Detail'!C144</f>
        <v>35 ft Aluminum Pole</v>
      </c>
      <c r="F59" s="81">
        <f>'Billing Detail'!H144</f>
        <v>30.48</v>
      </c>
      <c r="G59" s="81">
        <f>'Billing Detail'!L144</f>
        <v>31.95</v>
      </c>
      <c r="H59" s="81">
        <f t="shared" si="2"/>
        <v>1.4699999999999989</v>
      </c>
      <c r="I59" s="8">
        <f t="shared" si="3"/>
        <v>4.8228346456692876E-2</v>
      </c>
    </row>
    <row r="60" spans="3:9" x14ac:dyDescent="0.25">
      <c r="C60" s="80" t="str">
        <f>'Billing Detail'!B145</f>
        <v>Pole</v>
      </c>
      <c r="E60" s="2" t="str">
        <f>'Billing Detail'!C145</f>
        <v>35 ft Aluminum Pole for Cobra Head</v>
      </c>
      <c r="F60" s="81">
        <f>'Billing Detail'!H145</f>
        <v>29.96</v>
      </c>
      <c r="G60" s="81">
        <f>'Billing Detail'!L145</f>
        <v>31.4</v>
      </c>
      <c r="H60" s="81">
        <f t="shared" si="2"/>
        <v>1.4399999999999977</v>
      </c>
      <c r="I60" s="8">
        <f t="shared" si="3"/>
        <v>4.8064085447262941E-2</v>
      </c>
    </row>
    <row r="61" spans="3:9" x14ac:dyDescent="0.25">
      <c r="C61" s="80" t="str">
        <f>'Billing Detail'!B146</f>
        <v>Pole</v>
      </c>
      <c r="E61" s="2" t="str">
        <f>'Billing Detail'!C146</f>
        <v>40 ft Wood Pole</v>
      </c>
      <c r="F61" s="81">
        <f>'Billing Detail'!H146</f>
        <v>10.37</v>
      </c>
      <c r="G61" s="81">
        <f>'Billing Detail'!L146</f>
        <v>10.87</v>
      </c>
      <c r="H61" s="81">
        <f t="shared" si="2"/>
        <v>0.5</v>
      </c>
      <c r="I61" s="8">
        <f t="shared" si="3"/>
        <v>4.8216007714561235E-2</v>
      </c>
    </row>
    <row r="62" spans="3:9" x14ac:dyDescent="0.25">
      <c r="C62" s="80" t="str">
        <f>'Billing Detail'!B147</f>
        <v>Pole</v>
      </c>
      <c r="E62" s="2" t="str">
        <f>'Billing Detail'!C147</f>
        <v xml:space="preserve">40 ft Aluminum Pole  </v>
      </c>
      <c r="F62" s="81">
        <f>'Billing Detail'!H147</f>
        <v>34.81</v>
      </c>
      <c r="G62" s="81">
        <f>'Billing Detail'!L147</f>
        <v>36.49</v>
      </c>
      <c r="H62" s="81">
        <f t="shared" si="2"/>
        <v>1.6799999999999997</v>
      </c>
      <c r="I62" s="8">
        <f t="shared" si="3"/>
        <v>4.8261993679977008E-2</v>
      </c>
    </row>
    <row r="63" spans="3:9" x14ac:dyDescent="0.25">
      <c r="C63" s="80" t="str">
        <f>'Billing Detail'!B148</f>
        <v>Pole</v>
      </c>
      <c r="E63" s="2" t="str">
        <f>'Billing Detail'!C148</f>
        <v>40 ft Aluminum Pole for Cobra Head</v>
      </c>
      <c r="F63" s="81">
        <f>'Billing Detail'!H148</f>
        <v>60.66</v>
      </c>
      <c r="G63" s="81">
        <f>'Billing Detail'!L148</f>
        <v>63.58</v>
      </c>
      <c r="H63" s="81">
        <f t="shared" si="2"/>
        <v>2.9200000000000017</v>
      </c>
      <c r="I63" s="8">
        <f t="shared" si="3"/>
        <v>4.8137157929442828E-2</v>
      </c>
    </row>
    <row r="64" spans="3:9" x14ac:dyDescent="0.25">
      <c r="C64" s="80" t="str">
        <f>'Billing Detail'!B149</f>
        <v>Pole</v>
      </c>
      <c r="E64" s="2" t="str">
        <f>'Billing Detail'!C149</f>
        <v>45 ft Wood Pole</v>
      </c>
      <c r="F64" s="81">
        <f>'Billing Detail'!H149</f>
        <v>12.49</v>
      </c>
      <c r="G64" s="81">
        <f>'Billing Detail'!L149</f>
        <v>13.09</v>
      </c>
      <c r="H64" s="81">
        <f t="shared" si="2"/>
        <v>0.59999999999999964</v>
      </c>
      <c r="I64" s="8">
        <f t="shared" si="3"/>
        <v>4.8038430744595649E-2</v>
      </c>
    </row>
    <row r="65" spans="3:9" x14ac:dyDescent="0.25">
      <c r="C65" s="80" t="str">
        <f>'Billing Detail'!B150</f>
        <v>Pole</v>
      </c>
      <c r="E65" s="2" t="str">
        <f>'Billing Detail'!C150</f>
        <v>50 ft Wood Pole</v>
      </c>
      <c r="F65" s="81">
        <f>'Billing Detail'!H150</f>
        <v>17.440000000000001</v>
      </c>
      <c r="G65" s="81">
        <f>'Billing Detail'!L150</f>
        <v>18.28</v>
      </c>
      <c r="H65" s="81">
        <f t="shared" si="2"/>
        <v>0.83999999999999986</v>
      </c>
      <c r="I65" s="8">
        <f t="shared" si="3"/>
        <v>4.8165137614678888E-2</v>
      </c>
    </row>
    <row r="66" spans="3:9" x14ac:dyDescent="0.25">
      <c r="C66" s="80" t="str">
        <f>'Billing Detail'!B151</f>
        <v>Pole</v>
      </c>
      <c r="E66" s="2" t="str">
        <f>'Billing Detail'!C151</f>
        <v>Power Installed Foundation</v>
      </c>
      <c r="F66" s="81">
        <f>'Billing Detail'!H151</f>
        <v>8.66</v>
      </c>
      <c r="G66" s="81">
        <f>'Billing Detail'!L151</f>
        <v>9.08</v>
      </c>
      <c r="H66" s="81">
        <f t="shared" si="2"/>
        <v>0.41999999999999993</v>
      </c>
      <c r="I66" s="8">
        <f t="shared" si="3"/>
        <v>4.8498845265588904E-2</v>
      </c>
    </row>
    <row r="67" spans="3:9" x14ac:dyDescent="0.25">
      <c r="F67" s="79"/>
      <c r="G67" s="79"/>
    </row>
    <row r="68" spans="3:9" ht="37.5" customHeight="1" x14ac:dyDescent="0.25">
      <c r="C68" s="155" t="s">
        <v>195</v>
      </c>
      <c r="D68" s="155"/>
      <c r="E68" s="155"/>
      <c r="F68" s="155"/>
      <c r="G68" s="155"/>
    </row>
    <row r="69" spans="3:9" x14ac:dyDescent="0.25">
      <c r="D69" s="2"/>
      <c r="F69" s="156" t="s">
        <v>196</v>
      </c>
      <c r="G69" s="156"/>
    </row>
    <row r="70" spans="3:9" x14ac:dyDescent="0.25">
      <c r="C70" s="83" t="s">
        <v>197</v>
      </c>
      <c r="D70" s="83" t="s">
        <v>12</v>
      </c>
      <c r="E70" s="84"/>
      <c r="F70" s="85" t="s">
        <v>198</v>
      </c>
      <c r="G70" s="85" t="s">
        <v>199</v>
      </c>
    </row>
    <row r="71" spans="3:9" x14ac:dyDescent="0.25">
      <c r="C71" s="36" t="str">
        <f>Summary!B9</f>
        <v>Residential Service</v>
      </c>
      <c r="D71" s="28">
        <f>Summary!C9</f>
        <v>10</v>
      </c>
      <c r="F71" s="98">
        <f>Summary!L9</f>
        <v>3796442.5544880033</v>
      </c>
      <c r="G71" s="97">
        <f>Summary!N9</f>
        <v>4.4046896072104415E-2</v>
      </c>
    </row>
    <row r="72" spans="3:9" x14ac:dyDescent="0.25">
      <c r="C72" s="36" t="str">
        <f>Summary!B10</f>
        <v>Residential Off Peak ETS</v>
      </c>
      <c r="D72" s="28">
        <f>Summary!C10</f>
        <v>11</v>
      </c>
      <c r="F72" s="98">
        <f>Summary!L10</f>
        <v>9754.3441159999638</v>
      </c>
      <c r="G72" s="97">
        <f>Summary!N10</f>
        <v>4.2989529974145714E-2</v>
      </c>
      <c r="H72" s="1"/>
    </row>
    <row r="73" spans="3:9" x14ac:dyDescent="0.25">
      <c r="C73" s="36" t="str">
        <f>Summary!B11</f>
        <v>Commercial Service &lt; 50 kW</v>
      </c>
      <c r="D73" s="28">
        <f>Summary!C11</f>
        <v>20</v>
      </c>
      <c r="F73" s="98">
        <f>Summary!L11</f>
        <v>366643.3592140004</v>
      </c>
      <c r="G73" s="97">
        <f>Summary!N11</f>
        <v>4.3839222340777376E-2</v>
      </c>
      <c r="H73" s="1"/>
    </row>
    <row r="74" spans="3:9" x14ac:dyDescent="0.25">
      <c r="C74" s="36" t="str">
        <f>Summary!B12</f>
        <v>Commercial Off Peak ETS</v>
      </c>
      <c r="D74" s="28">
        <f>Summary!C12</f>
        <v>22</v>
      </c>
      <c r="F74" s="98">
        <f>Summary!L12</f>
        <v>65.815450000000055</v>
      </c>
      <c r="G74" s="97">
        <f>Summary!N12</f>
        <v>4.353128473458933E-2</v>
      </c>
      <c r="H74" s="1"/>
    </row>
    <row r="75" spans="3:9" x14ac:dyDescent="0.25">
      <c r="C75" s="36" t="str">
        <f>Summary!B13</f>
        <v>Large Power Loads 50 kW +</v>
      </c>
      <c r="D75" s="28">
        <f>Summary!C13</f>
        <v>40</v>
      </c>
      <c r="F75" s="98">
        <f>Summary!L13</f>
        <v>353986.56579999905</v>
      </c>
      <c r="G75" s="97">
        <f>Summary!N13</f>
        <v>4.4118049447126363E-2</v>
      </c>
      <c r="H75" s="1"/>
    </row>
    <row r="76" spans="3:9" x14ac:dyDescent="0.25">
      <c r="C76" s="36" t="str">
        <f>Summary!B19</f>
        <v>Large Power Rate 500 kW +</v>
      </c>
      <c r="D76" s="28">
        <f>Summary!C19</f>
        <v>46</v>
      </c>
      <c r="F76" s="98">
        <f>Summary!L19</f>
        <v>559282.6742639998</v>
      </c>
      <c r="G76" s="97">
        <f>Summary!N19</f>
        <v>6.8628314257615688E-2</v>
      </c>
      <c r="H76" s="1"/>
    </row>
    <row r="77" spans="3:9" x14ac:dyDescent="0.25">
      <c r="C77" s="36" t="str">
        <f>Summary!B20</f>
        <v>Large Power Rate 500 kW +</v>
      </c>
      <c r="D77" s="28">
        <f>Summary!C20</f>
        <v>47</v>
      </c>
      <c r="F77" s="98">
        <f>Summary!L20</f>
        <v>439472.78872000054</v>
      </c>
      <c r="G77" s="97">
        <f>Summary!N20</f>
        <v>8.1289819221773557E-2</v>
      </c>
      <c r="H77" s="1"/>
    </row>
    <row r="78" spans="3:9" x14ac:dyDescent="0.25">
      <c r="C78" s="36" t="str">
        <f>Summary!B14</f>
        <v>Schools Churches Halls Parks</v>
      </c>
      <c r="D78" s="28">
        <f>Summary!C14</f>
        <v>50</v>
      </c>
      <c r="F78" s="98">
        <f>Summary!L14</f>
        <v>128434.47352200001</v>
      </c>
      <c r="G78" s="97">
        <f>Summary!N14</f>
        <v>4.4099891415225877E-2</v>
      </c>
      <c r="H78" s="1"/>
    </row>
    <row r="79" spans="3:9" x14ac:dyDescent="0.25">
      <c r="C79" s="36" t="str">
        <f>Summary!B15</f>
        <v>All Electric Schools AES</v>
      </c>
      <c r="D79" s="28">
        <f>Summary!C15</f>
        <v>52</v>
      </c>
      <c r="F79" s="98">
        <f>Summary!L15</f>
        <v>43316.228900999995</v>
      </c>
      <c r="G79" s="97">
        <f>Summary!N15</f>
        <v>4.4160191594046355E-2</v>
      </c>
      <c r="H79" s="1"/>
    </row>
    <row r="80" spans="3:9" x14ac:dyDescent="0.25">
      <c r="C80" s="36" t="str">
        <f>Summary!B16</f>
        <v>Lighting</v>
      </c>
      <c r="F80" s="98">
        <f>Summary!L16</f>
        <v>147290.15999999968</v>
      </c>
      <c r="G80" s="97">
        <f>Summary!N16</f>
        <v>4.8047489670958878E-2</v>
      </c>
      <c r="H80" s="1"/>
    </row>
    <row r="81" spans="3:8" x14ac:dyDescent="0.25">
      <c r="C81" s="86" t="s">
        <v>73</v>
      </c>
      <c r="D81" s="10"/>
      <c r="F81" s="87">
        <f>Summary!L31</f>
        <v>5844688.9644750105</v>
      </c>
      <c r="G81" s="88">
        <f>Summary!N31</f>
        <v>4.7394199607511754E-2</v>
      </c>
    </row>
    <row r="82" spans="3:8" x14ac:dyDescent="0.25">
      <c r="D82" s="2"/>
    </row>
    <row r="83" spans="3:8" ht="31.5" customHeight="1" x14ac:dyDescent="0.25">
      <c r="C83" s="155" t="s">
        <v>200</v>
      </c>
      <c r="D83" s="155"/>
      <c r="E83" s="155"/>
      <c r="F83" s="155"/>
      <c r="G83" s="155"/>
      <c r="H83" s="145"/>
    </row>
    <row r="84" spans="3:8" x14ac:dyDescent="0.25">
      <c r="D84" s="2"/>
      <c r="E84" s="89" t="s">
        <v>19</v>
      </c>
      <c r="F84" s="156" t="s">
        <v>196</v>
      </c>
      <c r="G84" s="156"/>
    </row>
    <row r="85" spans="3:8" x14ac:dyDescent="0.25">
      <c r="C85" s="83" t="s">
        <v>197</v>
      </c>
      <c r="D85" s="84"/>
      <c r="E85" s="90" t="s">
        <v>201</v>
      </c>
      <c r="F85" s="85" t="s">
        <v>198</v>
      </c>
      <c r="G85" s="85" t="s">
        <v>199</v>
      </c>
    </row>
    <row r="86" spans="3:8" x14ac:dyDescent="0.25">
      <c r="C86" s="2" t="str">
        <f>Summary!B9</f>
        <v>Residential Service</v>
      </c>
      <c r="D86" s="99">
        <f>Summary!C9</f>
        <v>10</v>
      </c>
      <c r="E86" s="91">
        <f>'Billing Detail'!E17</f>
        <v>998.9490204770002</v>
      </c>
      <c r="F86" s="92">
        <f>'Billing Detail'!N17</f>
        <v>6.573630545616993</v>
      </c>
      <c r="G86" s="8">
        <f>'Billing Detail'!O17</f>
        <v>4.4046896072104366E-2</v>
      </c>
    </row>
    <row r="87" spans="3:8" x14ac:dyDescent="0.25">
      <c r="C87" s="2" t="str">
        <f>Summary!B10</f>
        <v>Residential Off Peak ETS</v>
      </c>
      <c r="D87" s="99">
        <f>Summary!C10</f>
        <v>11</v>
      </c>
      <c r="E87" s="91">
        <f>'Billing Detail'!E29</f>
        <v>768.10467809170916</v>
      </c>
      <c r="F87" s="92">
        <f>'Billing Detail'!N29</f>
        <v>2.2589958582677099</v>
      </c>
      <c r="G87" s="8">
        <f>'Billing Detail'!O29</f>
        <v>4.2989529974145749E-2</v>
      </c>
    </row>
    <row r="88" spans="3:8" x14ac:dyDescent="0.25">
      <c r="C88" s="2" t="str">
        <f>Summary!B11</f>
        <v>Commercial Service &lt; 50 kW</v>
      </c>
      <c r="D88" s="99">
        <f>Summary!C11</f>
        <v>20</v>
      </c>
      <c r="E88" s="91">
        <f>'Billing Detail'!E41</f>
        <v>1363.6625324421782</v>
      </c>
      <c r="F88" s="92">
        <f>'Billing Detail'!N41</f>
        <v>8.4210330787110479</v>
      </c>
      <c r="G88" s="8">
        <f>'Billing Detail'!O41</f>
        <v>4.3839222340777369E-2</v>
      </c>
    </row>
    <row r="89" spans="3:8" x14ac:dyDescent="0.25">
      <c r="C89" s="2" t="str">
        <f>Summary!B12</f>
        <v>Commercial Off Peak ETS</v>
      </c>
      <c r="D89" s="99">
        <f>Summary!C12</f>
        <v>22</v>
      </c>
      <c r="E89" s="91">
        <f>'Billing Detail'!E53</f>
        <v>661.42857142857144</v>
      </c>
      <c r="F89" s="92">
        <f>'Billing Detail'!N53</f>
        <v>1.8804414285714302</v>
      </c>
      <c r="G89" s="8">
        <f>'Billing Detail'!O53</f>
        <v>4.353128473458933E-2</v>
      </c>
    </row>
    <row r="90" spans="3:8" x14ac:dyDescent="0.25">
      <c r="C90" s="2" t="str">
        <f>Summary!B13</f>
        <v>Large Power Loads 50 kW +</v>
      </c>
      <c r="D90" s="99">
        <f>Summary!C13</f>
        <v>40</v>
      </c>
      <c r="E90" s="91">
        <f>'Billing Detail'!E66</f>
        <v>40443.660907127429</v>
      </c>
      <c r="F90" s="92">
        <f>'Billing Detail'!N66</f>
        <v>191.13745453563661</v>
      </c>
      <c r="G90" s="8">
        <f>'Billing Detail'!O66</f>
        <v>4.4118049447126356E-2</v>
      </c>
    </row>
    <row r="91" spans="3:8" x14ac:dyDescent="0.25">
      <c r="C91" s="2" t="str">
        <f>Summary!B19</f>
        <v>Large Power Rate 500 kW +</v>
      </c>
      <c r="D91" s="99">
        <f>Summary!C19</f>
        <v>46</v>
      </c>
      <c r="E91" s="91">
        <f>'Billing Detail'!E79</f>
        <v>1062832.1304347827</v>
      </c>
      <c r="F91" s="92">
        <f>'Billing Detail'!N79</f>
        <v>6079.1595028695738</v>
      </c>
      <c r="G91" s="8">
        <f>'Billing Detail'!O79</f>
        <v>6.8628314257615688E-2</v>
      </c>
    </row>
    <row r="92" spans="3:8" x14ac:dyDescent="0.25">
      <c r="C92" s="2" t="str">
        <f>Summary!B20</f>
        <v>Large Power Rate 500 kW +</v>
      </c>
      <c r="D92" s="99">
        <f>Summary!C20</f>
        <v>47</v>
      </c>
      <c r="E92" s="91">
        <f>'Billing Detail'!E93</f>
        <v>891607.43661971833</v>
      </c>
      <c r="F92" s="92">
        <f>'Billing Detail'!N93</f>
        <v>6189.7575876056508</v>
      </c>
      <c r="G92" s="8">
        <f>'Billing Detail'!O93</f>
        <v>8.1289819221773682E-2</v>
      </c>
    </row>
    <row r="93" spans="3:8" x14ac:dyDescent="0.25">
      <c r="C93" s="2" t="str">
        <f>Summary!B14</f>
        <v>Schools Churches Halls Parks</v>
      </c>
      <c r="D93" s="99">
        <f>Summary!C14</f>
        <v>50</v>
      </c>
      <c r="E93" s="91">
        <f>'Billing Detail'!E105</f>
        <v>1900.6631473102061</v>
      </c>
      <c r="F93" s="92">
        <f>'Billing Detail'!N105</f>
        <v>10.762064146304681</v>
      </c>
      <c r="G93" s="8">
        <f>'Billing Detail'!O105</f>
        <v>4.4099891415225891E-2</v>
      </c>
    </row>
    <row r="94" spans="3:8" x14ac:dyDescent="0.25">
      <c r="C94" s="2" t="str">
        <f>Summary!B15</f>
        <v>All Electric Schools AES</v>
      </c>
      <c r="D94" s="99">
        <f>Summary!C15</f>
        <v>52</v>
      </c>
      <c r="E94" s="91">
        <f>'Billing Detail'!E117</f>
        <v>36010.945652173912</v>
      </c>
      <c r="F94" s="92">
        <f>'Billing Detail'!N117</f>
        <v>156.94285833695631</v>
      </c>
      <c r="G94" s="8">
        <f>'Billing Detail'!O117</f>
        <v>4.4160191594046293E-2</v>
      </c>
    </row>
    <row r="95" spans="3:8" x14ac:dyDescent="0.25">
      <c r="C95" s="2" t="str">
        <f>Summary!B16</f>
        <v>Lighting</v>
      </c>
      <c r="D95" s="99"/>
      <c r="E95" s="93" t="s">
        <v>202</v>
      </c>
      <c r="F95" s="92"/>
      <c r="G95" s="8">
        <f>'Billing Detail'!O158</f>
        <v>4.8047489670958878E-2</v>
      </c>
    </row>
    <row r="96" spans="3:8" x14ac:dyDescent="0.25">
      <c r="D96" s="36"/>
      <c r="E96" s="91"/>
      <c r="F96" s="92"/>
      <c r="G96" s="8"/>
    </row>
    <row r="97" spans="3:7" x14ac:dyDescent="0.25">
      <c r="D97" s="36"/>
      <c r="E97" s="91"/>
      <c r="F97" s="92"/>
      <c r="G97" s="7"/>
    </row>
    <row r="98" spans="3:7" x14ac:dyDescent="0.25">
      <c r="D98" s="36"/>
      <c r="E98" s="91"/>
      <c r="F98" s="92"/>
      <c r="G98" s="7"/>
    </row>
    <row r="99" spans="3:7" x14ac:dyDescent="0.25">
      <c r="D99" s="36"/>
      <c r="E99" s="91"/>
      <c r="F99" s="92"/>
      <c r="G99" s="7"/>
    </row>
    <row r="100" spans="3:7" x14ac:dyDescent="0.25">
      <c r="D100" s="36"/>
      <c r="E100" s="93"/>
      <c r="F100" s="92"/>
      <c r="G100" s="7"/>
    </row>
    <row r="101" spans="3:7" x14ac:dyDescent="0.25">
      <c r="D101" s="36"/>
      <c r="E101" s="91"/>
      <c r="F101" s="92"/>
      <c r="G101" s="8"/>
    </row>
    <row r="102" spans="3:7" x14ac:dyDescent="0.25">
      <c r="D102" s="36"/>
      <c r="E102" s="94"/>
      <c r="F102" s="92"/>
      <c r="G102" s="8"/>
    </row>
    <row r="103" spans="3:7" x14ac:dyDescent="0.25">
      <c r="C103" s="86" t="s">
        <v>73</v>
      </c>
      <c r="D103" s="10"/>
      <c r="E103" s="95"/>
      <c r="F103" s="96"/>
      <c r="G103" s="88"/>
    </row>
    <row r="104" spans="3:7" x14ac:dyDescent="0.25">
      <c r="D104" s="2"/>
    </row>
  </sheetData>
  <mergeCells count="4">
    <mergeCell ref="C68:G68"/>
    <mergeCell ref="F69:G69"/>
    <mergeCell ref="F84:G84"/>
    <mergeCell ref="C83:G83"/>
  </mergeCells>
  <printOptions horizontalCentered="1"/>
  <pageMargins left="0.7" right="0.7" top="0.75" bottom="0.75" header="0.3" footer="0.3"/>
  <pageSetup paperSize="9" scale="83" orientation="portrait" r:id="rId1"/>
  <headerFooter>
    <oddHeader>&amp;R&amp;"Arial,Bold"&amp;10Exhibit 3
Page &amp;P of &amp;N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5CA38F-9EFF-495E-B54C-F19243C4F743}">
  <sheetPr>
    <tabColor rgb="FFCCCCFF"/>
  </sheetPr>
  <dimension ref="A1:S287"/>
  <sheetViews>
    <sheetView zoomScale="75" zoomScaleNormal="75" workbookViewId="0">
      <selection activeCell="E254" sqref="E254"/>
    </sheetView>
  </sheetViews>
  <sheetFormatPr defaultRowHeight="14.4" x14ac:dyDescent="0.3"/>
  <cols>
    <col min="1" max="1" width="29.6640625" style="51" bestFit="1" customWidth="1"/>
    <col min="2" max="2" width="14.5546875" bestFit="1" customWidth="1"/>
    <col min="3" max="3" width="13.5546875" bestFit="1" customWidth="1"/>
    <col min="4" max="6" width="13.44140625" bestFit="1" customWidth="1"/>
    <col min="7" max="9" width="14.33203125" bestFit="1" customWidth="1"/>
    <col min="10" max="10" width="13.6640625" bestFit="1" customWidth="1"/>
    <col min="11" max="11" width="13.44140625" bestFit="1" customWidth="1"/>
    <col min="12" max="12" width="14.33203125" bestFit="1" customWidth="1"/>
    <col min="13" max="13" width="14.5546875" bestFit="1" customWidth="1"/>
    <col min="14" max="14" width="15.5546875" bestFit="1" customWidth="1"/>
    <col min="16" max="16" width="14.6640625" bestFit="1" customWidth="1"/>
    <col min="17" max="17" width="17.109375" bestFit="1" customWidth="1"/>
    <col min="18" max="18" width="11.6640625" bestFit="1" customWidth="1"/>
    <col min="19" max="19" width="14" bestFit="1" customWidth="1"/>
  </cols>
  <sheetData>
    <row r="1" spans="1:17" x14ac:dyDescent="0.3">
      <c r="A1" s="35" t="s">
        <v>75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</row>
    <row r="2" spans="1:17" x14ac:dyDescent="0.3">
      <c r="A2" s="37"/>
      <c r="B2" s="38">
        <f>B3*(B8+B9+B10+B11)</f>
        <v>7464066.9428699994</v>
      </c>
      <c r="C2" s="38">
        <f t="shared" ref="C2:M2" si="0">C3*(C8+C9+C10+C11)</f>
        <v>5405353.5178199997</v>
      </c>
      <c r="D2" s="38">
        <f t="shared" si="0"/>
        <v>5731763.4453599993</v>
      </c>
      <c r="E2" s="38">
        <f t="shared" si="0"/>
        <v>3580297.08978</v>
      </c>
      <c r="F2" s="38">
        <f t="shared" si="0"/>
        <v>3911260.0568399997</v>
      </c>
      <c r="G2" s="38">
        <f t="shared" si="0"/>
        <v>4192636.7866199999</v>
      </c>
      <c r="H2" s="38">
        <f t="shared" si="0"/>
        <v>4875249.5955400001</v>
      </c>
      <c r="I2" s="38">
        <f t="shared" si="0"/>
        <v>4623975.8614999996</v>
      </c>
      <c r="J2" s="38">
        <f t="shared" si="0"/>
        <v>4216237.7036600001</v>
      </c>
      <c r="K2" s="38">
        <f t="shared" si="0"/>
        <v>3449671.0979999998</v>
      </c>
      <c r="L2" s="38">
        <f t="shared" si="0"/>
        <v>5363933.1498199999</v>
      </c>
      <c r="M2" s="38">
        <f t="shared" si="0"/>
        <v>5763622.9721799996</v>
      </c>
      <c r="N2" s="43">
        <f>SUM(B2:M2)</f>
        <v>58578068.21999</v>
      </c>
      <c r="P2" s="56"/>
      <c r="Q2" s="56"/>
    </row>
    <row r="3" spans="1:17" x14ac:dyDescent="0.3">
      <c r="A3" s="35" t="s">
        <v>183</v>
      </c>
      <c r="B3" s="36">
        <v>9.5909999999999995E-2</v>
      </c>
      <c r="C3" s="36">
        <v>9.5909999999999995E-2</v>
      </c>
      <c r="D3" s="36">
        <v>9.5909999999999995E-2</v>
      </c>
      <c r="E3" s="36">
        <v>9.5909999999999995E-2</v>
      </c>
      <c r="F3" s="36">
        <v>9.5909999999999995E-2</v>
      </c>
      <c r="G3" s="36">
        <v>9.5909999999999995E-2</v>
      </c>
      <c r="H3" s="36">
        <v>8.8819999999999996E-2</v>
      </c>
      <c r="I3" s="36">
        <v>8.8819999999999996E-2</v>
      </c>
      <c r="J3" s="36">
        <v>8.8819999999999996E-2</v>
      </c>
      <c r="K3" s="36">
        <v>8.8819999999999996E-2</v>
      </c>
      <c r="L3" s="36">
        <v>8.8819999999999996E-2</v>
      </c>
      <c r="M3" s="36">
        <v>8.8819999999999996E-2</v>
      </c>
      <c r="N3" s="73">
        <f>N2/(N8+N9+N10+N11)</f>
        <v>9.2349514003074284E-2</v>
      </c>
    </row>
    <row r="4" spans="1:17" x14ac:dyDescent="0.3">
      <c r="A4" s="35" t="s">
        <v>182</v>
      </c>
      <c r="B4" s="36">
        <v>16.440000000000001</v>
      </c>
      <c r="C4" s="36">
        <f>B4</f>
        <v>16.440000000000001</v>
      </c>
      <c r="D4" s="36">
        <f t="shared" ref="D4:G4" si="1">C4</f>
        <v>16.440000000000001</v>
      </c>
      <c r="E4" s="36">
        <f t="shared" si="1"/>
        <v>16.440000000000001</v>
      </c>
      <c r="F4" s="36">
        <f t="shared" si="1"/>
        <v>16.440000000000001</v>
      </c>
      <c r="G4" s="36">
        <f t="shared" si="1"/>
        <v>16.440000000000001</v>
      </c>
      <c r="H4" s="45">
        <v>24</v>
      </c>
      <c r="I4" s="45">
        <f>H4</f>
        <v>24</v>
      </c>
      <c r="J4" s="45">
        <f t="shared" ref="J4:M4" si="2">I4</f>
        <v>24</v>
      </c>
      <c r="K4" s="45">
        <f t="shared" si="2"/>
        <v>24</v>
      </c>
      <c r="L4" s="45">
        <f t="shared" si="2"/>
        <v>24</v>
      </c>
      <c r="M4" s="45">
        <f t="shared" si="2"/>
        <v>24</v>
      </c>
      <c r="N4" s="45">
        <f>(B4*B23+C4*C23+D4*D23+E4*E23+F4*F23+G4*G23+H4*H23+I4*I23+J4*J23+K4*K23+L4*L23+M4*M23)/N23</f>
        <v>20.222116736027537</v>
      </c>
    </row>
    <row r="5" spans="1:17" x14ac:dyDescent="0.3">
      <c r="A5" s="35"/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</row>
    <row r="6" spans="1:17" x14ac:dyDescent="0.3">
      <c r="A6" s="39"/>
      <c r="B6" s="40" t="s">
        <v>76</v>
      </c>
      <c r="C6" s="41" t="s">
        <v>77</v>
      </c>
      <c r="D6" s="40" t="s">
        <v>78</v>
      </c>
      <c r="E6" s="40" t="s">
        <v>79</v>
      </c>
      <c r="F6" s="40" t="s">
        <v>80</v>
      </c>
      <c r="G6" s="40" t="s">
        <v>81</v>
      </c>
      <c r="H6" s="40" t="s">
        <v>82</v>
      </c>
      <c r="I6" s="40" t="s">
        <v>83</v>
      </c>
      <c r="J6" s="41" t="s">
        <v>84</v>
      </c>
      <c r="K6" s="41" t="s">
        <v>85</v>
      </c>
      <c r="L6" s="40" t="s">
        <v>86</v>
      </c>
      <c r="M6" s="40" t="s">
        <v>87</v>
      </c>
      <c r="N6" s="40">
        <v>2019</v>
      </c>
    </row>
    <row r="7" spans="1:17" x14ac:dyDescent="0.3">
      <c r="A7" s="39" t="s">
        <v>88</v>
      </c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</row>
    <row r="8" spans="1:17" x14ac:dyDescent="0.3">
      <c r="A8" s="39" t="s">
        <v>89</v>
      </c>
      <c r="B8" s="43">
        <f>76598852</f>
        <v>76598852</v>
      </c>
      <c r="C8" s="43">
        <f>54977993</f>
        <v>54977993</v>
      </c>
      <c r="D8" s="43">
        <f>58379672</f>
        <v>58379672</v>
      </c>
      <c r="E8" s="43">
        <f>36043578</f>
        <v>36043578</v>
      </c>
      <c r="F8" s="43">
        <f>39396327</f>
        <v>39396327</v>
      </c>
      <c r="G8" s="43">
        <f>42410717</f>
        <v>42410717</v>
      </c>
      <c r="H8" s="43">
        <f>53506534</f>
        <v>53506534</v>
      </c>
      <c r="I8" s="43">
        <f>50678251</f>
        <v>50678251</v>
      </c>
      <c r="J8" s="43">
        <f>46090213</f>
        <v>46090213</v>
      </c>
      <c r="K8" s="43">
        <f>37459862</f>
        <v>37459862</v>
      </c>
      <c r="L8" s="43">
        <f>59087318</f>
        <v>59087318</v>
      </c>
      <c r="M8" s="43">
        <f>63511468</f>
        <v>63511468</v>
      </c>
      <c r="N8" s="43">
        <f>SUM(B8:M8)</f>
        <v>618140785</v>
      </c>
    </row>
    <row r="9" spans="1:17" x14ac:dyDescent="0.3">
      <c r="A9" s="39" t="s">
        <v>90</v>
      </c>
      <c r="B9" s="43">
        <f>-70253-91360</f>
        <v>-161613</v>
      </c>
      <c r="C9" s="43">
        <f>-700-360</f>
        <v>-1060</v>
      </c>
      <c r="D9" s="43">
        <v>-2127</v>
      </c>
      <c r="E9" s="44">
        <f>255-99096</f>
        <v>-98841</v>
      </c>
      <c r="F9" s="43">
        <f>1691-2224</f>
        <v>-533</v>
      </c>
      <c r="G9" s="43">
        <f>-78584-665</f>
        <v>-79249</v>
      </c>
      <c r="H9" s="43"/>
      <c r="I9" s="43"/>
      <c r="J9" s="44">
        <v>-71</v>
      </c>
      <c r="K9" s="43">
        <f>368</f>
        <v>368</v>
      </c>
      <c r="L9" s="44">
        <f>-73669</f>
        <v>-73669</v>
      </c>
      <c r="M9" s="44">
        <f>1587</f>
        <v>1587</v>
      </c>
      <c r="N9" s="44">
        <f t="shared" ref="N9:N75" si="3">SUM(B9:M9)</f>
        <v>-415208</v>
      </c>
    </row>
    <row r="10" spans="1:17" x14ac:dyDescent="0.3">
      <c r="A10" s="39" t="s">
        <v>91</v>
      </c>
      <c r="B10" s="43">
        <f>1386348+70</f>
        <v>1386418</v>
      </c>
      <c r="C10" s="43">
        <f>1381599+70</f>
        <v>1381669</v>
      </c>
      <c r="D10" s="43">
        <f>1384311+70</f>
        <v>1384381</v>
      </c>
      <c r="E10" s="43">
        <f>1384951+70</f>
        <v>1385021</v>
      </c>
      <c r="F10" s="43">
        <f>1384660+70</f>
        <v>1384730</v>
      </c>
      <c r="G10" s="43">
        <f>1382828+70</f>
        <v>1382898</v>
      </c>
      <c r="H10" s="43">
        <f>1382493+70</f>
        <v>1382563</v>
      </c>
      <c r="I10" s="43">
        <f>1381754+70</f>
        <v>1381824</v>
      </c>
      <c r="J10" s="43">
        <f>1379251+70</f>
        <v>1379321</v>
      </c>
      <c r="K10" s="43">
        <f>1378600+70</f>
        <v>1378670</v>
      </c>
      <c r="L10" s="44">
        <f>1377332+70</f>
        <v>1377402</v>
      </c>
      <c r="M10" s="44">
        <f>1377924+70</f>
        <v>1377994</v>
      </c>
      <c r="N10" s="44">
        <f t="shared" si="3"/>
        <v>16582891</v>
      </c>
      <c r="Q10" s="56"/>
    </row>
    <row r="11" spans="1:17" x14ac:dyDescent="0.3">
      <c r="A11" s="39" t="s">
        <v>92</v>
      </c>
      <c r="B11" s="43"/>
      <c r="C11" s="43"/>
      <c r="D11" s="44">
        <v>-30</v>
      </c>
      <c r="E11" s="44"/>
      <c r="F11" s="43"/>
      <c r="G11" s="44">
        <v>-84</v>
      </c>
      <c r="H11" s="44"/>
      <c r="I11" s="44"/>
      <c r="J11" s="44"/>
      <c r="K11" s="44"/>
      <c r="L11" s="44"/>
      <c r="M11" s="44"/>
      <c r="N11" s="44">
        <f t="shared" si="3"/>
        <v>-114</v>
      </c>
      <c r="P11" s="53"/>
      <c r="Q11" s="56"/>
    </row>
    <row r="12" spans="1:17" x14ac:dyDescent="0.3">
      <c r="A12" s="39" t="s">
        <v>93</v>
      </c>
      <c r="B12" s="44">
        <f>8109488.94+0.84</f>
        <v>8109489.7800000003</v>
      </c>
      <c r="C12" s="44">
        <f>5765722.19+0.68</f>
        <v>5765722.8700000001</v>
      </c>
      <c r="D12" s="44">
        <f>6082823.7+0.68</f>
        <v>6082824.3799999999</v>
      </c>
      <c r="E12" s="44">
        <f>3864289.46+0.85</f>
        <v>3864290.31</v>
      </c>
      <c r="F12" s="44">
        <f>4221975.59+0.88</f>
        <v>4221976.47</v>
      </c>
      <c r="G12" s="44">
        <f>4636621.32+1.06</f>
        <v>4636622.38</v>
      </c>
      <c r="H12" s="44">
        <f>5416227.26+1.04</f>
        <v>5416228.2999999998</v>
      </c>
      <c r="I12" s="44">
        <f>5141849.28+1.02</f>
        <v>5141850.3</v>
      </c>
      <c r="J12" s="44">
        <f>4612010+0.87</f>
        <v>4612010.87</v>
      </c>
      <c r="K12" s="44">
        <f>3780941.55+0.91</f>
        <v>3780942.46</v>
      </c>
      <c r="L12" s="44">
        <f>5910282.72+0.98</f>
        <v>5910283.7000000002</v>
      </c>
      <c r="M12" s="44">
        <f>6419604.05+1.11</f>
        <v>6419605.1600000001</v>
      </c>
      <c r="N12" s="44">
        <f t="shared" si="3"/>
        <v>63961846.979999989</v>
      </c>
      <c r="Q12" s="56"/>
    </row>
    <row r="13" spans="1:17" x14ac:dyDescent="0.3">
      <c r="A13" s="39" t="s">
        <v>94</v>
      </c>
      <c r="B13" s="44">
        <f>-6568.73-9757.75</f>
        <v>-16326.48</v>
      </c>
      <c r="C13" s="44">
        <f>-86.13+6658.89</f>
        <v>6572.76</v>
      </c>
      <c r="D13" s="44">
        <f>-66.64+27935.89</f>
        <v>27869.25</v>
      </c>
      <c r="E13" s="44">
        <f>-9549.58+43.15</f>
        <v>-9506.43</v>
      </c>
      <c r="F13" s="44">
        <f>513.67-29.6</f>
        <v>484.06999999999994</v>
      </c>
      <c r="G13" s="44">
        <f>-8327.2+155.07</f>
        <v>-8172.130000000001</v>
      </c>
      <c r="H13" s="44">
        <f>583.92+23.15</f>
        <v>607.06999999999994</v>
      </c>
      <c r="I13" s="44">
        <f>204.01+106</f>
        <v>310.01</v>
      </c>
      <c r="J13" s="44">
        <f>-199.39+127.58</f>
        <v>-71.809999999999988</v>
      </c>
      <c r="K13" s="44">
        <f>48.39+340</f>
        <v>388.39</v>
      </c>
      <c r="L13" s="44">
        <f>-7147.26-1.77</f>
        <v>-7149.0300000000007</v>
      </c>
      <c r="M13" s="44">
        <f>156.2</f>
        <v>156.19999999999999</v>
      </c>
      <c r="N13" s="44">
        <f t="shared" si="3"/>
        <v>-4838.1300000000037</v>
      </c>
    </row>
    <row r="14" spans="1:17" x14ac:dyDescent="0.3">
      <c r="A14" s="39" t="s">
        <v>95</v>
      </c>
      <c r="B14" s="44">
        <f>760887.1</f>
        <v>760887.1</v>
      </c>
      <c r="C14" s="44">
        <f>759032.91</f>
        <v>759032.91</v>
      </c>
      <c r="D14" s="44">
        <f>759985.23</f>
        <v>759985.23</v>
      </c>
      <c r="E14" s="44">
        <f>759961.75</f>
        <v>759961.75</v>
      </c>
      <c r="F14" s="44">
        <f>760873.57</f>
        <v>760873.57</v>
      </c>
      <c r="G14" s="44">
        <f>760061.23</f>
        <v>760061.23</v>
      </c>
      <c r="H14" s="44">
        <f>1111991.2</f>
        <v>1111991.2</v>
      </c>
      <c r="I14" s="44">
        <f>1110300</f>
        <v>1110300</v>
      </c>
      <c r="J14" s="44">
        <f>1109256</f>
        <v>1109256</v>
      </c>
      <c r="K14" s="44">
        <f>1110427.2</f>
        <v>1110427.2</v>
      </c>
      <c r="L14" s="44">
        <f>1110348</f>
        <v>1110348</v>
      </c>
      <c r="M14" s="44">
        <f>1110512</f>
        <v>1110512</v>
      </c>
      <c r="N14" s="44">
        <f t="shared" si="3"/>
        <v>11223636.189999999</v>
      </c>
    </row>
    <row r="15" spans="1:17" x14ac:dyDescent="0.3">
      <c r="A15" s="39" t="s">
        <v>96</v>
      </c>
      <c r="B15" s="44"/>
      <c r="C15" s="44">
        <f>437.85</f>
        <v>437.85</v>
      </c>
      <c r="D15" s="44">
        <f>-20.82+1657.37</f>
        <v>1636.55</v>
      </c>
      <c r="E15" s="44">
        <v>-180.29</v>
      </c>
      <c r="F15" s="44">
        <f>-29.05</f>
        <v>-29.05</v>
      </c>
      <c r="G15" s="44">
        <f>-19.18-9.86</f>
        <v>-29.04</v>
      </c>
      <c r="H15" s="44">
        <f>-22.4+65.76</f>
        <v>43.360000000000007</v>
      </c>
      <c r="I15" s="44"/>
      <c r="J15" s="44">
        <f>-78.4+11.82</f>
        <v>-66.580000000000013</v>
      </c>
      <c r="K15" s="44"/>
      <c r="L15" s="44">
        <f>-18.4</f>
        <v>-18.399999999999999</v>
      </c>
      <c r="M15" s="44"/>
      <c r="N15" s="44">
        <f t="shared" si="3"/>
        <v>1794.4</v>
      </c>
    </row>
    <row r="16" spans="1:17" x14ac:dyDescent="0.3">
      <c r="A16" s="39" t="s">
        <v>97</v>
      </c>
      <c r="B16" s="44">
        <f>-215545.16</f>
        <v>-215545.16</v>
      </c>
      <c r="C16" s="44">
        <f>86279.61</f>
        <v>86279.61</v>
      </c>
      <c r="D16" s="44">
        <f>-202986.75</f>
        <v>-202986.75</v>
      </c>
      <c r="E16" s="44">
        <f>-84349.42</f>
        <v>-84349.42</v>
      </c>
      <c r="F16" s="44">
        <f>-235097.96</f>
        <v>-235097.96</v>
      </c>
      <c r="G16" s="44">
        <f>-120103.99</f>
        <v>-120103.99</v>
      </c>
      <c r="H16" s="44">
        <f>-316148.72</f>
        <v>-316148.71999999997</v>
      </c>
      <c r="I16" s="44">
        <f>-177331.08</f>
        <v>-177331.08</v>
      </c>
      <c r="J16" s="44">
        <v>-187799</v>
      </c>
      <c r="K16" s="44">
        <f>-181180.15</f>
        <v>-181180.15</v>
      </c>
      <c r="L16" s="44">
        <f>-403560.4</f>
        <v>-403560.4</v>
      </c>
      <c r="M16" s="44">
        <f>-471401.72</f>
        <v>-471401.72</v>
      </c>
      <c r="N16" s="44">
        <f t="shared" si="3"/>
        <v>-2509224.7400000002</v>
      </c>
    </row>
    <row r="17" spans="1:14" x14ac:dyDescent="0.3">
      <c r="A17" s="39" t="s">
        <v>98</v>
      </c>
      <c r="B17" s="44">
        <f>176.84+430.91</f>
        <v>607.75</v>
      </c>
      <c r="C17" s="44">
        <f>1.88-240.93</f>
        <v>-239.05</v>
      </c>
      <c r="D17" s="44">
        <f>5.18-617.37</f>
        <v>-612.19000000000005</v>
      </c>
      <c r="E17" s="44">
        <f>-0.63+429.96</f>
        <v>429.33</v>
      </c>
      <c r="F17" s="44">
        <f>-10.6+4.44</f>
        <v>-6.1599999999999993</v>
      </c>
      <c r="G17" s="44">
        <f>179.27+6.78</f>
        <v>186.05</v>
      </c>
      <c r="H17" s="44">
        <v>-0.64</v>
      </c>
      <c r="I17" s="44">
        <v>11.94</v>
      </c>
      <c r="J17" s="44">
        <f>-0.19+0.6</f>
        <v>0.41</v>
      </c>
      <c r="K17" s="44">
        <f>0.5+1.44</f>
        <v>1.94</v>
      </c>
      <c r="L17" s="44">
        <f>520.38+0.57</f>
        <v>520.95000000000005</v>
      </c>
      <c r="M17" s="44">
        <f>-10.07+18.49</f>
        <v>8.4199999999999982</v>
      </c>
      <c r="N17" s="44">
        <f t="shared" si="3"/>
        <v>908.74999999999989</v>
      </c>
    </row>
    <row r="18" spans="1:14" x14ac:dyDescent="0.3">
      <c r="A18" s="39" t="s">
        <v>99</v>
      </c>
      <c r="B18" s="44">
        <f>188366.87+9.41</f>
        <v>188376.28</v>
      </c>
      <c r="C18" s="44">
        <f>187669.85+9.41</f>
        <v>187679.26</v>
      </c>
      <c r="D18" s="44">
        <f>188177.24+9.41</f>
        <v>188186.65</v>
      </c>
      <c r="E18" s="44">
        <f>188783.23+9.41</f>
        <v>188792.64</v>
      </c>
      <c r="F18" s="44">
        <f>188775.67+9.41</f>
        <v>188785.08000000002</v>
      </c>
      <c r="G18" s="44">
        <f>188444.74+9.41</f>
        <v>188454.15</v>
      </c>
      <c r="H18" s="44">
        <f>188837.74+9.41</f>
        <v>188847.15</v>
      </c>
      <c r="I18" s="44">
        <f>188504.26+9.41</f>
        <v>188513.67</v>
      </c>
      <c r="J18" s="44">
        <f>188942.77+9.41</f>
        <v>188952.18</v>
      </c>
      <c r="K18" s="44">
        <f>188903.81+9.41</f>
        <v>188913.22</v>
      </c>
      <c r="L18" s="44">
        <f>188723.12+9.41</f>
        <v>188732.53</v>
      </c>
      <c r="M18" s="44">
        <f>189000.49+9.41</f>
        <v>189009.9</v>
      </c>
      <c r="N18" s="44">
        <f t="shared" si="3"/>
        <v>2263242.71</v>
      </c>
    </row>
    <row r="19" spans="1:14" x14ac:dyDescent="0.3">
      <c r="A19" s="39" t="s">
        <v>100</v>
      </c>
      <c r="B19" s="44">
        <f>-112.92-1166.32</f>
        <v>-1279.24</v>
      </c>
      <c r="C19" s="44">
        <f>-18.82+17.56</f>
        <v>-1.2600000000000016</v>
      </c>
      <c r="D19" s="44">
        <f>-23.98-47.88</f>
        <v>-71.86</v>
      </c>
      <c r="E19" s="44">
        <f>-117.31-691.31</f>
        <v>-808.61999999999989</v>
      </c>
      <c r="F19" s="44"/>
      <c r="G19" s="44">
        <f>-25.09-421.58</f>
        <v>-446.66999999999996</v>
      </c>
      <c r="H19" s="44">
        <f>-218.29-92.21</f>
        <v>-310.5</v>
      </c>
      <c r="I19" s="44">
        <v>-502.87</v>
      </c>
      <c r="J19" s="44">
        <f>-17.88-124.84</f>
        <v>-142.72</v>
      </c>
      <c r="K19" s="44">
        <f>-702.76-63.05</f>
        <v>-765.81</v>
      </c>
      <c r="L19" s="44">
        <f>-138.01-17.25</f>
        <v>-155.26</v>
      </c>
      <c r="M19" s="44">
        <f>-172.23-1355.93</f>
        <v>-1528.16</v>
      </c>
      <c r="N19" s="44">
        <f t="shared" si="3"/>
        <v>-6012.9699999999993</v>
      </c>
    </row>
    <row r="20" spans="1:14" x14ac:dyDescent="0.3">
      <c r="A20" s="39" t="s">
        <v>101</v>
      </c>
      <c r="B20" s="44">
        <f>736828.12+51.92+0.84</f>
        <v>736880.88</v>
      </c>
      <c r="C20" s="44">
        <f>466777.4+33.42+0.68</f>
        <v>466811.5</v>
      </c>
      <c r="D20" s="44">
        <f>457301.61+33.63+0.68</f>
        <v>457335.92</v>
      </c>
      <c r="E20" s="44">
        <f>380803.79+25.82+0.85</f>
        <v>380830.45999999996</v>
      </c>
      <c r="F20" s="44">
        <f>416638.15+27.94+0.88</f>
        <v>416666.97000000003</v>
      </c>
      <c r="G20" s="44">
        <f>541970.35+35.73+1.06</f>
        <v>542007.14</v>
      </c>
      <c r="H20" s="44">
        <f>636530.63+35.95+1.04</f>
        <v>636567.62</v>
      </c>
      <c r="I20" s="44">
        <f>613314.42+28.3+1.02</f>
        <v>613343.74000000011</v>
      </c>
      <c r="J20" s="44">
        <f>491032.45+21.91+0.87</f>
        <v>491055.23</v>
      </c>
      <c r="K20" s="44">
        <f>426179.11+25.14+0.91</f>
        <v>426205.16</v>
      </c>
      <c r="L20" s="44">
        <f>634359.01+41.03+0.98</f>
        <v>634401.02</v>
      </c>
      <c r="M20" s="44">
        <f>750878.8+55.8+1.11</f>
        <v>750935.71000000008</v>
      </c>
      <c r="N20" s="44">
        <f t="shared" si="3"/>
        <v>6553041.3500000006</v>
      </c>
    </row>
    <row r="21" spans="1:14" x14ac:dyDescent="0.3">
      <c r="A21" s="39" t="s">
        <v>102</v>
      </c>
      <c r="B21" s="44">
        <f>-1453.26</f>
        <v>-1453.26</v>
      </c>
      <c r="C21" s="44">
        <f>-6.93</f>
        <v>-6.93</v>
      </c>
      <c r="D21" s="44">
        <v>20</v>
      </c>
      <c r="E21" s="44">
        <v>-666.85</v>
      </c>
      <c r="F21" s="44">
        <f>-7.3</f>
        <v>-7.3</v>
      </c>
      <c r="G21" s="44">
        <v>-843.5</v>
      </c>
      <c r="H21" s="44">
        <v>7.29</v>
      </c>
      <c r="I21" s="44"/>
      <c r="J21" s="44">
        <v>-12.04</v>
      </c>
      <c r="K21" s="44">
        <v>-62.33</v>
      </c>
      <c r="L21" s="44">
        <v>-630.75</v>
      </c>
      <c r="M21" s="44">
        <v>15.24</v>
      </c>
      <c r="N21" s="44">
        <f t="shared" si="3"/>
        <v>-3640.4300000000003</v>
      </c>
    </row>
    <row r="22" spans="1:14" x14ac:dyDescent="0.3">
      <c r="A22" s="39" t="s">
        <v>103</v>
      </c>
      <c r="B22" s="44">
        <v>195.25</v>
      </c>
      <c r="C22" s="44">
        <v>198</v>
      </c>
      <c r="D22" s="44">
        <v>195.25</v>
      </c>
      <c r="E22" s="44">
        <v>189.75</v>
      </c>
      <c r="F22" s="44">
        <v>189.75</v>
      </c>
      <c r="G22" s="44">
        <v>184.25</v>
      </c>
      <c r="H22" s="44">
        <v>187</v>
      </c>
      <c r="I22" s="44">
        <v>187</v>
      </c>
      <c r="J22" s="44">
        <v>184.25</v>
      </c>
      <c r="K22" s="44">
        <f>184.25+184.25</f>
        <v>368.5</v>
      </c>
      <c r="L22" s="44">
        <v>184.25</v>
      </c>
      <c r="M22" s="44">
        <v>184.25</v>
      </c>
      <c r="N22" s="44">
        <f t="shared" si="3"/>
        <v>2447.5</v>
      </c>
    </row>
    <row r="23" spans="1:14" x14ac:dyDescent="0.3">
      <c r="A23" s="39" t="s">
        <v>104</v>
      </c>
      <c r="B23" s="43">
        <f>46905+1+1</f>
        <v>46907</v>
      </c>
      <c r="C23" s="43">
        <f>46817+1+1</f>
        <v>46819</v>
      </c>
      <c r="D23" s="43">
        <f>46794+1+1</f>
        <v>46796</v>
      </c>
      <c r="E23" s="43">
        <f>46840+1</f>
        <v>46841</v>
      </c>
      <c r="F23" s="43">
        <f>46908+1</f>
        <v>46909</v>
      </c>
      <c r="G23" s="43">
        <f>46828+1</f>
        <v>46829</v>
      </c>
      <c r="H23" s="43">
        <f>46995+1</f>
        <v>46996</v>
      </c>
      <c r="I23" s="43">
        <f>46975+1</f>
        <v>46976</v>
      </c>
      <c r="J23" s="43">
        <f>46863+1</f>
        <v>46864</v>
      </c>
      <c r="K23" s="43">
        <f>46920+3</f>
        <v>46923</v>
      </c>
      <c r="L23" s="44">
        <f>46826+3</f>
        <v>46829</v>
      </c>
      <c r="M23" s="44">
        <f>46825+3</f>
        <v>46828</v>
      </c>
      <c r="N23" s="44">
        <f t="shared" si="3"/>
        <v>562517</v>
      </c>
    </row>
    <row r="24" spans="1:14" x14ac:dyDescent="0.3">
      <c r="A24" s="39" t="s">
        <v>105</v>
      </c>
      <c r="B24" s="43">
        <f>1519</f>
        <v>1519</v>
      </c>
      <c r="C24" s="43">
        <v>1515</v>
      </c>
      <c r="D24" s="43">
        <v>1383</v>
      </c>
      <c r="E24" s="43">
        <f>1343</f>
        <v>1343</v>
      </c>
      <c r="F24" s="44">
        <v>1309</v>
      </c>
      <c r="G24" s="43">
        <v>1318</v>
      </c>
      <c r="H24" s="43">
        <v>1327</v>
      </c>
      <c r="I24" s="44">
        <v>1348</v>
      </c>
      <c r="J24" s="44">
        <v>1314</v>
      </c>
      <c r="K24" s="44">
        <v>1298</v>
      </c>
      <c r="L24" s="44">
        <v>1339</v>
      </c>
      <c r="M24" s="44">
        <f>1397</f>
        <v>1397</v>
      </c>
      <c r="N24" s="44">
        <f t="shared" si="3"/>
        <v>16410</v>
      </c>
    </row>
    <row r="25" spans="1:14" x14ac:dyDescent="0.3">
      <c r="A25" s="39" t="s">
        <v>106</v>
      </c>
      <c r="B25" s="44">
        <v>-149392</v>
      </c>
      <c r="C25" s="44">
        <v>-198096</v>
      </c>
      <c r="D25" s="44">
        <v>92917</v>
      </c>
      <c r="E25" s="44">
        <v>86686</v>
      </c>
      <c r="F25" s="44">
        <v>99509</v>
      </c>
      <c r="G25" s="44">
        <v>-103294</v>
      </c>
      <c r="H25" s="44">
        <v>-113168</v>
      </c>
      <c r="I25" s="44">
        <v>-135749</v>
      </c>
      <c r="J25" s="44">
        <v>-40433</v>
      </c>
      <c r="K25" s="44">
        <v>48587</v>
      </c>
      <c r="L25" s="44">
        <v>-88228</v>
      </c>
      <c r="M25" s="44">
        <v>183585</v>
      </c>
      <c r="N25" s="44">
        <f t="shared" si="3"/>
        <v>-317076</v>
      </c>
    </row>
    <row r="26" spans="1:14" x14ac:dyDescent="0.3">
      <c r="A26" s="35"/>
      <c r="B26" s="36"/>
      <c r="C26" s="36"/>
      <c r="D26" s="36"/>
      <c r="E26" s="36"/>
      <c r="F26" s="36"/>
      <c r="G26" s="45"/>
      <c r="H26" s="45"/>
      <c r="I26" s="45"/>
      <c r="J26" s="45"/>
      <c r="K26" s="45"/>
      <c r="L26" s="45"/>
      <c r="M26" s="36"/>
      <c r="N26" s="36"/>
    </row>
    <row r="27" spans="1:14" x14ac:dyDescent="0.3">
      <c r="A27" s="39"/>
      <c r="B27" s="40" t="s">
        <v>76</v>
      </c>
      <c r="C27" s="41" t="s">
        <v>77</v>
      </c>
      <c r="D27" s="40" t="s">
        <v>78</v>
      </c>
      <c r="E27" s="40" t="s">
        <v>79</v>
      </c>
      <c r="F27" s="40" t="s">
        <v>80</v>
      </c>
      <c r="G27" s="40" t="s">
        <v>81</v>
      </c>
      <c r="H27" s="40" t="s">
        <v>82</v>
      </c>
      <c r="I27" s="40" t="s">
        <v>83</v>
      </c>
      <c r="J27" s="41" t="s">
        <v>84</v>
      </c>
      <c r="K27" s="41" t="s">
        <v>85</v>
      </c>
      <c r="L27" s="40" t="s">
        <v>86</v>
      </c>
      <c r="M27" s="40" t="s">
        <v>87</v>
      </c>
      <c r="N27" s="40">
        <v>2019</v>
      </c>
    </row>
    <row r="28" spans="1:14" x14ac:dyDescent="0.3">
      <c r="A28" s="39" t="s">
        <v>107</v>
      </c>
      <c r="B28" s="42"/>
      <c r="C28" s="42"/>
      <c r="D28" s="42"/>
      <c r="E28" s="42"/>
      <c r="F28" s="42"/>
      <c r="G28" s="44"/>
      <c r="H28" s="42"/>
      <c r="I28" s="42"/>
      <c r="J28" s="44"/>
      <c r="K28" s="44"/>
      <c r="L28" s="44"/>
      <c r="M28" s="42"/>
      <c r="N28" s="42">
        <f t="shared" si="3"/>
        <v>0</v>
      </c>
    </row>
    <row r="29" spans="1:14" x14ac:dyDescent="0.3">
      <c r="A29" s="39" t="s">
        <v>89</v>
      </c>
      <c r="B29" s="44">
        <v>1084125</v>
      </c>
      <c r="C29" s="44">
        <v>795095</v>
      </c>
      <c r="D29" s="44">
        <v>815617</v>
      </c>
      <c r="E29" s="44">
        <f>267158</f>
        <v>267158</v>
      </c>
      <c r="F29" s="43">
        <v>40017</v>
      </c>
      <c r="G29" s="44">
        <v>6847</v>
      </c>
      <c r="H29" s="44">
        <v>3108</v>
      </c>
      <c r="I29" s="43">
        <f>3620</f>
        <v>3620</v>
      </c>
      <c r="J29" s="44">
        <v>2436</v>
      </c>
      <c r="K29" s="44">
        <v>151736</v>
      </c>
      <c r="L29" s="44">
        <f>719685</f>
        <v>719685</v>
      </c>
      <c r="M29" s="44">
        <v>814895</v>
      </c>
      <c r="N29" s="44">
        <f t="shared" si="3"/>
        <v>4704339</v>
      </c>
    </row>
    <row r="30" spans="1:14" x14ac:dyDescent="0.3">
      <c r="A30" s="39" t="s">
        <v>90</v>
      </c>
      <c r="B30" s="44"/>
      <c r="C30" s="44"/>
      <c r="D30" s="44"/>
      <c r="E30" s="44"/>
      <c r="F30" s="44">
        <f>-1691-255</f>
        <v>-1946</v>
      </c>
      <c r="G30" s="44"/>
      <c r="H30" s="44"/>
      <c r="I30" s="44"/>
      <c r="J30" s="44"/>
      <c r="K30" s="44"/>
      <c r="L30" s="44"/>
      <c r="M30" s="42"/>
      <c r="N30" s="42">
        <f t="shared" si="3"/>
        <v>-1946</v>
      </c>
    </row>
    <row r="31" spans="1:14" x14ac:dyDescent="0.3">
      <c r="A31" s="39" t="s">
        <v>108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>
        <f t="shared" si="3"/>
        <v>0</v>
      </c>
    </row>
    <row r="32" spans="1:14" x14ac:dyDescent="0.3">
      <c r="A32" s="39" t="s">
        <v>109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2"/>
      <c r="N32" s="42">
        <f t="shared" si="3"/>
        <v>0</v>
      </c>
    </row>
    <row r="33" spans="1:14" x14ac:dyDescent="0.3">
      <c r="A33" s="39" t="s">
        <v>93</v>
      </c>
      <c r="B33" s="44">
        <v>67851.58</v>
      </c>
      <c r="C33" s="44">
        <v>49289.43</v>
      </c>
      <c r="D33" s="44">
        <v>50208.69</v>
      </c>
      <c r="E33" s="44">
        <v>16775.97</v>
      </c>
      <c r="F33" s="44">
        <v>2549.35</v>
      </c>
      <c r="G33" s="44">
        <v>482.4</v>
      </c>
      <c r="H33" s="44">
        <v>240.79</v>
      </c>
      <c r="I33" s="44">
        <v>261.48</v>
      </c>
      <c r="J33" s="44">
        <v>182.09</v>
      </c>
      <c r="K33" s="44">
        <v>9565.1</v>
      </c>
      <c r="L33" s="44">
        <f>45280.85</f>
        <v>45280.85</v>
      </c>
      <c r="M33" s="44">
        <v>51755.46</v>
      </c>
      <c r="N33" s="44">
        <f t="shared" si="3"/>
        <v>294443.19000000006</v>
      </c>
    </row>
    <row r="34" spans="1:14" x14ac:dyDescent="0.3">
      <c r="A34" s="39" t="s">
        <v>94</v>
      </c>
      <c r="B34" s="44">
        <v>-8.2799999999999994</v>
      </c>
      <c r="C34" s="44"/>
      <c r="D34" s="44"/>
      <c r="E34" s="44"/>
      <c r="F34" s="44">
        <f>-105.39-15.96</f>
        <v>-121.35</v>
      </c>
      <c r="G34" s="44"/>
      <c r="H34" s="44">
        <v>-17.850000000000001</v>
      </c>
      <c r="I34" s="44"/>
      <c r="J34" s="44"/>
      <c r="K34" s="44"/>
      <c r="L34" s="44"/>
      <c r="M34" s="42"/>
      <c r="N34" s="42">
        <f t="shared" si="3"/>
        <v>-147.47999999999999</v>
      </c>
    </row>
    <row r="35" spans="1:14" x14ac:dyDescent="0.3">
      <c r="A35" s="39" t="s">
        <v>97</v>
      </c>
      <c r="B35" s="44">
        <v>-2852.61</v>
      </c>
      <c r="C35" s="44">
        <v>1457.53</v>
      </c>
      <c r="D35" s="44">
        <v>-3096.35</v>
      </c>
      <c r="E35" s="44">
        <v>-558.29999999999995</v>
      </c>
      <c r="F35" s="44">
        <f>-246.23</f>
        <v>-246.23</v>
      </c>
      <c r="G35" s="44">
        <v>-15.9</v>
      </c>
      <c r="H35" s="44">
        <v>-19.11</v>
      </c>
      <c r="I35" s="44">
        <v>-11.08</v>
      </c>
      <c r="J35" s="44">
        <v>-9.94</v>
      </c>
      <c r="K35" s="44">
        <v>-716.36</v>
      </c>
      <c r="L35" s="44">
        <v>-4925.1499999999996</v>
      </c>
      <c r="M35" s="44">
        <v>-5941.35</v>
      </c>
      <c r="N35" s="44">
        <f t="shared" si="3"/>
        <v>-16934.849999999999</v>
      </c>
    </row>
    <row r="36" spans="1:14" x14ac:dyDescent="0.3">
      <c r="A36" s="39" t="s">
        <v>98</v>
      </c>
      <c r="B36" s="44">
        <v>8.4</v>
      </c>
      <c r="C36" s="44"/>
      <c r="D36" s="44"/>
      <c r="E36" s="44"/>
      <c r="F36" s="44">
        <f>10.6+0.51</f>
        <v>11.11</v>
      </c>
      <c r="G36" s="44"/>
      <c r="H36" s="44">
        <v>0.96</v>
      </c>
      <c r="I36" s="44"/>
      <c r="J36" s="44"/>
      <c r="K36" s="44"/>
      <c r="L36" s="44"/>
      <c r="M36" s="42"/>
      <c r="N36" s="42">
        <f t="shared" si="3"/>
        <v>20.47</v>
      </c>
    </row>
    <row r="37" spans="1:14" x14ac:dyDescent="0.3">
      <c r="A37" s="39" t="s">
        <v>99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>
        <f t="shared" si="3"/>
        <v>0</v>
      </c>
    </row>
    <row r="38" spans="1:14" x14ac:dyDescent="0.3">
      <c r="A38" s="39" t="s">
        <v>100</v>
      </c>
      <c r="B38" s="44">
        <v>-301.16000000000003</v>
      </c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2"/>
      <c r="N38" s="42">
        <f t="shared" si="3"/>
        <v>-301.16000000000003</v>
      </c>
    </row>
    <row r="39" spans="1:14" x14ac:dyDescent="0.3">
      <c r="A39" s="39" t="s">
        <v>101</v>
      </c>
      <c r="B39" s="44">
        <f>5289.19</f>
        <v>5289.19</v>
      </c>
      <c r="C39" s="44">
        <v>3377.84</v>
      </c>
      <c r="D39" s="44">
        <v>3103.4</v>
      </c>
      <c r="E39" s="44">
        <v>1302.75</v>
      </c>
      <c r="F39" s="44">
        <f>187.59</f>
        <v>187.59</v>
      </c>
      <c r="G39" s="44">
        <v>40.75</v>
      </c>
      <c r="H39" s="44">
        <v>16.82</v>
      </c>
      <c r="I39" s="44">
        <v>20.55</v>
      </c>
      <c r="J39" s="44">
        <v>10.66</v>
      </c>
      <c r="K39" s="44">
        <v>765.02</v>
      </c>
      <c r="L39" s="44">
        <f>3728.7</f>
        <v>3728.7</v>
      </c>
      <c r="M39" s="44">
        <v>4708.8500000000004</v>
      </c>
      <c r="N39" s="44">
        <f t="shared" si="3"/>
        <v>22552.119999999995</v>
      </c>
    </row>
    <row r="40" spans="1:14" x14ac:dyDescent="0.3">
      <c r="A40" s="39" t="s">
        <v>102</v>
      </c>
      <c r="B40" s="44">
        <v>-8.2799999999999994</v>
      </c>
      <c r="C40" s="44"/>
      <c r="D40" s="44"/>
      <c r="E40" s="44"/>
      <c r="F40" s="44">
        <v>-9.35</v>
      </c>
      <c r="G40" s="44"/>
      <c r="H40" s="44"/>
      <c r="I40" s="44"/>
      <c r="J40" s="44"/>
      <c r="K40" s="44"/>
      <c r="L40" s="44"/>
      <c r="M40" s="42"/>
      <c r="N40" s="42">
        <f t="shared" si="3"/>
        <v>-17.63</v>
      </c>
    </row>
    <row r="41" spans="1:14" x14ac:dyDescent="0.3">
      <c r="A41" s="39" t="s">
        <v>103</v>
      </c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2"/>
      <c r="N41" s="42">
        <f t="shared" si="3"/>
        <v>0</v>
      </c>
    </row>
    <row r="42" spans="1:14" x14ac:dyDescent="0.3">
      <c r="A42" s="39" t="s">
        <v>104</v>
      </c>
      <c r="B42" s="44">
        <v>645</v>
      </c>
      <c r="C42" s="44">
        <v>641</v>
      </c>
      <c r="D42" s="44">
        <v>649</v>
      </c>
      <c r="E42" s="44">
        <v>599</v>
      </c>
      <c r="F42" s="44">
        <v>366</v>
      </c>
      <c r="G42" s="44">
        <v>190</v>
      </c>
      <c r="H42" s="44">
        <v>164</v>
      </c>
      <c r="I42" s="44">
        <v>153</v>
      </c>
      <c r="J42" s="44">
        <v>152</v>
      </c>
      <c r="K42" s="44">
        <v>489</v>
      </c>
      <c r="L42" s="44">
        <v>600</v>
      </c>
      <c r="M42" s="44">
        <v>613</v>
      </c>
      <c r="N42" s="44">
        <f t="shared" si="3"/>
        <v>5261</v>
      </c>
    </row>
    <row r="43" spans="1:14" x14ac:dyDescent="0.3">
      <c r="A43" s="39" t="s">
        <v>105</v>
      </c>
      <c r="B43" s="44">
        <v>0</v>
      </c>
      <c r="C43" s="44">
        <v>0</v>
      </c>
      <c r="D43" s="44"/>
      <c r="E43" s="44"/>
      <c r="F43" s="44"/>
      <c r="G43" s="44"/>
      <c r="H43" s="44"/>
      <c r="I43" s="42"/>
      <c r="J43" s="44"/>
      <c r="K43" s="44"/>
      <c r="L43" s="44"/>
      <c r="M43" s="42"/>
      <c r="N43" s="42">
        <f t="shared" si="3"/>
        <v>0</v>
      </c>
    </row>
    <row r="44" spans="1:14" x14ac:dyDescent="0.3">
      <c r="A44" s="39" t="s">
        <v>106</v>
      </c>
      <c r="B44" s="44">
        <v>-695</v>
      </c>
      <c r="C44" s="44">
        <v>-811</v>
      </c>
      <c r="D44" s="44">
        <v>386</v>
      </c>
      <c r="E44" s="44">
        <v>360</v>
      </c>
      <c r="F44" s="44">
        <v>413</v>
      </c>
      <c r="G44" s="44">
        <v>-430</v>
      </c>
      <c r="H44" s="44">
        <v>-470</v>
      </c>
      <c r="I44" s="44">
        <v>-563</v>
      </c>
      <c r="J44" s="44">
        <v>-168</v>
      </c>
      <c r="K44" s="44">
        <v>202</v>
      </c>
      <c r="L44" s="44">
        <v>-366</v>
      </c>
      <c r="M44" s="44">
        <v>762</v>
      </c>
      <c r="N44" s="44">
        <f t="shared" si="3"/>
        <v>-1380</v>
      </c>
    </row>
    <row r="45" spans="1:14" x14ac:dyDescent="0.3">
      <c r="A45" s="35"/>
      <c r="B45" s="36"/>
      <c r="C45" s="36"/>
      <c r="D45" s="36"/>
      <c r="E45" s="36"/>
      <c r="F45" s="36"/>
      <c r="G45" s="45"/>
      <c r="H45" s="36"/>
      <c r="I45" s="36"/>
      <c r="J45" s="45"/>
      <c r="K45" s="45"/>
      <c r="L45" s="36"/>
      <c r="M45" s="36"/>
      <c r="N45" s="36"/>
    </row>
    <row r="46" spans="1:14" x14ac:dyDescent="0.3">
      <c r="A46" s="39"/>
      <c r="B46" s="40" t="s">
        <v>76</v>
      </c>
      <c r="C46" s="41" t="s">
        <v>77</v>
      </c>
      <c r="D46" s="40" t="s">
        <v>78</v>
      </c>
      <c r="E46" s="40" t="s">
        <v>79</v>
      </c>
      <c r="F46" s="40" t="s">
        <v>80</v>
      </c>
      <c r="G46" s="40" t="s">
        <v>81</v>
      </c>
      <c r="H46" s="40" t="s">
        <v>82</v>
      </c>
      <c r="I46" s="40" t="s">
        <v>83</v>
      </c>
      <c r="J46" s="41" t="s">
        <v>84</v>
      </c>
      <c r="K46" s="41" t="s">
        <v>85</v>
      </c>
      <c r="L46" s="40" t="s">
        <v>86</v>
      </c>
      <c r="M46" s="40" t="s">
        <v>87</v>
      </c>
      <c r="N46" s="40">
        <v>2019</v>
      </c>
    </row>
    <row r="47" spans="1:14" ht="15.6" x14ac:dyDescent="0.3">
      <c r="A47" s="46" t="s">
        <v>110</v>
      </c>
      <c r="B47" s="42"/>
      <c r="C47" s="42"/>
      <c r="D47" s="42"/>
      <c r="E47" s="42"/>
      <c r="F47" s="42"/>
      <c r="G47" s="44"/>
      <c r="H47" s="44"/>
      <c r="I47" s="42"/>
      <c r="J47" s="44"/>
      <c r="K47" s="44"/>
      <c r="L47" s="42"/>
      <c r="M47" s="42"/>
      <c r="N47" s="42">
        <f t="shared" si="3"/>
        <v>0</v>
      </c>
    </row>
    <row r="48" spans="1:14" x14ac:dyDescent="0.3">
      <c r="A48" s="39" t="s">
        <v>89</v>
      </c>
      <c r="B48" s="43">
        <f>5643604+38713</f>
        <v>5682317</v>
      </c>
      <c r="C48" s="43">
        <f>4632760+29155</f>
        <v>4661915</v>
      </c>
      <c r="D48" s="43">
        <f>4932592+29215</f>
        <v>4961807</v>
      </c>
      <c r="E48" s="43">
        <f>4128307+21872</f>
        <v>4150179</v>
      </c>
      <c r="F48" s="43">
        <f>23812+4597964</f>
        <v>4621776</v>
      </c>
      <c r="G48" s="44">
        <f>4664488+24081</f>
        <v>4688569</v>
      </c>
      <c r="H48" s="44">
        <f>5365163+27571</f>
        <v>5392734</v>
      </c>
      <c r="I48" s="43">
        <f>5250429+27411</f>
        <v>5277840</v>
      </c>
      <c r="J48" s="43">
        <f>25230+4924921</f>
        <v>4950151</v>
      </c>
      <c r="K48" s="43">
        <f>4327704+23791</f>
        <v>4351495</v>
      </c>
      <c r="L48" s="43">
        <f>4781530+28624</f>
        <v>4810154</v>
      </c>
      <c r="M48" s="43">
        <f>5135832+33486</f>
        <v>5169318</v>
      </c>
      <c r="N48" s="43">
        <f t="shared" si="3"/>
        <v>58718255</v>
      </c>
    </row>
    <row r="49" spans="1:14" x14ac:dyDescent="0.3">
      <c r="A49" s="39" t="s">
        <v>90</v>
      </c>
      <c r="B49" s="43">
        <v>-2278</v>
      </c>
      <c r="C49" s="43">
        <f>-1184-634</f>
        <v>-1818</v>
      </c>
      <c r="D49" s="43"/>
      <c r="E49" s="43"/>
      <c r="F49" s="42"/>
      <c r="G49" s="44"/>
      <c r="H49" s="44">
        <f>-201-555</f>
        <v>-756</v>
      </c>
      <c r="I49" s="44"/>
      <c r="J49" s="44"/>
      <c r="K49" s="44">
        <v>-277</v>
      </c>
      <c r="L49" s="42"/>
      <c r="M49" s="43">
        <v>-45</v>
      </c>
      <c r="N49" s="43">
        <f t="shared" si="3"/>
        <v>-5174</v>
      </c>
    </row>
    <row r="50" spans="1:14" x14ac:dyDescent="0.3">
      <c r="A50" s="39" t="s">
        <v>108</v>
      </c>
      <c r="B50" s="44">
        <v>188992</v>
      </c>
      <c r="C50" s="44">
        <v>188484</v>
      </c>
      <c r="D50" s="44">
        <v>189271</v>
      </c>
      <c r="E50" s="44">
        <v>189166</v>
      </c>
      <c r="F50" s="44">
        <v>188790</v>
      </c>
      <c r="G50" s="44">
        <v>188752</v>
      </c>
      <c r="H50" s="44">
        <v>189740</v>
      </c>
      <c r="I50" s="43">
        <v>189847</v>
      </c>
      <c r="J50" s="43">
        <f>190350</f>
        <v>190350</v>
      </c>
      <c r="K50" s="43">
        <v>191123</v>
      </c>
      <c r="L50" s="43">
        <v>189904</v>
      </c>
      <c r="M50" s="43">
        <v>190266</v>
      </c>
      <c r="N50" s="43">
        <f t="shared" si="3"/>
        <v>2274685</v>
      </c>
    </row>
    <row r="51" spans="1:14" x14ac:dyDescent="0.3">
      <c r="A51" s="39" t="s">
        <v>111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2"/>
      <c r="M51" s="42"/>
      <c r="N51" s="42">
        <f t="shared" si="3"/>
        <v>0</v>
      </c>
    </row>
    <row r="52" spans="1:14" x14ac:dyDescent="0.3">
      <c r="A52" s="39" t="s">
        <v>93</v>
      </c>
      <c r="B52" s="44">
        <v>538962.49</v>
      </c>
      <c r="C52" s="44">
        <f>437380.04</f>
        <v>437380.04</v>
      </c>
      <c r="D52" s="44">
        <f>462337.85</f>
        <v>462337.85</v>
      </c>
      <c r="E52" s="44">
        <f>398486.03</f>
        <v>398486.03</v>
      </c>
      <c r="F52" s="44">
        <v>441969.67</v>
      </c>
      <c r="G52" s="44">
        <v>460636.33</v>
      </c>
      <c r="H52" s="44">
        <f>523699.04</f>
        <v>523699.04</v>
      </c>
      <c r="I52" s="44">
        <v>513828.96</v>
      </c>
      <c r="J52" s="44">
        <v>473261.27</v>
      </c>
      <c r="K52" s="44">
        <f>419372.7</f>
        <v>419372.7</v>
      </c>
      <c r="L52" s="44">
        <v>464853.06</v>
      </c>
      <c r="M52" s="44">
        <v>505348.12</v>
      </c>
      <c r="N52" s="44">
        <f t="shared" si="3"/>
        <v>5640135.5599999996</v>
      </c>
    </row>
    <row r="53" spans="1:14" x14ac:dyDescent="0.3">
      <c r="A53" s="39" t="s">
        <v>94</v>
      </c>
      <c r="B53" s="44">
        <f>-211.71</f>
        <v>-211.71</v>
      </c>
      <c r="C53" s="44">
        <f>-115.14-6031.59</f>
        <v>-6146.7300000000005</v>
      </c>
      <c r="D53" s="44">
        <f>-118-24890.48</f>
        <v>-25008.48</v>
      </c>
      <c r="E53" s="44">
        <v>-6</v>
      </c>
      <c r="F53" s="44">
        <v>86.7</v>
      </c>
      <c r="G53" s="44"/>
      <c r="H53" s="44">
        <f>-23.32-62.73</f>
        <v>-86.05</v>
      </c>
      <c r="I53" s="44">
        <v>133.4</v>
      </c>
      <c r="J53" s="44">
        <f>-5.71-38.99</f>
        <v>-44.7</v>
      </c>
      <c r="K53" s="44">
        <v>-31.09</v>
      </c>
      <c r="L53" s="42"/>
      <c r="M53" s="42">
        <f>-4.26+24.85</f>
        <v>20.590000000000003</v>
      </c>
      <c r="N53" s="42">
        <f t="shared" si="3"/>
        <v>-31294.069999999996</v>
      </c>
    </row>
    <row r="54" spans="1:14" x14ac:dyDescent="0.3">
      <c r="A54" s="39" t="s">
        <v>95</v>
      </c>
      <c r="B54" s="44">
        <v>134658.51999999999</v>
      </c>
      <c r="C54" s="44">
        <v>133898.44</v>
      </c>
      <c r="D54" s="44">
        <v>134874.26999999999</v>
      </c>
      <c r="E54" s="44">
        <f>134528.23</f>
        <v>134528.23000000001</v>
      </c>
      <c r="F54" s="44">
        <v>134721.69</v>
      </c>
      <c r="G54" s="44">
        <v>134816.35</v>
      </c>
      <c r="H54" s="44">
        <v>134967.71</v>
      </c>
      <c r="I54" s="44">
        <v>135480.76</v>
      </c>
      <c r="J54" s="44">
        <v>134874.28</v>
      </c>
      <c r="K54" s="44">
        <v>135888.6</v>
      </c>
      <c r="L54" s="44">
        <v>135830.81</v>
      </c>
      <c r="M54" s="44">
        <v>136289.87</v>
      </c>
      <c r="N54" s="44">
        <f t="shared" si="3"/>
        <v>1620829.5299999998</v>
      </c>
    </row>
    <row r="55" spans="1:14" x14ac:dyDescent="0.3">
      <c r="A55" s="39" t="s">
        <v>96</v>
      </c>
      <c r="B55" s="44"/>
      <c r="C55" s="44">
        <f>-78.94-1138.06</f>
        <v>-1217</v>
      </c>
      <c r="D55" s="44">
        <f>-80.25-4124.25</f>
        <v>-4204.5</v>
      </c>
      <c r="E55" s="44"/>
      <c r="F55" s="44"/>
      <c r="G55" s="44">
        <v>2.2999999999999998</v>
      </c>
      <c r="H55" s="44">
        <f>-39.47-107.88</f>
        <v>-147.35</v>
      </c>
      <c r="I55" s="44"/>
      <c r="J55" s="44">
        <f>-27.63-51.31</f>
        <v>-78.94</v>
      </c>
      <c r="K55" s="44">
        <v>-55.25</v>
      </c>
      <c r="L55" s="42"/>
      <c r="M55" s="42"/>
      <c r="N55" s="42">
        <f t="shared" si="3"/>
        <v>-5700.74</v>
      </c>
    </row>
    <row r="56" spans="1:14" x14ac:dyDescent="0.3">
      <c r="A56" s="39" t="s">
        <v>97</v>
      </c>
      <c r="B56" s="44">
        <v>-14814.79</v>
      </c>
      <c r="C56" s="44">
        <v>9152.9699999999993</v>
      </c>
      <c r="D56" s="44">
        <v>-20905.099999999999</v>
      </c>
      <c r="E56" s="44">
        <f>-8747.74</f>
        <v>-8747.74</v>
      </c>
      <c r="F56" s="44">
        <v>-29713.66</v>
      </c>
      <c r="G56" s="44">
        <v>-11295.53</v>
      </c>
      <c r="H56" s="44">
        <f>-34226.99</f>
        <v>-34226.99</v>
      </c>
      <c r="I56" s="44">
        <v>-16734.75</v>
      </c>
      <c r="J56" s="44">
        <v>-20798.87</v>
      </c>
      <c r="K56" s="44">
        <v>-21424.47</v>
      </c>
      <c r="L56" s="44">
        <v>-34469.39</v>
      </c>
      <c r="M56" s="44">
        <v>-38899.71</v>
      </c>
      <c r="N56" s="44">
        <f t="shared" si="3"/>
        <v>-242878.03</v>
      </c>
    </row>
    <row r="57" spans="1:14" x14ac:dyDescent="0.3">
      <c r="A57" s="39" t="s">
        <v>98</v>
      </c>
      <c r="B57" s="44">
        <v>5.72</v>
      </c>
      <c r="C57" s="44">
        <f>-2.56+247.34</f>
        <v>244.78</v>
      </c>
      <c r="D57" s="44">
        <f>0.03+619.17</f>
        <v>619.19999999999993</v>
      </c>
      <c r="E57" s="44"/>
      <c r="F57" s="44"/>
      <c r="G57" s="44"/>
      <c r="H57" s="44">
        <f>1.25+2.01</f>
        <v>3.26</v>
      </c>
      <c r="I57" s="44"/>
      <c r="J57" s="44">
        <f>1.14+1.72</f>
        <v>2.86</v>
      </c>
      <c r="K57" s="44">
        <v>1.26</v>
      </c>
      <c r="L57" s="42"/>
      <c r="M57" s="42">
        <f>3.18+40.77</f>
        <v>43.95</v>
      </c>
      <c r="N57" s="42">
        <f t="shared" si="3"/>
        <v>921.03</v>
      </c>
    </row>
    <row r="58" spans="1:14" x14ac:dyDescent="0.3">
      <c r="A58" s="39" t="s">
        <v>99</v>
      </c>
      <c r="B58" s="44">
        <v>27392.51</v>
      </c>
      <c r="C58" s="44">
        <v>27357.35</v>
      </c>
      <c r="D58" s="44">
        <v>27616.53</v>
      </c>
      <c r="E58" s="44">
        <f>27658.05</f>
        <v>27658.05</v>
      </c>
      <c r="F58" s="44">
        <v>27613.66</v>
      </c>
      <c r="G58" s="44">
        <v>27571.06</v>
      </c>
      <c r="H58" s="44">
        <v>27696.87</v>
      </c>
      <c r="I58" s="44">
        <v>27703.41</v>
      </c>
      <c r="J58" s="44">
        <v>27774.07</v>
      </c>
      <c r="K58" s="44">
        <v>27897.25</v>
      </c>
      <c r="L58" s="44">
        <v>27750.6</v>
      </c>
      <c r="M58" s="44">
        <v>27799.41</v>
      </c>
      <c r="N58" s="44">
        <f t="shared" si="3"/>
        <v>331830.76999999996</v>
      </c>
    </row>
    <row r="59" spans="1:14" x14ac:dyDescent="0.3">
      <c r="A59" s="39" t="s">
        <v>100</v>
      </c>
      <c r="B59" s="44">
        <f>-9.41-531.56</f>
        <v>-540.96999999999991</v>
      </c>
      <c r="C59" s="44"/>
      <c r="D59" s="44">
        <v>-4.5999999999999996</v>
      </c>
      <c r="E59" s="44">
        <f>-14.3-17.88</f>
        <v>-32.18</v>
      </c>
      <c r="F59" s="44"/>
      <c r="G59" s="44"/>
      <c r="H59" s="44"/>
      <c r="I59" s="44"/>
      <c r="J59" s="44">
        <f>-35.27</f>
        <v>-35.270000000000003</v>
      </c>
      <c r="K59" s="44"/>
      <c r="L59" s="42"/>
      <c r="M59" s="42">
        <f>-49.55-1611.54</f>
        <v>-1661.09</v>
      </c>
      <c r="N59" s="42">
        <f t="shared" si="3"/>
        <v>-2274.1099999999997</v>
      </c>
    </row>
    <row r="60" spans="1:14" x14ac:dyDescent="0.3">
      <c r="A60" s="39" t="s">
        <v>101</v>
      </c>
      <c r="B60" s="44">
        <f>56087.17+102.15</f>
        <v>56189.32</v>
      </c>
      <c r="C60" s="44">
        <f>40942.46+85.71</f>
        <v>41028.17</v>
      </c>
      <c r="D60" s="44">
        <f>40264.84+86.16</f>
        <v>40351</v>
      </c>
      <c r="E60" s="44">
        <f>45194.97+66.97</f>
        <v>45261.94</v>
      </c>
      <c r="F60" s="44">
        <f>48534.42+61.6</f>
        <v>48596.02</v>
      </c>
      <c r="G60" s="44">
        <f>61504.27+77.27</f>
        <v>61581.539999999994</v>
      </c>
      <c r="H60" s="44">
        <f>64561.77+82.73</f>
        <v>64644.5</v>
      </c>
      <c r="I60" s="44">
        <v>64584.61</v>
      </c>
      <c r="J60" s="44">
        <f>51770.84+71.05</f>
        <v>51841.89</v>
      </c>
      <c r="K60" s="44">
        <f>48968.07+69.4</f>
        <v>49037.47</v>
      </c>
      <c r="L60" s="44">
        <f>55587.32+118.41</f>
        <v>55705.73</v>
      </c>
      <c r="M60" s="44">
        <f>65775.59+139.38</f>
        <v>65914.97</v>
      </c>
      <c r="N60" s="44">
        <f t="shared" si="3"/>
        <v>644737.15999999992</v>
      </c>
    </row>
    <row r="61" spans="1:14" x14ac:dyDescent="0.3">
      <c r="A61" s="39" t="s">
        <v>102</v>
      </c>
      <c r="B61" s="44">
        <v>-16.920000000000002</v>
      </c>
      <c r="C61" s="44">
        <v>-22.24</v>
      </c>
      <c r="D61" s="44"/>
      <c r="E61" s="44"/>
      <c r="F61" s="44"/>
      <c r="G61" s="44"/>
      <c r="H61" s="44">
        <v>-21.4</v>
      </c>
      <c r="I61" s="44"/>
      <c r="J61" s="44">
        <f>-5.71</f>
        <v>-5.71</v>
      </c>
      <c r="K61" s="44">
        <v>-7.4</v>
      </c>
      <c r="L61" s="42"/>
      <c r="M61" s="42">
        <v>-0.41</v>
      </c>
      <c r="N61" s="42">
        <f t="shared" si="3"/>
        <v>-74.08</v>
      </c>
    </row>
    <row r="62" spans="1:14" x14ac:dyDescent="0.3">
      <c r="A62" s="39" t="s">
        <v>103</v>
      </c>
      <c r="B62" s="44">
        <v>631.52</v>
      </c>
      <c r="C62" s="44">
        <v>631.52</v>
      </c>
      <c r="D62" s="44">
        <v>631.52</v>
      </c>
      <c r="E62" s="44">
        <v>631.52</v>
      </c>
      <c r="F62" s="44">
        <v>631.52</v>
      </c>
      <c r="G62" s="44">
        <v>631.52</v>
      </c>
      <c r="H62" s="44">
        <v>631.52</v>
      </c>
      <c r="I62" s="44">
        <v>631.52</v>
      </c>
      <c r="J62" s="44">
        <v>631.52</v>
      </c>
      <c r="K62" s="44">
        <f>631.52+29064+631.52</f>
        <v>30327.040000000001</v>
      </c>
      <c r="L62" s="44">
        <f>631.52</f>
        <v>631.52</v>
      </c>
      <c r="M62" s="44">
        <v>631.52</v>
      </c>
      <c r="N62" s="44">
        <f t="shared" si="3"/>
        <v>37273.759999999995</v>
      </c>
    </row>
    <row r="63" spans="1:14" x14ac:dyDescent="0.3">
      <c r="A63" s="39" t="s">
        <v>112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2"/>
      <c r="N63" s="42">
        <f t="shared" si="3"/>
        <v>0</v>
      </c>
    </row>
    <row r="64" spans="1:14" x14ac:dyDescent="0.3">
      <c r="A64" s="39" t="s">
        <v>113</v>
      </c>
      <c r="B64" s="44">
        <v>40731</v>
      </c>
      <c r="C64" s="44">
        <v>31173</v>
      </c>
      <c r="D64" s="44">
        <v>31233</v>
      </c>
      <c r="E64" s="44">
        <v>23890</v>
      </c>
      <c r="F64" s="44">
        <v>25830</v>
      </c>
      <c r="G64" s="44">
        <v>26099</v>
      </c>
      <c r="H64" s="44">
        <v>29589</v>
      </c>
      <c r="I64" s="44">
        <v>29429</v>
      </c>
      <c r="J64" s="44">
        <v>27248</v>
      </c>
      <c r="K64" s="44">
        <v>25809</v>
      </c>
      <c r="L64" s="44">
        <v>30642</v>
      </c>
      <c r="M64" s="44">
        <v>35504</v>
      </c>
      <c r="N64" s="44">
        <f t="shared" si="3"/>
        <v>357177</v>
      </c>
    </row>
    <row r="65" spans="1:14" x14ac:dyDescent="0.3">
      <c r="A65" s="39" t="s">
        <v>104</v>
      </c>
      <c r="B65" s="44">
        <v>3506</v>
      </c>
      <c r="C65" s="44">
        <v>3753</v>
      </c>
      <c r="D65" s="44">
        <v>3497</v>
      </c>
      <c r="E65" s="44">
        <v>3501</v>
      </c>
      <c r="F65" s="44">
        <v>3506</v>
      </c>
      <c r="G65" s="44">
        <v>3503</v>
      </c>
      <c r="H65" s="44">
        <v>3498</v>
      </c>
      <c r="I65" s="44">
        <v>3528</v>
      </c>
      <c r="J65" s="44">
        <v>3496</v>
      </c>
      <c r="K65" s="44">
        <v>3508</v>
      </c>
      <c r="L65" s="43">
        <v>3523</v>
      </c>
      <c r="M65" s="44">
        <v>3526</v>
      </c>
      <c r="N65" s="44">
        <f t="shared" si="3"/>
        <v>42345</v>
      </c>
    </row>
    <row r="66" spans="1:14" x14ac:dyDescent="0.3">
      <c r="A66" s="39" t="s">
        <v>105</v>
      </c>
      <c r="B66" s="44">
        <v>220</v>
      </c>
      <c r="C66" s="44">
        <v>202</v>
      </c>
      <c r="D66" s="44">
        <v>206</v>
      </c>
      <c r="E66" s="44">
        <v>188</v>
      </c>
      <c r="F66" s="44">
        <v>194</v>
      </c>
      <c r="G66" s="44">
        <v>205</v>
      </c>
      <c r="H66" s="44">
        <v>222</v>
      </c>
      <c r="I66" s="44">
        <v>200</v>
      </c>
      <c r="J66" s="44">
        <v>211</v>
      </c>
      <c r="K66" s="44">
        <v>194</v>
      </c>
      <c r="L66" s="43">
        <v>218</v>
      </c>
      <c r="M66" s="44">
        <v>219</v>
      </c>
      <c r="N66" s="44">
        <f t="shared" si="3"/>
        <v>2479</v>
      </c>
    </row>
    <row r="67" spans="1:14" x14ac:dyDescent="0.3">
      <c r="A67" s="39" t="s">
        <v>106</v>
      </c>
      <c r="B67" s="44">
        <v>-12869</v>
      </c>
      <c r="C67" s="44">
        <v>-19373</v>
      </c>
      <c r="D67" s="44">
        <v>8970</v>
      </c>
      <c r="E67" s="44">
        <v>8369</v>
      </c>
      <c r="F67" s="44">
        <v>9607</v>
      </c>
      <c r="G67" s="44">
        <v>-9972</v>
      </c>
      <c r="H67" s="44">
        <v>-10925</v>
      </c>
      <c r="I67" s="44">
        <v>-13106</v>
      </c>
      <c r="J67" s="44">
        <v>-3904</v>
      </c>
      <c r="K67" s="44">
        <v>4691</v>
      </c>
      <c r="L67" s="44">
        <v>-8517</v>
      </c>
      <c r="M67" s="44">
        <v>17724</v>
      </c>
      <c r="N67" s="44">
        <f t="shared" si="3"/>
        <v>-29305</v>
      </c>
    </row>
    <row r="68" spans="1:14" x14ac:dyDescent="0.3">
      <c r="A68" s="35"/>
      <c r="B68" s="36"/>
      <c r="C68" s="36"/>
      <c r="D68" s="36"/>
      <c r="E68" s="36"/>
      <c r="F68" s="36"/>
      <c r="G68" s="36"/>
      <c r="H68" s="36"/>
      <c r="I68" s="36"/>
      <c r="J68" s="45"/>
      <c r="K68" s="45"/>
      <c r="L68" s="36"/>
      <c r="M68" s="36"/>
      <c r="N68" s="36"/>
    </row>
    <row r="69" spans="1:14" x14ac:dyDescent="0.3">
      <c r="A69" s="39"/>
      <c r="B69" s="40" t="s">
        <v>76</v>
      </c>
      <c r="C69" s="41" t="s">
        <v>77</v>
      </c>
      <c r="D69" s="40" t="s">
        <v>78</v>
      </c>
      <c r="E69" s="40" t="s">
        <v>79</v>
      </c>
      <c r="F69" s="40" t="s">
        <v>80</v>
      </c>
      <c r="G69" s="40" t="s">
        <v>81</v>
      </c>
      <c r="H69" s="40" t="s">
        <v>82</v>
      </c>
      <c r="I69" s="40" t="s">
        <v>83</v>
      </c>
      <c r="J69" s="41" t="s">
        <v>84</v>
      </c>
      <c r="K69" s="41" t="s">
        <v>85</v>
      </c>
      <c r="L69" s="40" t="s">
        <v>86</v>
      </c>
      <c r="M69" s="40" t="s">
        <v>87</v>
      </c>
      <c r="N69" s="40">
        <v>2019</v>
      </c>
    </row>
    <row r="70" spans="1:14" ht="15.6" x14ac:dyDescent="0.3">
      <c r="A70" s="46" t="s">
        <v>114</v>
      </c>
      <c r="B70" s="42"/>
      <c r="C70" s="42"/>
      <c r="D70" s="42"/>
      <c r="E70" s="42"/>
      <c r="F70" s="42"/>
      <c r="G70" s="42"/>
      <c r="H70" s="42"/>
      <c r="I70" s="42"/>
      <c r="J70" s="44"/>
      <c r="K70" s="44"/>
      <c r="L70" s="42"/>
      <c r="M70" s="42"/>
      <c r="N70" s="42">
        <f t="shared" si="3"/>
        <v>0</v>
      </c>
    </row>
    <row r="71" spans="1:14" x14ac:dyDescent="0.3">
      <c r="A71" s="39" t="s">
        <v>89</v>
      </c>
      <c r="B71" s="43">
        <v>10280</v>
      </c>
      <c r="C71" s="43">
        <v>7099</v>
      </c>
      <c r="D71" s="43">
        <v>6512</v>
      </c>
      <c r="E71" s="43">
        <v>1203</v>
      </c>
      <c r="F71" s="43">
        <v>410</v>
      </c>
      <c r="G71" s="43">
        <v>155</v>
      </c>
      <c r="H71" s="43">
        <v>424</v>
      </c>
      <c r="I71" s="43">
        <v>278</v>
      </c>
      <c r="J71" s="44">
        <v>237</v>
      </c>
      <c r="K71" s="44">
        <v>247</v>
      </c>
      <c r="L71" s="43">
        <v>4183</v>
      </c>
      <c r="M71" s="43">
        <v>6179</v>
      </c>
      <c r="N71" s="43">
        <f t="shared" si="3"/>
        <v>37207</v>
      </c>
    </row>
    <row r="72" spans="1:14" x14ac:dyDescent="0.3">
      <c r="A72" s="39" t="s">
        <v>90</v>
      </c>
      <c r="B72" s="42"/>
      <c r="C72" s="42"/>
      <c r="D72" s="42"/>
      <c r="E72" s="42"/>
      <c r="F72" s="42"/>
      <c r="G72" s="42"/>
      <c r="H72" s="42"/>
      <c r="I72" s="42"/>
      <c r="J72" s="44"/>
      <c r="K72" s="44"/>
      <c r="L72" s="42"/>
      <c r="M72" s="42"/>
      <c r="N72" s="42">
        <f t="shared" si="3"/>
        <v>0</v>
      </c>
    </row>
    <row r="73" spans="1:14" x14ac:dyDescent="0.3">
      <c r="A73" s="39" t="s">
        <v>108</v>
      </c>
      <c r="B73" s="42"/>
      <c r="C73" s="42"/>
      <c r="D73" s="42"/>
      <c r="E73" s="42"/>
      <c r="F73" s="42"/>
      <c r="G73" s="42"/>
      <c r="H73" s="42"/>
      <c r="I73" s="42"/>
      <c r="J73" s="44"/>
      <c r="K73" s="44"/>
      <c r="L73" s="42"/>
      <c r="M73" s="42"/>
      <c r="N73" s="42">
        <f t="shared" si="3"/>
        <v>0</v>
      </c>
    </row>
    <row r="74" spans="1:14" x14ac:dyDescent="0.3">
      <c r="A74" s="39" t="s">
        <v>109</v>
      </c>
      <c r="B74" s="42"/>
      <c r="C74" s="42"/>
      <c r="D74" s="42"/>
      <c r="E74" s="42"/>
      <c r="F74" s="42"/>
      <c r="G74" s="42"/>
      <c r="H74" s="42"/>
      <c r="I74" s="42"/>
      <c r="J74" s="44"/>
      <c r="K74" s="44"/>
      <c r="L74" s="42"/>
      <c r="M74" s="42"/>
      <c r="N74" s="42">
        <f t="shared" si="3"/>
        <v>0</v>
      </c>
    </row>
    <row r="75" spans="1:14" x14ac:dyDescent="0.3">
      <c r="A75" s="39" t="s">
        <v>93</v>
      </c>
      <c r="B75" s="42">
        <v>572.36</v>
      </c>
      <c r="C75" s="42">
        <v>391.55</v>
      </c>
      <c r="D75" s="42">
        <v>356.26</v>
      </c>
      <c r="E75" s="42">
        <v>67.09</v>
      </c>
      <c r="F75" s="42">
        <v>22.74</v>
      </c>
      <c r="G75" s="42">
        <v>8.81</v>
      </c>
      <c r="H75" s="42">
        <v>23.86</v>
      </c>
      <c r="I75" s="42">
        <v>15.73</v>
      </c>
      <c r="J75" s="44">
        <v>13.19</v>
      </c>
      <c r="K75" s="44">
        <v>13.78</v>
      </c>
      <c r="L75" s="42">
        <v>233.98</v>
      </c>
      <c r="M75" s="42">
        <v>349.08</v>
      </c>
      <c r="N75" s="42">
        <f t="shared" si="3"/>
        <v>2068.4299999999998</v>
      </c>
    </row>
    <row r="76" spans="1:14" x14ac:dyDescent="0.3">
      <c r="A76" s="39" t="s">
        <v>94</v>
      </c>
      <c r="B76" s="42"/>
      <c r="C76" s="42"/>
      <c r="D76" s="42"/>
      <c r="E76" s="42"/>
      <c r="F76" s="42"/>
      <c r="G76" s="42"/>
      <c r="H76" s="42"/>
      <c r="I76" s="42"/>
      <c r="J76" s="44"/>
      <c r="K76" s="44"/>
      <c r="L76" s="42"/>
      <c r="M76" s="42"/>
      <c r="N76" s="42">
        <f t="shared" ref="N76:N142" si="4">SUM(B76:M76)</f>
        <v>0</v>
      </c>
    </row>
    <row r="77" spans="1:14" x14ac:dyDescent="0.3">
      <c r="A77" s="39" t="s">
        <v>97</v>
      </c>
      <c r="B77" s="42">
        <v>-25.8</v>
      </c>
      <c r="C77" s="42">
        <v>14.85</v>
      </c>
      <c r="D77" s="42">
        <v>-27.09</v>
      </c>
      <c r="E77" s="42">
        <v>-2.39</v>
      </c>
      <c r="F77" s="42">
        <v>-2.58</v>
      </c>
      <c r="G77" s="42">
        <v>-0.35</v>
      </c>
      <c r="H77" s="42">
        <v>-2.64</v>
      </c>
      <c r="I77" s="42">
        <v>-0.84</v>
      </c>
      <c r="J77" s="44">
        <v>-0.96</v>
      </c>
      <c r="K77" s="44">
        <v>-1.17</v>
      </c>
      <c r="L77" s="42">
        <v>-29.11</v>
      </c>
      <c r="M77" s="42">
        <v>-45.18</v>
      </c>
      <c r="N77" s="42">
        <f t="shared" si="4"/>
        <v>-123.26000000000002</v>
      </c>
    </row>
    <row r="78" spans="1:14" x14ac:dyDescent="0.3">
      <c r="A78" s="39" t="s">
        <v>98</v>
      </c>
      <c r="B78" s="42"/>
      <c r="C78" s="42"/>
      <c r="D78" s="42"/>
      <c r="E78" s="42"/>
      <c r="F78" s="42"/>
      <c r="G78" s="42"/>
      <c r="H78" s="42"/>
      <c r="I78" s="42"/>
      <c r="J78" s="44"/>
      <c r="K78" s="44"/>
      <c r="L78" s="42"/>
      <c r="M78" s="42"/>
      <c r="N78" s="42">
        <f t="shared" si="4"/>
        <v>0</v>
      </c>
    </row>
    <row r="79" spans="1:14" x14ac:dyDescent="0.3">
      <c r="A79" s="39" t="s">
        <v>99</v>
      </c>
      <c r="B79" s="42"/>
      <c r="C79" s="42"/>
      <c r="D79" s="42"/>
      <c r="E79" s="42"/>
      <c r="F79" s="42"/>
      <c r="G79" s="42"/>
      <c r="H79" s="42"/>
      <c r="I79" s="42"/>
      <c r="J79" s="44"/>
      <c r="K79" s="44"/>
      <c r="L79" s="42"/>
      <c r="M79" s="42"/>
      <c r="N79" s="42">
        <f t="shared" si="4"/>
        <v>0</v>
      </c>
    </row>
    <row r="80" spans="1:14" x14ac:dyDescent="0.3">
      <c r="A80" s="39" t="s">
        <v>100</v>
      </c>
      <c r="B80" s="42"/>
      <c r="C80" s="42"/>
      <c r="D80" s="42"/>
      <c r="E80" s="42"/>
      <c r="F80" s="42"/>
      <c r="G80" s="42"/>
      <c r="H80" s="42"/>
      <c r="I80" s="42"/>
      <c r="J80" s="44"/>
      <c r="K80" s="44"/>
      <c r="L80" s="42"/>
      <c r="M80" s="42"/>
      <c r="N80" s="42">
        <f t="shared" si="4"/>
        <v>0</v>
      </c>
    </row>
    <row r="81" spans="1:19" x14ac:dyDescent="0.3">
      <c r="A81" s="39" t="s">
        <v>101</v>
      </c>
      <c r="B81" s="42">
        <v>44.9</v>
      </c>
      <c r="C81" s="42">
        <v>27.29</v>
      </c>
      <c r="D81" s="42">
        <v>22.14</v>
      </c>
      <c r="E81" s="42">
        <v>5.37</v>
      </c>
      <c r="F81" s="42">
        <v>1.71</v>
      </c>
      <c r="G81" s="42">
        <v>0.86</v>
      </c>
      <c r="H81" s="42">
        <v>2.11</v>
      </c>
      <c r="I81" s="42">
        <v>1.47</v>
      </c>
      <c r="J81" s="44">
        <v>1.03</v>
      </c>
      <c r="K81" s="44">
        <v>1.1100000000000001</v>
      </c>
      <c r="L81" s="42">
        <v>19.350000000000001</v>
      </c>
      <c r="M81" s="42">
        <v>32.03</v>
      </c>
      <c r="N81" s="42">
        <f t="shared" si="4"/>
        <v>159.37</v>
      </c>
    </row>
    <row r="82" spans="1:19" x14ac:dyDescent="0.3">
      <c r="A82" s="39" t="s">
        <v>102</v>
      </c>
      <c r="B82" s="42"/>
      <c r="C82" s="42"/>
      <c r="D82" s="42"/>
      <c r="E82" s="42"/>
      <c r="F82" s="42"/>
      <c r="G82" s="42"/>
      <c r="H82" s="42"/>
      <c r="I82" s="42"/>
      <c r="J82" s="44"/>
      <c r="K82" s="44"/>
      <c r="L82" s="42"/>
      <c r="M82" s="42"/>
      <c r="N82" s="42">
        <f t="shared" si="4"/>
        <v>0</v>
      </c>
    </row>
    <row r="83" spans="1:19" x14ac:dyDescent="0.3">
      <c r="A83" s="39" t="s">
        <v>103</v>
      </c>
      <c r="B83" s="42"/>
      <c r="C83" s="42"/>
      <c r="D83" s="42"/>
      <c r="E83" s="42"/>
      <c r="F83" s="42"/>
      <c r="G83" s="42"/>
      <c r="H83" s="42"/>
      <c r="I83" s="42"/>
      <c r="J83" s="44"/>
      <c r="K83" s="44"/>
      <c r="L83" s="42"/>
      <c r="M83" s="42"/>
      <c r="N83" s="42">
        <f t="shared" si="4"/>
        <v>0</v>
      </c>
    </row>
    <row r="84" spans="1:19" x14ac:dyDescent="0.3">
      <c r="A84" s="39" t="s">
        <v>104</v>
      </c>
      <c r="B84" s="42">
        <v>6</v>
      </c>
      <c r="C84" s="42">
        <v>6</v>
      </c>
      <c r="D84" s="42">
        <v>6</v>
      </c>
      <c r="E84" s="42">
        <v>4</v>
      </c>
      <c r="F84" s="42">
        <v>4</v>
      </c>
      <c r="G84" s="42">
        <v>2</v>
      </c>
      <c r="H84" s="42">
        <v>2</v>
      </c>
      <c r="I84" s="42">
        <v>2</v>
      </c>
      <c r="J84" s="44">
        <v>2</v>
      </c>
      <c r="K84" s="44">
        <v>3</v>
      </c>
      <c r="L84" s="42">
        <v>5</v>
      </c>
      <c r="M84" s="42">
        <v>6</v>
      </c>
      <c r="N84" s="42">
        <f t="shared" si="4"/>
        <v>48</v>
      </c>
    </row>
    <row r="85" spans="1:19" x14ac:dyDescent="0.3">
      <c r="A85" s="39" t="s">
        <v>105</v>
      </c>
      <c r="B85" s="42">
        <v>0</v>
      </c>
      <c r="C85" s="42">
        <v>0</v>
      </c>
      <c r="D85" s="42"/>
      <c r="E85" s="42"/>
      <c r="F85" s="42"/>
      <c r="G85" s="42"/>
      <c r="H85" s="42"/>
      <c r="I85" s="42"/>
      <c r="J85" s="44"/>
      <c r="K85" s="44"/>
      <c r="L85" s="42"/>
      <c r="M85" s="42"/>
      <c r="N85" s="42">
        <f t="shared" si="4"/>
        <v>0</v>
      </c>
    </row>
    <row r="86" spans="1:19" x14ac:dyDescent="0.3">
      <c r="A86" s="39" t="s">
        <v>106</v>
      </c>
      <c r="B86" s="44">
        <v>-9</v>
      </c>
      <c r="C86" s="44">
        <v>-9</v>
      </c>
      <c r="D86" s="44">
        <v>4</v>
      </c>
      <c r="E86" s="44">
        <v>4</v>
      </c>
      <c r="F86" s="44">
        <v>5</v>
      </c>
      <c r="G86" s="44">
        <v>-5</v>
      </c>
      <c r="H86" s="44">
        <v>-6</v>
      </c>
      <c r="I86" s="44">
        <v>-6</v>
      </c>
      <c r="J86" s="44">
        <v>-2</v>
      </c>
      <c r="K86" s="44">
        <v>2</v>
      </c>
      <c r="L86" s="44">
        <v>-4</v>
      </c>
      <c r="M86" s="44">
        <v>9</v>
      </c>
      <c r="N86" s="44">
        <f t="shared" ref="N86" si="5">SUM(B86:M86)</f>
        <v>-17</v>
      </c>
    </row>
    <row r="87" spans="1:19" x14ac:dyDescent="0.3">
      <c r="A87" s="35"/>
      <c r="B87" s="36"/>
      <c r="C87" s="36"/>
      <c r="D87" s="36"/>
      <c r="E87" s="36"/>
      <c r="F87" s="36"/>
      <c r="G87" s="36"/>
      <c r="H87" s="36"/>
      <c r="I87" s="36"/>
      <c r="J87" s="45"/>
      <c r="K87" s="45"/>
      <c r="L87" s="36"/>
      <c r="M87" s="36"/>
      <c r="N87" s="36"/>
    </row>
    <row r="88" spans="1:19" x14ac:dyDescent="0.3">
      <c r="A88" s="39"/>
      <c r="B88" s="40" t="s">
        <v>76</v>
      </c>
      <c r="C88" s="41" t="s">
        <v>77</v>
      </c>
      <c r="D88" s="40" t="s">
        <v>78</v>
      </c>
      <c r="E88" s="40" t="s">
        <v>79</v>
      </c>
      <c r="F88" s="40" t="s">
        <v>80</v>
      </c>
      <c r="G88" s="40" t="s">
        <v>81</v>
      </c>
      <c r="H88" s="40" t="s">
        <v>82</v>
      </c>
      <c r="I88" s="40" t="s">
        <v>83</v>
      </c>
      <c r="J88" s="41" t="s">
        <v>84</v>
      </c>
      <c r="K88" s="41" t="s">
        <v>85</v>
      </c>
      <c r="L88" s="40" t="s">
        <v>86</v>
      </c>
      <c r="M88" s="40" t="s">
        <v>87</v>
      </c>
      <c r="N88" s="40">
        <v>2019</v>
      </c>
    </row>
    <row r="89" spans="1:19" ht="15.6" x14ac:dyDescent="0.3">
      <c r="A89" s="46" t="s">
        <v>115</v>
      </c>
      <c r="B89" s="42"/>
      <c r="C89" s="42"/>
      <c r="D89" s="42"/>
      <c r="E89" s="42"/>
      <c r="F89" s="42"/>
      <c r="G89" s="42"/>
      <c r="H89" s="42"/>
      <c r="I89" s="42"/>
      <c r="J89" s="44"/>
      <c r="K89" s="44"/>
      <c r="L89" s="42"/>
      <c r="M89" s="42"/>
      <c r="N89" s="42">
        <f t="shared" si="4"/>
        <v>0</v>
      </c>
    </row>
    <row r="90" spans="1:19" x14ac:dyDescent="0.3">
      <c r="A90" s="39" t="s">
        <v>89</v>
      </c>
      <c r="B90" s="43">
        <f>6386398+58320</f>
        <v>6444718</v>
      </c>
      <c r="C90" s="43">
        <f>5521609+49360</f>
        <v>5570969</v>
      </c>
      <c r="D90" s="43">
        <f>5896334+51200</f>
        <v>5947534</v>
      </c>
      <c r="E90" s="43">
        <f>5591348+40160</f>
        <v>5631508</v>
      </c>
      <c r="F90" s="43">
        <f>43440+6299708</f>
        <v>6343148</v>
      </c>
      <c r="G90" s="43">
        <f>6298910+42800</f>
        <v>6341710</v>
      </c>
      <c r="H90" s="43">
        <f>6832986+49280</f>
        <v>6882266</v>
      </c>
      <c r="I90" s="43">
        <f>6804758+50560</f>
        <v>6855318</v>
      </c>
      <c r="J90" s="43">
        <f>47440+6355221</f>
        <v>6402661</v>
      </c>
      <c r="K90" s="43">
        <f>5913504+44800</f>
        <v>5958304</v>
      </c>
      <c r="L90" s="43">
        <f>5669859+50160</f>
        <v>5720019</v>
      </c>
      <c r="M90" s="43">
        <f>5782818+57040</f>
        <v>5839858</v>
      </c>
      <c r="N90" s="43">
        <f t="shared" si="4"/>
        <v>73938013</v>
      </c>
      <c r="Q90" s="53"/>
    </row>
    <row r="91" spans="1:19" x14ac:dyDescent="0.3">
      <c r="A91" s="39" t="s">
        <v>90</v>
      </c>
      <c r="B91" s="42"/>
      <c r="C91" s="42"/>
      <c r="D91" s="42"/>
      <c r="E91" s="42"/>
      <c r="F91" s="42"/>
      <c r="G91" s="42"/>
      <c r="H91" s="42"/>
      <c r="I91" s="42"/>
      <c r="J91" s="43"/>
      <c r="K91" s="44"/>
      <c r="L91" s="42"/>
      <c r="M91" s="42"/>
      <c r="N91" s="42">
        <f t="shared" si="4"/>
        <v>0</v>
      </c>
      <c r="Q91" s="53"/>
    </row>
    <row r="92" spans="1:19" x14ac:dyDescent="0.3">
      <c r="A92" s="39" t="s">
        <v>108</v>
      </c>
      <c r="B92" s="43">
        <v>24494</v>
      </c>
      <c r="C92" s="43">
        <v>23548</v>
      </c>
      <c r="D92" s="43">
        <v>23548</v>
      </c>
      <c r="E92" s="43">
        <v>23548</v>
      </c>
      <c r="F92" s="43">
        <v>23548</v>
      </c>
      <c r="G92" s="43">
        <v>24793</v>
      </c>
      <c r="H92" s="43">
        <v>24830</v>
      </c>
      <c r="I92" s="43">
        <v>24617</v>
      </c>
      <c r="J92" s="43">
        <v>23634</v>
      </c>
      <c r="K92" s="43">
        <v>23634</v>
      </c>
      <c r="L92" s="43">
        <v>23634</v>
      </c>
      <c r="M92" s="43">
        <v>24060</v>
      </c>
      <c r="N92" s="43">
        <f t="shared" si="4"/>
        <v>287888</v>
      </c>
      <c r="Q92" s="53"/>
    </row>
    <row r="93" spans="1:19" x14ac:dyDescent="0.3">
      <c r="A93" s="39" t="s">
        <v>111</v>
      </c>
      <c r="B93" s="42"/>
      <c r="C93" s="42"/>
      <c r="D93" s="42"/>
      <c r="E93" s="42"/>
      <c r="F93" s="42"/>
      <c r="G93" s="42"/>
      <c r="H93" s="42"/>
      <c r="I93" s="42"/>
      <c r="J93" s="44"/>
      <c r="K93" s="44"/>
      <c r="L93" s="42"/>
      <c r="M93" s="42"/>
      <c r="N93" s="42">
        <f t="shared" si="4"/>
        <v>0</v>
      </c>
      <c r="Q93" s="53"/>
    </row>
    <row r="94" spans="1:19" x14ac:dyDescent="0.3">
      <c r="A94" s="39" t="s">
        <v>93</v>
      </c>
      <c r="B94" s="44">
        <v>451972.6</v>
      </c>
      <c r="C94" s="44">
        <v>386010.14</v>
      </c>
      <c r="D94" s="44">
        <v>408409.12</v>
      </c>
      <c r="E94" s="44">
        <v>397151.91</v>
      </c>
      <c r="F94" s="44">
        <v>445083.25</v>
      </c>
      <c r="G94" s="44">
        <v>458632.83</v>
      </c>
      <c r="H94" s="44">
        <v>492259.66</v>
      </c>
      <c r="I94" s="44">
        <v>491667.65</v>
      </c>
      <c r="J94" s="44">
        <f>450570.32</f>
        <v>450570.32</v>
      </c>
      <c r="K94" s="44">
        <v>422102.75</v>
      </c>
      <c r="L94" s="44">
        <v>408525.12</v>
      </c>
      <c r="M94" s="44">
        <v>420250.84</v>
      </c>
      <c r="N94" s="44">
        <f t="shared" si="4"/>
        <v>5232636.1899999995</v>
      </c>
      <c r="P94">
        <v>6.3210000000000002E-2</v>
      </c>
      <c r="Q94" s="56">
        <f>N94/P94</f>
        <v>82781778.04144913</v>
      </c>
      <c r="R94" s="53">
        <f>N90+N92</f>
        <v>74225901</v>
      </c>
      <c r="S94" s="56">
        <f>R94-Q94</f>
        <v>-8555877.0414491296</v>
      </c>
    </row>
    <row r="95" spans="1:19" x14ac:dyDescent="0.3">
      <c r="A95" s="39" t="s">
        <v>94</v>
      </c>
      <c r="B95" s="42">
        <v>-879.73</v>
      </c>
      <c r="C95" s="44"/>
      <c r="D95" s="42">
        <v>1024</v>
      </c>
      <c r="E95" s="42"/>
      <c r="F95" s="42">
        <v>129.6</v>
      </c>
      <c r="G95" s="44"/>
      <c r="H95" s="42"/>
      <c r="I95" s="42"/>
      <c r="J95" s="44"/>
      <c r="K95" s="44"/>
      <c r="L95" s="42"/>
      <c r="M95" s="42"/>
      <c r="N95" s="42">
        <f t="shared" si="4"/>
        <v>273.87</v>
      </c>
    </row>
    <row r="96" spans="1:19" x14ac:dyDescent="0.3">
      <c r="A96" s="39" t="s">
        <v>95</v>
      </c>
      <c r="B96" s="44">
        <v>8933.5499999999993</v>
      </c>
      <c r="C96" s="44">
        <v>8827.25</v>
      </c>
      <c r="D96" s="44">
        <v>8823.4500000000007</v>
      </c>
      <c r="E96" s="44">
        <v>8785.49</v>
      </c>
      <c r="F96" s="44">
        <v>8842.44</v>
      </c>
      <c r="G96" s="44">
        <v>8912.68</v>
      </c>
      <c r="H96" s="44">
        <v>8986.7099999999991</v>
      </c>
      <c r="I96" s="44">
        <v>8981.02</v>
      </c>
      <c r="J96" s="44">
        <f>8884.2</f>
        <v>8884.2000000000007</v>
      </c>
      <c r="K96" s="44">
        <v>8933.56</v>
      </c>
      <c r="L96" s="44">
        <v>8918.3799999999992</v>
      </c>
      <c r="M96" s="44">
        <v>8855.7199999999993</v>
      </c>
      <c r="N96" s="44">
        <f t="shared" si="4"/>
        <v>106684.45</v>
      </c>
      <c r="P96" s="69">
        <v>56.95</v>
      </c>
      <c r="Q96">
        <f>N96/P96</f>
        <v>1873.3002633889375</v>
      </c>
      <c r="R96">
        <v>1878</v>
      </c>
    </row>
    <row r="97" spans="1:18" x14ac:dyDescent="0.3">
      <c r="A97" s="39" t="s">
        <v>96</v>
      </c>
      <c r="B97" s="42"/>
      <c r="C97" s="44"/>
      <c r="D97" s="42"/>
      <c r="E97" s="42"/>
      <c r="F97" s="42"/>
      <c r="G97" s="44"/>
      <c r="H97" s="42"/>
      <c r="I97" s="42"/>
      <c r="J97" s="44"/>
      <c r="K97" s="44"/>
      <c r="L97" s="42"/>
      <c r="M97" s="42"/>
      <c r="N97" s="42">
        <f t="shared" si="4"/>
        <v>0</v>
      </c>
    </row>
    <row r="98" spans="1:18" x14ac:dyDescent="0.3">
      <c r="A98" s="39" t="s">
        <v>116</v>
      </c>
      <c r="B98" s="44">
        <v>-16091.48</v>
      </c>
      <c r="C98" s="44">
        <v>11589.55</v>
      </c>
      <c r="D98" s="44">
        <v>-24588.53</v>
      </c>
      <c r="E98" s="44">
        <v>-11173.87</v>
      </c>
      <c r="F98" s="44">
        <v>-39577.760000000002</v>
      </c>
      <c r="G98" s="44">
        <v>-14354.65</v>
      </c>
      <c r="H98" s="44">
        <v>-42656.06</v>
      </c>
      <c r="I98" s="44">
        <v>-20873.599999999999</v>
      </c>
      <c r="J98" s="44">
        <v>-26025.9</v>
      </c>
      <c r="K98" s="44">
        <v>-28201.59</v>
      </c>
      <c r="L98" s="44">
        <v>-39618.86</v>
      </c>
      <c r="M98" s="44">
        <v>-42444.62</v>
      </c>
      <c r="N98" s="44">
        <f t="shared" si="4"/>
        <v>-294017.37</v>
      </c>
    </row>
    <row r="99" spans="1:18" x14ac:dyDescent="0.3">
      <c r="A99" s="39" t="s">
        <v>98</v>
      </c>
      <c r="B99" s="42"/>
      <c r="C99" s="44"/>
      <c r="D99" s="42"/>
      <c r="E99" s="42"/>
      <c r="F99" s="42"/>
      <c r="G99" s="44"/>
      <c r="H99" s="44"/>
      <c r="I99" s="42"/>
      <c r="J99" s="44"/>
      <c r="K99" s="44"/>
      <c r="L99" s="42"/>
      <c r="M99" s="42"/>
      <c r="N99" s="42">
        <f t="shared" si="4"/>
        <v>0</v>
      </c>
    </row>
    <row r="100" spans="1:18" x14ac:dyDescent="0.3">
      <c r="A100" s="39" t="s">
        <v>99</v>
      </c>
      <c r="B100" s="44">
        <v>9675.41</v>
      </c>
      <c r="C100" s="44">
        <v>2850.83</v>
      </c>
      <c r="D100" s="44">
        <v>2850.83</v>
      </c>
      <c r="E100" s="44">
        <v>2850.83</v>
      </c>
      <c r="F100" s="44">
        <v>2850.83</v>
      </c>
      <c r="G100" s="44">
        <v>3047.09</v>
      </c>
      <c r="H100" s="44">
        <v>3051.22</v>
      </c>
      <c r="I100" s="44">
        <v>3015.36</v>
      </c>
      <c r="J100" s="44">
        <v>2865.78</v>
      </c>
      <c r="K100" s="44">
        <v>2865.78</v>
      </c>
      <c r="L100" s="44">
        <v>2865.78</v>
      </c>
      <c r="M100" s="44">
        <v>2937.55</v>
      </c>
      <c r="N100" s="44">
        <f t="shared" si="4"/>
        <v>41727.290000000008</v>
      </c>
    </row>
    <row r="101" spans="1:18" x14ac:dyDescent="0.3">
      <c r="A101" s="39" t="s">
        <v>100</v>
      </c>
      <c r="B101" s="44"/>
      <c r="C101" s="44"/>
      <c r="D101" s="44"/>
      <c r="E101" s="44"/>
      <c r="F101" s="44"/>
      <c r="G101" s="42"/>
      <c r="H101" s="44"/>
      <c r="I101" s="42"/>
      <c r="J101" s="44"/>
      <c r="K101" s="44"/>
      <c r="L101" s="42"/>
      <c r="M101" s="42"/>
      <c r="N101" s="42">
        <f t="shared" si="4"/>
        <v>0</v>
      </c>
    </row>
    <row r="102" spans="1:18" x14ac:dyDescent="0.3">
      <c r="A102" s="39" t="s">
        <v>101</v>
      </c>
      <c r="B102" s="44">
        <f>46731.14+948.43</f>
        <v>47679.57</v>
      </c>
      <c r="C102" s="44">
        <f>34942.17+705.88</f>
        <v>35648.049999999996</v>
      </c>
      <c r="D102" s="44">
        <f>34669.55+460.32</f>
        <v>35129.870000000003</v>
      </c>
      <c r="E102" s="44">
        <f>42451.37+597.6</f>
        <v>43048.97</v>
      </c>
      <c r="F102" s="44">
        <f>45447.62+894</f>
        <v>46341.62</v>
      </c>
      <c r="G102" s="44">
        <f>58269.67+1208.91</f>
        <v>59478.58</v>
      </c>
      <c r="H102" s="44">
        <f>58109.11+1280.94</f>
        <v>59390.05</v>
      </c>
      <c r="I102" s="44">
        <v>60238.6</v>
      </c>
      <c r="J102" s="44">
        <f>46645.56+1137.2</f>
        <v>47782.759999999995</v>
      </c>
      <c r="K102" s="44">
        <f>46124.08+1141.34</f>
        <v>47265.42</v>
      </c>
      <c r="L102" s="44">
        <f>47971.22+1148.88</f>
        <v>49120.1</v>
      </c>
      <c r="M102" s="44">
        <f>52921.85+924.42</f>
        <v>53846.27</v>
      </c>
      <c r="N102" s="44">
        <f t="shared" si="4"/>
        <v>584969.86</v>
      </c>
    </row>
    <row r="103" spans="1:18" x14ac:dyDescent="0.3">
      <c r="A103" s="39" t="s">
        <v>102</v>
      </c>
      <c r="B103" s="44"/>
      <c r="C103" s="44"/>
      <c r="D103" s="44"/>
      <c r="E103" s="44"/>
      <c r="F103" s="44"/>
      <c r="G103" s="42"/>
      <c r="H103" s="44"/>
      <c r="I103" s="42"/>
      <c r="J103" s="44"/>
      <c r="K103" s="44"/>
      <c r="L103" s="42"/>
      <c r="M103" s="42"/>
      <c r="N103" s="42">
        <f t="shared" si="4"/>
        <v>0</v>
      </c>
    </row>
    <row r="104" spans="1:18" x14ac:dyDescent="0.3">
      <c r="A104" s="39" t="s">
        <v>117</v>
      </c>
      <c r="B104" s="44">
        <v>130014.27</v>
      </c>
      <c r="C104" s="44">
        <v>123851.04</v>
      </c>
      <c r="D104" s="44">
        <v>128395.31</v>
      </c>
      <c r="E104" s="44">
        <v>123776.75</v>
      </c>
      <c r="F104" s="44">
        <v>128399.65</v>
      </c>
      <c r="G104" s="44">
        <v>131577.74</v>
      </c>
      <c r="H104" s="44">
        <v>136127.04000000001</v>
      </c>
      <c r="I104" s="44">
        <v>133765.18</v>
      </c>
      <c r="J104" s="44">
        <v>130597.12</v>
      </c>
      <c r="K104" s="44">
        <v>133894.04</v>
      </c>
      <c r="L104" s="44">
        <v>141309.17000000001</v>
      </c>
      <c r="M104" s="44">
        <v>123253.52</v>
      </c>
      <c r="N104" s="70">
        <f t="shared" si="4"/>
        <v>1564960.83</v>
      </c>
      <c r="P104" s="69">
        <v>6.59</v>
      </c>
      <c r="Q104">
        <f>N104/P104</f>
        <v>237475.08801213963</v>
      </c>
      <c r="R104">
        <v>237475</v>
      </c>
    </row>
    <row r="105" spans="1:18" x14ac:dyDescent="0.3">
      <c r="A105" s="39" t="s">
        <v>118</v>
      </c>
      <c r="B105" s="44"/>
      <c r="C105" s="44"/>
      <c r="D105" s="44"/>
      <c r="E105" s="44"/>
      <c r="F105" s="44"/>
      <c r="G105" s="42"/>
      <c r="H105" s="44"/>
      <c r="I105" s="42"/>
      <c r="J105" s="44"/>
      <c r="K105" s="44"/>
      <c r="L105" s="42"/>
      <c r="M105" s="42"/>
      <c r="N105" s="42">
        <f t="shared" si="4"/>
        <v>0</v>
      </c>
    </row>
    <row r="106" spans="1:18" x14ac:dyDescent="0.3">
      <c r="A106" s="39" t="s">
        <v>103</v>
      </c>
      <c r="B106" s="44"/>
      <c r="C106" s="44"/>
      <c r="D106" s="44"/>
      <c r="E106" s="44"/>
      <c r="F106" s="44"/>
      <c r="G106" s="42"/>
      <c r="H106" s="44"/>
      <c r="I106" s="42"/>
      <c r="J106" s="44"/>
      <c r="K106" s="44"/>
      <c r="L106" s="42"/>
      <c r="M106" s="42"/>
      <c r="N106" s="42">
        <f t="shared" si="4"/>
        <v>0</v>
      </c>
    </row>
    <row r="107" spans="1:18" x14ac:dyDescent="0.3">
      <c r="A107" s="39" t="s">
        <v>112</v>
      </c>
      <c r="B107" s="44"/>
      <c r="C107" s="44"/>
      <c r="D107" s="44"/>
      <c r="E107" s="44"/>
      <c r="F107" s="44"/>
      <c r="G107" s="44"/>
      <c r="H107" s="44"/>
      <c r="I107" s="44"/>
      <c r="J107" s="44"/>
      <c r="K107" s="44"/>
      <c r="L107" s="44"/>
      <c r="M107" s="42"/>
      <c r="N107" s="42">
        <f t="shared" si="4"/>
        <v>0</v>
      </c>
    </row>
    <row r="108" spans="1:18" x14ac:dyDescent="0.3">
      <c r="A108" s="39" t="s">
        <v>113</v>
      </c>
      <c r="B108" s="44">
        <v>60359</v>
      </c>
      <c r="C108" s="44">
        <v>51399</v>
      </c>
      <c r="D108" s="44">
        <v>53239</v>
      </c>
      <c r="E108" s="44">
        <v>42199</v>
      </c>
      <c r="F108" s="44">
        <v>45479</v>
      </c>
      <c r="G108" s="44">
        <v>44839</v>
      </c>
      <c r="H108" s="44">
        <f>51319</f>
        <v>51319</v>
      </c>
      <c r="I108" s="44">
        <v>52599</v>
      </c>
      <c r="J108" s="44">
        <v>49479</v>
      </c>
      <c r="K108" s="44">
        <v>46839</v>
      </c>
      <c r="L108" s="44">
        <v>52199</v>
      </c>
      <c r="M108" s="44">
        <v>59079</v>
      </c>
      <c r="N108" s="44">
        <f t="shared" si="4"/>
        <v>609028</v>
      </c>
    </row>
    <row r="109" spans="1:18" x14ac:dyDescent="0.3">
      <c r="A109" s="39" t="s">
        <v>104</v>
      </c>
      <c r="B109" s="44">
        <v>158</v>
      </c>
      <c r="C109" s="44">
        <v>155</v>
      </c>
      <c r="D109" s="44">
        <v>155</v>
      </c>
      <c r="E109" s="44">
        <v>154</v>
      </c>
      <c r="F109" s="44">
        <v>157</v>
      </c>
      <c r="G109" s="44">
        <v>157</v>
      </c>
      <c r="H109" s="44">
        <v>158</v>
      </c>
      <c r="I109" s="44">
        <v>157</v>
      </c>
      <c r="J109" s="44">
        <v>156</v>
      </c>
      <c r="K109" s="44">
        <v>157</v>
      </c>
      <c r="L109" s="44">
        <v>157</v>
      </c>
      <c r="M109" s="44">
        <v>157</v>
      </c>
      <c r="N109" s="44">
        <f t="shared" si="4"/>
        <v>1878</v>
      </c>
    </row>
    <row r="110" spans="1:18" x14ac:dyDescent="0.3">
      <c r="A110" s="39" t="s">
        <v>119</v>
      </c>
      <c r="B110" s="44">
        <v>4</v>
      </c>
      <c r="C110" s="44">
        <v>3</v>
      </c>
      <c r="D110" s="44">
        <v>3</v>
      </c>
      <c r="E110" s="44">
        <v>3</v>
      </c>
      <c r="F110" s="44">
        <v>3</v>
      </c>
      <c r="G110" s="44">
        <v>3</v>
      </c>
      <c r="H110" s="44">
        <v>3</v>
      </c>
      <c r="I110" s="44">
        <v>3</v>
      </c>
      <c r="J110" s="44">
        <v>3</v>
      </c>
      <c r="K110" s="44">
        <v>3</v>
      </c>
      <c r="L110" s="44">
        <v>2</v>
      </c>
      <c r="M110" s="44">
        <v>2</v>
      </c>
      <c r="N110" s="44">
        <f t="shared" si="4"/>
        <v>35</v>
      </c>
    </row>
    <row r="111" spans="1:18" x14ac:dyDescent="0.3">
      <c r="A111" s="39" t="s">
        <v>106</v>
      </c>
      <c r="B111" s="44">
        <v>-13101</v>
      </c>
      <c r="C111" s="44">
        <v>-17058</v>
      </c>
      <c r="D111" s="44">
        <v>8017</v>
      </c>
      <c r="E111" s="44">
        <v>7479</v>
      </c>
      <c r="F111" s="44">
        <v>8585</v>
      </c>
      <c r="G111" s="44">
        <v>-8912</v>
      </c>
      <c r="H111" s="44">
        <v>-9764</v>
      </c>
      <c r="I111" s="44">
        <v>-11713</v>
      </c>
      <c r="J111" s="44">
        <v>-3488</v>
      </c>
      <c r="K111" s="44">
        <v>4193</v>
      </c>
      <c r="L111" s="44">
        <v>-7613</v>
      </c>
      <c r="M111" s="44">
        <v>15839</v>
      </c>
      <c r="N111" s="44">
        <f t="shared" ref="N111" si="6">SUM(B111:M111)</f>
        <v>-27536</v>
      </c>
    </row>
    <row r="112" spans="1:18" x14ac:dyDescent="0.3">
      <c r="A112" s="35"/>
      <c r="B112" s="36"/>
      <c r="C112" s="36"/>
      <c r="D112" s="36"/>
      <c r="E112" s="36"/>
      <c r="F112" s="36"/>
      <c r="G112" s="36"/>
      <c r="H112" s="36"/>
      <c r="I112" s="36"/>
      <c r="J112" s="45"/>
      <c r="K112" s="45"/>
      <c r="L112" s="36"/>
      <c r="M112" s="36"/>
      <c r="N112" s="36"/>
    </row>
    <row r="113" spans="1:14" x14ac:dyDescent="0.3">
      <c r="A113" s="39"/>
      <c r="B113" s="40" t="s">
        <v>76</v>
      </c>
      <c r="C113" s="41" t="s">
        <v>77</v>
      </c>
      <c r="D113" s="40" t="s">
        <v>78</v>
      </c>
      <c r="E113" s="40" t="s">
        <v>79</v>
      </c>
      <c r="F113" s="40" t="s">
        <v>80</v>
      </c>
      <c r="G113" s="40" t="s">
        <v>81</v>
      </c>
      <c r="H113" s="40" t="s">
        <v>82</v>
      </c>
      <c r="I113" s="40" t="s">
        <v>83</v>
      </c>
      <c r="J113" s="41" t="s">
        <v>84</v>
      </c>
      <c r="K113" s="41" t="s">
        <v>85</v>
      </c>
      <c r="L113" s="40" t="s">
        <v>86</v>
      </c>
      <c r="M113" s="40" t="s">
        <v>87</v>
      </c>
      <c r="N113" s="40">
        <v>2019</v>
      </c>
    </row>
    <row r="114" spans="1:14" ht="15.6" x14ac:dyDescent="0.3">
      <c r="A114" s="46" t="s">
        <v>120</v>
      </c>
      <c r="B114" s="42"/>
      <c r="C114" s="42"/>
      <c r="D114" s="42"/>
      <c r="E114" s="42"/>
      <c r="F114" s="42"/>
      <c r="G114" s="42"/>
      <c r="H114" s="42"/>
      <c r="I114" s="42"/>
      <c r="J114" s="44"/>
      <c r="K114" s="44"/>
      <c r="L114" s="42"/>
      <c r="M114" s="42"/>
      <c r="N114" s="42">
        <f t="shared" si="4"/>
        <v>0</v>
      </c>
    </row>
    <row r="115" spans="1:14" x14ac:dyDescent="0.3">
      <c r="A115" s="39" t="s">
        <v>89</v>
      </c>
      <c r="B115" s="43">
        <v>1251520</v>
      </c>
      <c r="C115" s="43">
        <v>1140320</v>
      </c>
      <c r="D115" s="43">
        <v>1309600</v>
      </c>
      <c r="E115" s="43">
        <v>1390560</v>
      </c>
      <c r="F115" s="43">
        <v>1545120</v>
      </c>
      <c r="G115" s="43">
        <v>1558080</v>
      </c>
      <c r="H115" s="43">
        <v>1684320</v>
      </c>
      <c r="I115" s="43">
        <v>1755520</v>
      </c>
      <c r="J115" s="43">
        <v>1683360</v>
      </c>
      <c r="K115" s="43">
        <v>1539840</v>
      </c>
      <c r="L115" s="43">
        <v>1323680</v>
      </c>
      <c r="M115" s="43">
        <v>1352000</v>
      </c>
      <c r="N115" s="43">
        <f t="shared" si="4"/>
        <v>17533920</v>
      </c>
    </row>
    <row r="116" spans="1:14" x14ac:dyDescent="0.3">
      <c r="A116" s="39" t="s">
        <v>90</v>
      </c>
      <c r="B116" s="42"/>
      <c r="C116" s="42"/>
      <c r="D116" s="42"/>
      <c r="E116" s="42"/>
      <c r="F116" s="42"/>
      <c r="G116" s="42"/>
      <c r="H116" s="42"/>
      <c r="I116" s="42"/>
      <c r="J116" s="44"/>
      <c r="K116" s="44"/>
      <c r="L116" s="42"/>
      <c r="M116" s="42"/>
      <c r="N116" s="42">
        <f t="shared" si="4"/>
        <v>0</v>
      </c>
    </row>
    <row r="117" spans="1:14" x14ac:dyDescent="0.3">
      <c r="A117" s="39" t="s">
        <v>108</v>
      </c>
      <c r="B117" s="43">
        <v>2200</v>
      </c>
      <c r="C117" s="43">
        <v>2200</v>
      </c>
      <c r="D117" s="43">
        <v>2200</v>
      </c>
      <c r="E117" s="43">
        <v>2200</v>
      </c>
      <c r="F117" s="43">
        <v>2200</v>
      </c>
      <c r="G117" s="43">
        <v>2200</v>
      </c>
      <c r="H117" s="43">
        <v>2200</v>
      </c>
      <c r="I117" s="43">
        <v>2200</v>
      </c>
      <c r="J117" s="44">
        <v>2200</v>
      </c>
      <c r="K117" s="43">
        <v>2200</v>
      </c>
      <c r="L117" s="43">
        <v>2200</v>
      </c>
      <c r="M117" s="43">
        <v>2200</v>
      </c>
      <c r="N117" s="43">
        <f t="shared" si="4"/>
        <v>26400</v>
      </c>
    </row>
    <row r="118" spans="1:14" x14ac:dyDescent="0.3">
      <c r="A118" s="39" t="s">
        <v>111</v>
      </c>
      <c r="B118" s="42"/>
      <c r="C118" s="42"/>
      <c r="D118" s="42"/>
      <c r="E118" s="42"/>
      <c r="F118" s="42"/>
      <c r="G118" s="42"/>
      <c r="H118" s="42"/>
      <c r="I118" s="42"/>
      <c r="J118" s="44"/>
      <c r="K118" s="44"/>
      <c r="L118" s="42"/>
      <c r="M118" s="42"/>
      <c r="N118" s="42">
        <f t="shared" si="4"/>
        <v>0</v>
      </c>
    </row>
    <row r="119" spans="1:14" x14ac:dyDescent="0.3">
      <c r="A119" s="39" t="s">
        <v>93</v>
      </c>
      <c r="B119" s="44">
        <v>68471.53</v>
      </c>
      <c r="C119" s="44">
        <v>61674.03</v>
      </c>
      <c r="D119" s="44">
        <v>69884.69</v>
      </c>
      <c r="E119" s="44">
        <v>75966.11</v>
      </c>
      <c r="F119" s="44">
        <v>83928.85</v>
      </c>
      <c r="G119" s="44">
        <v>87573.14</v>
      </c>
      <c r="H119" s="44">
        <v>92848.12</v>
      </c>
      <c r="I119" s="44">
        <v>97274.03</v>
      </c>
      <c r="J119" s="44">
        <v>91723.71</v>
      </c>
      <c r="K119" s="44">
        <v>84332.94</v>
      </c>
      <c r="L119" s="44">
        <v>72963.839999999997</v>
      </c>
      <c r="M119" s="44">
        <v>75241.759999999995</v>
      </c>
      <c r="N119" s="44">
        <f t="shared" si="4"/>
        <v>961882.74999999988</v>
      </c>
    </row>
    <row r="120" spans="1:14" x14ac:dyDescent="0.3">
      <c r="A120" s="39" t="s">
        <v>94</v>
      </c>
      <c r="B120" s="42"/>
      <c r="C120" s="42"/>
      <c r="D120" s="42"/>
      <c r="E120" s="42"/>
      <c r="F120" s="42"/>
      <c r="G120" s="42"/>
      <c r="H120" s="42"/>
      <c r="I120" s="42"/>
      <c r="J120" s="44"/>
      <c r="K120" s="44"/>
      <c r="L120" s="42"/>
      <c r="M120" s="42"/>
      <c r="N120" s="42">
        <f t="shared" si="4"/>
        <v>0</v>
      </c>
    </row>
    <row r="121" spans="1:14" x14ac:dyDescent="0.3">
      <c r="A121" s="39" t="s">
        <v>95</v>
      </c>
      <c r="B121" s="44">
        <v>3400.94</v>
      </c>
      <c r="C121" s="44">
        <v>3400.94</v>
      </c>
      <c r="D121" s="44">
        <v>3400.94</v>
      </c>
      <c r="E121" s="44">
        <v>3400.94</v>
      </c>
      <c r="F121" s="44">
        <v>3400.94</v>
      </c>
      <c r="G121" s="44">
        <v>3400.94</v>
      </c>
      <c r="H121" s="44">
        <v>3400.94</v>
      </c>
      <c r="I121" s="44">
        <v>3400.94</v>
      </c>
      <c r="J121" s="44">
        <v>3400.94</v>
      </c>
      <c r="K121" s="44">
        <v>3400.94</v>
      </c>
      <c r="L121" s="44">
        <v>3400.94</v>
      </c>
      <c r="M121" s="44">
        <v>3400.94</v>
      </c>
      <c r="N121" s="44">
        <f t="shared" si="4"/>
        <v>40811.279999999999</v>
      </c>
    </row>
    <row r="122" spans="1:14" x14ac:dyDescent="0.3">
      <c r="A122" s="39" t="s">
        <v>96</v>
      </c>
      <c r="B122" s="44"/>
      <c r="C122" s="44"/>
      <c r="D122" s="44"/>
      <c r="E122" s="44"/>
      <c r="F122" s="44"/>
      <c r="G122" s="42"/>
      <c r="H122" s="42"/>
      <c r="I122" s="42"/>
      <c r="J122" s="44"/>
      <c r="K122" s="44"/>
      <c r="L122" s="42"/>
      <c r="M122" s="42"/>
      <c r="N122" s="42">
        <f t="shared" si="4"/>
        <v>0</v>
      </c>
    </row>
    <row r="123" spans="1:14" x14ac:dyDescent="0.3">
      <c r="A123" s="39" t="s">
        <v>116</v>
      </c>
      <c r="B123" s="44">
        <v>-3146.84</v>
      </c>
      <c r="C123" s="44">
        <v>2387.89</v>
      </c>
      <c r="D123" s="44">
        <v>-5457.07</v>
      </c>
      <c r="E123" s="44">
        <v>-2771.61</v>
      </c>
      <c r="F123" s="44">
        <v>-9701.7199999999993</v>
      </c>
      <c r="G123" s="44">
        <v>-3541.82</v>
      </c>
      <c r="H123" s="44">
        <v>-10490.18</v>
      </c>
      <c r="I123" s="44">
        <v>-5325.88</v>
      </c>
      <c r="J123" s="44">
        <v>-6877.1</v>
      </c>
      <c r="K123" s="44">
        <v>-7324.71</v>
      </c>
      <c r="L123" s="44">
        <v>-9228.16</v>
      </c>
      <c r="M123" s="44">
        <v>-9899.19</v>
      </c>
      <c r="N123" s="44">
        <f t="shared" si="4"/>
        <v>-71376.39</v>
      </c>
    </row>
    <row r="124" spans="1:14" x14ac:dyDescent="0.3">
      <c r="A124" s="39" t="s">
        <v>98</v>
      </c>
      <c r="B124" s="44"/>
      <c r="C124" s="44"/>
      <c r="D124" s="44"/>
      <c r="E124" s="44"/>
      <c r="F124" s="44"/>
      <c r="G124" s="42"/>
      <c r="H124" s="42"/>
      <c r="I124" s="42"/>
      <c r="J124" s="44"/>
      <c r="K124" s="44"/>
      <c r="L124" s="42"/>
      <c r="M124" s="42"/>
      <c r="N124" s="42">
        <f t="shared" si="4"/>
        <v>0</v>
      </c>
    </row>
    <row r="125" spans="1:14" x14ac:dyDescent="0.3">
      <c r="A125" s="39" t="s">
        <v>99</v>
      </c>
      <c r="B125" s="44">
        <v>233.45</v>
      </c>
      <c r="C125" s="44">
        <v>233.45</v>
      </c>
      <c r="D125" s="44">
        <v>233.45</v>
      </c>
      <c r="E125" s="44">
        <v>233.45</v>
      </c>
      <c r="F125" s="44">
        <v>233.45</v>
      </c>
      <c r="G125" s="44">
        <v>233.45</v>
      </c>
      <c r="H125" s="44">
        <v>233.45</v>
      </c>
      <c r="I125" s="44">
        <v>233.45</v>
      </c>
      <c r="J125" s="44">
        <v>233.45</v>
      </c>
      <c r="K125" s="44">
        <v>233.45</v>
      </c>
      <c r="L125" s="44">
        <v>233.45</v>
      </c>
      <c r="M125" s="44">
        <v>233.45</v>
      </c>
      <c r="N125" s="44">
        <f t="shared" si="4"/>
        <v>2801.3999999999996</v>
      </c>
    </row>
    <row r="126" spans="1:14" x14ac:dyDescent="0.3">
      <c r="A126" s="39" t="s">
        <v>100</v>
      </c>
      <c r="B126" s="44"/>
      <c r="C126" s="44"/>
      <c r="D126" s="44"/>
      <c r="E126" s="44"/>
      <c r="F126" s="44"/>
      <c r="G126" s="42"/>
      <c r="H126" s="42"/>
      <c r="I126" s="42"/>
      <c r="J126" s="44"/>
      <c r="K126" s="44"/>
      <c r="L126" s="42"/>
      <c r="M126" s="42"/>
      <c r="N126" s="42">
        <f t="shared" si="4"/>
        <v>0</v>
      </c>
    </row>
    <row r="127" spans="1:14" x14ac:dyDescent="0.3">
      <c r="A127" s="39" t="s">
        <v>101</v>
      </c>
      <c r="B127" s="44">
        <v>7246.69</v>
      </c>
      <c r="C127" s="44">
        <v>5840.09</v>
      </c>
      <c r="D127" s="44">
        <v>5872.25</v>
      </c>
      <c r="E127" s="44">
        <v>8025.86</v>
      </c>
      <c r="F127" s="44">
        <v>8364.41</v>
      </c>
      <c r="G127" s="44">
        <v>10966.17</v>
      </c>
      <c r="H127" s="44">
        <v>10598.43</v>
      </c>
      <c r="I127" s="44">
        <v>11380.96</v>
      </c>
      <c r="J127" s="44">
        <v>9199.83</v>
      </c>
      <c r="K127" s="44">
        <v>8873.89</v>
      </c>
      <c r="L127" s="44">
        <f>8278.84</f>
        <v>8278.84</v>
      </c>
      <c r="M127" s="44">
        <v>9406.82</v>
      </c>
      <c r="N127" s="44">
        <f t="shared" si="4"/>
        <v>104054.23999999999</v>
      </c>
    </row>
    <row r="128" spans="1:14" x14ac:dyDescent="0.3">
      <c r="A128" s="39" t="s">
        <v>102</v>
      </c>
      <c r="B128" s="44"/>
      <c r="C128" s="44"/>
      <c r="D128" s="44"/>
      <c r="E128" s="44"/>
      <c r="F128" s="44"/>
      <c r="G128" s="42"/>
      <c r="H128" s="42"/>
      <c r="I128" s="42"/>
      <c r="J128" s="44"/>
      <c r="K128" s="44"/>
      <c r="L128" s="42"/>
      <c r="M128" s="42"/>
      <c r="N128" s="42">
        <f t="shared" si="4"/>
        <v>0</v>
      </c>
    </row>
    <row r="129" spans="1:14" x14ac:dyDescent="0.3">
      <c r="A129" s="39" t="s">
        <v>117</v>
      </c>
      <c r="B129" s="44">
        <v>19256.169999999998</v>
      </c>
      <c r="C129" s="44">
        <v>19256.169999999998</v>
      </c>
      <c r="D129" s="44">
        <v>19256.169999999998</v>
      </c>
      <c r="E129" s="44">
        <v>20076.97</v>
      </c>
      <c r="F129" s="44">
        <v>20346.189999999999</v>
      </c>
      <c r="G129" s="44">
        <v>20346.189999999999</v>
      </c>
      <c r="H129" s="44">
        <v>20346.189999999999</v>
      </c>
      <c r="I129" s="44">
        <v>20306.79</v>
      </c>
      <c r="J129" s="44">
        <v>20284.02</v>
      </c>
      <c r="K129" s="44">
        <v>20284.02</v>
      </c>
      <c r="L129" s="44">
        <v>20284.02</v>
      </c>
      <c r="M129" s="44">
        <v>20284.02</v>
      </c>
      <c r="N129" s="44">
        <f t="shared" si="4"/>
        <v>240326.91999999995</v>
      </c>
    </row>
    <row r="130" spans="1:14" x14ac:dyDescent="0.3">
      <c r="A130" s="39" t="s">
        <v>118</v>
      </c>
      <c r="B130" s="44"/>
      <c r="C130" s="44"/>
      <c r="D130" s="44"/>
      <c r="E130" s="44"/>
      <c r="F130" s="44"/>
      <c r="G130" s="42"/>
      <c r="H130" s="42"/>
      <c r="I130" s="42"/>
      <c r="J130" s="44"/>
      <c r="K130" s="44"/>
      <c r="L130" s="42"/>
      <c r="M130" s="42"/>
      <c r="N130" s="42">
        <f t="shared" si="4"/>
        <v>0</v>
      </c>
    </row>
    <row r="131" spans="1:14" x14ac:dyDescent="0.3">
      <c r="A131" s="39" t="s">
        <v>103</v>
      </c>
      <c r="B131" s="44"/>
      <c r="C131" s="44"/>
      <c r="D131" s="44"/>
      <c r="E131" s="44"/>
      <c r="F131" s="44"/>
      <c r="G131" s="42"/>
      <c r="H131" s="42"/>
      <c r="I131" s="42"/>
      <c r="J131" s="44"/>
      <c r="K131" s="44"/>
      <c r="L131" s="42"/>
      <c r="M131" s="42"/>
      <c r="N131" s="42">
        <f t="shared" si="4"/>
        <v>0</v>
      </c>
    </row>
    <row r="132" spans="1:14" x14ac:dyDescent="0.3">
      <c r="A132" s="39" t="s">
        <v>104</v>
      </c>
      <c r="B132" s="44">
        <v>2</v>
      </c>
      <c r="C132" s="44">
        <v>2</v>
      </c>
      <c r="D132" s="44">
        <v>2</v>
      </c>
      <c r="E132" s="44">
        <v>2</v>
      </c>
      <c r="F132" s="44">
        <v>2</v>
      </c>
      <c r="G132" s="44">
        <v>2</v>
      </c>
      <c r="H132" s="44">
        <v>2</v>
      </c>
      <c r="I132" s="44">
        <v>2</v>
      </c>
      <c r="J132" s="44">
        <v>2</v>
      </c>
      <c r="K132" s="44">
        <v>2</v>
      </c>
      <c r="L132" s="44">
        <v>2</v>
      </c>
      <c r="M132" s="44">
        <v>2</v>
      </c>
      <c r="N132" s="44">
        <f t="shared" si="4"/>
        <v>24</v>
      </c>
    </row>
    <row r="133" spans="1:14" x14ac:dyDescent="0.3">
      <c r="A133" s="39" t="s">
        <v>105</v>
      </c>
      <c r="B133" s="44">
        <v>0</v>
      </c>
      <c r="C133" s="44"/>
      <c r="D133" s="44"/>
      <c r="E133" s="44"/>
      <c r="F133" s="44"/>
      <c r="G133" s="44"/>
      <c r="H133" s="42"/>
      <c r="I133" s="42"/>
      <c r="J133" s="44"/>
      <c r="K133" s="44"/>
      <c r="L133" s="44"/>
      <c r="M133" s="42"/>
      <c r="N133" s="42">
        <f t="shared" si="4"/>
        <v>0</v>
      </c>
    </row>
    <row r="134" spans="1:14" x14ac:dyDescent="0.3">
      <c r="A134" s="39" t="s">
        <v>106</v>
      </c>
      <c r="B134" s="44">
        <v>-2024</v>
      </c>
      <c r="C134" s="44">
        <v>-3001</v>
      </c>
      <c r="D134" s="44">
        <v>1392</v>
      </c>
      <c r="E134" s="44">
        <v>1299</v>
      </c>
      <c r="F134" s="44">
        <v>1490</v>
      </c>
      <c r="G134" s="44">
        <v>-1547</v>
      </c>
      <c r="H134" s="44">
        <v>-1695</v>
      </c>
      <c r="I134" s="44">
        <v>-2034</v>
      </c>
      <c r="J134" s="44">
        <v>-606</v>
      </c>
      <c r="K134" s="44">
        <v>728</v>
      </c>
      <c r="L134" s="44">
        <v>-1321</v>
      </c>
      <c r="M134" s="44">
        <v>2750</v>
      </c>
      <c r="N134" s="44">
        <f t="shared" ref="N134" si="7">SUM(B134:M134)</f>
        <v>-4569</v>
      </c>
    </row>
    <row r="135" spans="1:14" x14ac:dyDescent="0.3">
      <c r="A135" s="35"/>
      <c r="B135" s="36"/>
      <c r="C135" s="36"/>
      <c r="D135" s="36"/>
      <c r="E135" s="36"/>
      <c r="F135" s="36"/>
      <c r="G135" s="36"/>
      <c r="H135" s="36"/>
      <c r="I135" s="36"/>
      <c r="J135" s="45"/>
      <c r="K135" s="45"/>
      <c r="L135" s="36"/>
      <c r="M135" s="36"/>
      <c r="N135" s="36"/>
    </row>
    <row r="136" spans="1:14" x14ac:dyDescent="0.3">
      <c r="A136" s="39"/>
      <c r="B136" s="40" t="s">
        <v>76</v>
      </c>
      <c r="C136" s="41" t="s">
        <v>77</v>
      </c>
      <c r="D136" s="40" t="s">
        <v>78</v>
      </c>
      <c r="E136" s="40" t="s">
        <v>79</v>
      </c>
      <c r="F136" s="40" t="s">
        <v>80</v>
      </c>
      <c r="G136" s="40" t="s">
        <v>81</v>
      </c>
      <c r="H136" s="40" t="s">
        <v>82</v>
      </c>
      <c r="I136" s="40" t="s">
        <v>83</v>
      </c>
      <c r="J136" s="41" t="s">
        <v>84</v>
      </c>
      <c r="K136" s="41" t="s">
        <v>85</v>
      </c>
      <c r="L136" s="40" t="s">
        <v>86</v>
      </c>
      <c r="M136" s="40" t="s">
        <v>87</v>
      </c>
      <c r="N136" s="40">
        <v>2019</v>
      </c>
    </row>
    <row r="137" spans="1:14" ht="15.6" x14ac:dyDescent="0.3">
      <c r="A137" s="46" t="s">
        <v>121</v>
      </c>
      <c r="B137" s="42"/>
      <c r="C137" s="42"/>
      <c r="D137" s="42"/>
      <c r="E137" s="42"/>
      <c r="F137" s="42"/>
      <c r="G137" s="42"/>
      <c r="H137" s="42"/>
      <c r="I137" s="42"/>
      <c r="J137" s="44"/>
      <c r="K137" s="44"/>
      <c r="L137" s="42"/>
      <c r="M137" s="42"/>
      <c r="N137" s="42">
        <f t="shared" si="4"/>
        <v>0</v>
      </c>
    </row>
    <row r="138" spans="1:14" x14ac:dyDescent="0.3">
      <c r="A138" s="39" t="s">
        <v>89</v>
      </c>
      <c r="B138" s="43">
        <v>4541760</v>
      </c>
      <c r="C138" s="43">
        <v>4087120</v>
      </c>
      <c r="D138" s="43">
        <v>4411280</v>
      </c>
      <c r="E138" s="43">
        <v>4425680</v>
      </c>
      <c r="F138" s="43">
        <v>4900880</v>
      </c>
      <c r="G138" s="43">
        <v>4979280</v>
      </c>
      <c r="H138" s="43">
        <f>5160000</f>
        <v>5160000</v>
      </c>
      <c r="I138" s="43">
        <v>5378560</v>
      </c>
      <c r="J138" s="43">
        <v>4996480</v>
      </c>
      <c r="K138" s="43">
        <v>4515680</v>
      </c>
      <c r="L138" s="43">
        <v>4257520</v>
      </c>
      <c r="M138" s="43">
        <v>3820000</v>
      </c>
      <c r="N138" s="43">
        <f t="shared" si="4"/>
        <v>55474240</v>
      </c>
    </row>
    <row r="139" spans="1:14" x14ac:dyDescent="0.3">
      <c r="A139" s="39" t="s">
        <v>90</v>
      </c>
      <c r="B139" s="42"/>
      <c r="C139" s="44"/>
      <c r="D139" s="42"/>
      <c r="E139" s="42"/>
      <c r="F139" s="42"/>
      <c r="G139" s="44"/>
      <c r="H139" s="44"/>
      <c r="I139" s="44"/>
      <c r="J139" s="44"/>
      <c r="K139" s="44"/>
      <c r="L139" s="42"/>
      <c r="M139" s="42"/>
      <c r="N139" s="42">
        <f t="shared" si="4"/>
        <v>0</v>
      </c>
    </row>
    <row r="140" spans="1:14" x14ac:dyDescent="0.3">
      <c r="A140" s="39" t="s">
        <v>108</v>
      </c>
      <c r="B140" s="42">
        <v>5448</v>
      </c>
      <c r="C140" s="44">
        <v>5448</v>
      </c>
      <c r="D140" s="43">
        <v>5448</v>
      </c>
      <c r="E140" s="44">
        <v>5448</v>
      </c>
      <c r="F140" s="42">
        <v>5448</v>
      </c>
      <c r="G140" s="43">
        <v>5448</v>
      </c>
      <c r="H140" s="44">
        <v>5448</v>
      </c>
      <c r="I140" s="43">
        <v>5448</v>
      </c>
      <c r="J140" s="44">
        <v>5448</v>
      </c>
      <c r="K140" s="43">
        <v>5448</v>
      </c>
      <c r="L140" s="44">
        <v>5448</v>
      </c>
      <c r="M140" s="43">
        <v>5448</v>
      </c>
      <c r="N140" s="43">
        <f t="shared" si="4"/>
        <v>65376</v>
      </c>
    </row>
    <row r="141" spans="1:14" x14ac:dyDescent="0.3">
      <c r="A141" s="39" t="s">
        <v>111</v>
      </c>
      <c r="B141" s="44"/>
      <c r="C141" s="44"/>
      <c r="D141" s="44"/>
      <c r="E141" s="44"/>
      <c r="F141" s="44"/>
      <c r="G141" s="44"/>
      <c r="H141" s="44"/>
      <c r="I141" s="44"/>
      <c r="J141" s="44"/>
      <c r="K141" s="44"/>
      <c r="L141" s="42"/>
      <c r="M141" s="42"/>
      <c r="N141" s="42">
        <f t="shared" si="4"/>
        <v>0</v>
      </c>
    </row>
    <row r="142" spans="1:14" x14ac:dyDescent="0.3">
      <c r="A142" s="39" t="s">
        <v>93</v>
      </c>
      <c r="B142" s="44">
        <v>252167.85</v>
      </c>
      <c r="C142" s="44">
        <v>225292.78</v>
      </c>
      <c r="D142" s="44">
        <v>240759.22</v>
      </c>
      <c r="E142" s="44">
        <v>248064.57</v>
      </c>
      <c r="F142" s="44">
        <v>274448.64000000001</v>
      </c>
      <c r="G142" s="44">
        <v>289604.8</v>
      </c>
      <c r="H142" s="44">
        <v>295818.78000000003</v>
      </c>
      <c r="I142" s="44">
        <v>306254</v>
      </c>
      <c r="J142" s="44">
        <v>283120.48</v>
      </c>
      <c r="K142" s="44">
        <v>254646.7</v>
      </c>
      <c r="L142" s="44">
        <v>239962.06</v>
      </c>
      <c r="M142" s="44">
        <v>221698.81</v>
      </c>
      <c r="N142" s="44">
        <f t="shared" si="4"/>
        <v>3131838.6900000004</v>
      </c>
    </row>
    <row r="143" spans="1:14" x14ac:dyDescent="0.3">
      <c r="A143" s="39" t="s">
        <v>94</v>
      </c>
      <c r="B143" s="44"/>
      <c r="C143" s="44"/>
      <c r="D143" s="44"/>
      <c r="E143" s="44"/>
      <c r="F143" s="44"/>
      <c r="G143" s="44"/>
      <c r="H143" s="44"/>
      <c r="I143" s="44"/>
      <c r="J143" s="44"/>
      <c r="K143" s="44"/>
      <c r="L143" s="42"/>
      <c r="M143" s="42"/>
      <c r="N143" s="42">
        <f t="shared" ref="N143:N208" si="8">SUM(B143:M143)</f>
        <v>0</v>
      </c>
    </row>
    <row r="144" spans="1:14" x14ac:dyDescent="0.3">
      <c r="A144" s="39" t="s">
        <v>95</v>
      </c>
      <c r="B144" s="44">
        <v>8502.35</v>
      </c>
      <c r="C144" s="44">
        <v>8502.35</v>
      </c>
      <c r="D144" s="44">
        <v>8502.35</v>
      </c>
      <c r="E144" s="44">
        <v>8899.1200000000008</v>
      </c>
      <c r="F144" s="44">
        <v>8502.35</v>
      </c>
      <c r="G144" s="44">
        <v>8502.35</v>
      </c>
      <c r="H144" s="44">
        <v>8502.35</v>
      </c>
      <c r="I144" s="44">
        <v>8502.35</v>
      </c>
      <c r="J144" s="44">
        <v>8502.35</v>
      </c>
      <c r="K144" s="44">
        <v>8502.35</v>
      </c>
      <c r="L144" s="44">
        <v>8502.35</v>
      </c>
      <c r="M144" s="44">
        <v>8502.35</v>
      </c>
      <c r="N144" s="44">
        <f t="shared" si="8"/>
        <v>102424.97000000003</v>
      </c>
    </row>
    <row r="145" spans="1:14" x14ac:dyDescent="0.3">
      <c r="A145" s="39" t="s">
        <v>96</v>
      </c>
      <c r="B145" s="44"/>
      <c r="C145" s="44"/>
      <c r="D145" s="44"/>
      <c r="E145" s="44"/>
      <c r="F145" s="44"/>
      <c r="G145" s="44"/>
      <c r="H145" s="44"/>
      <c r="I145" s="44"/>
      <c r="J145" s="44"/>
      <c r="K145" s="44"/>
      <c r="L145" s="42"/>
      <c r="M145" s="42"/>
      <c r="N145" s="42">
        <f t="shared" si="8"/>
        <v>0</v>
      </c>
    </row>
    <row r="146" spans="1:14" x14ac:dyDescent="0.3">
      <c r="A146" s="39" t="s">
        <v>116</v>
      </c>
      <c r="B146" s="44">
        <v>-11413.47</v>
      </c>
      <c r="C146" s="44">
        <v>8553.5400000000009</v>
      </c>
      <c r="D146" s="44">
        <v>-18373.52</v>
      </c>
      <c r="E146" s="44">
        <v>-8817.9699999999993</v>
      </c>
      <c r="F146" s="44">
        <v>-30762.720000000001</v>
      </c>
      <c r="G146" s="44">
        <v>-11315.3</v>
      </c>
      <c r="H146" s="44">
        <v>-32129.13</v>
      </c>
      <c r="I146" s="44">
        <v>-16313.55</v>
      </c>
      <c r="J146" s="44">
        <v>-20407.84</v>
      </c>
      <c r="K146" s="44">
        <v>-21475.39</v>
      </c>
      <c r="L146" s="44">
        <v>-29670.33</v>
      </c>
      <c r="M146" s="44">
        <v>-27964.02</v>
      </c>
      <c r="N146" s="44">
        <f t="shared" si="8"/>
        <v>-220089.70000000004</v>
      </c>
    </row>
    <row r="147" spans="1:14" x14ac:dyDescent="0.3">
      <c r="A147" s="39" t="s">
        <v>98</v>
      </c>
      <c r="B147" s="44"/>
      <c r="C147" s="44"/>
      <c r="D147" s="44"/>
      <c r="E147" s="44"/>
      <c r="F147" s="44"/>
      <c r="G147" s="44"/>
      <c r="H147" s="44"/>
      <c r="I147" s="44"/>
      <c r="J147" s="44"/>
      <c r="K147" s="44"/>
      <c r="L147" s="42"/>
      <c r="M147" s="42"/>
      <c r="N147" s="42">
        <f t="shared" si="8"/>
        <v>0</v>
      </c>
    </row>
    <row r="148" spans="1:14" x14ac:dyDescent="0.3">
      <c r="A148" s="39" t="s">
        <v>99</v>
      </c>
      <c r="B148" s="44">
        <v>543.15</v>
      </c>
      <c r="C148" s="44">
        <v>543.15</v>
      </c>
      <c r="D148" s="44">
        <v>543.15</v>
      </c>
      <c r="E148" s="44">
        <v>543.15</v>
      </c>
      <c r="F148" s="44">
        <v>543.15</v>
      </c>
      <c r="G148" s="44">
        <v>543.15</v>
      </c>
      <c r="H148" s="44">
        <v>543.15</v>
      </c>
      <c r="I148" s="44">
        <v>543.15</v>
      </c>
      <c r="J148" s="44">
        <v>543.15</v>
      </c>
      <c r="K148" s="44">
        <v>543.15</v>
      </c>
      <c r="L148" s="44">
        <v>543.15</v>
      </c>
      <c r="M148" s="44">
        <v>543.15</v>
      </c>
      <c r="N148" s="44">
        <f t="shared" si="8"/>
        <v>6517.7999999999984</v>
      </c>
    </row>
    <row r="149" spans="1:14" x14ac:dyDescent="0.3">
      <c r="A149" s="39" t="s">
        <v>100</v>
      </c>
      <c r="B149" s="44"/>
      <c r="C149" s="44"/>
      <c r="D149" s="44"/>
      <c r="E149" s="44"/>
      <c r="F149" s="44"/>
      <c r="G149" s="44"/>
      <c r="H149" s="44"/>
      <c r="I149" s="42"/>
      <c r="J149" s="44"/>
      <c r="K149" s="44"/>
      <c r="L149" s="42"/>
      <c r="M149" s="42"/>
      <c r="N149" s="42">
        <f t="shared" si="8"/>
        <v>0</v>
      </c>
    </row>
    <row r="150" spans="1:14" x14ac:dyDescent="0.3">
      <c r="A150" s="39" t="s">
        <v>101</v>
      </c>
      <c r="B150" s="44">
        <v>26092.080000000002</v>
      </c>
      <c r="C150" s="44">
        <v>20832.87</v>
      </c>
      <c r="D150" s="44">
        <v>20106.82</v>
      </c>
      <c r="E150" s="44">
        <v>26395.63</v>
      </c>
      <c r="F150" s="44">
        <v>27937.22</v>
      </c>
      <c r="G150" s="44">
        <v>36767.82</v>
      </c>
      <c r="H150" s="44">
        <v>34778.43</v>
      </c>
      <c r="I150" s="44">
        <v>36776.32</v>
      </c>
      <c r="J150" s="44">
        <v>29338.95</v>
      </c>
      <c r="K150" s="44">
        <v>27669.67</v>
      </c>
      <c r="L150" s="44">
        <f>26923.05</f>
        <v>26923.05</v>
      </c>
      <c r="M150" s="44">
        <v>28250.62</v>
      </c>
      <c r="N150" s="44">
        <f t="shared" si="8"/>
        <v>341869.48</v>
      </c>
    </row>
    <row r="151" spans="1:14" x14ac:dyDescent="0.3">
      <c r="A151" s="39" t="s">
        <v>102</v>
      </c>
      <c r="B151" s="44"/>
      <c r="C151" s="44"/>
      <c r="D151" s="44"/>
      <c r="E151" s="44"/>
      <c r="F151" s="44"/>
      <c r="G151" s="44"/>
      <c r="H151" s="44"/>
      <c r="I151" s="42"/>
      <c r="J151" s="44"/>
      <c r="K151" s="44"/>
      <c r="L151" s="42"/>
      <c r="M151" s="42"/>
      <c r="N151" s="42">
        <f t="shared" si="8"/>
        <v>0</v>
      </c>
    </row>
    <row r="152" spans="1:14" x14ac:dyDescent="0.3">
      <c r="A152" s="39" t="s">
        <v>117</v>
      </c>
      <c r="B152" s="44">
        <v>67823.83</v>
      </c>
      <c r="C152" s="44">
        <v>67286.509999999995</v>
      </c>
      <c r="D152" s="44">
        <v>67549.850000000006</v>
      </c>
      <c r="E152" s="44">
        <v>70017.279999999999</v>
      </c>
      <c r="F152" s="44">
        <v>75283.33</v>
      </c>
      <c r="G152" s="44">
        <v>74811.740000000005</v>
      </c>
      <c r="H152" s="44">
        <v>76211.67</v>
      </c>
      <c r="I152" s="44">
        <v>75497.64</v>
      </c>
      <c r="J152" s="44">
        <v>75101.789999999994</v>
      </c>
      <c r="K152" s="44">
        <v>72482.720000000001</v>
      </c>
      <c r="L152" s="44">
        <v>65716.539999999994</v>
      </c>
      <c r="M152" s="44">
        <v>65288.94</v>
      </c>
      <c r="N152" s="44">
        <f t="shared" si="8"/>
        <v>853071.84000000008</v>
      </c>
    </row>
    <row r="153" spans="1:14" x14ac:dyDescent="0.3">
      <c r="A153" s="39" t="s">
        <v>118</v>
      </c>
      <c r="B153" s="44"/>
      <c r="C153" s="44"/>
      <c r="D153" s="44"/>
      <c r="E153" s="44"/>
      <c r="F153" s="44"/>
      <c r="G153" s="44"/>
      <c r="H153" s="44"/>
      <c r="I153" s="42"/>
      <c r="J153" s="44"/>
      <c r="K153" s="44"/>
      <c r="L153" s="42"/>
      <c r="M153" s="42"/>
      <c r="N153" s="42">
        <f t="shared" si="8"/>
        <v>0</v>
      </c>
    </row>
    <row r="154" spans="1:14" x14ac:dyDescent="0.3">
      <c r="A154" s="39" t="s">
        <v>103</v>
      </c>
      <c r="B154" s="44"/>
      <c r="C154" s="44"/>
      <c r="D154" s="44"/>
      <c r="E154" s="44"/>
      <c r="F154" s="44"/>
      <c r="G154" s="44"/>
      <c r="H154" s="44"/>
      <c r="I154" s="42"/>
      <c r="J154" s="44"/>
      <c r="K154" s="44"/>
      <c r="L154" s="42"/>
      <c r="M154" s="42"/>
      <c r="N154" s="42">
        <f t="shared" si="8"/>
        <v>0</v>
      </c>
    </row>
    <row r="155" spans="1:14" x14ac:dyDescent="0.3">
      <c r="A155" s="39" t="s">
        <v>104</v>
      </c>
      <c r="B155" s="44">
        <v>5</v>
      </c>
      <c r="C155" s="44">
        <v>5</v>
      </c>
      <c r="D155" s="44">
        <v>5</v>
      </c>
      <c r="E155" s="44">
        <v>7</v>
      </c>
      <c r="F155" s="44">
        <v>5</v>
      </c>
      <c r="G155" s="44">
        <v>5</v>
      </c>
      <c r="H155" s="44">
        <v>5</v>
      </c>
      <c r="I155" s="44">
        <v>5</v>
      </c>
      <c r="J155" s="44">
        <v>5</v>
      </c>
      <c r="K155" s="44">
        <v>5</v>
      </c>
      <c r="L155" s="44">
        <v>5</v>
      </c>
      <c r="M155" s="44">
        <v>5</v>
      </c>
      <c r="N155" s="44">
        <f t="shared" si="8"/>
        <v>62</v>
      </c>
    </row>
    <row r="156" spans="1:14" x14ac:dyDescent="0.3">
      <c r="A156" s="39" t="s">
        <v>105</v>
      </c>
      <c r="B156" s="44">
        <v>0</v>
      </c>
      <c r="C156" s="44"/>
      <c r="D156" s="44"/>
      <c r="E156" s="44">
        <v>2</v>
      </c>
      <c r="F156" s="44">
        <v>0</v>
      </c>
      <c r="G156" s="44"/>
      <c r="H156" s="44"/>
      <c r="I156" s="42"/>
      <c r="J156" s="44"/>
      <c r="K156" s="44"/>
      <c r="L156" s="44"/>
      <c r="M156" s="44"/>
      <c r="N156" s="44">
        <f t="shared" si="8"/>
        <v>2</v>
      </c>
    </row>
    <row r="157" spans="1:14" x14ac:dyDescent="0.3">
      <c r="A157" s="39" t="s">
        <v>106</v>
      </c>
      <c r="B157" s="44">
        <v>-6978</v>
      </c>
      <c r="C157" s="44">
        <v>-10021</v>
      </c>
      <c r="D157" s="44">
        <v>4662</v>
      </c>
      <c r="E157" s="44">
        <v>4349</v>
      </c>
      <c r="F157" s="44">
        <v>4993</v>
      </c>
      <c r="G157" s="44">
        <v>-5182</v>
      </c>
      <c r="H157" s="44">
        <v>-5679</v>
      </c>
      <c r="I157" s="44">
        <v>-6811</v>
      </c>
      <c r="J157" s="44">
        <v>-2028</v>
      </c>
      <c r="K157" s="44">
        <v>2437</v>
      </c>
      <c r="L157" s="44">
        <v>-4427</v>
      </c>
      <c r="M157" s="44">
        <v>9211</v>
      </c>
      <c r="N157" s="44">
        <f t="shared" ref="N157" si="9">SUM(B157:M157)</f>
        <v>-15474</v>
      </c>
    </row>
    <row r="158" spans="1:14" x14ac:dyDescent="0.3">
      <c r="A158" s="35"/>
      <c r="B158" s="36"/>
      <c r="C158" s="45"/>
      <c r="D158" s="36"/>
      <c r="E158" s="36"/>
      <c r="F158" s="36"/>
      <c r="G158" s="36"/>
      <c r="H158" s="45"/>
      <c r="I158" s="36"/>
      <c r="J158" s="45"/>
      <c r="K158" s="45"/>
      <c r="L158" s="36"/>
      <c r="M158" s="36"/>
      <c r="N158" s="36"/>
    </row>
    <row r="159" spans="1:14" x14ac:dyDescent="0.3">
      <c r="A159" s="39"/>
      <c r="B159" s="40" t="s">
        <v>76</v>
      </c>
      <c r="C159" s="41" t="s">
        <v>77</v>
      </c>
      <c r="D159" s="40" t="s">
        <v>78</v>
      </c>
      <c r="E159" s="40" t="s">
        <v>79</v>
      </c>
      <c r="F159" s="40" t="s">
        <v>80</v>
      </c>
      <c r="G159" s="40" t="s">
        <v>81</v>
      </c>
      <c r="H159" s="40" t="s">
        <v>82</v>
      </c>
      <c r="I159" s="40" t="s">
        <v>83</v>
      </c>
      <c r="J159" s="41" t="s">
        <v>84</v>
      </c>
      <c r="K159" s="41" t="s">
        <v>85</v>
      </c>
      <c r="L159" s="40" t="s">
        <v>86</v>
      </c>
      <c r="M159" s="40" t="s">
        <v>87</v>
      </c>
      <c r="N159" s="40">
        <v>2019</v>
      </c>
    </row>
    <row r="160" spans="1:14" ht="15.6" x14ac:dyDescent="0.3">
      <c r="A160" s="46" t="s">
        <v>122</v>
      </c>
      <c r="B160" s="42"/>
      <c r="C160" s="44"/>
      <c r="D160" s="42"/>
      <c r="E160" s="42"/>
      <c r="F160" s="42"/>
      <c r="G160" s="42"/>
      <c r="H160" s="42"/>
      <c r="I160" s="42"/>
      <c r="J160" s="44"/>
      <c r="K160" s="44"/>
      <c r="L160" s="42"/>
      <c r="M160" s="42"/>
      <c r="N160" s="42">
        <f t="shared" si="8"/>
        <v>0</v>
      </c>
    </row>
    <row r="161" spans="1:14" x14ac:dyDescent="0.3">
      <c r="A161" s="39" t="s">
        <v>89</v>
      </c>
      <c r="B161" s="43">
        <v>2709038</v>
      </c>
      <c r="C161" s="43">
        <v>2062324</v>
      </c>
      <c r="D161" s="43">
        <v>2193163</v>
      </c>
      <c r="E161" s="43">
        <v>1584839</v>
      </c>
      <c r="F161" s="43">
        <v>1824526</v>
      </c>
      <c r="G161" s="43">
        <v>1759294</v>
      </c>
      <c r="H161" s="43">
        <v>2204062</v>
      </c>
      <c r="I161" s="43">
        <v>2344319</v>
      </c>
      <c r="J161" s="43">
        <v>2158256</v>
      </c>
      <c r="K161" s="43">
        <v>1676880</v>
      </c>
      <c r="L161" s="43">
        <v>2156973</v>
      </c>
      <c r="M161" s="43">
        <v>2197403</v>
      </c>
      <c r="N161" s="43">
        <f t="shared" si="8"/>
        <v>24871077</v>
      </c>
    </row>
    <row r="162" spans="1:14" x14ac:dyDescent="0.3">
      <c r="A162" s="39" t="s">
        <v>90</v>
      </c>
      <c r="B162" s="42"/>
      <c r="C162" s="44"/>
      <c r="D162" s="42"/>
      <c r="E162" s="42"/>
      <c r="F162" s="42"/>
      <c r="G162" s="42"/>
      <c r="H162" s="43"/>
      <c r="I162" s="42"/>
      <c r="J162" s="44"/>
      <c r="K162" s="44"/>
      <c r="L162" s="42">
        <v>81279</v>
      </c>
      <c r="M162" s="42">
        <v>17</v>
      </c>
      <c r="N162" s="42">
        <f t="shared" si="8"/>
        <v>81296</v>
      </c>
    </row>
    <row r="163" spans="1:14" x14ac:dyDescent="0.3">
      <c r="A163" s="39" t="s">
        <v>108</v>
      </c>
      <c r="B163" s="43">
        <v>96272</v>
      </c>
      <c r="C163" s="43">
        <v>96097</v>
      </c>
      <c r="D163" s="43">
        <v>96893</v>
      </c>
      <c r="E163" s="43">
        <v>97181</v>
      </c>
      <c r="F163" s="43">
        <v>96799</v>
      </c>
      <c r="G163" s="43">
        <v>96484</v>
      </c>
      <c r="H163" s="43">
        <v>96636</v>
      </c>
      <c r="I163" s="43">
        <v>96932</v>
      </c>
      <c r="J163" s="43">
        <v>95870</v>
      </c>
      <c r="K163" s="43">
        <v>97147</v>
      </c>
      <c r="L163" s="43">
        <v>96846</v>
      </c>
      <c r="M163" s="43">
        <v>95540</v>
      </c>
      <c r="N163" s="43">
        <f t="shared" si="8"/>
        <v>1158697</v>
      </c>
    </row>
    <row r="164" spans="1:14" x14ac:dyDescent="0.3">
      <c r="A164" s="39" t="s">
        <v>111</v>
      </c>
      <c r="B164" s="42"/>
      <c r="C164" s="44"/>
      <c r="D164" s="42"/>
      <c r="E164" s="42"/>
      <c r="F164" s="42"/>
      <c r="G164" s="42"/>
      <c r="H164" s="44"/>
      <c r="I164" s="42"/>
      <c r="J164" s="44"/>
      <c r="K164" s="44"/>
      <c r="L164" s="42"/>
      <c r="M164" s="42"/>
      <c r="N164" s="42">
        <f t="shared" si="8"/>
        <v>0</v>
      </c>
    </row>
    <row r="165" spans="1:14" x14ac:dyDescent="0.3">
      <c r="A165" s="39" t="s">
        <v>93</v>
      </c>
      <c r="B165" s="44">
        <v>274742.38</v>
      </c>
      <c r="C165" s="44">
        <v>206761.8</v>
      </c>
      <c r="D165" s="44">
        <v>218732.01</v>
      </c>
      <c r="E165" s="44">
        <v>162253.62</v>
      </c>
      <c r="F165" s="44">
        <v>186129.62</v>
      </c>
      <c r="G165" s="44">
        <v>184106.41</v>
      </c>
      <c r="H165" s="44">
        <v>228145.33</v>
      </c>
      <c r="I165" s="44">
        <v>242843.67</v>
      </c>
      <c r="J165" s="44">
        <v>219879.35</v>
      </c>
      <c r="K165" s="44">
        <v>172179.66</v>
      </c>
      <c r="L165" s="44">
        <v>221737.68</v>
      </c>
      <c r="M165" s="44">
        <v>228700.73</v>
      </c>
      <c r="N165" s="44">
        <f t="shared" si="8"/>
        <v>2546212.2599999998</v>
      </c>
    </row>
    <row r="166" spans="1:14" x14ac:dyDescent="0.3">
      <c r="A166" s="39" t="s">
        <v>94</v>
      </c>
      <c r="B166" s="44"/>
      <c r="C166" s="44"/>
      <c r="D166" s="44">
        <v>110.7</v>
      </c>
      <c r="E166" s="44"/>
      <c r="F166" s="44"/>
      <c r="G166" s="44"/>
      <c r="H166" s="44"/>
      <c r="I166" s="44"/>
      <c r="J166" s="44"/>
      <c r="K166" s="44"/>
      <c r="L166" s="44">
        <v>8215.4</v>
      </c>
      <c r="M166" s="42">
        <v>1.74</v>
      </c>
      <c r="N166" s="42">
        <f t="shared" si="8"/>
        <v>8327.84</v>
      </c>
    </row>
    <row r="167" spans="1:14" x14ac:dyDescent="0.3">
      <c r="A167" s="39" t="s">
        <v>95</v>
      </c>
      <c r="B167" s="44">
        <v>22358.81</v>
      </c>
      <c r="C167" s="44">
        <v>22371.55</v>
      </c>
      <c r="D167" s="44">
        <v>22434.54</v>
      </c>
      <c r="E167" s="44">
        <v>22625.68</v>
      </c>
      <c r="F167" s="44">
        <v>22741.91</v>
      </c>
      <c r="G167" s="44">
        <v>22702.89</v>
      </c>
      <c r="H167" s="44">
        <v>22828.85</v>
      </c>
      <c r="I167" s="44">
        <v>22878.33</v>
      </c>
      <c r="J167" s="44">
        <v>22600.2</v>
      </c>
      <c r="K167" s="44">
        <v>22662.44</v>
      </c>
      <c r="L167" s="44">
        <v>22546.97</v>
      </c>
      <c r="M167" s="44">
        <v>22465.27</v>
      </c>
      <c r="N167" s="44">
        <f t="shared" si="8"/>
        <v>271217.44</v>
      </c>
    </row>
    <row r="168" spans="1:14" x14ac:dyDescent="0.3">
      <c r="A168" s="39" t="s">
        <v>96</v>
      </c>
      <c r="B168" s="44"/>
      <c r="C168" s="44"/>
      <c r="D168" s="44"/>
      <c r="E168" s="44"/>
      <c r="F168" s="44"/>
      <c r="G168" s="42"/>
      <c r="H168" s="44"/>
      <c r="I168" s="42"/>
      <c r="J168" s="44"/>
      <c r="K168" s="44"/>
      <c r="L168" s="42"/>
      <c r="M168" s="42"/>
      <c r="N168" s="42">
        <f t="shared" si="8"/>
        <v>0</v>
      </c>
    </row>
    <row r="169" spans="1:14" x14ac:dyDescent="0.3">
      <c r="A169" s="39" t="s">
        <v>116</v>
      </c>
      <c r="B169" s="44">
        <v>-7050.99</v>
      </c>
      <c r="C169" s="44">
        <v>4508.71</v>
      </c>
      <c r="D169" s="44">
        <v>-9515.57</v>
      </c>
      <c r="E169" s="44">
        <v>-3356.89</v>
      </c>
      <c r="F169" s="44">
        <v>-12040.65</v>
      </c>
      <c r="G169" s="44">
        <v>-4218.3999999999996</v>
      </c>
      <c r="H169" s="44">
        <v>-14284.07</v>
      </c>
      <c r="I169" s="44">
        <v>-7401.62</v>
      </c>
      <c r="J169" s="44">
        <v>-9197.61</v>
      </c>
      <c r="K169" s="44">
        <v>-8424.39</v>
      </c>
      <c r="L169" s="44">
        <v>-15682.75</v>
      </c>
      <c r="M169" s="44">
        <v>-16759.21</v>
      </c>
      <c r="N169" s="44">
        <f t="shared" si="8"/>
        <v>-103423.44</v>
      </c>
    </row>
    <row r="170" spans="1:14" x14ac:dyDescent="0.3">
      <c r="A170" s="39" t="s">
        <v>98</v>
      </c>
      <c r="B170" s="44"/>
      <c r="C170" s="44"/>
      <c r="D170" s="44"/>
      <c r="E170" s="44"/>
      <c r="F170" s="44"/>
      <c r="G170" s="42"/>
      <c r="H170" s="44"/>
      <c r="I170" s="42"/>
      <c r="J170" s="44"/>
      <c r="K170" s="44"/>
      <c r="L170" s="44">
        <v>-330.38</v>
      </c>
      <c r="M170" s="42">
        <f>2.04+8.37</f>
        <v>10.41</v>
      </c>
      <c r="N170" s="42">
        <f t="shared" si="8"/>
        <v>-319.96999999999997</v>
      </c>
    </row>
    <row r="171" spans="1:14" x14ac:dyDescent="0.3">
      <c r="A171" s="39" t="s">
        <v>99</v>
      </c>
      <c r="B171" s="44">
        <v>12254.82</v>
      </c>
      <c r="C171" s="44">
        <v>12233.11</v>
      </c>
      <c r="D171" s="44">
        <v>12328.54</v>
      </c>
      <c r="E171" s="44">
        <v>12366.15</v>
      </c>
      <c r="F171" s="44">
        <v>12340.65</v>
      </c>
      <c r="G171" s="44">
        <v>12306.7</v>
      </c>
      <c r="H171" s="44">
        <v>12328.71</v>
      </c>
      <c r="I171" s="44">
        <v>12361.5</v>
      </c>
      <c r="J171" s="44">
        <v>12254.71</v>
      </c>
      <c r="K171" s="44">
        <v>12424.54</v>
      </c>
      <c r="L171" s="44">
        <v>12422.25</v>
      </c>
      <c r="M171" s="44">
        <v>12306.2</v>
      </c>
      <c r="N171" s="44">
        <f t="shared" si="8"/>
        <v>147927.88</v>
      </c>
    </row>
    <row r="172" spans="1:14" x14ac:dyDescent="0.3">
      <c r="A172" s="39" t="s">
        <v>100</v>
      </c>
      <c r="B172" s="44">
        <v>-43.44</v>
      </c>
      <c r="C172" s="44"/>
      <c r="D172" s="44"/>
      <c r="E172" s="44"/>
      <c r="F172" s="44"/>
      <c r="G172" s="42"/>
      <c r="H172" s="44"/>
      <c r="I172" s="42"/>
      <c r="J172" s="44"/>
      <c r="K172" s="44"/>
      <c r="L172" s="44">
        <v>-29.06</v>
      </c>
      <c r="M172" s="42">
        <f>-17.49-231.45</f>
        <v>-248.94</v>
      </c>
      <c r="N172" s="42">
        <f t="shared" si="8"/>
        <v>-321.44</v>
      </c>
    </row>
    <row r="173" spans="1:14" x14ac:dyDescent="0.3">
      <c r="A173" s="39" t="s">
        <v>101</v>
      </c>
      <c r="B173" s="44">
        <v>24820.81</v>
      </c>
      <c r="C173" s="44">
        <v>16502.240000000002</v>
      </c>
      <c r="D173" s="44">
        <v>16393.11</v>
      </c>
      <c r="E173" s="44">
        <v>16032.01</v>
      </c>
      <c r="F173" s="44">
        <v>17795.53</v>
      </c>
      <c r="G173" s="44">
        <v>21791.46</v>
      </c>
      <c r="H173" s="44">
        <v>24798.14</v>
      </c>
      <c r="I173" s="44">
        <v>26561.37</v>
      </c>
      <c r="J173" s="44">
        <v>20754.95</v>
      </c>
      <c r="K173" s="44">
        <v>17461.62</v>
      </c>
      <c r="L173" s="44">
        <f>22741.69</f>
        <v>22741.69</v>
      </c>
      <c r="M173" s="44">
        <v>25973.74</v>
      </c>
      <c r="N173" s="44">
        <f t="shared" si="8"/>
        <v>251626.66999999998</v>
      </c>
    </row>
    <row r="174" spans="1:14" x14ac:dyDescent="0.3">
      <c r="A174" s="39" t="s">
        <v>102</v>
      </c>
      <c r="B174" s="44"/>
      <c r="C174" s="44"/>
      <c r="D174" s="44"/>
      <c r="E174" s="44"/>
      <c r="F174" s="44"/>
      <c r="G174" s="42"/>
      <c r="H174" s="44"/>
      <c r="I174" s="42"/>
      <c r="J174" s="44"/>
      <c r="K174" s="44"/>
      <c r="L174" s="42">
        <v>717.4</v>
      </c>
      <c r="M174" s="42">
        <v>0.17</v>
      </c>
      <c r="N174" s="42">
        <f t="shared" si="8"/>
        <v>717.56999999999994</v>
      </c>
    </row>
    <row r="175" spans="1:14" x14ac:dyDescent="0.3">
      <c r="A175" s="39" t="s">
        <v>103</v>
      </c>
      <c r="B175" s="44"/>
      <c r="C175" s="44"/>
      <c r="D175" s="44"/>
      <c r="E175" s="44"/>
      <c r="F175" s="44"/>
      <c r="G175" s="42"/>
      <c r="H175" s="42"/>
      <c r="I175" s="42"/>
      <c r="J175" s="44"/>
      <c r="K175" s="44"/>
      <c r="L175" s="42"/>
      <c r="M175" s="42"/>
      <c r="N175" s="42">
        <f t="shared" si="8"/>
        <v>0</v>
      </c>
    </row>
    <row r="176" spans="1:14" x14ac:dyDescent="0.3">
      <c r="A176" s="39" t="s">
        <v>104</v>
      </c>
      <c r="B176" s="44">
        <v>1001</v>
      </c>
      <c r="C176" s="44">
        <v>1000</v>
      </c>
      <c r="D176" s="44">
        <v>1006</v>
      </c>
      <c r="E176" s="44">
        <v>1012</v>
      </c>
      <c r="F176" s="44">
        <v>1021</v>
      </c>
      <c r="G176" s="44">
        <v>1019</v>
      </c>
      <c r="H176" s="44">
        <v>1023</v>
      </c>
      <c r="I176" s="44">
        <v>1024</v>
      </c>
      <c r="J176" s="44">
        <v>1025</v>
      </c>
      <c r="K176" s="44">
        <v>1022</v>
      </c>
      <c r="L176" s="44">
        <v>1008</v>
      </c>
      <c r="M176" s="44">
        <v>1009</v>
      </c>
      <c r="N176" s="44">
        <f t="shared" si="8"/>
        <v>12170</v>
      </c>
    </row>
    <row r="177" spans="1:14" x14ac:dyDescent="0.3">
      <c r="A177" s="39" t="s">
        <v>105</v>
      </c>
      <c r="B177" s="44">
        <v>51</v>
      </c>
      <c r="C177" s="44">
        <v>50</v>
      </c>
      <c r="D177" s="44">
        <v>49</v>
      </c>
      <c r="E177" s="44">
        <v>49</v>
      </c>
      <c r="F177" s="44">
        <v>47</v>
      </c>
      <c r="G177" s="44">
        <v>46</v>
      </c>
      <c r="H177" s="44">
        <v>49</v>
      </c>
      <c r="I177" s="44">
        <v>53</v>
      </c>
      <c r="J177" s="44">
        <v>58</v>
      </c>
      <c r="K177" s="44">
        <v>56</v>
      </c>
      <c r="L177" s="44">
        <v>58</v>
      </c>
      <c r="M177" s="44">
        <v>61</v>
      </c>
      <c r="N177" s="44">
        <f t="shared" si="8"/>
        <v>627</v>
      </c>
    </row>
    <row r="178" spans="1:14" x14ac:dyDescent="0.3">
      <c r="A178" s="39" t="s">
        <v>106</v>
      </c>
      <c r="B178" s="44">
        <v>-5694</v>
      </c>
      <c r="C178" s="44">
        <v>-7864</v>
      </c>
      <c r="D178" s="44">
        <v>3673</v>
      </c>
      <c r="E178" s="44">
        <v>3427</v>
      </c>
      <c r="F178" s="44">
        <v>3934</v>
      </c>
      <c r="G178" s="44">
        <v>-4083</v>
      </c>
      <c r="H178" s="44">
        <v>-4474</v>
      </c>
      <c r="I178" s="44">
        <v>-5366</v>
      </c>
      <c r="J178" s="44">
        <v>-1598</v>
      </c>
      <c r="K178" s="44">
        <v>1920</v>
      </c>
      <c r="L178" s="44">
        <v>-3488</v>
      </c>
      <c r="M178" s="44">
        <v>7257</v>
      </c>
      <c r="N178" s="44">
        <f t="shared" ref="N178" si="10">SUM(B178:M178)</f>
        <v>-12356</v>
      </c>
    </row>
    <row r="179" spans="1:14" x14ac:dyDescent="0.3">
      <c r="A179" s="35"/>
      <c r="B179" s="36"/>
      <c r="C179" s="45"/>
      <c r="D179" s="36"/>
      <c r="E179" s="36"/>
      <c r="F179" s="36"/>
      <c r="G179" s="36"/>
      <c r="H179" s="36"/>
      <c r="I179" s="36"/>
      <c r="J179" s="45"/>
      <c r="K179" s="45"/>
      <c r="L179" s="36"/>
      <c r="M179" s="36"/>
      <c r="N179" s="36"/>
    </row>
    <row r="180" spans="1:14" x14ac:dyDescent="0.3">
      <c r="A180" s="39"/>
      <c r="B180" s="40" t="s">
        <v>76</v>
      </c>
      <c r="C180" s="41" t="s">
        <v>77</v>
      </c>
      <c r="D180" s="40" t="s">
        <v>78</v>
      </c>
      <c r="E180" s="40" t="s">
        <v>79</v>
      </c>
      <c r="F180" s="40" t="s">
        <v>80</v>
      </c>
      <c r="G180" s="40" t="s">
        <v>81</v>
      </c>
      <c r="H180" s="40" t="s">
        <v>82</v>
      </c>
      <c r="I180" s="40" t="s">
        <v>83</v>
      </c>
      <c r="J180" s="41" t="s">
        <v>84</v>
      </c>
      <c r="K180" s="41" t="s">
        <v>85</v>
      </c>
      <c r="L180" s="40" t="s">
        <v>86</v>
      </c>
      <c r="M180" s="40" t="s">
        <v>87</v>
      </c>
      <c r="N180" s="40">
        <v>2019</v>
      </c>
    </row>
    <row r="181" spans="1:14" ht="15.6" x14ac:dyDescent="0.3">
      <c r="A181" s="46" t="s">
        <v>123</v>
      </c>
      <c r="B181" s="42"/>
      <c r="C181" s="44"/>
      <c r="D181" s="42"/>
      <c r="E181" s="42"/>
      <c r="F181" s="42"/>
      <c r="G181" s="42"/>
      <c r="H181" s="42"/>
      <c r="I181" s="42"/>
      <c r="J181" s="44"/>
      <c r="K181" s="44"/>
      <c r="L181" s="42"/>
      <c r="M181" s="42"/>
      <c r="N181" s="42">
        <f t="shared" si="8"/>
        <v>0</v>
      </c>
    </row>
    <row r="182" spans="1:14" x14ac:dyDescent="0.3">
      <c r="A182" s="39" t="s">
        <v>89</v>
      </c>
      <c r="B182" s="43">
        <v>1219450</v>
      </c>
      <c r="C182" s="43">
        <v>1013748</v>
      </c>
      <c r="D182" s="43">
        <v>1054883</v>
      </c>
      <c r="E182" s="43">
        <v>871834</v>
      </c>
      <c r="F182" s="43">
        <v>1036021</v>
      </c>
      <c r="G182" s="43">
        <v>789234</v>
      </c>
      <c r="H182" s="43">
        <v>944715</v>
      </c>
      <c r="I182" s="43">
        <v>1129125</v>
      </c>
      <c r="J182" s="43">
        <v>1117781</v>
      </c>
      <c r="K182" s="43">
        <v>957969</v>
      </c>
      <c r="L182" s="43">
        <v>953070</v>
      </c>
      <c r="M182" s="43">
        <v>991130</v>
      </c>
      <c r="N182" s="43">
        <f t="shared" si="8"/>
        <v>12078960</v>
      </c>
    </row>
    <row r="183" spans="1:14" x14ac:dyDescent="0.3">
      <c r="A183" s="39" t="s">
        <v>90</v>
      </c>
      <c r="B183" s="42"/>
      <c r="C183" s="44"/>
      <c r="D183" s="42"/>
      <c r="E183" s="42"/>
      <c r="F183" s="42"/>
      <c r="G183" s="42"/>
      <c r="H183" s="42"/>
      <c r="I183" s="42"/>
      <c r="J183" s="44"/>
      <c r="K183" s="44"/>
      <c r="L183" s="42"/>
      <c r="M183" s="42"/>
      <c r="N183" s="42">
        <f t="shared" si="8"/>
        <v>0</v>
      </c>
    </row>
    <row r="184" spans="1:14" x14ac:dyDescent="0.3">
      <c r="A184" s="39" t="s">
        <v>108</v>
      </c>
      <c r="B184" s="44">
        <v>5038</v>
      </c>
      <c r="C184" s="44">
        <v>5038</v>
      </c>
      <c r="D184" s="43">
        <v>5038</v>
      </c>
      <c r="E184" s="43">
        <v>5038</v>
      </c>
      <c r="F184" s="43">
        <v>5038</v>
      </c>
      <c r="G184" s="43">
        <v>5038</v>
      </c>
      <c r="H184" s="43">
        <v>5038</v>
      </c>
      <c r="I184" s="43">
        <v>5038</v>
      </c>
      <c r="J184" s="43">
        <v>5067</v>
      </c>
      <c r="K184" s="43">
        <v>5130</v>
      </c>
      <c r="L184" s="43">
        <v>5130</v>
      </c>
      <c r="M184" s="43">
        <v>5130</v>
      </c>
      <c r="N184" s="43">
        <f t="shared" si="8"/>
        <v>60761</v>
      </c>
    </row>
    <row r="185" spans="1:14" x14ac:dyDescent="0.3">
      <c r="A185" s="39" t="s">
        <v>111</v>
      </c>
      <c r="B185" s="44"/>
      <c r="C185" s="44"/>
      <c r="D185" s="44"/>
      <c r="E185" s="44"/>
      <c r="F185" s="44"/>
      <c r="G185" s="42"/>
      <c r="H185" s="42"/>
      <c r="I185" s="42"/>
      <c r="J185" s="44"/>
      <c r="K185" s="44"/>
      <c r="L185" s="42"/>
      <c r="M185" s="42"/>
      <c r="N185" s="42">
        <f t="shared" si="8"/>
        <v>0</v>
      </c>
    </row>
    <row r="186" spans="1:14" x14ac:dyDescent="0.3">
      <c r="A186" s="39" t="s">
        <v>93</v>
      </c>
      <c r="B186" s="44">
        <v>101285.96</v>
      </c>
      <c r="C186" s="44">
        <v>83224.27</v>
      </c>
      <c r="D186" s="44">
        <v>86127.93</v>
      </c>
      <c r="E186" s="44">
        <v>72553.66</v>
      </c>
      <c r="F186" s="44">
        <v>85992.28</v>
      </c>
      <c r="G186" s="44">
        <v>67042.84</v>
      </c>
      <c r="H186" s="44">
        <v>79629.820000000007</v>
      </c>
      <c r="I186" s="44">
        <v>95383.32</v>
      </c>
      <c r="J186" s="44">
        <v>92940.54</v>
      </c>
      <c r="K186" s="44">
        <v>79897.69</v>
      </c>
      <c r="L186" s="44">
        <v>79822.38</v>
      </c>
      <c r="M186" s="44">
        <v>83913.97</v>
      </c>
      <c r="N186" s="44">
        <f t="shared" si="8"/>
        <v>1007814.66</v>
      </c>
    </row>
    <row r="187" spans="1:14" x14ac:dyDescent="0.3">
      <c r="A187" s="39" t="s">
        <v>94</v>
      </c>
      <c r="B187" s="44"/>
      <c r="C187" s="44"/>
      <c r="D187" s="44"/>
      <c r="E187" s="44"/>
      <c r="F187" s="44"/>
      <c r="G187" s="42"/>
      <c r="H187" s="42"/>
      <c r="I187" s="42"/>
      <c r="J187" s="44"/>
      <c r="K187" s="44"/>
      <c r="L187" s="42"/>
      <c r="M187" s="42"/>
      <c r="N187" s="42">
        <f t="shared" si="8"/>
        <v>0</v>
      </c>
    </row>
    <row r="188" spans="1:14" x14ac:dyDescent="0.3">
      <c r="A188" s="39" t="s">
        <v>95</v>
      </c>
      <c r="B188" s="44">
        <v>1287.08</v>
      </c>
      <c r="C188" s="44">
        <v>1287.08</v>
      </c>
      <c r="D188" s="44">
        <v>1288.95</v>
      </c>
      <c r="E188" s="44">
        <v>1287.08</v>
      </c>
      <c r="F188" s="44">
        <v>1287.08</v>
      </c>
      <c r="G188" s="44">
        <v>1287.08</v>
      </c>
      <c r="H188" s="44">
        <v>1287.08</v>
      </c>
      <c r="I188" s="44">
        <v>1288.94</v>
      </c>
      <c r="J188" s="44">
        <v>1307.5999999999999</v>
      </c>
      <c r="K188" s="44">
        <v>1287.08</v>
      </c>
      <c r="L188" s="44">
        <v>1287.08</v>
      </c>
      <c r="M188" s="44">
        <v>1287.08</v>
      </c>
      <c r="N188" s="44">
        <f t="shared" si="8"/>
        <v>15469.210000000001</v>
      </c>
    </row>
    <row r="189" spans="1:14" x14ac:dyDescent="0.3">
      <c r="A189" s="39" t="s">
        <v>96</v>
      </c>
      <c r="B189" s="44"/>
      <c r="C189" s="44"/>
      <c r="D189" s="44"/>
      <c r="E189" s="44"/>
      <c r="F189" s="44"/>
      <c r="G189" s="42"/>
      <c r="H189" s="42"/>
      <c r="I189" s="42"/>
      <c r="J189" s="44"/>
      <c r="K189" s="44"/>
      <c r="L189" s="42"/>
      <c r="M189" s="42"/>
      <c r="N189" s="42">
        <f t="shared" si="8"/>
        <v>0</v>
      </c>
    </row>
    <row r="190" spans="1:14" x14ac:dyDescent="0.3">
      <c r="A190" s="39" t="s">
        <v>116</v>
      </c>
      <c r="B190" s="44">
        <v>-3073.47</v>
      </c>
      <c r="C190" s="44">
        <v>2129.2600000000002</v>
      </c>
      <c r="D190" s="44">
        <v>-4394.37</v>
      </c>
      <c r="E190" s="44">
        <v>-1745.08</v>
      </c>
      <c r="F190" s="44">
        <v>-6527.46</v>
      </c>
      <c r="G190" s="44">
        <v>-1802.96</v>
      </c>
      <c r="H190" s="44">
        <v>-5907.52</v>
      </c>
      <c r="I190" s="44">
        <v>-3439.99</v>
      </c>
      <c r="J190" s="44">
        <v>-4581.3100000000004</v>
      </c>
      <c r="K190" s="44">
        <v>-4574.7299999999996</v>
      </c>
      <c r="L190" s="44">
        <v>-6669.16</v>
      </c>
      <c r="M190" s="44">
        <v>-7282.67</v>
      </c>
      <c r="N190" s="44">
        <f t="shared" si="8"/>
        <v>-47869.459999999992</v>
      </c>
    </row>
    <row r="191" spans="1:14" x14ac:dyDescent="0.3">
      <c r="A191" s="39" t="s">
        <v>98</v>
      </c>
      <c r="B191" s="44"/>
      <c r="C191" s="44"/>
      <c r="D191" s="44"/>
      <c r="E191" s="44"/>
      <c r="F191" s="44"/>
      <c r="G191" s="42"/>
      <c r="H191" s="42"/>
      <c r="I191" s="42"/>
      <c r="J191" s="44"/>
      <c r="K191" s="44"/>
      <c r="L191" s="42"/>
      <c r="M191" s="42"/>
      <c r="N191" s="42">
        <f t="shared" si="8"/>
        <v>0</v>
      </c>
    </row>
    <row r="192" spans="1:14" x14ac:dyDescent="0.3">
      <c r="A192" s="39" t="s">
        <v>99</v>
      </c>
      <c r="B192" s="44">
        <v>533.9</v>
      </c>
      <c r="C192" s="44">
        <v>533.9</v>
      </c>
      <c r="D192" s="44">
        <v>533.9</v>
      </c>
      <c r="E192" s="44">
        <v>533.9</v>
      </c>
      <c r="F192" s="44">
        <v>533.9</v>
      </c>
      <c r="G192" s="44">
        <v>533.9</v>
      </c>
      <c r="H192" s="44">
        <v>533.9</v>
      </c>
      <c r="I192" s="44">
        <v>533.9</v>
      </c>
      <c r="J192" s="44">
        <v>556.65</v>
      </c>
      <c r="K192" s="44">
        <v>564.28</v>
      </c>
      <c r="L192" s="44">
        <v>564.28</v>
      </c>
      <c r="M192" s="44">
        <v>564.28</v>
      </c>
      <c r="N192" s="44">
        <f t="shared" si="8"/>
        <v>6520.6899999999987</v>
      </c>
    </row>
    <row r="193" spans="1:14" x14ac:dyDescent="0.3">
      <c r="A193" s="39" t="s">
        <v>100</v>
      </c>
      <c r="B193" s="44"/>
      <c r="C193" s="44"/>
      <c r="D193" s="44"/>
      <c r="E193" s="44"/>
      <c r="F193" s="44"/>
      <c r="G193" s="42"/>
      <c r="H193" s="42"/>
      <c r="I193" s="42"/>
      <c r="J193" s="44"/>
      <c r="K193" s="44"/>
      <c r="L193" s="42"/>
      <c r="M193" s="42"/>
      <c r="N193" s="42">
        <f t="shared" si="8"/>
        <v>0</v>
      </c>
    </row>
    <row r="194" spans="1:14" x14ac:dyDescent="0.3">
      <c r="A194" s="39" t="s">
        <v>101</v>
      </c>
      <c r="B194" s="44">
        <v>8217.52</v>
      </c>
      <c r="C194" s="44">
        <v>5855.02</v>
      </c>
      <c r="D194" s="44">
        <v>5619.24</v>
      </c>
      <c r="E194" s="44">
        <v>6015.27</v>
      </c>
      <c r="F194" s="44">
        <v>6923.16</v>
      </c>
      <c r="G194" s="44">
        <v>6808.5</v>
      </c>
      <c r="H194" s="44">
        <v>7529.17</v>
      </c>
      <c r="I194" s="44">
        <v>9208.5</v>
      </c>
      <c r="J194" s="44">
        <v>7631.49</v>
      </c>
      <c r="K194" s="44">
        <v>6785.48</v>
      </c>
      <c r="L194" s="44">
        <v>7084.1</v>
      </c>
      <c r="M194" s="44">
        <v>8270.93</v>
      </c>
      <c r="N194" s="44">
        <f t="shared" si="8"/>
        <v>85948.38</v>
      </c>
    </row>
    <row r="195" spans="1:14" x14ac:dyDescent="0.3">
      <c r="A195" s="39" t="s">
        <v>102</v>
      </c>
      <c r="B195" s="44"/>
      <c r="C195" s="44"/>
      <c r="D195" s="44"/>
      <c r="E195" s="44"/>
      <c r="F195" s="44"/>
      <c r="G195" s="42"/>
      <c r="H195" s="42"/>
      <c r="I195" s="42"/>
      <c r="J195" s="44"/>
      <c r="K195" s="44"/>
      <c r="L195" s="42"/>
      <c r="M195" s="42"/>
      <c r="N195" s="42">
        <f t="shared" si="8"/>
        <v>0</v>
      </c>
    </row>
    <row r="196" spans="1:14" x14ac:dyDescent="0.3">
      <c r="A196" s="39" t="s">
        <v>103</v>
      </c>
      <c r="B196" s="44"/>
      <c r="C196" s="44"/>
      <c r="D196" s="44"/>
      <c r="E196" s="44"/>
      <c r="F196" s="44"/>
      <c r="G196" s="42"/>
      <c r="H196" s="42"/>
      <c r="I196" s="42"/>
      <c r="J196" s="44"/>
      <c r="K196" s="44"/>
      <c r="L196" s="42"/>
      <c r="M196" s="42"/>
      <c r="N196" s="42">
        <f t="shared" si="8"/>
        <v>0</v>
      </c>
    </row>
    <row r="197" spans="1:14" x14ac:dyDescent="0.3">
      <c r="A197" s="39" t="s">
        <v>104</v>
      </c>
      <c r="B197" s="44">
        <v>23</v>
      </c>
      <c r="C197" s="44">
        <v>23</v>
      </c>
      <c r="D197" s="44">
        <v>24</v>
      </c>
      <c r="E197" s="44">
        <v>23</v>
      </c>
      <c r="F197" s="44">
        <v>23</v>
      </c>
      <c r="G197" s="44">
        <v>23</v>
      </c>
      <c r="H197" s="44">
        <v>23</v>
      </c>
      <c r="I197" s="44">
        <v>24</v>
      </c>
      <c r="J197" s="44">
        <v>23</v>
      </c>
      <c r="K197" s="44">
        <v>23</v>
      </c>
      <c r="L197" s="44">
        <v>23</v>
      </c>
      <c r="M197" s="44">
        <v>23</v>
      </c>
      <c r="N197" s="44">
        <f t="shared" si="8"/>
        <v>278</v>
      </c>
    </row>
    <row r="198" spans="1:14" x14ac:dyDescent="0.3">
      <c r="A198" s="39" t="s">
        <v>105</v>
      </c>
      <c r="B198" s="44">
        <v>0</v>
      </c>
      <c r="C198" s="44"/>
      <c r="D198" s="44"/>
      <c r="E198" s="44"/>
      <c r="F198" s="44"/>
      <c r="G198" s="44"/>
      <c r="H198" s="44"/>
      <c r="I198" s="44"/>
      <c r="J198" s="44"/>
      <c r="K198" s="44"/>
      <c r="L198" s="42"/>
      <c r="M198" s="42"/>
      <c r="N198" s="42">
        <f t="shared" si="8"/>
        <v>0</v>
      </c>
    </row>
    <row r="199" spans="1:14" x14ac:dyDescent="0.3">
      <c r="A199" s="39" t="s">
        <v>106</v>
      </c>
      <c r="B199" s="44">
        <v>-1613</v>
      </c>
      <c r="C199" s="44">
        <v>-2304</v>
      </c>
      <c r="D199" s="44">
        <v>1072</v>
      </c>
      <c r="E199" s="44">
        <v>1000</v>
      </c>
      <c r="F199" s="44">
        <v>1148</v>
      </c>
      <c r="G199" s="44">
        <v>-1192</v>
      </c>
      <c r="H199" s="44">
        <v>-1305</v>
      </c>
      <c r="I199" s="44">
        <v>-1567</v>
      </c>
      <c r="J199" s="44">
        <v>-467</v>
      </c>
      <c r="K199" s="44">
        <v>561</v>
      </c>
      <c r="L199" s="44">
        <v>-1019</v>
      </c>
      <c r="M199" s="44">
        <v>2119</v>
      </c>
      <c r="N199" s="44">
        <f t="shared" ref="N199" si="11">SUM(B199:M199)</f>
        <v>-3567</v>
      </c>
    </row>
    <row r="200" spans="1:14" x14ac:dyDescent="0.3">
      <c r="A200" s="35"/>
      <c r="B200" s="36"/>
      <c r="C200" s="45"/>
      <c r="D200" s="36"/>
      <c r="E200" s="36"/>
      <c r="F200" s="36"/>
      <c r="G200" s="36"/>
      <c r="H200" s="36"/>
      <c r="I200" s="36"/>
      <c r="J200" s="45"/>
      <c r="K200" s="45"/>
      <c r="L200" s="36"/>
      <c r="M200" s="36"/>
      <c r="N200" s="36"/>
    </row>
    <row r="201" spans="1:14" hidden="1" x14ac:dyDescent="0.3">
      <c r="A201" s="35" t="s">
        <v>124</v>
      </c>
      <c r="B201" s="36"/>
      <c r="C201" s="45"/>
      <c r="D201" s="36"/>
      <c r="E201" s="36"/>
      <c r="F201" s="36"/>
      <c r="G201" s="36"/>
      <c r="H201" s="36"/>
      <c r="I201" s="36"/>
      <c r="J201" s="45"/>
      <c r="K201" s="45"/>
      <c r="L201" s="36"/>
      <c r="M201" s="36"/>
      <c r="N201" s="36">
        <f t="shared" si="8"/>
        <v>0</v>
      </c>
    </row>
    <row r="202" spans="1:14" hidden="1" x14ac:dyDescent="0.3">
      <c r="A202" s="35" t="s">
        <v>125</v>
      </c>
      <c r="B202" s="36"/>
      <c r="C202" s="45"/>
      <c r="D202" s="36"/>
      <c r="E202" s="36"/>
      <c r="F202" s="36"/>
      <c r="G202" s="36"/>
      <c r="H202" s="36"/>
      <c r="I202" s="36"/>
      <c r="J202" s="45"/>
      <c r="K202" s="45"/>
      <c r="L202" s="36"/>
      <c r="M202" s="36"/>
      <c r="N202" s="36">
        <f t="shared" si="8"/>
        <v>0</v>
      </c>
    </row>
    <row r="203" spans="1:14" hidden="1" x14ac:dyDescent="0.3">
      <c r="A203" s="35" t="s">
        <v>90</v>
      </c>
      <c r="B203" s="36"/>
      <c r="C203" s="45"/>
      <c r="D203" s="36"/>
      <c r="E203" s="36"/>
      <c r="F203" s="36"/>
      <c r="G203" s="36"/>
      <c r="H203" s="36"/>
      <c r="I203" s="36"/>
      <c r="J203" s="45"/>
      <c r="K203" s="45"/>
      <c r="L203" s="36"/>
      <c r="M203" s="36"/>
      <c r="N203" s="36">
        <f t="shared" si="8"/>
        <v>0</v>
      </c>
    </row>
    <row r="204" spans="1:14" hidden="1" x14ac:dyDescent="0.3">
      <c r="A204" s="35" t="s">
        <v>126</v>
      </c>
      <c r="B204" s="36"/>
      <c r="C204" s="45"/>
      <c r="D204" s="36"/>
      <c r="E204" s="36"/>
      <c r="F204" s="36"/>
      <c r="G204" s="36"/>
      <c r="H204" s="36"/>
      <c r="I204" s="36"/>
      <c r="J204" s="45"/>
      <c r="K204" s="45"/>
      <c r="L204" s="36"/>
      <c r="M204" s="36"/>
      <c r="N204" s="36">
        <f t="shared" si="8"/>
        <v>0</v>
      </c>
    </row>
    <row r="205" spans="1:14" hidden="1" x14ac:dyDescent="0.3">
      <c r="A205" s="35" t="s">
        <v>109</v>
      </c>
      <c r="B205" s="36"/>
      <c r="C205" s="45"/>
      <c r="D205" s="36"/>
      <c r="E205" s="36"/>
      <c r="F205" s="36"/>
      <c r="G205" s="36"/>
      <c r="H205" s="36"/>
      <c r="I205" s="36"/>
      <c r="J205" s="45"/>
      <c r="K205" s="45"/>
      <c r="L205" s="36"/>
      <c r="M205" s="36"/>
      <c r="N205" s="36">
        <f t="shared" si="8"/>
        <v>0</v>
      </c>
    </row>
    <row r="206" spans="1:14" hidden="1" x14ac:dyDescent="0.3">
      <c r="A206" s="35" t="s">
        <v>127</v>
      </c>
      <c r="B206" s="36"/>
      <c r="C206" s="45"/>
      <c r="D206" s="36"/>
      <c r="E206" s="36"/>
      <c r="F206" s="36"/>
      <c r="G206" s="36"/>
      <c r="H206" s="36"/>
      <c r="I206" s="36"/>
      <c r="J206" s="45"/>
      <c r="K206" s="45"/>
      <c r="L206" s="36"/>
      <c r="M206" s="36"/>
      <c r="N206" s="36">
        <f t="shared" si="8"/>
        <v>0</v>
      </c>
    </row>
    <row r="207" spans="1:14" hidden="1" x14ac:dyDescent="0.3">
      <c r="A207" s="35" t="s">
        <v>94</v>
      </c>
      <c r="B207" s="36"/>
      <c r="C207" s="45"/>
      <c r="D207" s="36"/>
      <c r="E207" s="36"/>
      <c r="F207" s="36"/>
      <c r="G207" s="36"/>
      <c r="H207" s="36"/>
      <c r="I207" s="36"/>
      <c r="J207" s="45"/>
      <c r="K207" s="45"/>
      <c r="L207" s="36"/>
      <c r="M207" s="36"/>
      <c r="N207" s="36">
        <f t="shared" si="8"/>
        <v>0</v>
      </c>
    </row>
    <row r="208" spans="1:14" hidden="1" x14ac:dyDescent="0.3">
      <c r="A208" s="35" t="s">
        <v>128</v>
      </c>
      <c r="B208" s="36"/>
      <c r="C208" s="45"/>
      <c r="D208" s="36"/>
      <c r="E208" s="36"/>
      <c r="F208" s="36"/>
      <c r="G208" s="36"/>
      <c r="H208" s="36"/>
      <c r="I208" s="36"/>
      <c r="J208" s="45"/>
      <c r="K208" s="45"/>
      <c r="L208" s="36"/>
      <c r="M208" s="36"/>
      <c r="N208" s="36">
        <f t="shared" si="8"/>
        <v>0</v>
      </c>
    </row>
    <row r="209" spans="1:14" hidden="1" x14ac:dyDescent="0.3">
      <c r="A209" s="35" t="s">
        <v>129</v>
      </c>
      <c r="B209" s="36"/>
      <c r="C209" s="45"/>
      <c r="D209" s="36"/>
      <c r="E209" s="36"/>
      <c r="F209" s="36"/>
      <c r="G209" s="36"/>
      <c r="H209" s="36"/>
      <c r="I209" s="36"/>
      <c r="J209" s="45"/>
      <c r="K209" s="45"/>
      <c r="L209" s="36"/>
      <c r="M209" s="36"/>
      <c r="N209" s="36">
        <f t="shared" ref="N209:N254" si="12">SUM(B209:M209)</f>
        <v>0</v>
      </c>
    </row>
    <row r="210" spans="1:14" hidden="1" x14ac:dyDescent="0.3">
      <c r="A210" s="35" t="s">
        <v>130</v>
      </c>
      <c r="B210" s="36"/>
      <c r="C210" s="45"/>
      <c r="D210" s="36"/>
      <c r="E210" s="36"/>
      <c r="F210" s="36"/>
      <c r="G210" s="36"/>
      <c r="H210" s="36"/>
      <c r="I210" s="36"/>
      <c r="J210" s="45"/>
      <c r="K210" s="45"/>
      <c r="L210" s="36"/>
      <c r="M210" s="36"/>
      <c r="N210" s="36">
        <f t="shared" si="12"/>
        <v>0</v>
      </c>
    </row>
    <row r="211" spans="1:14" hidden="1" x14ac:dyDescent="0.3">
      <c r="A211" s="35" t="s">
        <v>98</v>
      </c>
      <c r="B211" s="36"/>
      <c r="C211" s="45"/>
      <c r="D211" s="36"/>
      <c r="E211" s="36"/>
      <c r="F211" s="36"/>
      <c r="G211" s="36"/>
      <c r="H211" s="36"/>
      <c r="I211" s="36"/>
      <c r="J211" s="45"/>
      <c r="K211" s="45"/>
      <c r="L211" s="36"/>
      <c r="M211" s="36"/>
      <c r="N211" s="36">
        <f t="shared" si="12"/>
        <v>0</v>
      </c>
    </row>
    <row r="212" spans="1:14" hidden="1" x14ac:dyDescent="0.3">
      <c r="A212" s="35" t="s">
        <v>131</v>
      </c>
      <c r="B212" s="36"/>
      <c r="C212" s="45"/>
      <c r="D212" s="36"/>
      <c r="E212" s="36"/>
      <c r="F212" s="36"/>
      <c r="G212" s="36"/>
      <c r="H212" s="36"/>
      <c r="I212" s="36"/>
      <c r="J212" s="45"/>
      <c r="K212" s="45"/>
      <c r="L212" s="36"/>
      <c r="M212" s="36"/>
      <c r="N212" s="36">
        <f t="shared" si="12"/>
        <v>0</v>
      </c>
    </row>
    <row r="213" spans="1:14" hidden="1" x14ac:dyDescent="0.3">
      <c r="A213" s="35" t="s">
        <v>132</v>
      </c>
      <c r="B213" s="36"/>
      <c r="C213" s="45"/>
      <c r="D213" s="36"/>
      <c r="E213" s="36"/>
      <c r="F213" s="36"/>
      <c r="G213" s="36"/>
      <c r="H213" s="36"/>
      <c r="I213" s="36"/>
      <c r="J213" s="45"/>
      <c r="K213" s="45"/>
      <c r="L213" s="36"/>
      <c r="M213" s="36"/>
      <c r="N213" s="36">
        <f t="shared" si="12"/>
        <v>0</v>
      </c>
    </row>
    <row r="214" spans="1:14" hidden="1" x14ac:dyDescent="0.3">
      <c r="A214" s="35" t="s">
        <v>101</v>
      </c>
      <c r="B214" s="36"/>
      <c r="C214" s="45"/>
      <c r="D214" s="36"/>
      <c r="E214" s="36"/>
      <c r="F214" s="36"/>
      <c r="G214" s="36"/>
      <c r="H214" s="36"/>
      <c r="I214" s="36"/>
      <c r="J214" s="45"/>
      <c r="K214" s="45"/>
      <c r="L214" s="36"/>
      <c r="M214" s="36"/>
      <c r="N214" s="36">
        <f t="shared" si="12"/>
        <v>0</v>
      </c>
    </row>
    <row r="215" spans="1:14" hidden="1" x14ac:dyDescent="0.3">
      <c r="A215" s="35" t="s">
        <v>102</v>
      </c>
      <c r="B215" s="36"/>
      <c r="C215" s="45"/>
      <c r="D215" s="36"/>
      <c r="E215" s="36"/>
      <c r="F215" s="36"/>
      <c r="G215" s="36"/>
      <c r="H215" s="36"/>
      <c r="I215" s="36"/>
      <c r="J215" s="45"/>
      <c r="K215" s="45"/>
      <c r="L215" s="36"/>
      <c r="M215" s="36"/>
      <c r="N215" s="36">
        <f t="shared" si="12"/>
        <v>0</v>
      </c>
    </row>
    <row r="216" spans="1:14" hidden="1" x14ac:dyDescent="0.3">
      <c r="A216" s="35" t="s">
        <v>133</v>
      </c>
      <c r="B216" s="36"/>
      <c r="C216" s="45"/>
      <c r="D216" s="36"/>
      <c r="E216" s="36"/>
      <c r="F216" s="36"/>
      <c r="G216" s="36"/>
      <c r="H216" s="36"/>
      <c r="I216" s="36"/>
      <c r="J216" s="45"/>
      <c r="K216" s="45"/>
      <c r="L216" s="36"/>
      <c r="M216" s="36"/>
      <c r="N216" s="36">
        <f t="shared" si="12"/>
        <v>0</v>
      </c>
    </row>
    <row r="217" spans="1:14" hidden="1" x14ac:dyDescent="0.3">
      <c r="A217" s="35" t="s">
        <v>134</v>
      </c>
      <c r="B217" s="36"/>
      <c r="C217" s="45"/>
      <c r="D217" s="36"/>
      <c r="E217" s="36"/>
      <c r="F217" s="36"/>
      <c r="G217" s="36"/>
      <c r="H217" s="36"/>
      <c r="I217" s="36"/>
      <c r="J217" s="45"/>
      <c r="K217" s="45"/>
      <c r="L217" s="36"/>
      <c r="M217" s="36"/>
      <c r="N217" s="36">
        <f t="shared" si="12"/>
        <v>0</v>
      </c>
    </row>
    <row r="218" spans="1:14" hidden="1" x14ac:dyDescent="0.3">
      <c r="A218" s="35" t="s">
        <v>103</v>
      </c>
      <c r="B218" s="36"/>
      <c r="C218" s="45"/>
      <c r="D218" s="36"/>
      <c r="E218" s="36"/>
      <c r="F218" s="36"/>
      <c r="G218" s="36"/>
      <c r="H218" s="36"/>
      <c r="I218" s="36"/>
      <c r="J218" s="45"/>
      <c r="K218" s="45"/>
      <c r="L218" s="36"/>
      <c r="M218" s="36"/>
      <c r="N218" s="36">
        <f t="shared" si="12"/>
        <v>0</v>
      </c>
    </row>
    <row r="219" spans="1:14" hidden="1" x14ac:dyDescent="0.3">
      <c r="A219" s="35" t="s">
        <v>112</v>
      </c>
      <c r="B219" s="36"/>
      <c r="C219" s="45"/>
      <c r="D219" s="36"/>
      <c r="E219" s="36"/>
      <c r="F219" s="36"/>
      <c r="G219" s="36"/>
      <c r="H219" s="36"/>
      <c r="I219" s="36"/>
      <c r="J219" s="45"/>
      <c r="K219" s="45"/>
      <c r="L219" s="36"/>
      <c r="M219" s="36"/>
      <c r="N219" s="36">
        <f t="shared" si="12"/>
        <v>0</v>
      </c>
    </row>
    <row r="220" spans="1:14" hidden="1" x14ac:dyDescent="0.3">
      <c r="A220" s="35" t="s">
        <v>113</v>
      </c>
      <c r="B220" s="36"/>
      <c r="C220" s="45"/>
      <c r="D220" s="36"/>
      <c r="E220" s="36"/>
      <c r="F220" s="36"/>
      <c r="G220" s="36"/>
      <c r="H220" s="36"/>
      <c r="I220" s="36"/>
      <c r="J220" s="45"/>
      <c r="K220" s="45"/>
      <c r="L220" s="36"/>
      <c r="M220" s="36"/>
      <c r="N220" s="36">
        <f t="shared" si="12"/>
        <v>0</v>
      </c>
    </row>
    <row r="221" spans="1:14" hidden="1" x14ac:dyDescent="0.3">
      <c r="A221" s="35" t="s">
        <v>104</v>
      </c>
      <c r="B221" s="36"/>
      <c r="C221" s="45"/>
      <c r="D221" s="36"/>
      <c r="E221" s="36"/>
      <c r="F221" s="36"/>
      <c r="G221" s="36"/>
      <c r="H221" s="36"/>
      <c r="I221" s="36"/>
      <c r="J221" s="45"/>
      <c r="K221" s="45"/>
      <c r="L221" s="36"/>
      <c r="M221" s="36"/>
      <c r="N221" s="36">
        <f t="shared" si="12"/>
        <v>0</v>
      </c>
    </row>
    <row r="222" spans="1:14" hidden="1" x14ac:dyDescent="0.3">
      <c r="A222" s="35" t="s">
        <v>105</v>
      </c>
      <c r="B222" s="36"/>
      <c r="C222" s="45"/>
      <c r="D222" s="36"/>
      <c r="E222" s="36"/>
      <c r="F222" s="36"/>
      <c r="G222" s="36"/>
      <c r="H222" s="36"/>
      <c r="I222" s="36"/>
      <c r="J222" s="45"/>
      <c r="K222" s="45"/>
      <c r="L222" s="36"/>
      <c r="M222" s="36"/>
      <c r="N222" s="36">
        <f t="shared" si="12"/>
        <v>0</v>
      </c>
    </row>
    <row r="223" spans="1:14" hidden="1" x14ac:dyDescent="0.3">
      <c r="A223" s="35" t="s">
        <v>135</v>
      </c>
      <c r="B223" s="36"/>
      <c r="C223" s="45"/>
      <c r="D223" s="36"/>
      <c r="E223" s="36"/>
      <c r="F223" s="36"/>
      <c r="G223" s="36"/>
      <c r="H223" s="36"/>
      <c r="I223" s="36"/>
      <c r="J223" s="45"/>
      <c r="K223" s="45"/>
      <c r="L223" s="36"/>
      <c r="M223" s="36"/>
      <c r="N223" s="36">
        <f t="shared" si="12"/>
        <v>0</v>
      </c>
    </row>
    <row r="224" spans="1:14" hidden="1" x14ac:dyDescent="0.3">
      <c r="A224" s="35" t="s">
        <v>136</v>
      </c>
      <c r="B224" s="36"/>
      <c r="C224" s="45"/>
      <c r="D224" s="36"/>
      <c r="E224" s="36"/>
      <c r="F224" s="36"/>
      <c r="G224" s="36"/>
      <c r="H224" s="36"/>
      <c r="I224" s="36"/>
      <c r="J224" s="45"/>
      <c r="K224" s="45"/>
      <c r="L224" s="36"/>
      <c r="M224" s="36"/>
      <c r="N224" s="36">
        <f t="shared" si="12"/>
        <v>0</v>
      </c>
    </row>
    <row r="225" spans="1:14" x14ac:dyDescent="0.3">
      <c r="A225" s="35"/>
      <c r="B225" s="36"/>
      <c r="C225" s="45"/>
      <c r="D225" s="36"/>
      <c r="E225" s="36"/>
      <c r="F225" s="36"/>
      <c r="G225" s="36"/>
      <c r="H225" s="36"/>
      <c r="I225" s="36"/>
      <c r="J225" s="45"/>
      <c r="K225" s="45"/>
      <c r="L225" s="36"/>
      <c r="M225" s="36"/>
      <c r="N225" s="36"/>
    </row>
    <row r="226" spans="1:14" x14ac:dyDescent="0.3">
      <c r="A226" s="39"/>
      <c r="B226" s="40" t="s">
        <v>76</v>
      </c>
      <c r="C226" s="41" t="s">
        <v>77</v>
      </c>
      <c r="D226" s="40" t="s">
        <v>78</v>
      </c>
      <c r="E226" s="40" t="s">
        <v>79</v>
      </c>
      <c r="F226" s="40" t="s">
        <v>80</v>
      </c>
      <c r="G226" s="40" t="s">
        <v>81</v>
      </c>
      <c r="H226" s="40" t="s">
        <v>82</v>
      </c>
      <c r="I226" s="40" t="s">
        <v>83</v>
      </c>
      <c r="J226" s="41" t="s">
        <v>84</v>
      </c>
      <c r="K226" s="41" t="s">
        <v>85</v>
      </c>
      <c r="L226" s="40" t="s">
        <v>86</v>
      </c>
      <c r="M226" s="40" t="s">
        <v>87</v>
      </c>
      <c r="N226" s="40">
        <v>2019</v>
      </c>
    </row>
    <row r="227" spans="1:14" ht="15.6" x14ac:dyDescent="0.3">
      <c r="A227" s="46" t="s">
        <v>137</v>
      </c>
      <c r="B227" s="42"/>
      <c r="C227" s="44"/>
      <c r="D227" s="42"/>
      <c r="E227" s="42"/>
      <c r="F227" s="42"/>
      <c r="G227" s="42"/>
      <c r="H227" s="42"/>
      <c r="I227" s="42"/>
      <c r="J227" s="44"/>
      <c r="K227" s="43"/>
      <c r="L227" s="42"/>
      <c r="M227" s="42"/>
      <c r="N227" s="42">
        <f t="shared" si="12"/>
        <v>0</v>
      </c>
    </row>
    <row r="228" spans="1:14" x14ac:dyDescent="0.3">
      <c r="A228" s="39" t="s">
        <v>89</v>
      </c>
      <c r="B228" s="43">
        <f t="shared" ref="B228:M233" si="13">+B8+B29+B48+B71+B90+B115+B138+B161+B182+B202</f>
        <v>99542060</v>
      </c>
      <c r="C228" s="43">
        <f t="shared" si="13"/>
        <v>74316583</v>
      </c>
      <c r="D228" s="43">
        <f t="shared" si="13"/>
        <v>79080068</v>
      </c>
      <c r="E228" s="43">
        <f t="shared" si="13"/>
        <v>54366539</v>
      </c>
      <c r="F228" s="43">
        <f t="shared" si="13"/>
        <v>59708225</v>
      </c>
      <c r="G228" s="44">
        <f t="shared" si="13"/>
        <v>62533886</v>
      </c>
      <c r="H228" s="44">
        <f t="shared" si="13"/>
        <v>75778163</v>
      </c>
      <c r="I228" s="44">
        <f t="shared" si="13"/>
        <v>73422831</v>
      </c>
      <c r="J228" s="43">
        <f t="shared" si="13"/>
        <v>67401575</v>
      </c>
      <c r="K228" s="43">
        <f t="shared" si="13"/>
        <v>56612013</v>
      </c>
      <c r="L228" s="44">
        <f t="shared" si="13"/>
        <v>79032602</v>
      </c>
      <c r="M228" s="44">
        <f t="shared" si="13"/>
        <v>83702251</v>
      </c>
      <c r="N228" s="44">
        <f t="shared" si="12"/>
        <v>865496796</v>
      </c>
    </row>
    <row r="229" spans="1:14" x14ac:dyDescent="0.3">
      <c r="A229" s="39" t="s">
        <v>90</v>
      </c>
      <c r="B229" s="43">
        <f t="shared" si="13"/>
        <v>-163891</v>
      </c>
      <c r="C229" s="44">
        <f t="shared" si="13"/>
        <v>-2878</v>
      </c>
      <c r="D229" s="43">
        <f t="shared" si="13"/>
        <v>-2127</v>
      </c>
      <c r="E229" s="43">
        <f t="shared" si="13"/>
        <v>-98841</v>
      </c>
      <c r="F229" s="43">
        <f t="shared" si="13"/>
        <v>-2479</v>
      </c>
      <c r="G229" s="44">
        <f t="shared" si="13"/>
        <v>-79249</v>
      </c>
      <c r="H229" s="44">
        <f t="shared" si="13"/>
        <v>-756</v>
      </c>
      <c r="I229" s="44">
        <f t="shared" si="13"/>
        <v>0</v>
      </c>
      <c r="J229" s="44">
        <f t="shared" si="13"/>
        <v>-71</v>
      </c>
      <c r="K229" s="43">
        <f t="shared" si="13"/>
        <v>91</v>
      </c>
      <c r="L229" s="44">
        <f t="shared" si="13"/>
        <v>7610</v>
      </c>
      <c r="M229" s="44">
        <f t="shared" si="13"/>
        <v>1559</v>
      </c>
      <c r="N229" s="44">
        <f t="shared" si="12"/>
        <v>-341032</v>
      </c>
    </row>
    <row r="230" spans="1:14" x14ac:dyDescent="0.3">
      <c r="A230" s="39" t="s">
        <v>108</v>
      </c>
      <c r="B230" s="43">
        <f t="shared" si="13"/>
        <v>1708862</v>
      </c>
      <c r="C230" s="44">
        <f t="shared" si="13"/>
        <v>1702484</v>
      </c>
      <c r="D230" s="43">
        <f t="shared" si="13"/>
        <v>1706779</v>
      </c>
      <c r="E230" s="43">
        <f t="shared" si="13"/>
        <v>1707602</v>
      </c>
      <c r="F230" s="43">
        <f t="shared" si="13"/>
        <v>1706553</v>
      </c>
      <c r="G230" s="44">
        <f t="shared" si="13"/>
        <v>1705613</v>
      </c>
      <c r="H230" s="44">
        <f t="shared" si="13"/>
        <v>1706455</v>
      </c>
      <c r="I230" s="44">
        <f t="shared" si="13"/>
        <v>1705906</v>
      </c>
      <c r="J230" s="43">
        <f t="shared" si="13"/>
        <v>1701890</v>
      </c>
      <c r="K230" s="43">
        <f t="shared" si="13"/>
        <v>1703352</v>
      </c>
      <c r="L230" s="44">
        <f t="shared" si="13"/>
        <v>1700564</v>
      </c>
      <c r="M230" s="44">
        <f t="shared" si="13"/>
        <v>1700638</v>
      </c>
      <c r="N230" s="44">
        <f t="shared" si="12"/>
        <v>20456698</v>
      </c>
    </row>
    <row r="231" spans="1:14" x14ac:dyDescent="0.3">
      <c r="A231" s="39" t="s">
        <v>111</v>
      </c>
      <c r="B231" s="42">
        <f t="shared" si="13"/>
        <v>0</v>
      </c>
      <c r="C231" s="44">
        <f t="shared" si="13"/>
        <v>0</v>
      </c>
      <c r="D231" s="42">
        <f t="shared" si="13"/>
        <v>-30</v>
      </c>
      <c r="E231" s="42">
        <f t="shared" si="13"/>
        <v>0</v>
      </c>
      <c r="F231" s="44">
        <f t="shared" si="13"/>
        <v>0</v>
      </c>
      <c r="G231" s="44">
        <f t="shared" si="13"/>
        <v>-84</v>
      </c>
      <c r="H231" s="44">
        <f t="shared" si="13"/>
        <v>0</v>
      </c>
      <c r="I231" s="44">
        <f t="shared" si="13"/>
        <v>0</v>
      </c>
      <c r="J231" s="44">
        <f t="shared" si="13"/>
        <v>0</v>
      </c>
      <c r="K231" s="43">
        <f t="shared" si="13"/>
        <v>0</v>
      </c>
      <c r="L231" s="44">
        <f t="shared" si="13"/>
        <v>0</v>
      </c>
      <c r="M231" s="44">
        <f t="shared" si="13"/>
        <v>0</v>
      </c>
      <c r="N231" s="44">
        <f t="shared" si="12"/>
        <v>-114</v>
      </c>
    </row>
    <row r="232" spans="1:14" x14ac:dyDescent="0.3">
      <c r="A232" s="47" t="s">
        <v>93</v>
      </c>
      <c r="B232" s="44">
        <f t="shared" si="13"/>
        <v>9865516.5299999993</v>
      </c>
      <c r="C232" s="44">
        <f t="shared" si="13"/>
        <v>7215746.9099999992</v>
      </c>
      <c r="D232" s="44">
        <f t="shared" si="13"/>
        <v>7619640.1499999994</v>
      </c>
      <c r="E232" s="44">
        <f t="shared" si="13"/>
        <v>5235609.2700000014</v>
      </c>
      <c r="F232" s="44">
        <f t="shared" si="13"/>
        <v>5742100.8699999992</v>
      </c>
      <c r="G232" s="44">
        <f t="shared" si="13"/>
        <v>6184709.9399999995</v>
      </c>
      <c r="H232" s="44">
        <f t="shared" si="13"/>
        <v>7128893.7000000011</v>
      </c>
      <c r="I232" s="44">
        <f t="shared" si="13"/>
        <v>6889379.1400000015</v>
      </c>
      <c r="J232" s="44">
        <f t="shared" si="13"/>
        <v>6223701.8200000012</v>
      </c>
      <c r="K232" s="44">
        <f t="shared" si="13"/>
        <v>5223053.7800000012</v>
      </c>
      <c r="L232" s="44">
        <f t="shared" si="13"/>
        <v>7443662.669999999</v>
      </c>
      <c r="M232" s="44">
        <f t="shared" si="13"/>
        <v>8006863.9299999997</v>
      </c>
      <c r="N232" s="44">
        <f t="shared" si="12"/>
        <v>82778878.710000008</v>
      </c>
    </row>
    <row r="233" spans="1:14" x14ac:dyDescent="0.3">
      <c r="A233" s="47" t="s">
        <v>94</v>
      </c>
      <c r="B233" s="44">
        <f t="shared" si="13"/>
        <v>-17426.2</v>
      </c>
      <c r="C233" s="44">
        <f t="shared" si="13"/>
        <v>426.02999999999975</v>
      </c>
      <c r="D233" s="44">
        <f t="shared" si="13"/>
        <v>3995.4700000000003</v>
      </c>
      <c r="E233" s="44">
        <f t="shared" si="13"/>
        <v>-9512.43</v>
      </c>
      <c r="F233" s="44">
        <f t="shared" si="13"/>
        <v>579.01999999999987</v>
      </c>
      <c r="G233" s="44">
        <f t="shared" si="13"/>
        <v>-8172.130000000001</v>
      </c>
      <c r="H233" s="44">
        <f t="shared" si="13"/>
        <v>503.1699999999999</v>
      </c>
      <c r="I233" s="44">
        <f t="shared" si="13"/>
        <v>443.40999999999997</v>
      </c>
      <c r="J233" s="44">
        <f t="shared" si="13"/>
        <v>-116.50999999999999</v>
      </c>
      <c r="K233" s="44">
        <f t="shared" si="13"/>
        <v>357.3</v>
      </c>
      <c r="L233" s="44">
        <f t="shared" si="13"/>
        <v>1066.369999999999</v>
      </c>
      <c r="M233" s="44">
        <f t="shared" si="13"/>
        <v>178.53</v>
      </c>
      <c r="N233" s="44">
        <f t="shared" si="12"/>
        <v>-27677.970000000005</v>
      </c>
    </row>
    <row r="234" spans="1:14" x14ac:dyDescent="0.3">
      <c r="A234" s="47" t="s">
        <v>95</v>
      </c>
      <c r="B234" s="44">
        <f t="shared" ref="B234:M235" si="14">+B14+B54+B96+B121+B144+B167+B188+B208</f>
        <v>940028.35</v>
      </c>
      <c r="C234" s="44">
        <f t="shared" si="14"/>
        <v>937320.52</v>
      </c>
      <c r="D234" s="44">
        <f t="shared" si="14"/>
        <v>939309.72999999986</v>
      </c>
      <c r="E234" s="44">
        <f t="shared" si="14"/>
        <v>939488.28999999992</v>
      </c>
      <c r="F234" s="44">
        <f t="shared" si="14"/>
        <v>940369.97999999986</v>
      </c>
      <c r="G234" s="44">
        <f t="shared" si="14"/>
        <v>939683.5199999999</v>
      </c>
      <c r="H234" s="44">
        <f t="shared" si="14"/>
        <v>1291964.8400000001</v>
      </c>
      <c r="I234" s="44">
        <f t="shared" si="14"/>
        <v>1290832.3400000001</v>
      </c>
      <c r="J234" s="44">
        <f t="shared" si="14"/>
        <v>1288825.57</v>
      </c>
      <c r="K234" s="44">
        <f t="shared" si="14"/>
        <v>1291102.1700000002</v>
      </c>
      <c r="L234" s="44">
        <f t="shared" si="14"/>
        <v>1290834.53</v>
      </c>
      <c r="M234" s="44">
        <f t="shared" si="14"/>
        <v>1291313.2300000002</v>
      </c>
      <c r="N234" s="44">
        <f t="shared" si="12"/>
        <v>13381073.069999998</v>
      </c>
    </row>
    <row r="235" spans="1:14" x14ac:dyDescent="0.3">
      <c r="A235" s="47" t="s">
        <v>96</v>
      </c>
      <c r="B235" s="44">
        <f t="shared" si="14"/>
        <v>0</v>
      </c>
      <c r="C235" s="44">
        <f t="shared" si="14"/>
        <v>-779.15</v>
      </c>
      <c r="D235" s="44">
        <f t="shared" si="14"/>
        <v>-2567.9499999999998</v>
      </c>
      <c r="E235" s="44">
        <f t="shared" si="14"/>
        <v>-180.29</v>
      </c>
      <c r="F235" s="44">
        <f t="shared" si="14"/>
        <v>-29.05</v>
      </c>
      <c r="G235" s="44">
        <f t="shared" si="14"/>
        <v>-26.74</v>
      </c>
      <c r="H235" s="44">
        <f t="shared" si="14"/>
        <v>-103.98999999999998</v>
      </c>
      <c r="I235" s="44">
        <f t="shared" si="14"/>
        <v>0</v>
      </c>
      <c r="J235" s="44">
        <f t="shared" si="14"/>
        <v>-145.52000000000001</v>
      </c>
      <c r="K235" s="44">
        <f t="shared" si="14"/>
        <v>-55.25</v>
      </c>
      <c r="L235" s="44">
        <f t="shared" si="14"/>
        <v>-18.399999999999999</v>
      </c>
      <c r="M235" s="44">
        <f t="shared" si="14"/>
        <v>0</v>
      </c>
      <c r="N235" s="44">
        <f t="shared" si="12"/>
        <v>-3906.3399999999997</v>
      </c>
    </row>
    <row r="236" spans="1:14" x14ac:dyDescent="0.3">
      <c r="A236" s="47" t="s">
        <v>116</v>
      </c>
      <c r="B236" s="44">
        <f t="shared" ref="B236:M241" si="15">+B16+B35+B56+B77+B98+B123+B146+B169+B190+B210</f>
        <v>-274014.60999999993</v>
      </c>
      <c r="C236" s="44">
        <f t="shared" si="15"/>
        <v>126073.91</v>
      </c>
      <c r="D236" s="44">
        <f t="shared" si="15"/>
        <v>-289344.35000000003</v>
      </c>
      <c r="E236" s="44">
        <f t="shared" si="15"/>
        <v>-121523.27</v>
      </c>
      <c r="F236" s="44">
        <f t="shared" si="15"/>
        <v>-363670.74000000005</v>
      </c>
      <c r="G236" s="44">
        <f t="shared" si="15"/>
        <v>-166648.9</v>
      </c>
      <c r="H236" s="44">
        <f t="shared" si="15"/>
        <v>-455864.42</v>
      </c>
      <c r="I236" s="44">
        <f t="shared" si="15"/>
        <v>-247432.38999999996</v>
      </c>
      <c r="J236" s="44">
        <f t="shared" si="15"/>
        <v>-275698.52999999997</v>
      </c>
      <c r="K236" s="44">
        <f t="shared" si="15"/>
        <v>-273322.95999999996</v>
      </c>
      <c r="L236" s="44">
        <f t="shared" si="15"/>
        <v>-543853.31000000006</v>
      </c>
      <c r="M236" s="44">
        <f t="shared" si="15"/>
        <v>-620637.66999999993</v>
      </c>
      <c r="N236" s="44">
        <f t="shared" si="12"/>
        <v>-3505937.2399999998</v>
      </c>
    </row>
    <row r="237" spans="1:14" x14ac:dyDescent="0.3">
      <c r="A237" s="47" t="s">
        <v>98</v>
      </c>
      <c r="B237" s="44">
        <f t="shared" si="15"/>
        <v>621.87</v>
      </c>
      <c r="C237" s="44">
        <f t="shared" si="15"/>
        <v>5.7299999999999898</v>
      </c>
      <c r="D237" s="44">
        <f t="shared" si="15"/>
        <v>7.0099999999998772</v>
      </c>
      <c r="E237" s="44">
        <f t="shared" si="15"/>
        <v>429.33</v>
      </c>
      <c r="F237" s="44">
        <f t="shared" si="15"/>
        <v>4.95</v>
      </c>
      <c r="G237" s="44">
        <f t="shared" si="15"/>
        <v>186.05</v>
      </c>
      <c r="H237" s="44">
        <f t="shared" si="15"/>
        <v>3.5799999999999996</v>
      </c>
      <c r="I237" s="44">
        <f t="shared" si="15"/>
        <v>11.94</v>
      </c>
      <c r="J237" s="44">
        <f t="shared" si="15"/>
        <v>3.27</v>
      </c>
      <c r="K237" s="44">
        <f t="shared" si="15"/>
        <v>3.2</v>
      </c>
      <c r="L237" s="44">
        <f t="shared" si="15"/>
        <v>190.57000000000005</v>
      </c>
      <c r="M237" s="44">
        <f t="shared" si="15"/>
        <v>62.78</v>
      </c>
      <c r="N237" s="44">
        <f t="shared" si="12"/>
        <v>1530.28</v>
      </c>
    </row>
    <row r="238" spans="1:14" x14ac:dyDescent="0.3">
      <c r="A238" s="47" t="s">
        <v>99</v>
      </c>
      <c r="B238" s="44">
        <f t="shared" si="15"/>
        <v>239009.52000000002</v>
      </c>
      <c r="C238" s="44">
        <f t="shared" si="15"/>
        <v>231431.05000000002</v>
      </c>
      <c r="D238" s="44">
        <f t="shared" si="15"/>
        <v>232293.05</v>
      </c>
      <c r="E238" s="44">
        <f t="shared" si="15"/>
        <v>232978.16999999998</v>
      </c>
      <c r="F238" s="44">
        <f t="shared" si="15"/>
        <v>232900.72</v>
      </c>
      <c r="G238" s="44">
        <f t="shared" si="15"/>
        <v>232689.5</v>
      </c>
      <c r="H238" s="44">
        <f t="shared" si="15"/>
        <v>233234.44999999998</v>
      </c>
      <c r="I238" s="44">
        <f t="shared" si="15"/>
        <v>232904.44</v>
      </c>
      <c r="J238" s="44">
        <f t="shared" si="15"/>
        <v>233179.99</v>
      </c>
      <c r="K238" s="44">
        <f t="shared" si="15"/>
        <v>233441.67</v>
      </c>
      <c r="L238" s="44">
        <f t="shared" si="15"/>
        <v>233112.04</v>
      </c>
      <c r="M238" s="44">
        <f t="shared" si="15"/>
        <v>233393.94</v>
      </c>
      <c r="N238" s="44">
        <f t="shared" si="12"/>
        <v>2800568.5399999996</v>
      </c>
    </row>
    <row r="239" spans="1:14" x14ac:dyDescent="0.3">
      <c r="A239" s="47" t="s">
        <v>100</v>
      </c>
      <c r="B239" s="44">
        <f t="shared" si="15"/>
        <v>-2164.81</v>
      </c>
      <c r="C239" s="44">
        <f t="shared" si="15"/>
        <v>-1.2600000000000016</v>
      </c>
      <c r="D239" s="44">
        <f t="shared" si="15"/>
        <v>-76.459999999999994</v>
      </c>
      <c r="E239" s="44">
        <f t="shared" si="15"/>
        <v>-840.79999999999984</v>
      </c>
      <c r="F239" s="44">
        <f t="shared" si="15"/>
        <v>0</v>
      </c>
      <c r="G239" s="44">
        <f t="shared" si="15"/>
        <v>-446.66999999999996</v>
      </c>
      <c r="H239" s="44">
        <f t="shared" si="15"/>
        <v>-310.5</v>
      </c>
      <c r="I239" s="44">
        <f t="shared" si="15"/>
        <v>-502.87</v>
      </c>
      <c r="J239" s="44">
        <f t="shared" si="15"/>
        <v>-177.99</v>
      </c>
      <c r="K239" s="44">
        <f t="shared" si="15"/>
        <v>-765.81</v>
      </c>
      <c r="L239" s="44">
        <f t="shared" si="15"/>
        <v>-184.32</v>
      </c>
      <c r="M239" s="44">
        <f t="shared" si="15"/>
        <v>-3438.19</v>
      </c>
      <c r="N239" s="44">
        <f t="shared" si="12"/>
        <v>-8909.68</v>
      </c>
    </row>
    <row r="240" spans="1:14" x14ac:dyDescent="0.3">
      <c r="A240" s="39" t="s">
        <v>101</v>
      </c>
      <c r="B240" s="44">
        <f t="shared" si="15"/>
        <v>912460.95999999985</v>
      </c>
      <c r="C240" s="44">
        <f t="shared" si="15"/>
        <v>595923.06999999995</v>
      </c>
      <c r="D240" s="44">
        <f t="shared" si="15"/>
        <v>583933.75</v>
      </c>
      <c r="E240" s="44">
        <f t="shared" si="15"/>
        <v>526918.26</v>
      </c>
      <c r="F240" s="44">
        <f t="shared" si="15"/>
        <v>572814.2300000001</v>
      </c>
      <c r="G240" s="44">
        <f t="shared" si="15"/>
        <v>739442.82</v>
      </c>
      <c r="H240" s="44">
        <f t="shared" si="15"/>
        <v>838325.27000000014</v>
      </c>
      <c r="I240" s="44">
        <f t="shared" si="15"/>
        <v>822116.12</v>
      </c>
      <c r="J240" s="44">
        <f t="shared" si="15"/>
        <v>657616.7899999998</v>
      </c>
      <c r="K240" s="44">
        <f t="shared" si="15"/>
        <v>584064.84</v>
      </c>
      <c r="L240" s="44">
        <f t="shared" si="15"/>
        <v>808002.57999999984</v>
      </c>
      <c r="M240" s="44">
        <f t="shared" si="15"/>
        <v>947339.94000000006</v>
      </c>
      <c r="N240" s="44">
        <f t="shared" si="12"/>
        <v>8588958.6300000008</v>
      </c>
    </row>
    <row r="241" spans="1:17" x14ac:dyDescent="0.3">
      <c r="A241" s="39" t="s">
        <v>102</v>
      </c>
      <c r="B241" s="42">
        <f t="shared" si="15"/>
        <v>-1478.46</v>
      </c>
      <c r="C241" s="44">
        <f t="shared" si="15"/>
        <v>-29.169999999999998</v>
      </c>
      <c r="D241" s="42">
        <f t="shared" si="15"/>
        <v>20</v>
      </c>
      <c r="E241" s="42">
        <f t="shared" si="15"/>
        <v>-666.85</v>
      </c>
      <c r="F241" s="44">
        <f t="shared" si="15"/>
        <v>-16.649999999999999</v>
      </c>
      <c r="G241" s="44">
        <f t="shared" si="15"/>
        <v>-843.5</v>
      </c>
      <c r="H241" s="44">
        <f t="shared" si="15"/>
        <v>-14.11</v>
      </c>
      <c r="I241" s="44">
        <f t="shared" si="15"/>
        <v>0</v>
      </c>
      <c r="J241" s="44">
        <f t="shared" si="15"/>
        <v>-17.75</v>
      </c>
      <c r="K241" s="44">
        <f t="shared" si="15"/>
        <v>-69.73</v>
      </c>
      <c r="L241" s="44">
        <f t="shared" si="15"/>
        <v>86.649999999999977</v>
      </c>
      <c r="M241" s="44">
        <f t="shared" si="15"/>
        <v>15</v>
      </c>
      <c r="N241" s="44">
        <f t="shared" si="12"/>
        <v>-3014.57</v>
      </c>
    </row>
    <row r="242" spans="1:17" x14ac:dyDescent="0.3">
      <c r="A242" s="47" t="s">
        <v>138</v>
      </c>
      <c r="B242" s="44">
        <f t="shared" ref="B242:M243" si="16">+B104+B129+B152+B216</f>
        <v>217094.27000000002</v>
      </c>
      <c r="C242" s="44">
        <f t="shared" si="16"/>
        <v>210393.71999999997</v>
      </c>
      <c r="D242" s="44">
        <f t="shared" si="16"/>
        <v>215201.33</v>
      </c>
      <c r="E242" s="44">
        <f t="shared" si="16"/>
        <v>213871</v>
      </c>
      <c r="F242" s="44">
        <f t="shared" si="16"/>
        <v>224029.16999999998</v>
      </c>
      <c r="G242" s="44">
        <f t="shared" si="16"/>
        <v>226735.66999999998</v>
      </c>
      <c r="H242" s="44">
        <f t="shared" si="16"/>
        <v>232684.90000000002</v>
      </c>
      <c r="I242" s="44">
        <f t="shared" si="16"/>
        <v>229569.61</v>
      </c>
      <c r="J242" s="44">
        <f t="shared" si="16"/>
        <v>225982.93</v>
      </c>
      <c r="K242" s="44">
        <f t="shared" si="16"/>
        <v>226660.78</v>
      </c>
      <c r="L242" s="44">
        <f t="shared" si="16"/>
        <v>227309.72999999998</v>
      </c>
      <c r="M242" s="44">
        <f t="shared" si="16"/>
        <v>208826.48</v>
      </c>
      <c r="N242" s="44">
        <f t="shared" si="12"/>
        <v>2658359.59</v>
      </c>
    </row>
    <row r="243" spans="1:17" x14ac:dyDescent="0.3">
      <c r="A243" s="39" t="s">
        <v>134</v>
      </c>
      <c r="B243" s="42">
        <f t="shared" si="16"/>
        <v>0</v>
      </c>
      <c r="C243" s="44">
        <f t="shared" si="16"/>
        <v>0</v>
      </c>
      <c r="D243" s="42">
        <f t="shared" si="16"/>
        <v>0</v>
      </c>
      <c r="E243" s="42">
        <f t="shared" si="16"/>
        <v>0</v>
      </c>
      <c r="F243" s="44">
        <f t="shared" si="16"/>
        <v>0</v>
      </c>
      <c r="G243" s="44">
        <f t="shared" si="16"/>
        <v>0</v>
      </c>
      <c r="H243" s="44">
        <f t="shared" si="16"/>
        <v>0</v>
      </c>
      <c r="I243" s="44">
        <f t="shared" si="16"/>
        <v>0</v>
      </c>
      <c r="J243" s="44">
        <f t="shared" si="16"/>
        <v>0</v>
      </c>
      <c r="K243" s="44">
        <f t="shared" si="16"/>
        <v>0</v>
      </c>
      <c r="L243" s="44">
        <f t="shared" si="16"/>
        <v>0</v>
      </c>
      <c r="M243" s="44">
        <f t="shared" si="16"/>
        <v>0</v>
      </c>
      <c r="N243" s="44">
        <f t="shared" si="12"/>
        <v>0</v>
      </c>
    </row>
    <row r="244" spans="1:17" x14ac:dyDescent="0.3">
      <c r="A244" s="47" t="s">
        <v>103</v>
      </c>
      <c r="B244" s="42">
        <f t="shared" ref="B244:M244" si="17">+B22+B41+B62+B83+B106+B131+B154+B175+B196+B218</f>
        <v>826.77</v>
      </c>
      <c r="C244" s="44">
        <f t="shared" si="17"/>
        <v>829.52</v>
      </c>
      <c r="D244" s="42">
        <f t="shared" si="17"/>
        <v>826.77</v>
      </c>
      <c r="E244" s="42">
        <f t="shared" si="17"/>
        <v>821.27</v>
      </c>
      <c r="F244" s="44">
        <f t="shared" si="17"/>
        <v>821.27</v>
      </c>
      <c r="G244" s="44">
        <f t="shared" si="17"/>
        <v>815.77</v>
      </c>
      <c r="H244" s="44">
        <f t="shared" si="17"/>
        <v>818.52</v>
      </c>
      <c r="I244" s="44">
        <f t="shared" si="17"/>
        <v>818.52</v>
      </c>
      <c r="J244" s="44">
        <f t="shared" si="17"/>
        <v>815.77</v>
      </c>
      <c r="K244" s="44">
        <f t="shared" si="17"/>
        <v>30695.54</v>
      </c>
      <c r="L244" s="44">
        <f t="shared" si="17"/>
        <v>815.77</v>
      </c>
      <c r="M244" s="44">
        <f t="shared" si="17"/>
        <v>815.77</v>
      </c>
      <c r="N244" s="44">
        <f t="shared" si="12"/>
        <v>39721.259999999995</v>
      </c>
    </row>
    <row r="245" spans="1:17" x14ac:dyDescent="0.3">
      <c r="A245" s="39" t="s">
        <v>112</v>
      </c>
      <c r="B245" s="43">
        <f t="shared" ref="B245:M246" si="18">+B63+B107+B219</f>
        <v>0</v>
      </c>
      <c r="C245" s="44">
        <f t="shared" si="18"/>
        <v>0</v>
      </c>
      <c r="D245" s="42">
        <f t="shared" si="18"/>
        <v>0</v>
      </c>
      <c r="E245" s="42">
        <f t="shared" si="18"/>
        <v>0</v>
      </c>
      <c r="F245" s="44">
        <f t="shared" si="18"/>
        <v>0</v>
      </c>
      <c r="G245" s="44">
        <f t="shared" si="18"/>
        <v>0</v>
      </c>
      <c r="H245" s="44">
        <f t="shared" si="18"/>
        <v>0</v>
      </c>
      <c r="I245" s="44">
        <f t="shared" si="18"/>
        <v>0</v>
      </c>
      <c r="J245" s="44">
        <f t="shared" si="18"/>
        <v>0</v>
      </c>
      <c r="K245" s="44">
        <f t="shared" si="18"/>
        <v>0</v>
      </c>
      <c r="L245" s="44">
        <f t="shared" si="18"/>
        <v>0</v>
      </c>
      <c r="M245" s="44">
        <f t="shared" si="18"/>
        <v>0</v>
      </c>
      <c r="N245" s="44">
        <f t="shared" si="12"/>
        <v>0</v>
      </c>
    </row>
    <row r="246" spans="1:17" x14ac:dyDescent="0.3">
      <c r="A246" s="39" t="s">
        <v>113</v>
      </c>
      <c r="B246" s="42">
        <f t="shared" si="18"/>
        <v>101090</v>
      </c>
      <c r="C246" s="44">
        <f t="shared" si="18"/>
        <v>82572</v>
      </c>
      <c r="D246" s="44">
        <f t="shared" si="18"/>
        <v>84472</v>
      </c>
      <c r="E246" s="44">
        <f t="shared" si="18"/>
        <v>66089</v>
      </c>
      <c r="F246" s="43">
        <f t="shared" si="18"/>
        <v>71309</v>
      </c>
      <c r="G246" s="44">
        <f t="shared" si="18"/>
        <v>70938</v>
      </c>
      <c r="H246" s="44">
        <f t="shared" si="18"/>
        <v>80908</v>
      </c>
      <c r="I246" s="44">
        <f t="shared" si="18"/>
        <v>82028</v>
      </c>
      <c r="J246" s="44">
        <f t="shared" si="18"/>
        <v>76727</v>
      </c>
      <c r="K246" s="44">
        <f t="shared" si="18"/>
        <v>72648</v>
      </c>
      <c r="L246" s="44">
        <f t="shared" si="18"/>
        <v>82841</v>
      </c>
      <c r="M246" s="44">
        <f t="shared" si="18"/>
        <v>94583</v>
      </c>
      <c r="N246" s="44">
        <f t="shared" si="12"/>
        <v>966205</v>
      </c>
    </row>
    <row r="247" spans="1:17" x14ac:dyDescent="0.3">
      <c r="A247" s="39" t="s">
        <v>104</v>
      </c>
      <c r="B247" s="43">
        <f t="shared" ref="B247:M248" si="19">+B23+B42+B65+B84+B109+B132+B155+B176+B197+B221</f>
        <v>52253</v>
      </c>
      <c r="C247" s="44">
        <f t="shared" si="19"/>
        <v>52404</v>
      </c>
      <c r="D247" s="43">
        <f t="shared" si="19"/>
        <v>52140</v>
      </c>
      <c r="E247" s="44">
        <f t="shared" si="19"/>
        <v>52143</v>
      </c>
      <c r="F247" s="43">
        <f t="shared" si="19"/>
        <v>51993</v>
      </c>
      <c r="G247" s="44">
        <f t="shared" si="19"/>
        <v>51730</v>
      </c>
      <c r="H247" s="44">
        <f t="shared" si="19"/>
        <v>51871</v>
      </c>
      <c r="I247" s="44">
        <f t="shared" si="19"/>
        <v>51871</v>
      </c>
      <c r="J247" s="44">
        <f t="shared" si="19"/>
        <v>51725</v>
      </c>
      <c r="K247" s="44">
        <f t="shared" si="19"/>
        <v>52132</v>
      </c>
      <c r="L247" s="44">
        <f t="shared" si="19"/>
        <v>52152</v>
      </c>
      <c r="M247" s="44">
        <f t="shared" si="19"/>
        <v>52169</v>
      </c>
      <c r="N247" s="44">
        <f t="shared" si="12"/>
        <v>624583</v>
      </c>
    </row>
    <row r="248" spans="1:17" x14ac:dyDescent="0.3">
      <c r="A248" s="39" t="s">
        <v>105</v>
      </c>
      <c r="B248" s="42">
        <f t="shared" si="19"/>
        <v>1794</v>
      </c>
      <c r="C248" s="44">
        <f t="shared" si="19"/>
        <v>1770</v>
      </c>
      <c r="D248" s="43">
        <f t="shared" si="19"/>
        <v>1641</v>
      </c>
      <c r="E248" s="44">
        <f t="shared" si="19"/>
        <v>1585</v>
      </c>
      <c r="F248" s="43">
        <f t="shared" si="19"/>
        <v>1553</v>
      </c>
      <c r="G248" s="44">
        <f t="shared" si="19"/>
        <v>1572</v>
      </c>
      <c r="H248" s="44">
        <f t="shared" si="19"/>
        <v>1601</v>
      </c>
      <c r="I248" s="44">
        <f t="shared" si="19"/>
        <v>1604</v>
      </c>
      <c r="J248" s="44">
        <f t="shared" si="19"/>
        <v>1586</v>
      </c>
      <c r="K248" s="44">
        <f t="shared" si="19"/>
        <v>1551</v>
      </c>
      <c r="L248" s="44">
        <f t="shared" si="19"/>
        <v>1617</v>
      </c>
      <c r="M248" s="44">
        <f t="shared" si="19"/>
        <v>1679</v>
      </c>
      <c r="N248" s="44">
        <f t="shared" si="12"/>
        <v>19553</v>
      </c>
    </row>
    <row r="249" spans="1:17" x14ac:dyDescent="0.3">
      <c r="A249" s="48" t="s">
        <v>139</v>
      </c>
      <c r="B249" s="36">
        <v>-192375</v>
      </c>
      <c r="C249" s="49">
        <v>-258537</v>
      </c>
      <c r="D249" s="50">
        <v>121093</v>
      </c>
      <c r="E249" s="49">
        <v>112973</v>
      </c>
      <c r="F249" s="50">
        <v>129684</v>
      </c>
      <c r="G249" s="49">
        <v>-134617</v>
      </c>
      <c r="H249" s="49">
        <v>-147486</v>
      </c>
      <c r="I249" s="49">
        <v>-176915</v>
      </c>
      <c r="J249" s="49">
        <v>-52694</v>
      </c>
      <c r="K249" s="49">
        <v>63321</v>
      </c>
      <c r="L249" s="49">
        <v>-114983</v>
      </c>
      <c r="M249" s="49">
        <v>239256</v>
      </c>
      <c r="N249" s="49">
        <f t="shared" si="12"/>
        <v>-411280</v>
      </c>
    </row>
    <row r="250" spans="1:17" x14ac:dyDescent="0.3">
      <c r="A250" s="35"/>
      <c r="B250" s="38">
        <f>B25+B44+B67+B86+B111+B134+B157+B178+B199</f>
        <v>-192375</v>
      </c>
      <c r="C250" s="38">
        <f t="shared" ref="C250:M250" si="20">C25+C44+C67+C86+C111+C134+C157+C178+C199</f>
        <v>-258537</v>
      </c>
      <c r="D250" s="38">
        <f t="shared" si="20"/>
        <v>121093</v>
      </c>
      <c r="E250" s="38">
        <f t="shared" si="20"/>
        <v>112973</v>
      </c>
      <c r="F250" s="38">
        <f t="shared" si="20"/>
        <v>129684</v>
      </c>
      <c r="G250" s="38">
        <f t="shared" si="20"/>
        <v>-134617</v>
      </c>
      <c r="H250" s="38">
        <f t="shared" si="20"/>
        <v>-147486</v>
      </c>
      <c r="I250" s="38">
        <f t="shared" si="20"/>
        <v>-176915</v>
      </c>
      <c r="J250" s="38">
        <f t="shared" si="20"/>
        <v>-52694</v>
      </c>
      <c r="K250" s="38">
        <f t="shared" si="20"/>
        <v>63321</v>
      </c>
      <c r="L250" s="38">
        <f t="shared" si="20"/>
        <v>-114983</v>
      </c>
      <c r="M250" s="38">
        <f t="shared" si="20"/>
        <v>239256</v>
      </c>
      <c r="N250" s="38">
        <f t="shared" si="12"/>
        <v>-411280</v>
      </c>
    </row>
    <row r="251" spans="1:17" x14ac:dyDescent="0.3">
      <c r="P251" s="52" t="s">
        <v>140</v>
      </c>
      <c r="Q251" s="52" t="s">
        <v>72</v>
      </c>
    </row>
    <row r="252" spans="1:17" x14ac:dyDescent="0.3">
      <c r="A252" s="51" t="s">
        <v>141</v>
      </c>
      <c r="B252" s="53">
        <f>SUM(B228:B231)</f>
        <v>101087031</v>
      </c>
      <c r="C252" s="53">
        <f t="shared" ref="C252:M252" si="21">SUM(C228:C231)</f>
        <v>76016189</v>
      </c>
      <c r="D252" s="53">
        <f t="shared" si="21"/>
        <v>80784690</v>
      </c>
      <c r="E252" s="53">
        <f t="shared" si="21"/>
        <v>55975300</v>
      </c>
      <c r="F252" s="53">
        <f t="shared" si="21"/>
        <v>61412299</v>
      </c>
      <c r="G252" s="53">
        <f t="shared" si="21"/>
        <v>64160166</v>
      </c>
      <c r="H252" s="53">
        <f t="shared" si="21"/>
        <v>77483862</v>
      </c>
      <c r="I252" s="53">
        <f t="shared" si="21"/>
        <v>75128737</v>
      </c>
      <c r="J252" s="53">
        <f t="shared" si="21"/>
        <v>69103394</v>
      </c>
      <c r="K252" s="53">
        <f t="shared" si="21"/>
        <v>58315456</v>
      </c>
      <c r="L252" s="53">
        <f t="shared" si="21"/>
        <v>80740776</v>
      </c>
      <c r="M252" s="53">
        <f t="shared" si="21"/>
        <v>85404448</v>
      </c>
      <c r="N252" s="53">
        <f>SUM(B252:M252)-N246</f>
        <v>884646143</v>
      </c>
      <c r="P252" s="54">
        <v>884646143</v>
      </c>
      <c r="Q252" s="55">
        <f>P252-N252</f>
        <v>0</v>
      </c>
    </row>
    <row r="253" spans="1:17" x14ac:dyDescent="0.3">
      <c r="A253" s="51" t="s">
        <v>142</v>
      </c>
      <c r="B253" s="56">
        <f>SUM(B232:B239)+B249+B242+B244</f>
        <v>10777116.689999998</v>
      </c>
      <c r="C253" s="56">
        <f>SUM(C232:C239)+C249+C242+C244</f>
        <v>8462909.9800000004</v>
      </c>
      <c r="D253" s="56">
        <f t="shared" ref="D253:M253" si="22">SUM(D232:D239)+D249+D242+D244</f>
        <v>8840377.75</v>
      </c>
      <c r="E253" s="56">
        <f t="shared" si="22"/>
        <v>6604113.5400000019</v>
      </c>
      <c r="F253" s="56">
        <f t="shared" si="22"/>
        <v>6906790.1899999976</v>
      </c>
      <c r="G253" s="56">
        <f t="shared" si="22"/>
        <v>7274909.0099999979</v>
      </c>
      <c r="H253" s="56">
        <f t="shared" si="22"/>
        <v>8284338.2500000009</v>
      </c>
      <c r="I253" s="56">
        <f t="shared" si="22"/>
        <v>8219109.1400000025</v>
      </c>
      <c r="J253" s="56">
        <f t="shared" si="22"/>
        <v>7643676.8000000007</v>
      </c>
      <c r="K253" s="56">
        <f t="shared" si="22"/>
        <v>6794491.4200000018</v>
      </c>
      <c r="L253" s="56">
        <f t="shared" si="22"/>
        <v>8537952.6499999966</v>
      </c>
      <c r="M253" s="56">
        <f t="shared" si="22"/>
        <v>9356634.7999999989</v>
      </c>
      <c r="N253" s="56">
        <f>SUM(B253:M253)</f>
        <v>97702420.219999984</v>
      </c>
      <c r="P253" s="54">
        <v>97702420</v>
      </c>
      <c r="Q253" s="55">
        <f t="shared" ref="Q253:Q254" si="23">P253-N253</f>
        <v>-0.21999998390674591</v>
      </c>
    </row>
    <row r="254" spans="1:17" x14ac:dyDescent="0.3">
      <c r="A254" s="51" t="s">
        <v>143</v>
      </c>
      <c r="B254" s="57">
        <f>B246</f>
        <v>101090</v>
      </c>
      <c r="C254" s="57">
        <f t="shared" ref="C254:M254" si="24">C246</f>
        <v>82572</v>
      </c>
      <c r="D254" s="57">
        <f t="shared" si="24"/>
        <v>84472</v>
      </c>
      <c r="E254" s="57">
        <f t="shared" si="24"/>
        <v>66089</v>
      </c>
      <c r="F254" s="57">
        <f t="shared" si="24"/>
        <v>71309</v>
      </c>
      <c r="G254" s="57">
        <f t="shared" si="24"/>
        <v>70938</v>
      </c>
      <c r="H254" s="57">
        <f t="shared" si="24"/>
        <v>80908</v>
      </c>
      <c r="I254" s="57">
        <f t="shared" si="24"/>
        <v>82028</v>
      </c>
      <c r="J254" s="57">
        <f t="shared" si="24"/>
        <v>76727</v>
      </c>
      <c r="K254" s="57">
        <f t="shared" si="24"/>
        <v>72648</v>
      </c>
      <c r="L254" s="57">
        <f t="shared" si="24"/>
        <v>82841</v>
      </c>
      <c r="M254" s="57">
        <f t="shared" si="24"/>
        <v>94583</v>
      </c>
      <c r="N254" s="57">
        <f t="shared" si="12"/>
        <v>966205</v>
      </c>
      <c r="P254" s="54">
        <v>966205</v>
      </c>
      <c r="Q254" s="55">
        <f t="shared" si="23"/>
        <v>0</v>
      </c>
    </row>
    <row r="256" spans="1:17" x14ac:dyDescent="0.3">
      <c r="A256" s="51" t="s">
        <v>144</v>
      </c>
      <c r="B256" s="67">
        <f>B232+B233</f>
        <v>9848090.3300000001</v>
      </c>
      <c r="C256" s="67">
        <f t="shared" ref="C256:N256" si="25">C232+C233</f>
        <v>7216172.9399999995</v>
      </c>
      <c r="D256" s="67">
        <f t="shared" si="25"/>
        <v>7623635.6199999992</v>
      </c>
      <c r="E256" s="67">
        <f t="shared" si="25"/>
        <v>5226096.8400000017</v>
      </c>
      <c r="F256" s="67">
        <f t="shared" si="25"/>
        <v>5742679.8899999987</v>
      </c>
      <c r="G256" s="67">
        <f t="shared" si="25"/>
        <v>6176537.8099999996</v>
      </c>
      <c r="H256" s="67">
        <f t="shared" si="25"/>
        <v>7129396.870000001</v>
      </c>
      <c r="I256" s="67">
        <f t="shared" si="25"/>
        <v>6889822.5500000017</v>
      </c>
      <c r="J256" s="67">
        <f t="shared" si="25"/>
        <v>6223585.3100000015</v>
      </c>
      <c r="K256" s="67">
        <f t="shared" si="25"/>
        <v>5223411.080000001</v>
      </c>
      <c r="L256" s="67">
        <f t="shared" si="25"/>
        <v>7444729.0399999991</v>
      </c>
      <c r="M256" s="67">
        <f t="shared" si="25"/>
        <v>8007042.46</v>
      </c>
      <c r="N256" s="67">
        <f t="shared" si="25"/>
        <v>82751200.74000001</v>
      </c>
    </row>
    <row r="257" spans="1:16" x14ac:dyDescent="0.3">
      <c r="A257" s="51" t="s">
        <v>145</v>
      </c>
      <c r="B257" s="67">
        <f>B234+B235</f>
        <v>940028.35</v>
      </c>
      <c r="C257" s="67">
        <f t="shared" ref="C257:N257" si="26">C234+C235</f>
        <v>936541.37</v>
      </c>
      <c r="D257" s="67">
        <f t="shared" si="26"/>
        <v>936741.77999999991</v>
      </c>
      <c r="E257" s="67">
        <f t="shared" si="26"/>
        <v>939307.99999999988</v>
      </c>
      <c r="F257" s="67">
        <f t="shared" si="26"/>
        <v>940340.92999999982</v>
      </c>
      <c r="G257" s="67">
        <f t="shared" si="26"/>
        <v>939656.77999999991</v>
      </c>
      <c r="H257" s="67">
        <f t="shared" si="26"/>
        <v>1291860.8500000001</v>
      </c>
      <c r="I257" s="67">
        <f t="shared" si="26"/>
        <v>1290832.3400000001</v>
      </c>
      <c r="J257" s="67">
        <f t="shared" si="26"/>
        <v>1288680.05</v>
      </c>
      <c r="K257" s="67">
        <f t="shared" si="26"/>
        <v>1291046.9200000002</v>
      </c>
      <c r="L257" s="67">
        <f t="shared" si="26"/>
        <v>1290816.1300000001</v>
      </c>
      <c r="M257" s="67">
        <f t="shared" si="26"/>
        <v>1291313.2300000002</v>
      </c>
      <c r="N257" s="67">
        <f t="shared" si="26"/>
        <v>13377166.729999999</v>
      </c>
    </row>
    <row r="258" spans="1:16" x14ac:dyDescent="0.3">
      <c r="A258" s="51" t="s">
        <v>146</v>
      </c>
      <c r="B258" s="67">
        <f>B242</f>
        <v>217094.27000000002</v>
      </c>
      <c r="C258" s="67">
        <f t="shared" ref="C258:N258" si="27">C242</f>
        <v>210393.71999999997</v>
      </c>
      <c r="D258" s="67">
        <f t="shared" si="27"/>
        <v>215201.33</v>
      </c>
      <c r="E258" s="67">
        <f t="shared" si="27"/>
        <v>213871</v>
      </c>
      <c r="F258" s="67">
        <f t="shared" si="27"/>
        <v>224029.16999999998</v>
      </c>
      <c r="G258" s="67">
        <f t="shared" si="27"/>
        <v>226735.66999999998</v>
      </c>
      <c r="H258" s="67">
        <f t="shared" si="27"/>
        <v>232684.90000000002</v>
      </c>
      <c r="I258" s="67">
        <f t="shared" si="27"/>
        <v>229569.61</v>
      </c>
      <c r="J258" s="67">
        <f t="shared" si="27"/>
        <v>225982.93</v>
      </c>
      <c r="K258" s="67">
        <f t="shared" si="27"/>
        <v>226660.78</v>
      </c>
      <c r="L258" s="67">
        <f t="shared" si="27"/>
        <v>227309.72999999998</v>
      </c>
      <c r="M258" s="67">
        <f t="shared" si="27"/>
        <v>208826.48</v>
      </c>
      <c r="N258" s="67">
        <f t="shared" si="27"/>
        <v>2658359.59</v>
      </c>
    </row>
    <row r="259" spans="1:16" x14ac:dyDescent="0.3">
      <c r="A259" s="51" t="s">
        <v>37</v>
      </c>
      <c r="B259" s="67">
        <f>+B238+B239</f>
        <v>236844.71000000002</v>
      </c>
      <c r="C259" s="67">
        <f t="shared" ref="C259:N259" si="28">C238+C239</f>
        <v>231429.79</v>
      </c>
      <c r="D259" s="67">
        <f t="shared" si="28"/>
        <v>232216.59</v>
      </c>
      <c r="E259" s="67">
        <f t="shared" si="28"/>
        <v>232137.37</v>
      </c>
      <c r="F259" s="67">
        <f t="shared" si="28"/>
        <v>232900.72</v>
      </c>
      <c r="G259" s="67">
        <f t="shared" si="28"/>
        <v>232242.83</v>
      </c>
      <c r="H259" s="67">
        <f t="shared" si="28"/>
        <v>232923.94999999998</v>
      </c>
      <c r="I259" s="67">
        <f t="shared" si="28"/>
        <v>232401.57</v>
      </c>
      <c r="J259" s="67">
        <f t="shared" si="28"/>
        <v>233002</v>
      </c>
      <c r="K259" s="67">
        <f t="shared" si="28"/>
        <v>232675.86000000002</v>
      </c>
      <c r="L259" s="67">
        <f t="shared" si="28"/>
        <v>232927.72</v>
      </c>
      <c r="M259" s="67">
        <f t="shared" si="28"/>
        <v>229955.75</v>
      </c>
      <c r="N259" s="67">
        <f t="shared" si="28"/>
        <v>2791658.8599999994</v>
      </c>
    </row>
    <row r="260" spans="1:16" x14ac:dyDescent="0.3">
      <c r="A260" s="51" t="s">
        <v>147</v>
      </c>
      <c r="B260" s="67">
        <f>B244</f>
        <v>826.77</v>
      </c>
      <c r="C260" s="67">
        <f t="shared" ref="C260:N260" si="29">C244</f>
        <v>829.52</v>
      </c>
      <c r="D260" s="67">
        <f t="shared" si="29"/>
        <v>826.77</v>
      </c>
      <c r="E260" s="67">
        <f t="shared" si="29"/>
        <v>821.27</v>
      </c>
      <c r="F260" s="67">
        <f t="shared" si="29"/>
        <v>821.27</v>
      </c>
      <c r="G260" s="67">
        <f t="shared" si="29"/>
        <v>815.77</v>
      </c>
      <c r="H260" s="67">
        <f t="shared" si="29"/>
        <v>818.52</v>
      </c>
      <c r="I260" s="67">
        <f t="shared" si="29"/>
        <v>818.52</v>
      </c>
      <c r="J260" s="67">
        <f t="shared" si="29"/>
        <v>815.77</v>
      </c>
      <c r="K260" s="67">
        <f t="shared" si="29"/>
        <v>30695.54</v>
      </c>
      <c r="L260" s="67">
        <f t="shared" si="29"/>
        <v>815.77</v>
      </c>
      <c r="M260" s="67">
        <f t="shared" si="29"/>
        <v>815.77</v>
      </c>
      <c r="N260" s="67">
        <f t="shared" si="29"/>
        <v>39721.259999999995</v>
      </c>
    </row>
    <row r="261" spans="1:16" x14ac:dyDescent="0.3">
      <c r="A261" s="51" t="s">
        <v>148</v>
      </c>
      <c r="B261" s="67">
        <f>B249</f>
        <v>-192375</v>
      </c>
      <c r="C261" s="67">
        <f t="shared" ref="C261:N261" si="30">C249</f>
        <v>-258537</v>
      </c>
      <c r="D261" s="67">
        <f t="shared" si="30"/>
        <v>121093</v>
      </c>
      <c r="E261" s="67">
        <f t="shared" si="30"/>
        <v>112973</v>
      </c>
      <c r="F261" s="67">
        <f t="shared" si="30"/>
        <v>129684</v>
      </c>
      <c r="G261" s="67">
        <f t="shared" si="30"/>
        <v>-134617</v>
      </c>
      <c r="H261" s="67">
        <f t="shared" si="30"/>
        <v>-147486</v>
      </c>
      <c r="I261" s="67">
        <f t="shared" si="30"/>
        <v>-176915</v>
      </c>
      <c r="J261" s="67">
        <f t="shared" si="30"/>
        <v>-52694</v>
      </c>
      <c r="K261" s="67">
        <f t="shared" si="30"/>
        <v>63321</v>
      </c>
      <c r="L261" s="67">
        <f t="shared" si="30"/>
        <v>-114983</v>
      </c>
      <c r="M261" s="67">
        <f t="shared" si="30"/>
        <v>239256</v>
      </c>
      <c r="N261" s="67">
        <f t="shared" si="30"/>
        <v>-411280</v>
      </c>
    </row>
    <row r="262" spans="1:16" x14ac:dyDescent="0.3">
      <c r="A262" s="51" t="s">
        <v>149</v>
      </c>
      <c r="B262" s="67">
        <f>B236+B237</f>
        <v>-273392.73999999993</v>
      </c>
      <c r="C262" s="67">
        <f t="shared" ref="C262:N262" si="31">C236+C237</f>
        <v>126079.64</v>
      </c>
      <c r="D262" s="67">
        <f t="shared" si="31"/>
        <v>-289337.34000000003</v>
      </c>
      <c r="E262" s="67">
        <f t="shared" si="31"/>
        <v>-121093.94</v>
      </c>
      <c r="F262" s="67">
        <f t="shared" si="31"/>
        <v>-363665.79000000004</v>
      </c>
      <c r="G262" s="67">
        <f t="shared" si="31"/>
        <v>-166462.85</v>
      </c>
      <c r="H262" s="67">
        <f t="shared" si="31"/>
        <v>-455860.83999999997</v>
      </c>
      <c r="I262" s="67">
        <f t="shared" si="31"/>
        <v>-247420.44999999995</v>
      </c>
      <c r="J262" s="67">
        <f t="shared" si="31"/>
        <v>-275695.25999999995</v>
      </c>
      <c r="K262" s="67">
        <f t="shared" si="31"/>
        <v>-273319.75999999995</v>
      </c>
      <c r="L262" s="67">
        <f t="shared" si="31"/>
        <v>-543662.74000000011</v>
      </c>
      <c r="M262" s="67">
        <f t="shared" si="31"/>
        <v>-620574.8899999999</v>
      </c>
      <c r="N262" s="67">
        <f t="shared" si="31"/>
        <v>-3504406.96</v>
      </c>
    </row>
    <row r="263" spans="1:16" x14ac:dyDescent="0.3">
      <c r="A263" s="51" t="s">
        <v>150</v>
      </c>
      <c r="B263" s="67">
        <f>B240+B241</f>
        <v>910982.49999999988</v>
      </c>
      <c r="C263" s="67">
        <f t="shared" ref="C263:N263" si="32">C240+C241</f>
        <v>595893.89999999991</v>
      </c>
      <c r="D263" s="67">
        <f t="shared" si="32"/>
        <v>583953.75</v>
      </c>
      <c r="E263" s="67">
        <f t="shared" si="32"/>
        <v>526251.41</v>
      </c>
      <c r="F263" s="67">
        <f t="shared" si="32"/>
        <v>572797.58000000007</v>
      </c>
      <c r="G263" s="67">
        <f t="shared" si="32"/>
        <v>738599.32</v>
      </c>
      <c r="H263" s="67">
        <f t="shared" si="32"/>
        <v>838311.16000000015</v>
      </c>
      <c r="I263" s="67">
        <f t="shared" si="32"/>
        <v>822116.12</v>
      </c>
      <c r="J263" s="67">
        <f t="shared" si="32"/>
        <v>657599.0399999998</v>
      </c>
      <c r="K263" s="67">
        <f t="shared" si="32"/>
        <v>583995.11</v>
      </c>
      <c r="L263" s="67">
        <f t="shared" si="32"/>
        <v>808089.22999999986</v>
      </c>
      <c r="M263" s="67">
        <f t="shared" si="32"/>
        <v>947354.94000000006</v>
      </c>
      <c r="N263" s="67">
        <f t="shared" si="32"/>
        <v>8585944.0600000005</v>
      </c>
    </row>
    <row r="264" spans="1:16" x14ac:dyDescent="0.3">
      <c r="A264" s="51" t="s">
        <v>73</v>
      </c>
      <c r="B264" s="67">
        <f>SUM(B256:B263)</f>
        <v>11688099.189999999</v>
      </c>
      <c r="C264" s="67">
        <f t="shared" ref="C264:N264" si="33">SUM(C256:C263)</f>
        <v>9058803.879999999</v>
      </c>
      <c r="D264" s="67">
        <f t="shared" si="33"/>
        <v>9424331.4999999981</v>
      </c>
      <c r="E264" s="67">
        <f t="shared" si="33"/>
        <v>7130364.9500000011</v>
      </c>
      <c r="F264" s="67">
        <f t="shared" si="33"/>
        <v>7479587.7699999977</v>
      </c>
      <c r="G264" s="67">
        <f t="shared" si="33"/>
        <v>8013508.3300000001</v>
      </c>
      <c r="H264" s="67">
        <f t="shared" si="33"/>
        <v>9122649.4100000001</v>
      </c>
      <c r="I264" s="67">
        <f t="shared" si="33"/>
        <v>9041225.2600000016</v>
      </c>
      <c r="J264" s="67">
        <f t="shared" si="33"/>
        <v>8301275.8400000008</v>
      </c>
      <c r="K264" s="67">
        <f t="shared" si="33"/>
        <v>7378486.5300000021</v>
      </c>
      <c r="L264" s="67">
        <f t="shared" si="33"/>
        <v>9346041.8800000008</v>
      </c>
      <c r="M264" s="67">
        <f t="shared" si="33"/>
        <v>10303989.739999998</v>
      </c>
      <c r="N264" s="67">
        <f t="shared" si="33"/>
        <v>106288364.28000003</v>
      </c>
    </row>
    <row r="265" spans="1:16" x14ac:dyDescent="0.3">
      <c r="A265" s="51" t="s">
        <v>151</v>
      </c>
      <c r="B265" s="67">
        <f>B264-B253</f>
        <v>910982.50000000186</v>
      </c>
      <c r="C265" s="67">
        <f t="shared" ref="C265:N265" si="34">C264-C253</f>
        <v>595893.89999999851</v>
      </c>
      <c r="D265" s="67">
        <f t="shared" si="34"/>
        <v>583953.74999999814</v>
      </c>
      <c r="E265" s="67">
        <f t="shared" si="34"/>
        <v>526251.40999999922</v>
      </c>
      <c r="F265" s="67">
        <f t="shared" si="34"/>
        <v>572797.58000000007</v>
      </c>
      <c r="G265" s="67">
        <f t="shared" si="34"/>
        <v>738599.32000000216</v>
      </c>
      <c r="H265" s="67">
        <f t="shared" si="34"/>
        <v>838311.15999999922</v>
      </c>
      <c r="I265" s="67">
        <f t="shared" si="34"/>
        <v>822116.11999999918</v>
      </c>
      <c r="J265" s="67">
        <f t="shared" si="34"/>
        <v>657599.04</v>
      </c>
      <c r="K265" s="67">
        <f t="shared" si="34"/>
        <v>583995.11000000034</v>
      </c>
      <c r="L265" s="67">
        <f t="shared" si="34"/>
        <v>808089.23000000417</v>
      </c>
      <c r="M265" s="67">
        <f t="shared" si="34"/>
        <v>947354.93999999948</v>
      </c>
      <c r="N265" s="67">
        <f t="shared" si="34"/>
        <v>8585944.0600000471</v>
      </c>
    </row>
    <row r="267" spans="1:16" x14ac:dyDescent="0.3">
      <c r="A267" s="68">
        <v>10</v>
      </c>
      <c r="B267" s="56">
        <f>SUM(B12:B17)+B22+B25</f>
        <v>8489916.2400000002</v>
      </c>
      <c r="C267" s="56">
        <f t="shared" ref="C267:N267" si="35">SUM(C12:C17)+C22+C25</f>
        <v>6419908.9500000002</v>
      </c>
      <c r="D267" s="56">
        <f t="shared" si="35"/>
        <v>6761828.7199999988</v>
      </c>
      <c r="E267" s="56">
        <f t="shared" si="35"/>
        <v>4617521</v>
      </c>
      <c r="F267" s="56">
        <f t="shared" si="35"/>
        <v>4847899.6900000004</v>
      </c>
      <c r="G267" s="56">
        <f t="shared" si="35"/>
        <v>5165454.75</v>
      </c>
      <c r="H267" s="56">
        <f t="shared" si="35"/>
        <v>6099739.5700000012</v>
      </c>
      <c r="I267" s="56">
        <f t="shared" si="35"/>
        <v>5939579.1699999999</v>
      </c>
      <c r="J267" s="56">
        <f t="shared" si="35"/>
        <v>5493081.1400000006</v>
      </c>
      <c r="K267" s="56">
        <f t="shared" si="35"/>
        <v>4759535.34</v>
      </c>
      <c r="L267" s="56">
        <f t="shared" si="35"/>
        <v>6522381.0699999994</v>
      </c>
      <c r="M267" s="56">
        <f t="shared" si="35"/>
        <v>7242649.3100000005</v>
      </c>
      <c r="N267" s="56">
        <f t="shared" si="35"/>
        <v>72359494.950000003</v>
      </c>
      <c r="P267" s="56"/>
    </row>
    <row r="268" spans="1:16" x14ac:dyDescent="0.3">
      <c r="A268" s="68">
        <v>11</v>
      </c>
      <c r="B268" s="56">
        <f>SUM(B33:B36)+B41+B44</f>
        <v>64304.090000000004</v>
      </c>
      <c r="C268" s="56">
        <f t="shared" ref="C268:N268" si="36">SUM(C33:C36)+C41+C44</f>
        <v>49935.96</v>
      </c>
      <c r="D268" s="56">
        <f t="shared" si="36"/>
        <v>47498.340000000004</v>
      </c>
      <c r="E268" s="56">
        <f t="shared" si="36"/>
        <v>16577.670000000002</v>
      </c>
      <c r="F268" s="56">
        <f t="shared" si="36"/>
        <v>2605.88</v>
      </c>
      <c r="G268" s="56">
        <f t="shared" si="36"/>
        <v>36.5</v>
      </c>
      <c r="H268" s="56">
        <f t="shared" si="36"/>
        <v>-265.21000000000004</v>
      </c>
      <c r="I268" s="56">
        <f t="shared" si="36"/>
        <v>-312.60000000000002</v>
      </c>
      <c r="J268" s="56">
        <f t="shared" si="36"/>
        <v>4.1500000000000057</v>
      </c>
      <c r="K268" s="56">
        <f t="shared" si="36"/>
        <v>9050.74</v>
      </c>
      <c r="L268" s="56">
        <f t="shared" si="36"/>
        <v>39989.699999999997</v>
      </c>
      <c r="M268" s="56">
        <f t="shared" si="36"/>
        <v>46576.11</v>
      </c>
      <c r="N268" s="56">
        <f t="shared" si="36"/>
        <v>276001.33000000007</v>
      </c>
      <c r="P268" s="56"/>
    </row>
    <row r="269" spans="1:16" x14ac:dyDescent="0.3">
      <c r="A269" s="68">
        <v>20</v>
      </c>
      <c r="B269" s="56">
        <f>SUM(B52:B57)+B62+B67</f>
        <v>646362.75</v>
      </c>
      <c r="C269" s="56">
        <f t="shared" ref="C269:N269" si="37">SUM(C52:C57)+C62+C67</f>
        <v>554571.02</v>
      </c>
      <c r="D269" s="56">
        <f t="shared" si="37"/>
        <v>557314.76</v>
      </c>
      <c r="E269" s="56">
        <f t="shared" si="37"/>
        <v>533261.04</v>
      </c>
      <c r="F269" s="56">
        <f t="shared" si="37"/>
        <v>557302.92000000004</v>
      </c>
      <c r="G269" s="56">
        <f t="shared" si="37"/>
        <v>574818.97000000009</v>
      </c>
      <c r="H269" s="56">
        <f t="shared" si="37"/>
        <v>613916.14</v>
      </c>
      <c r="I269" s="56">
        <f t="shared" si="37"/>
        <v>620233.89000000013</v>
      </c>
      <c r="J269" s="56">
        <f t="shared" si="37"/>
        <v>583943.42000000004</v>
      </c>
      <c r="K269" s="56">
        <f t="shared" si="37"/>
        <v>568769.79</v>
      </c>
      <c r="L269" s="56">
        <f t="shared" si="37"/>
        <v>558329</v>
      </c>
      <c r="M269" s="56">
        <f t="shared" si="37"/>
        <v>621158.34000000008</v>
      </c>
      <c r="N269" s="56">
        <f t="shared" si="37"/>
        <v>6989982.0399999991</v>
      </c>
      <c r="P269" s="56"/>
    </row>
    <row r="270" spans="1:16" x14ac:dyDescent="0.3">
      <c r="A270" s="68">
        <v>22</v>
      </c>
      <c r="B270" s="56">
        <f>SUM(B75:B78)+B83+B86</f>
        <v>537.56000000000006</v>
      </c>
      <c r="C270" s="56">
        <f t="shared" ref="C270:N270" si="38">SUM(C75:C78)+C83+C86</f>
        <v>397.40000000000003</v>
      </c>
      <c r="D270" s="56">
        <f t="shared" si="38"/>
        <v>333.17</v>
      </c>
      <c r="E270" s="56">
        <f t="shared" si="38"/>
        <v>68.7</v>
      </c>
      <c r="F270" s="56">
        <f t="shared" si="38"/>
        <v>25.159999999999997</v>
      </c>
      <c r="G270" s="56">
        <f t="shared" si="38"/>
        <v>3.4600000000000009</v>
      </c>
      <c r="H270" s="56">
        <f t="shared" si="38"/>
        <v>15.219999999999999</v>
      </c>
      <c r="I270" s="56">
        <f t="shared" si="38"/>
        <v>8.89</v>
      </c>
      <c r="J270" s="56">
        <f t="shared" si="38"/>
        <v>10.23</v>
      </c>
      <c r="K270" s="56">
        <f t="shared" si="38"/>
        <v>14.61</v>
      </c>
      <c r="L270" s="56">
        <f t="shared" si="38"/>
        <v>200.87</v>
      </c>
      <c r="M270" s="56">
        <f t="shared" si="38"/>
        <v>312.89999999999998</v>
      </c>
      <c r="N270" s="56">
        <f t="shared" si="38"/>
        <v>1928.1699999999998</v>
      </c>
      <c r="P270" s="56"/>
    </row>
    <row r="271" spans="1:16" x14ac:dyDescent="0.3">
      <c r="A271" s="68">
        <v>40</v>
      </c>
      <c r="B271" s="56">
        <f>SUM(B94:B99)+B104+B105+B106+B111</f>
        <v>560848.21</v>
      </c>
      <c r="C271" s="56">
        <f t="shared" ref="C271:N271" si="39">SUM(C94:C99)+C104+C105+C106+C111</f>
        <v>513219.98</v>
      </c>
      <c r="D271" s="56">
        <f t="shared" si="39"/>
        <v>530080.35000000009</v>
      </c>
      <c r="E271" s="56">
        <f t="shared" si="39"/>
        <v>526019.28</v>
      </c>
      <c r="F271" s="56">
        <f t="shared" si="39"/>
        <v>551462.17999999993</v>
      </c>
      <c r="G271" s="56">
        <f t="shared" si="39"/>
        <v>575856.6</v>
      </c>
      <c r="H271" s="56">
        <f t="shared" si="39"/>
        <v>584953.35</v>
      </c>
      <c r="I271" s="56">
        <f t="shared" si="39"/>
        <v>601827.25</v>
      </c>
      <c r="J271" s="56">
        <f t="shared" si="39"/>
        <v>560537.74</v>
      </c>
      <c r="K271" s="56">
        <f t="shared" si="39"/>
        <v>540921.76</v>
      </c>
      <c r="L271" s="56">
        <f t="shared" si="39"/>
        <v>511520.81000000006</v>
      </c>
      <c r="M271" s="56">
        <f t="shared" si="39"/>
        <v>525754.46</v>
      </c>
      <c r="N271" s="56">
        <f t="shared" si="39"/>
        <v>6583001.9699999997</v>
      </c>
      <c r="P271" s="56"/>
    </row>
    <row r="272" spans="1:16" x14ac:dyDescent="0.3">
      <c r="A272" s="68">
        <v>46</v>
      </c>
      <c r="B272" s="56">
        <f>SUM(B119:B124)+B129+B130+B131+B134</f>
        <v>85957.8</v>
      </c>
      <c r="C272" s="56">
        <f t="shared" ref="C272:N272" si="40">SUM(C119:C124)+C129+C130+C131+C134</f>
        <v>83718.03</v>
      </c>
      <c r="D272" s="56">
        <f t="shared" si="40"/>
        <v>88476.73</v>
      </c>
      <c r="E272" s="56">
        <f t="shared" si="40"/>
        <v>97971.41</v>
      </c>
      <c r="F272" s="56">
        <f t="shared" si="40"/>
        <v>99464.260000000009</v>
      </c>
      <c r="G272" s="56">
        <f t="shared" si="40"/>
        <v>106231.45</v>
      </c>
      <c r="H272" s="56">
        <f t="shared" si="40"/>
        <v>104410.07</v>
      </c>
      <c r="I272" s="56">
        <f t="shared" si="40"/>
        <v>113621.88</v>
      </c>
      <c r="J272" s="56">
        <f t="shared" si="40"/>
        <v>107925.57</v>
      </c>
      <c r="K272" s="56">
        <f t="shared" si="40"/>
        <v>101421.19</v>
      </c>
      <c r="L272" s="56">
        <f t="shared" si="40"/>
        <v>86099.64</v>
      </c>
      <c r="M272" s="56">
        <f t="shared" si="40"/>
        <v>91777.53</v>
      </c>
      <c r="N272" s="56">
        <f t="shared" si="40"/>
        <v>1167075.5599999998</v>
      </c>
      <c r="P272" s="56"/>
    </row>
    <row r="273" spans="1:17" x14ac:dyDescent="0.3">
      <c r="A273" s="68">
        <v>47</v>
      </c>
      <c r="B273" s="56">
        <f>SUM(B142:B147)+B152+B153+B154+B157</f>
        <v>310102.56</v>
      </c>
      <c r="C273" s="56">
        <f t="shared" ref="C273:N273" si="41">SUM(C142:C147)+C152+C153+C154+C157</f>
        <v>299614.18</v>
      </c>
      <c r="D273" s="56">
        <f t="shared" si="41"/>
        <v>303099.90000000002</v>
      </c>
      <c r="E273" s="56">
        <f t="shared" si="41"/>
        <v>322512</v>
      </c>
      <c r="F273" s="56">
        <f t="shared" si="41"/>
        <v>332464.59999999998</v>
      </c>
      <c r="G273" s="56">
        <f t="shared" si="41"/>
        <v>356421.58999999997</v>
      </c>
      <c r="H273" s="56">
        <f t="shared" si="41"/>
        <v>342724.67</v>
      </c>
      <c r="I273" s="56">
        <f t="shared" si="41"/>
        <v>367129.44</v>
      </c>
      <c r="J273" s="56">
        <f t="shared" si="41"/>
        <v>344288.77999999991</v>
      </c>
      <c r="K273" s="56">
        <f t="shared" si="41"/>
        <v>316593.38</v>
      </c>
      <c r="L273" s="56">
        <f t="shared" si="41"/>
        <v>280083.62</v>
      </c>
      <c r="M273" s="56">
        <f t="shared" si="41"/>
        <v>276737.08</v>
      </c>
      <c r="N273" s="56">
        <f t="shared" si="41"/>
        <v>3851771.8000000007</v>
      </c>
      <c r="P273" s="56"/>
    </row>
    <row r="274" spans="1:17" x14ac:dyDescent="0.3">
      <c r="A274" s="68">
        <v>50</v>
      </c>
      <c r="B274" s="56">
        <f>SUM(B165:B170)+B175+B178</f>
        <v>284356.2</v>
      </c>
      <c r="C274" s="56">
        <f t="shared" ref="C274:N274" si="42">SUM(C165:C170)+C175+C178</f>
        <v>225778.05999999997</v>
      </c>
      <c r="D274" s="56">
        <f t="shared" si="42"/>
        <v>235434.68000000002</v>
      </c>
      <c r="E274" s="56">
        <f t="shared" si="42"/>
        <v>184949.40999999997</v>
      </c>
      <c r="F274" s="56">
        <f t="shared" si="42"/>
        <v>200764.88</v>
      </c>
      <c r="G274" s="56">
        <f t="shared" si="42"/>
        <v>198507.9</v>
      </c>
      <c r="H274" s="56">
        <f t="shared" si="42"/>
        <v>232216.11</v>
      </c>
      <c r="I274" s="56">
        <f t="shared" si="42"/>
        <v>252954.38</v>
      </c>
      <c r="J274" s="56">
        <f t="shared" si="42"/>
        <v>231683.94</v>
      </c>
      <c r="K274" s="56">
        <f t="shared" si="42"/>
        <v>188337.71000000002</v>
      </c>
      <c r="L274" s="56">
        <f t="shared" si="42"/>
        <v>232998.91999999998</v>
      </c>
      <c r="M274" s="56">
        <f t="shared" si="42"/>
        <v>241675.94</v>
      </c>
      <c r="N274" s="56">
        <f t="shared" si="42"/>
        <v>2709658.1299999994</v>
      </c>
      <c r="P274" s="56"/>
    </row>
    <row r="275" spans="1:17" x14ac:dyDescent="0.3">
      <c r="A275" s="68">
        <v>52</v>
      </c>
      <c r="B275" s="56">
        <f>SUM(B186:B191)+B196+B199</f>
        <v>97886.57</v>
      </c>
      <c r="C275" s="56">
        <f t="shared" ref="C275:N275" si="43">SUM(C186:C191)+C196+C199</f>
        <v>84336.61</v>
      </c>
      <c r="D275" s="56">
        <f t="shared" si="43"/>
        <v>84094.51</v>
      </c>
      <c r="E275" s="56">
        <f t="shared" si="43"/>
        <v>73095.66</v>
      </c>
      <c r="F275" s="56">
        <f t="shared" si="43"/>
        <v>81899.899999999994</v>
      </c>
      <c r="G275" s="56">
        <f t="shared" si="43"/>
        <v>65334.959999999992</v>
      </c>
      <c r="H275" s="56">
        <f t="shared" si="43"/>
        <v>73704.38</v>
      </c>
      <c r="I275" s="56">
        <f t="shared" si="43"/>
        <v>91665.27</v>
      </c>
      <c r="J275" s="56">
        <f t="shared" si="43"/>
        <v>89199.83</v>
      </c>
      <c r="K275" s="56">
        <f t="shared" si="43"/>
        <v>77171.040000000008</v>
      </c>
      <c r="L275" s="56">
        <f t="shared" si="43"/>
        <v>73421.3</v>
      </c>
      <c r="M275" s="56">
        <f t="shared" si="43"/>
        <v>80037.38</v>
      </c>
      <c r="N275" s="56">
        <f t="shared" si="43"/>
        <v>971847.41</v>
      </c>
      <c r="P275" s="56"/>
    </row>
    <row r="276" spans="1:17" x14ac:dyDescent="0.3">
      <c r="A276" s="68" t="s">
        <v>29</v>
      </c>
      <c r="B276" s="53">
        <f>B259</f>
        <v>236844.71000000002</v>
      </c>
      <c r="C276" s="53">
        <f t="shared" ref="C276:N276" si="44">C259</f>
        <v>231429.79</v>
      </c>
      <c r="D276" s="53">
        <f t="shared" si="44"/>
        <v>232216.59</v>
      </c>
      <c r="E276" s="53">
        <f t="shared" si="44"/>
        <v>232137.37</v>
      </c>
      <c r="F276" s="53">
        <f t="shared" si="44"/>
        <v>232900.72</v>
      </c>
      <c r="G276" s="53">
        <f t="shared" si="44"/>
        <v>232242.83</v>
      </c>
      <c r="H276" s="53">
        <f t="shared" si="44"/>
        <v>232923.94999999998</v>
      </c>
      <c r="I276" s="53">
        <f t="shared" si="44"/>
        <v>232401.57</v>
      </c>
      <c r="J276" s="53">
        <f t="shared" si="44"/>
        <v>233002</v>
      </c>
      <c r="K276" s="53">
        <f t="shared" si="44"/>
        <v>232675.86000000002</v>
      </c>
      <c r="L276" s="53">
        <f t="shared" si="44"/>
        <v>232927.72</v>
      </c>
      <c r="M276" s="53">
        <f t="shared" si="44"/>
        <v>229955.75</v>
      </c>
      <c r="N276" s="53">
        <f t="shared" si="44"/>
        <v>2791658.8599999994</v>
      </c>
      <c r="P276" s="56"/>
    </row>
    <row r="277" spans="1:17" x14ac:dyDescent="0.3">
      <c r="A277" s="51" t="s">
        <v>173</v>
      </c>
      <c r="B277" s="56">
        <f>SUM(B267:B276)</f>
        <v>10777116.690000003</v>
      </c>
      <c r="C277" s="56">
        <f t="shared" ref="C277:N277" si="45">SUM(C267:C276)</f>
        <v>8462909.9800000004</v>
      </c>
      <c r="D277" s="56">
        <f t="shared" si="45"/>
        <v>8840377.7499999981</v>
      </c>
      <c r="E277" s="56">
        <f t="shared" si="45"/>
        <v>6604113.540000001</v>
      </c>
      <c r="F277" s="56">
        <f t="shared" si="45"/>
        <v>6906790.1899999995</v>
      </c>
      <c r="G277" s="56">
        <f t="shared" si="45"/>
        <v>7274909.0099999998</v>
      </c>
      <c r="H277" s="56">
        <f t="shared" si="45"/>
        <v>8284338.2500000009</v>
      </c>
      <c r="I277" s="56">
        <f t="shared" si="45"/>
        <v>8219109.1400000006</v>
      </c>
      <c r="J277" s="56">
        <f t="shared" si="45"/>
        <v>7643676.8000000026</v>
      </c>
      <c r="K277" s="56">
        <f t="shared" si="45"/>
        <v>6794491.4200000009</v>
      </c>
      <c r="L277" s="56">
        <f t="shared" si="45"/>
        <v>8537952.6499999985</v>
      </c>
      <c r="M277" s="56">
        <f t="shared" si="45"/>
        <v>9356634.8000000007</v>
      </c>
      <c r="N277" s="56">
        <f t="shared" si="45"/>
        <v>97702420.219999984</v>
      </c>
      <c r="P277" s="56"/>
      <c r="Q277" s="56"/>
    </row>
    <row r="278" spans="1:17" x14ac:dyDescent="0.3">
      <c r="A278" s="51" t="s">
        <v>151</v>
      </c>
      <c r="B278" s="56">
        <f>B277-B253</f>
        <v>0</v>
      </c>
      <c r="C278" s="56">
        <f t="shared" ref="C278:N278" si="46">C277-C253</f>
        <v>0</v>
      </c>
      <c r="D278" s="56">
        <f t="shared" si="46"/>
        <v>0</v>
      </c>
      <c r="E278" s="56">
        <f t="shared" si="46"/>
        <v>0</v>
      </c>
      <c r="F278" s="56">
        <f t="shared" si="46"/>
        <v>0</v>
      </c>
      <c r="G278" s="56">
        <f t="shared" si="46"/>
        <v>0</v>
      </c>
      <c r="H278" s="56">
        <f t="shared" si="46"/>
        <v>0</v>
      </c>
      <c r="I278" s="56">
        <f t="shared" si="46"/>
        <v>0</v>
      </c>
      <c r="J278" s="56">
        <f t="shared" si="46"/>
        <v>0</v>
      </c>
      <c r="K278" s="56">
        <f t="shared" si="46"/>
        <v>0</v>
      </c>
      <c r="L278" s="56">
        <f t="shared" si="46"/>
        <v>0</v>
      </c>
      <c r="M278" s="56">
        <f t="shared" si="46"/>
        <v>0</v>
      </c>
      <c r="N278" s="56">
        <f t="shared" si="46"/>
        <v>0</v>
      </c>
    </row>
    <row r="281" spans="1:17" x14ac:dyDescent="0.3">
      <c r="A281" s="51" t="s">
        <v>174</v>
      </c>
      <c r="B281" s="71">
        <f>B282/$N282</f>
        <v>0.12269057550517457</v>
      </c>
      <c r="C281" s="71">
        <f t="shared" ref="C281:M281" si="47">C282/$N282</f>
        <v>8.8850480439991178E-2</v>
      </c>
      <c r="D281" s="71">
        <f t="shared" si="47"/>
        <v>9.4215842536420388E-2</v>
      </c>
      <c r="E281" s="71">
        <f t="shared" si="47"/>
        <v>5.8851121484677783E-2</v>
      </c>
      <c r="F281" s="71">
        <f t="shared" si="47"/>
        <v>6.4291324153047488E-2</v>
      </c>
      <c r="G281" s="71">
        <f t="shared" si="47"/>
        <v>6.8916453211335132E-2</v>
      </c>
      <c r="H281" s="71">
        <f t="shared" si="47"/>
        <v>8.6533775968525239E-2</v>
      </c>
      <c r="I281" s="71">
        <f t="shared" si="47"/>
        <v>8.2073765340949623E-2</v>
      </c>
      <c r="J281" s="71">
        <f t="shared" si="47"/>
        <v>7.4836572308489571E-2</v>
      </c>
      <c r="K281" s="71">
        <f t="shared" si="47"/>
        <v>6.1230314491490995E-2</v>
      </c>
      <c r="L281" s="71">
        <f t="shared" si="47"/>
        <v>9.5207718169198194E-2</v>
      </c>
      <c r="M281" s="71">
        <f t="shared" si="47"/>
        <v>0.10230205639069985</v>
      </c>
    </row>
    <row r="282" spans="1:17" x14ac:dyDescent="0.3">
      <c r="A282" s="51" t="s">
        <v>175</v>
      </c>
      <c r="B282" s="53">
        <f>B8+B9+B10+B11</f>
        <v>77823657</v>
      </c>
      <c r="C282" s="53">
        <f t="shared" ref="C282:M282" si="48">C8+C9+C10+C11</f>
        <v>56358602</v>
      </c>
      <c r="D282" s="53">
        <f t="shared" si="48"/>
        <v>59761896</v>
      </c>
      <c r="E282" s="53">
        <f t="shared" si="48"/>
        <v>37329758</v>
      </c>
      <c r="F282" s="53">
        <f t="shared" si="48"/>
        <v>40780524</v>
      </c>
      <c r="G282" s="53">
        <f t="shared" si="48"/>
        <v>43714282</v>
      </c>
      <c r="H282" s="53">
        <f t="shared" si="48"/>
        <v>54889097</v>
      </c>
      <c r="I282" s="53">
        <f t="shared" si="48"/>
        <v>52060075</v>
      </c>
      <c r="J282" s="53">
        <f t="shared" si="48"/>
        <v>47469463</v>
      </c>
      <c r="K282" s="53">
        <f t="shared" si="48"/>
        <v>38838900</v>
      </c>
      <c r="L282" s="53">
        <f t="shared" si="48"/>
        <v>60391051</v>
      </c>
      <c r="M282" s="53">
        <f t="shared" si="48"/>
        <v>64891049</v>
      </c>
      <c r="N282" s="44">
        <f t="shared" ref="N282:N283" si="49">SUM(B282:M282)</f>
        <v>634308354</v>
      </c>
    </row>
    <row r="283" spans="1:17" x14ac:dyDescent="0.3">
      <c r="A283" s="51" t="s">
        <v>176</v>
      </c>
      <c r="B283" s="56">
        <f>B16+B17</f>
        <v>-214937.41</v>
      </c>
      <c r="C283" s="56">
        <f t="shared" ref="C283:M283" si="50">C16+C17</f>
        <v>86040.56</v>
      </c>
      <c r="D283" s="56">
        <f t="shared" si="50"/>
        <v>-203598.94</v>
      </c>
      <c r="E283" s="56">
        <f t="shared" si="50"/>
        <v>-83920.09</v>
      </c>
      <c r="F283" s="56">
        <f t="shared" si="50"/>
        <v>-235104.12</v>
      </c>
      <c r="G283" s="56">
        <f t="shared" si="50"/>
        <v>-119917.94</v>
      </c>
      <c r="H283" s="56">
        <f t="shared" si="50"/>
        <v>-316149.36</v>
      </c>
      <c r="I283" s="56">
        <f t="shared" si="50"/>
        <v>-177319.13999999998</v>
      </c>
      <c r="J283" s="56">
        <f t="shared" si="50"/>
        <v>-187798.59</v>
      </c>
      <c r="K283" s="56">
        <f t="shared" si="50"/>
        <v>-181178.21</v>
      </c>
      <c r="L283" s="56">
        <f t="shared" si="50"/>
        <v>-403039.45</v>
      </c>
      <c r="M283" s="56">
        <f t="shared" si="50"/>
        <v>-471393.3</v>
      </c>
      <c r="N283" s="44">
        <f t="shared" si="49"/>
        <v>-2508315.9899999998</v>
      </c>
    </row>
    <row r="284" spans="1:17" x14ac:dyDescent="0.3">
      <c r="A284" s="51" t="s">
        <v>177</v>
      </c>
      <c r="B284" s="72">
        <f>B283/B282</f>
        <v>-2.7618518363895441E-3</v>
      </c>
      <c r="C284" s="72">
        <f t="shared" ref="C284:M284" si="51">C283/C282</f>
        <v>1.5266624250189881E-3</v>
      </c>
      <c r="D284" s="72">
        <f t="shared" si="51"/>
        <v>-3.4068353520778525E-3</v>
      </c>
      <c r="E284" s="72">
        <f t="shared" si="51"/>
        <v>-2.2480748468822111E-3</v>
      </c>
      <c r="F284" s="72">
        <f t="shared" si="51"/>
        <v>-5.7651078735525812E-3</v>
      </c>
      <c r="G284" s="72">
        <f t="shared" si="51"/>
        <v>-2.7432210827573471E-3</v>
      </c>
      <c r="H284" s="72">
        <f t="shared" si="51"/>
        <v>-5.7597843156355806E-3</v>
      </c>
      <c r="I284" s="72">
        <f t="shared" si="51"/>
        <v>-3.4060484930150403E-3</v>
      </c>
      <c r="J284" s="72">
        <f t="shared" si="51"/>
        <v>-3.9561979034816548E-3</v>
      </c>
      <c r="K284" s="72">
        <f t="shared" si="51"/>
        <v>-4.6648646073910432E-3</v>
      </c>
      <c r="L284" s="72">
        <f t="shared" si="51"/>
        <v>-6.6738273854515303E-3</v>
      </c>
      <c r="M284" s="72">
        <f t="shared" si="51"/>
        <v>-7.2643809472089128E-3</v>
      </c>
      <c r="N284" s="56"/>
    </row>
    <row r="285" spans="1:17" x14ac:dyDescent="0.3">
      <c r="A285" s="51" t="s">
        <v>178</v>
      </c>
      <c r="B285">
        <v>-1.6000000000000001E-3</v>
      </c>
      <c r="C285">
        <v>0</v>
      </c>
      <c r="D285">
        <v>0</v>
      </c>
      <c r="E285">
        <v>0</v>
      </c>
      <c r="F285">
        <v>0</v>
      </c>
      <c r="G285">
        <v>0</v>
      </c>
      <c r="H285">
        <v>0</v>
      </c>
      <c r="I285">
        <f t="shared" ref="I285:M285" si="52">H285</f>
        <v>0</v>
      </c>
      <c r="J285">
        <f t="shared" si="52"/>
        <v>0</v>
      </c>
      <c r="K285">
        <f t="shared" si="52"/>
        <v>0</v>
      </c>
      <c r="L285">
        <f t="shared" si="52"/>
        <v>0</v>
      </c>
      <c r="M285">
        <f t="shared" si="52"/>
        <v>0</v>
      </c>
      <c r="N285" s="56"/>
    </row>
    <row r="286" spans="1:17" x14ac:dyDescent="0.3">
      <c r="A286" s="51" t="s">
        <v>179</v>
      </c>
      <c r="B286" s="56">
        <f>B285*B282</f>
        <v>-124517.8512</v>
      </c>
      <c r="C286" s="56">
        <f t="shared" ref="C286:M286" si="53">C285*C282</f>
        <v>0</v>
      </c>
      <c r="D286" s="56">
        <f t="shared" si="53"/>
        <v>0</v>
      </c>
      <c r="E286" s="56">
        <f t="shared" si="53"/>
        <v>0</v>
      </c>
      <c r="F286" s="56">
        <f t="shared" si="53"/>
        <v>0</v>
      </c>
      <c r="G286" s="56">
        <f t="shared" si="53"/>
        <v>0</v>
      </c>
      <c r="H286" s="56">
        <f t="shared" si="53"/>
        <v>0</v>
      </c>
      <c r="I286" s="56">
        <f t="shared" si="53"/>
        <v>0</v>
      </c>
      <c r="J286" s="56">
        <f t="shared" si="53"/>
        <v>0</v>
      </c>
      <c r="K286" s="56">
        <f t="shared" si="53"/>
        <v>0</v>
      </c>
      <c r="L286" s="56">
        <f t="shared" si="53"/>
        <v>0</v>
      </c>
      <c r="M286" s="56">
        <f t="shared" si="53"/>
        <v>0</v>
      </c>
      <c r="N286" s="44">
        <f t="shared" ref="N286:N287" si="54">SUM(B286:M286)</f>
        <v>-124517.8512</v>
      </c>
    </row>
    <row r="287" spans="1:17" x14ac:dyDescent="0.3">
      <c r="A287" s="51" t="s">
        <v>180</v>
      </c>
      <c r="B287" s="56">
        <f>B286+B283</f>
        <v>-339455.26120000001</v>
      </c>
      <c r="C287" s="56">
        <f t="shared" ref="C287:M287" si="55">C286+C283</f>
        <v>86040.56</v>
      </c>
      <c r="D287" s="56">
        <f t="shared" si="55"/>
        <v>-203598.94</v>
      </c>
      <c r="E287" s="56">
        <f t="shared" si="55"/>
        <v>-83920.09</v>
      </c>
      <c r="F287" s="56">
        <f t="shared" si="55"/>
        <v>-235104.12</v>
      </c>
      <c r="G287" s="56">
        <f t="shared" si="55"/>
        <v>-119917.94</v>
      </c>
      <c r="H287" s="56">
        <f t="shared" si="55"/>
        <v>-316149.36</v>
      </c>
      <c r="I287" s="56">
        <f t="shared" si="55"/>
        <v>-177319.13999999998</v>
      </c>
      <c r="J287" s="56">
        <f t="shared" si="55"/>
        <v>-187798.59</v>
      </c>
      <c r="K287" s="56">
        <f t="shared" si="55"/>
        <v>-181178.21</v>
      </c>
      <c r="L287" s="56">
        <f t="shared" si="55"/>
        <v>-403039.45</v>
      </c>
      <c r="M287" s="56">
        <f t="shared" si="55"/>
        <v>-471393.3</v>
      </c>
      <c r="N287" s="44">
        <f t="shared" si="54"/>
        <v>-2632833.8412000001</v>
      </c>
    </row>
  </sheetData>
  <pageMargins left="0.7" right="0.7" top="0.75" bottom="0.75" header="0.3" footer="0.3"/>
  <ignoredErrors>
    <ignoredError sqref="B259:N259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FC2262-7E32-4BC6-BDAD-9A404FC36D96}">
  <sheetPr>
    <tabColor rgb="FFCCCCFF"/>
  </sheetPr>
  <dimension ref="A1:I32"/>
  <sheetViews>
    <sheetView topLeftCell="A16" workbookViewId="0">
      <selection activeCell="E254" sqref="E254"/>
    </sheetView>
  </sheetViews>
  <sheetFormatPr defaultColWidth="8.88671875" defaultRowHeight="14.4" x14ac:dyDescent="0.3"/>
  <cols>
    <col min="1" max="1" width="17.109375" style="58" bestFit="1" customWidth="1"/>
    <col min="2" max="2" width="23.88671875" style="58" bestFit="1" customWidth="1"/>
    <col min="3" max="3" width="20.5546875" style="58" bestFit="1" customWidth="1"/>
    <col min="4" max="4" width="19.6640625" style="58" bestFit="1" customWidth="1"/>
    <col min="5" max="5" width="8.88671875" style="58"/>
    <col min="6" max="6" width="17.109375" style="58" bestFit="1" customWidth="1"/>
    <col min="7" max="7" width="23.88671875" style="58" bestFit="1" customWidth="1"/>
    <col min="8" max="8" width="20.5546875" style="58" bestFit="1" customWidth="1"/>
    <col min="9" max="9" width="19.6640625" style="58" bestFit="1" customWidth="1"/>
    <col min="10" max="16384" width="8.88671875" style="58"/>
  </cols>
  <sheetData>
    <row r="1" spans="1:9" ht="23.4" x14ac:dyDescent="0.45">
      <c r="A1" s="157" t="s">
        <v>152</v>
      </c>
      <c r="B1" s="157"/>
      <c r="C1" s="157"/>
      <c r="D1" s="157"/>
      <c r="F1" s="157" t="s">
        <v>153</v>
      </c>
      <c r="G1" s="157"/>
      <c r="H1" s="157"/>
      <c r="I1" s="157"/>
    </row>
    <row r="2" spans="1:9" ht="21" x14ac:dyDescent="0.4">
      <c r="A2" s="59" t="s">
        <v>154</v>
      </c>
      <c r="B2" s="59" t="s">
        <v>155</v>
      </c>
      <c r="C2" s="59" t="s">
        <v>156</v>
      </c>
      <c r="D2" s="59" t="s">
        <v>157</v>
      </c>
      <c r="F2" s="59" t="s">
        <v>154</v>
      </c>
      <c r="G2" s="59" t="s">
        <v>155</v>
      </c>
      <c r="H2" s="59" t="s">
        <v>156</v>
      </c>
      <c r="I2" s="59" t="s">
        <v>157</v>
      </c>
    </row>
    <row r="3" spans="1:9" ht="21" x14ac:dyDescent="0.4">
      <c r="A3" s="60" t="s">
        <v>158</v>
      </c>
      <c r="B3" s="61">
        <f>G3+B20+G20</f>
        <v>217094.27000000002</v>
      </c>
      <c r="C3" s="62">
        <f>H3+C20+H20</f>
        <v>31349.798000000003</v>
      </c>
      <c r="D3" s="62">
        <f>I3+D20+I20</f>
        <v>32084.597999999998</v>
      </c>
      <c r="F3" s="60" t="s">
        <v>158</v>
      </c>
      <c r="G3" s="61">
        <v>130014.27</v>
      </c>
      <c r="H3" s="62">
        <v>19729.018</v>
      </c>
      <c r="I3" s="62">
        <v>19729.018</v>
      </c>
    </row>
    <row r="4" spans="1:9" ht="21" x14ac:dyDescent="0.4">
      <c r="A4" s="60" t="s">
        <v>159</v>
      </c>
      <c r="B4" s="61">
        <f t="shared" ref="B4:D14" si="0">G4+B21+G21</f>
        <v>210393.71999999997</v>
      </c>
      <c r="C4" s="62">
        <f t="shared" si="0"/>
        <v>30217.646999999997</v>
      </c>
      <c r="D4" s="62">
        <f t="shared" si="0"/>
        <v>31092.796999999999</v>
      </c>
      <c r="F4" s="60" t="s">
        <v>159</v>
      </c>
      <c r="G4" s="61">
        <v>123851.04</v>
      </c>
      <c r="H4" s="62">
        <v>18793.776999999998</v>
      </c>
      <c r="I4" s="62">
        <v>18793.776999999998</v>
      </c>
    </row>
    <row r="5" spans="1:9" ht="21" x14ac:dyDescent="0.4">
      <c r="A5" s="60" t="s">
        <v>160</v>
      </c>
      <c r="B5" s="61">
        <f t="shared" si="0"/>
        <v>215201.33</v>
      </c>
      <c r="C5" s="62">
        <f t="shared" si="0"/>
        <v>30943.325000000001</v>
      </c>
      <c r="D5" s="62">
        <f t="shared" si="0"/>
        <v>31810.084999999999</v>
      </c>
      <c r="F5" s="60" t="s">
        <v>160</v>
      </c>
      <c r="G5" s="61">
        <v>128395.31</v>
      </c>
      <c r="H5" s="62">
        <v>19483.345000000001</v>
      </c>
      <c r="I5" s="62">
        <v>19483.345000000001</v>
      </c>
    </row>
    <row r="6" spans="1:9" ht="21" x14ac:dyDescent="0.4">
      <c r="A6" s="60" t="s">
        <v>161</v>
      </c>
      <c r="B6" s="61">
        <f t="shared" si="0"/>
        <v>213871</v>
      </c>
      <c r="C6" s="62">
        <f t="shared" si="0"/>
        <v>31161.696000000004</v>
      </c>
      <c r="D6" s="62">
        <f t="shared" si="0"/>
        <v>31614.836000000003</v>
      </c>
      <c r="F6" s="60" t="s">
        <v>161</v>
      </c>
      <c r="G6" s="61">
        <v>123776.75</v>
      </c>
      <c r="H6" s="62">
        <v>18782.506000000001</v>
      </c>
      <c r="I6" s="62">
        <v>18782.506000000001</v>
      </c>
    </row>
    <row r="7" spans="1:9" ht="21" x14ac:dyDescent="0.4">
      <c r="A7" s="60" t="s">
        <v>162</v>
      </c>
      <c r="B7" s="61">
        <f t="shared" si="0"/>
        <v>224029.16999999998</v>
      </c>
      <c r="C7" s="62">
        <f t="shared" si="0"/>
        <v>32685.032999999996</v>
      </c>
      <c r="D7" s="62">
        <f t="shared" si="0"/>
        <v>32784.163</v>
      </c>
      <c r="F7" s="60" t="s">
        <v>162</v>
      </c>
      <c r="G7" s="61">
        <v>128399.65</v>
      </c>
      <c r="H7" s="62">
        <v>19484.012999999999</v>
      </c>
      <c r="I7" s="62">
        <v>19484.012999999999</v>
      </c>
    </row>
    <row r="8" spans="1:9" ht="21" x14ac:dyDescent="0.4">
      <c r="A8" s="60" t="s">
        <v>163</v>
      </c>
      <c r="B8" s="61">
        <f t="shared" si="0"/>
        <v>226735.66999999998</v>
      </c>
      <c r="C8" s="62">
        <f t="shared" si="0"/>
        <v>32870.093000000001</v>
      </c>
      <c r="D8" s="62">
        <f t="shared" si="0"/>
        <v>33216.783000000003</v>
      </c>
      <c r="F8" s="60" t="s">
        <v>163</v>
      </c>
      <c r="G8" s="61">
        <v>131577.74</v>
      </c>
      <c r="H8" s="62">
        <v>19966.273000000001</v>
      </c>
      <c r="I8" s="62">
        <v>19966.273000000001</v>
      </c>
    </row>
    <row r="9" spans="1:9" ht="21" x14ac:dyDescent="0.4">
      <c r="A9" s="60" t="s">
        <v>164</v>
      </c>
      <c r="B9" s="61">
        <f t="shared" si="0"/>
        <v>232684.90000000002</v>
      </c>
      <c r="C9" s="62">
        <f t="shared" si="0"/>
        <v>33647.402000000002</v>
      </c>
      <c r="D9" s="62">
        <f t="shared" si="0"/>
        <v>34054.472000000002</v>
      </c>
      <c r="F9" s="60" t="s">
        <v>164</v>
      </c>
      <c r="G9" s="61">
        <v>136127.04000000001</v>
      </c>
      <c r="H9" s="62">
        <v>20656.601999999999</v>
      </c>
      <c r="I9" s="62">
        <v>20656.601999999999</v>
      </c>
    </row>
    <row r="10" spans="1:9" ht="21" x14ac:dyDescent="0.4">
      <c r="A10" s="60" t="s">
        <v>165</v>
      </c>
      <c r="B10" s="61">
        <f t="shared" si="0"/>
        <v>229569.61</v>
      </c>
      <c r="C10" s="62">
        <f t="shared" si="0"/>
        <v>33370.866000000002</v>
      </c>
      <c r="D10" s="62">
        <f t="shared" si="0"/>
        <v>33615.156000000003</v>
      </c>
      <c r="F10" s="60" t="s">
        <v>165</v>
      </c>
      <c r="G10" s="61">
        <v>133765.18</v>
      </c>
      <c r="H10" s="62">
        <v>20298.205999999998</v>
      </c>
      <c r="I10" s="62">
        <v>20298.205999999998</v>
      </c>
    </row>
    <row r="11" spans="1:9" ht="21" x14ac:dyDescent="0.4">
      <c r="A11" s="60" t="s">
        <v>166</v>
      </c>
      <c r="B11" s="61">
        <f t="shared" si="0"/>
        <v>225982.93</v>
      </c>
      <c r="C11" s="62">
        <f t="shared" si="0"/>
        <v>32805.263000000006</v>
      </c>
      <c r="D11" s="62">
        <f t="shared" si="0"/>
        <v>33089.423000000003</v>
      </c>
      <c r="F11" s="60" t="s">
        <v>166</v>
      </c>
      <c r="G11" s="61">
        <v>130597.12</v>
      </c>
      <c r="H11" s="62">
        <v>19817.473000000002</v>
      </c>
      <c r="I11" s="62">
        <v>19817.473000000002</v>
      </c>
    </row>
    <row r="12" spans="1:9" ht="21" x14ac:dyDescent="0.4">
      <c r="A12" s="60" t="s">
        <v>167</v>
      </c>
      <c r="B12" s="61">
        <f t="shared" si="0"/>
        <v>226660.78</v>
      </c>
      <c r="C12" s="62">
        <f t="shared" si="0"/>
        <v>32971.5</v>
      </c>
      <c r="D12" s="62">
        <f t="shared" si="0"/>
        <v>33314.019999999997</v>
      </c>
      <c r="F12" s="60" t="s">
        <v>167</v>
      </c>
      <c r="G12" s="61">
        <v>133894.04</v>
      </c>
      <c r="H12" s="62">
        <v>20317.759999999998</v>
      </c>
      <c r="I12" s="62">
        <v>20317.759999999998</v>
      </c>
    </row>
    <row r="13" spans="1:9" ht="21" x14ac:dyDescent="0.4">
      <c r="A13" s="60" t="s">
        <v>168</v>
      </c>
      <c r="B13" s="61">
        <f t="shared" si="0"/>
        <v>227309.72999999998</v>
      </c>
      <c r="C13" s="62">
        <f t="shared" si="0"/>
        <v>32692.456000000002</v>
      </c>
      <c r="D13" s="62">
        <f t="shared" si="0"/>
        <v>33726.995999999999</v>
      </c>
      <c r="F13" s="60" t="s">
        <v>168</v>
      </c>
      <c r="G13" s="61">
        <v>141309.17000000001</v>
      </c>
      <c r="H13" s="62">
        <v>21442.966</v>
      </c>
      <c r="I13" s="62">
        <v>21442.966</v>
      </c>
    </row>
    <row r="14" spans="1:9" ht="21.6" thickBot="1" x14ac:dyDescent="0.45">
      <c r="A14" s="63" t="s">
        <v>169</v>
      </c>
      <c r="B14" s="64">
        <f t="shared" si="0"/>
        <v>208826.48</v>
      </c>
      <c r="C14" s="65">
        <f t="shared" si="0"/>
        <v>29927.303</v>
      </c>
      <c r="D14" s="65">
        <f t="shared" si="0"/>
        <v>30942.133000000002</v>
      </c>
      <c r="F14" s="63" t="s">
        <v>169</v>
      </c>
      <c r="G14" s="64">
        <v>123253.52</v>
      </c>
      <c r="H14" s="65">
        <v>18703.113000000001</v>
      </c>
      <c r="I14" s="65">
        <v>18703.113000000001</v>
      </c>
    </row>
    <row r="15" spans="1:9" ht="21.6" thickTop="1" x14ac:dyDescent="0.4">
      <c r="A15" s="60" t="s">
        <v>170</v>
      </c>
      <c r="B15" s="61">
        <f>SUM(B3:B14)</f>
        <v>2658359.59</v>
      </c>
      <c r="C15" s="62">
        <f t="shared" ref="C15:D15" si="1">SUM(C3:C14)</f>
        <v>384642.38200000004</v>
      </c>
      <c r="D15" s="62">
        <f t="shared" si="1"/>
        <v>391345.46200000006</v>
      </c>
      <c r="F15" s="60" t="s">
        <v>73</v>
      </c>
      <c r="G15" s="61">
        <f>SUM(G3:G14)</f>
        <v>1564960.83</v>
      </c>
      <c r="H15" s="62">
        <f t="shared" ref="H15:I15" si="2">SUM(H3:H14)</f>
        <v>237475.05200000003</v>
      </c>
      <c r="I15" s="62">
        <f t="shared" si="2"/>
        <v>237475.05200000003</v>
      </c>
    </row>
    <row r="18" spans="1:9" ht="23.4" x14ac:dyDescent="0.45">
      <c r="A18" s="157" t="s">
        <v>171</v>
      </c>
      <c r="B18" s="157"/>
      <c r="C18" s="157"/>
      <c r="D18" s="157"/>
      <c r="F18" s="157" t="s">
        <v>172</v>
      </c>
      <c r="G18" s="157"/>
      <c r="H18" s="157"/>
      <c r="I18" s="157"/>
    </row>
    <row r="19" spans="1:9" ht="21" x14ac:dyDescent="0.4">
      <c r="A19" s="59" t="s">
        <v>154</v>
      </c>
      <c r="B19" s="59" t="s">
        <v>155</v>
      </c>
      <c r="C19" s="59" t="s">
        <v>156</v>
      </c>
      <c r="D19" s="59" t="s">
        <v>157</v>
      </c>
      <c r="F19" s="59" t="s">
        <v>154</v>
      </c>
      <c r="G19" s="59" t="s">
        <v>155</v>
      </c>
      <c r="H19" s="59" t="s">
        <v>156</v>
      </c>
      <c r="I19" s="59" t="s">
        <v>157</v>
      </c>
    </row>
    <row r="20" spans="1:9" ht="21" x14ac:dyDescent="0.4">
      <c r="A20" s="60" t="s">
        <v>158</v>
      </c>
      <c r="B20" s="61">
        <v>19256.169999999998</v>
      </c>
      <c r="C20" s="62">
        <v>2240.13</v>
      </c>
      <c r="D20" s="62">
        <v>2815.23</v>
      </c>
      <c r="F20" s="60" t="s">
        <v>158</v>
      </c>
      <c r="G20" s="61">
        <v>67823.83</v>
      </c>
      <c r="H20" s="62">
        <v>9380.65</v>
      </c>
      <c r="I20" s="62">
        <v>9540.35</v>
      </c>
    </row>
    <row r="21" spans="1:9" ht="21" x14ac:dyDescent="0.4">
      <c r="A21" s="60" t="s">
        <v>159</v>
      </c>
      <c r="B21" s="61">
        <v>19256.169999999998</v>
      </c>
      <c r="C21" s="62">
        <v>2212.7399999999998</v>
      </c>
      <c r="D21" s="62">
        <v>2815.23</v>
      </c>
      <c r="F21" s="60" t="s">
        <v>159</v>
      </c>
      <c r="G21" s="61">
        <v>67286.509999999995</v>
      </c>
      <c r="H21" s="62">
        <v>9211.1299999999992</v>
      </c>
      <c r="I21" s="62">
        <v>9483.7900000000009</v>
      </c>
    </row>
    <row r="22" spans="1:9" ht="21" x14ac:dyDescent="0.4">
      <c r="A22" s="60" t="s">
        <v>160</v>
      </c>
      <c r="B22" s="61">
        <v>19256.169999999998</v>
      </c>
      <c r="C22" s="62">
        <v>2199.3000000000002</v>
      </c>
      <c r="D22" s="62">
        <v>2815.23</v>
      </c>
      <c r="F22" s="60" t="s">
        <v>160</v>
      </c>
      <c r="G22" s="61">
        <v>67549.850000000006</v>
      </c>
      <c r="H22" s="62">
        <v>9260.68</v>
      </c>
      <c r="I22" s="62">
        <v>9511.51</v>
      </c>
    </row>
    <row r="23" spans="1:9" ht="21" x14ac:dyDescent="0.4">
      <c r="A23" s="60" t="s">
        <v>161</v>
      </c>
      <c r="B23" s="61">
        <v>20076.97</v>
      </c>
      <c r="C23" s="62">
        <v>2788.54</v>
      </c>
      <c r="D23" s="62">
        <v>2935.23</v>
      </c>
      <c r="F23" s="60" t="s">
        <v>161</v>
      </c>
      <c r="G23" s="61">
        <v>70017.279999999999</v>
      </c>
      <c r="H23" s="62">
        <v>9590.65</v>
      </c>
      <c r="I23" s="62">
        <v>9897.1</v>
      </c>
    </row>
    <row r="24" spans="1:9" ht="21" x14ac:dyDescent="0.4">
      <c r="A24" s="60" t="s">
        <v>162</v>
      </c>
      <c r="B24" s="61">
        <v>20346.189999999999</v>
      </c>
      <c r="C24" s="62">
        <v>2875.46</v>
      </c>
      <c r="D24" s="62">
        <v>2974.59</v>
      </c>
      <c r="F24" s="60" t="s">
        <v>162</v>
      </c>
      <c r="G24" s="61">
        <v>75283.33</v>
      </c>
      <c r="H24" s="62">
        <v>10325.56</v>
      </c>
      <c r="I24" s="62">
        <v>10325.56</v>
      </c>
    </row>
    <row r="25" spans="1:9" ht="21" x14ac:dyDescent="0.4">
      <c r="A25" s="60" t="s">
        <v>163</v>
      </c>
      <c r="B25" s="61">
        <v>20346.189999999999</v>
      </c>
      <c r="C25" s="62">
        <v>2627.9</v>
      </c>
      <c r="D25" s="62">
        <v>2974.59</v>
      </c>
      <c r="F25" s="60" t="s">
        <v>163</v>
      </c>
      <c r="G25" s="61">
        <v>74811.740000000005</v>
      </c>
      <c r="H25" s="62">
        <v>10275.92</v>
      </c>
      <c r="I25" s="62">
        <v>10275.92</v>
      </c>
    </row>
    <row r="26" spans="1:9" ht="21" x14ac:dyDescent="0.4">
      <c r="A26" s="60" t="s">
        <v>164</v>
      </c>
      <c r="B26" s="61">
        <v>20346.189999999999</v>
      </c>
      <c r="C26" s="62">
        <v>2747.52</v>
      </c>
      <c r="D26" s="62">
        <v>2974.59</v>
      </c>
      <c r="F26" s="60" t="s">
        <v>164</v>
      </c>
      <c r="G26" s="61">
        <v>76211.67</v>
      </c>
      <c r="H26" s="62">
        <v>10243.280000000001</v>
      </c>
      <c r="I26" s="62">
        <v>10423.280000000001</v>
      </c>
    </row>
    <row r="27" spans="1:9" ht="21" x14ac:dyDescent="0.4">
      <c r="A27" s="60" t="s">
        <v>165</v>
      </c>
      <c r="B27" s="61">
        <v>20306.79</v>
      </c>
      <c r="C27" s="62">
        <v>2724.54</v>
      </c>
      <c r="D27" s="62">
        <v>2968.83</v>
      </c>
      <c r="F27" s="60" t="s">
        <v>165</v>
      </c>
      <c r="G27" s="61">
        <v>75497.64</v>
      </c>
      <c r="H27" s="62">
        <v>10348.120000000001</v>
      </c>
      <c r="I27" s="62">
        <v>10348.120000000001</v>
      </c>
    </row>
    <row r="28" spans="1:9" ht="21" x14ac:dyDescent="0.4">
      <c r="A28" s="60" t="s">
        <v>166</v>
      </c>
      <c r="B28" s="61">
        <v>20284.02</v>
      </c>
      <c r="C28" s="62">
        <v>2681.34</v>
      </c>
      <c r="D28" s="62">
        <v>2965.5</v>
      </c>
      <c r="F28" s="60" t="s">
        <v>166</v>
      </c>
      <c r="G28" s="61">
        <v>75101.789999999994</v>
      </c>
      <c r="H28" s="62">
        <v>10306.450000000001</v>
      </c>
      <c r="I28" s="62">
        <v>10306.450000000001</v>
      </c>
    </row>
    <row r="29" spans="1:9" ht="21" x14ac:dyDescent="0.4">
      <c r="A29" s="60" t="s">
        <v>167</v>
      </c>
      <c r="B29" s="61">
        <v>20284.02</v>
      </c>
      <c r="C29" s="62">
        <v>2622.98</v>
      </c>
      <c r="D29" s="62">
        <v>2965.5</v>
      </c>
      <c r="F29" s="60" t="s">
        <v>167</v>
      </c>
      <c r="G29" s="61">
        <v>72482.720000000001</v>
      </c>
      <c r="H29" s="62">
        <v>10030.76</v>
      </c>
      <c r="I29" s="62">
        <v>10030.76</v>
      </c>
    </row>
    <row r="30" spans="1:9" ht="21" x14ac:dyDescent="0.4">
      <c r="A30" s="60" t="s">
        <v>168</v>
      </c>
      <c r="B30" s="61">
        <v>20284.02</v>
      </c>
      <c r="C30" s="62">
        <v>2271.81</v>
      </c>
      <c r="D30" s="62">
        <v>2965.5</v>
      </c>
      <c r="F30" s="60" t="s">
        <v>168</v>
      </c>
      <c r="G30" s="61">
        <v>65716.539999999994</v>
      </c>
      <c r="H30" s="62">
        <v>8977.68</v>
      </c>
      <c r="I30" s="62">
        <v>9318.5300000000007</v>
      </c>
    </row>
    <row r="31" spans="1:9" ht="21.6" thickBot="1" x14ac:dyDescent="0.45">
      <c r="A31" s="63" t="s">
        <v>169</v>
      </c>
      <c r="B31" s="64">
        <v>20284.02</v>
      </c>
      <c r="C31" s="65">
        <v>2343.1</v>
      </c>
      <c r="D31" s="65">
        <v>2965.5</v>
      </c>
      <c r="F31" s="63" t="s">
        <v>169</v>
      </c>
      <c r="G31" s="64">
        <v>65288.94</v>
      </c>
      <c r="H31" s="65">
        <v>8881.09</v>
      </c>
      <c r="I31" s="65">
        <v>9273.52</v>
      </c>
    </row>
    <row r="32" spans="1:9" ht="21.6" thickTop="1" x14ac:dyDescent="0.4">
      <c r="A32" s="60" t="s">
        <v>170</v>
      </c>
      <c r="B32" s="61">
        <f>SUM(B20:B31)</f>
        <v>240326.91999999995</v>
      </c>
      <c r="C32" s="66">
        <f t="shared" ref="C32:D32" si="3">SUM(C20:C31)</f>
        <v>30335.359999999997</v>
      </c>
      <c r="D32" s="66">
        <f t="shared" si="3"/>
        <v>35135.519999999997</v>
      </c>
      <c r="F32" s="60" t="s">
        <v>170</v>
      </c>
      <c r="G32" s="61">
        <f>SUM(G20:G31)</f>
        <v>853071.84000000008</v>
      </c>
      <c r="H32" s="66">
        <f t="shared" ref="H32:I32" si="4">SUM(H20:H31)</f>
        <v>116831.96999999997</v>
      </c>
      <c r="I32" s="66">
        <f t="shared" si="4"/>
        <v>118734.88999999998</v>
      </c>
    </row>
  </sheetData>
  <mergeCells count="4">
    <mergeCell ref="A1:D1"/>
    <mergeCell ref="F1:I1"/>
    <mergeCell ref="A18:D18"/>
    <mergeCell ref="F18:I18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Summary</vt:lpstr>
      <vt:lpstr>Billing Detail</vt:lpstr>
      <vt:lpstr>Notice Table</vt:lpstr>
      <vt:lpstr>Sheet1</vt:lpstr>
      <vt:lpstr>Demand</vt:lpstr>
      <vt:lpstr>'Billing Detail'!Print_Area</vt:lpstr>
      <vt:lpstr>'Notice Table'!Print_Area</vt:lpstr>
      <vt:lpstr>Summary!Print_Area</vt:lpstr>
      <vt:lpstr>'Billing Detail'!Print_Titles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Wolfram</dc:creator>
  <cp:lastModifiedBy>John Wolfram</cp:lastModifiedBy>
  <cp:lastPrinted>2025-07-30T13:14:33Z</cp:lastPrinted>
  <dcterms:created xsi:type="dcterms:W3CDTF">2021-02-09T02:13:44Z</dcterms:created>
  <dcterms:modified xsi:type="dcterms:W3CDTF">2025-09-10T21:23:14Z</dcterms:modified>
</cp:coreProperties>
</file>