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Salt River/Analysis/"/>
    </mc:Choice>
  </mc:AlternateContent>
  <xr:revisionPtr revIDLastSave="7" documentId="8_{F51EFC47-FE60-4ECE-8113-46365715FB72}" xr6:coauthVersionLast="47" xr6:coauthVersionMax="47" xr10:uidLastSave="{9A9725EE-50E9-495F-89C7-D65BC1D83E7E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Detail'!$A$1:$R$278</definedName>
    <definedName name="_xlnm.Print_Area" localSheetId="2">'Notice Table'!$A$1:$G$121</definedName>
    <definedName name="_xlnm.Print_Area" localSheetId="0">Summary!$A$1:$O$38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0" i="3" l="1"/>
  <c r="S268" i="1"/>
  <c r="S269" i="1" s="1"/>
  <c r="S242" i="1"/>
  <c r="S249" i="1" s="1"/>
  <c r="S240" i="1"/>
  <c r="S239" i="1"/>
  <c r="L36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L4" i="2"/>
  <c r="E9" i="3"/>
  <c r="G49" i="1"/>
  <c r="G48" i="1"/>
  <c r="E46" i="1"/>
  <c r="E45" i="1"/>
  <c r="E44" i="1"/>
  <c r="G37" i="1"/>
  <c r="G36" i="1"/>
  <c r="E34" i="1"/>
  <c r="E33" i="1"/>
  <c r="G12" i="1"/>
  <c r="G11" i="1"/>
  <c r="E9" i="1"/>
  <c r="E8" i="1"/>
  <c r="F13" i="1"/>
  <c r="H13" i="1" s="1"/>
  <c r="E37" i="3"/>
  <c r="F37" i="3"/>
  <c r="E38" i="3"/>
  <c r="F38" i="3"/>
  <c r="E39" i="3"/>
  <c r="F39" i="3"/>
  <c r="E40" i="3"/>
  <c r="F40" i="3"/>
  <c r="E41" i="3"/>
  <c r="F41" i="3"/>
  <c r="E80" i="3"/>
  <c r="F62" i="3"/>
  <c r="F63" i="3"/>
  <c r="F64" i="3"/>
  <c r="F66" i="3"/>
  <c r="F67" i="3"/>
  <c r="F68" i="3"/>
  <c r="F69" i="3"/>
  <c r="F71" i="3"/>
  <c r="F72" i="3"/>
  <c r="F73" i="3"/>
  <c r="F75" i="3"/>
  <c r="F76" i="3"/>
  <c r="F77" i="3"/>
  <c r="F78" i="3"/>
  <c r="F80" i="3"/>
  <c r="F81" i="3"/>
  <c r="F82" i="3"/>
  <c r="F83" i="3"/>
  <c r="F85" i="3"/>
  <c r="F86" i="3"/>
  <c r="F87" i="3"/>
  <c r="F89" i="3"/>
  <c r="F90" i="3"/>
  <c r="F91" i="3"/>
  <c r="F93" i="3"/>
  <c r="F94" i="3"/>
  <c r="F96" i="3"/>
  <c r="F97" i="3"/>
  <c r="F98" i="3"/>
  <c r="F100" i="3"/>
  <c r="F101" i="3"/>
  <c r="F102" i="3"/>
  <c r="F104" i="3"/>
  <c r="F105" i="3"/>
  <c r="F106" i="3"/>
  <c r="F107" i="3"/>
  <c r="F109" i="3"/>
  <c r="F110" i="3"/>
  <c r="F111" i="3"/>
  <c r="F112" i="3"/>
  <c r="F114" i="3"/>
  <c r="F115" i="3"/>
  <c r="F116" i="3"/>
  <c r="F118" i="3"/>
  <c r="F119" i="3"/>
  <c r="F121" i="3"/>
  <c r="E60" i="3"/>
  <c r="E62" i="3"/>
  <c r="E63" i="3"/>
  <c r="E64" i="3"/>
  <c r="E66" i="3"/>
  <c r="E67" i="3"/>
  <c r="E68" i="3"/>
  <c r="E69" i="3"/>
  <c r="E71" i="3"/>
  <c r="E72" i="3"/>
  <c r="E73" i="3"/>
  <c r="E75" i="3"/>
  <c r="E76" i="3"/>
  <c r="E77" i="3"/>
  <c r="E78" i="3"/>
  <c r="E81" i="3"/>
  <c r="E82" i="3"/>
  <c r="E83" i="3"/>
  <c r="E85" i="3"/>
  <c r="E86" i="3"/>
  <c r="E87" i="3"/>
  <c r="E89" i="3"/>
  <c r="E90" i="3"/>
  <c r="E91" i="3"/>
  <c r="E93" i="3"/>
  <c r="E94" i="3"/>
  <c r="E96" i="3"/>
  <c r="E97" i="3"/>
  <c r="E98" i="3"/>
  <c r="E100" i="3"/>
  <c r="E101" i="3"/>
  <c r="E102" i="3"/>
  <c r="E104" i="3"/>
  <c r="E105" i="3"/>
  <c r="E106" i="3"/>
  <c r="E107" i="3"/>
  <c r="E109" i="3"/>
  <c r="E110" i="3"/>
  <c r="E111" i="3"/>
  <c r="E112" i="3"/>
  <c r="E114" i="3"/>
  <c r="E115" i="3"/>
  <c r="E116" i="3"/>
  <c r="E118" i="3"/>
  <c r="E119" i="3"/>
  <c r="E121" i="3"/>
  <c r="D61" i="3"/>
  <c r="D65" i="3"/>
  <c r="D70" i="3"/>
  <c r="D74" i="3"/>
  <c r="D79" i="3"/>
  <c r="D84" i="3"/>
  <c r="D88" i="3"/>
  <c r="D92" i="3"/>
  <c r="D95" i="3"/>
  <c r="D99" i="3"/>
  <c r="D103" i="3"/>
  <c r="D108" i="3"/>
  <c r="D113" i="3"/>
  <c r="D117" i="3"/>
  <c r="D120" i="3"/>
  <c r="N203" i="1"/>
  <c r="G203" i="1"/>
  <c r="G101" i="1"/>
  <c r="G100" i="1"/>
  <c r="I100" i="1" s="1"/>
  <c r="E98" i="1"/>
  <c r="E96" i="1"/>
  <c r="E95" i="1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F51" i="3"/>
  <c r="E52" i="3"/>
  <c r="F52" i="3"/>
  <c r="E53" i="3"/>
  <c r="F53" i="3"/>
  <c r="E54" i="3"/>
  <c r="F54" i="3"/>
  <c r="E55" i="3"/>
  <c r="F55" i="3"/>
  <c r="E56" i="3"/>
  <c r="F56" i="3"/>
  <c r="E57" i="3"/>
  <c r="F57" i="3"/>
  <c r="I110" i="1"/>
  <c r="O110" i="1" s="1"/>
  <c r="I111" i="1"/>
  <c r="O111" i="1" s="1"/>
  <c r="I112" i="1"/>
  <c r="O112" i="1" s="1"/>
  <c r="G110" i="1"/>
  <c r="G111" i="1"/>
  <c r="G112" i="1"/>
  <c r="Q4" i="2"/>
  <c r="C17" i="2"/>
  <c r="C139" i="3" s="1"/>
  <c r="B17" i="2"/>
  <c r="D139" i="3" s="1"/>
  <c r="H151" i="1"/>
  <c r="I151" i="1" s="1"/>
  <c r="H150" i="1"/>
  <c r="I150" i="1" s="1"/>
  <c r="F151" i="1"/>
  <c r="G151" i="1" s="1"/>
  <c r="F150" i="1"/>
  <c r="G150" i="1" s="1"/>
  <c r="E159" i="1"/>
  <c r="E159" i="3" s="1"/>
  <c r="G157" i="1"/>
  <c r="I156" i="1"/>
  <c r="M156" i="1" s="1"/>
  <c r="I155" i="1"/>
  <c r="M155" i="1" s="1"/>
  <c r="N155" i="1" s="1"/>
  <c r="I154" i="1"/>
  <c r="M154" i="1" s="1"/>
  <c r="N154" i="1" s="1"/>
  <c r="I153" i="1"/>
  <c r="M153" i="1" s="1"/>
  <c r="H213" i="1"/>
  <c r="F60" i="3" s="1"/>
  <c r="H212" i="1"/>
  <c r="H163" i="1"/>
  <c r="H162" i="1"/>
  <c r="H139" i="1"/>
  <c r="H138" i="1"/>
  <c r="H126" i="1"/>
  <c r="H125" i="1"/>
  <c r="I165" i="1"/>
  <c r="I141" i="1"/>
  <c r="I128" i="1"/>
  <c r="I116" i="1"/>
  <c r="I86" i="1"/>
  <c r="I72" i="1"/>
  <c r="I60" i="1"/>
  <c r="I24" i="1"/>
  <c r="S250" i="1" l="1"/>
  <c r="S251" i="1" s="1"/>
  <c r="S253" i="1"/>
  <c r="S254" i="1" s="1"/>
  <c r="S255" i="1" s="1"/>
  <c r="L13" i="1"/>
  <c r="I13" i="1"/>
  <c r="F9" i="3"/>
  <c r="G13" i="1"/>
  <c r="I36" i="1"/>
  <c r="S243" i="1"/>
  <c r="S244" i="1" s="1"/>
  <c r="I48" i="1"/>
  <c r="G201" i="1"/>
  <c r="E282" i="1"/>
  <c r="E283" i="1" s="1"/>
  <c r="E284" i="1" s="1"/>
  <c r="I11" i="1"/>
  <c r="G200" i="1"/>
  <c r="C159" i="3"/>
  <c r="D159" i="3"/>
  <c r="I152" i="1"/>
  <c r="G152" i="1"/>
  <c r="G158" i="1" s="1"/>
  <c r="M157" i="1"/>
  <c r="N153" i="1"/>
  <c r="I157" i="1"/>
  <c r="E32" i="3"/>
  <c r="F32" i="3"/>
  <c r="E33" i="3"/>
  <c r="F33" i="3"/>
  <c r="E34" i="3"/>
  <c r="F34" i="3"/>
  <c r="E27" i="3"/>
  <c r="F27" i="3"/>
  <c r="E28" i="3"/>
  <c r="F28" i="3"/>
  <c r="E29" i="3"/>
  <c r="F29" i="3"/>
  <c r="E24" i="3"/>
  <c r="F24" i="3"/>
  <c r="F23" i="3"/>
  <c r="E23" i="3"/>
  <c r="E18" i="3"/>
  <c r="F18" i="3"/>
  <c r="F17" i="3"/>
  <c r="E17" i="3"/>
  <c r="D43" i="3"/>
  <c r="E59" i="3"/>
  <c r="D58" i="3"/>
  <c r="F59" i="3"/>
  <c r="G9" i="3" l="1"/>
  <c r="H9" i="3" s="1"/>
  <c r="I9" i="3" s="1"/>
  <c r="M13" i="1"/>
  <c r="G159" i="1"/>
  <c r="D17" i="2"/>
  <c r="J151" i="1"/>
  <c r="E17" i="2"/>
  <c r="I158" i="1"/>
  <c r="I159" i="1" s="1"/>
  <c r="J150" i="1"/>
  <c r="J152" i="1" s="1"/>
  <c r="N157" i="1"/>
  <c r="O157" i="1" s="1"/>
  <c r="I69" i="1"/>
  <c r="I191" i="1"/>
  <c r="E171" i="1"/>
  <c r="E147" i="1"/>
  <c r="E78" i="1"/>
  <c r="E153" i="3" s="1"/>
  <c r="E66" i="1"/>
  <c r="E54" i="1"/>
  <c r="G17" i="2" l="1"/>
  <c r="G96" i="1"/>
  <c r="I96" i="1"/>
  <c r="G83" i="1"/>
  <c r="I83" i="1"/>
  <c r="G69" i="1"/>
  <c r="F139" i="1"/>
  <c r="F138" i="1"/>
  <c r="I183" i="1" l="1"/>
  <c r="G183" i="1"/>
  <c r="I182" i="1"/>
  <c r="G182" i="1"/>
  <c r="F162" i="1" l="1"/>
  <c r="F125" i="1"/>
  <c r="F163" i="1"/>
  <c r="F126" i="1"/>
  <c r="E160" i="3"/>
  <c r="E158" i="3"/>
  <c r="E134" i="1"/>
  <c r="E157" i="3" s="1"/>
  <c r="E122" i="1"/>
  <c r="E156" i="3" s="1"/>
  <c r="E106" i="1"/>
  <c r="E155" i="3" s="1"/>
  <c r="E92" i="1"/>
  <c r="E154" i="3" s="1"/>
  <c r="E152" i="3"/>
  <c r="E151" i="3"/>
  <c r="E42" i="1"/>
  <c r="E150" i="3" s="1"/>
  <c r="E30" i="1"/>
  <c r="E149" i="3" s="1"/>
  <c r="E17" i="1" l="1"/>
  <c r="E148" i="3" s="1"/>
  <c r="F43" i="3" l="1"/>
  <c r="E43" i="3"/>
  <c r="C42" i="3"/>
  <c r="D42" i="3"/>
  <c r="F36" i="3"/>
  <c r="E36" i="3"/>
  <c r="C35" i="3"/>
  <c r="D35" i="3"/>
  <c r="E31" i="3"/>
  <c r="C30" i="3"/>
  <c r="D30" i="3"/>
  <c r="F26" i="3"/>
  <c r="E26" i="3"/>
  <c r="C25" i="3"/>
  <c r="D25" i="3"/>
  <c r="C22" i="3"/>
  <c r="D22" i="3"/>
  <c r="E21" i="3"/>
  <c r="F21" i="3"/>
  <c r="F20" i="3"/>
  <c r="E20" i="3"/>
  <c r="C19" i="3"/>
  <c r="D19" i="3"/>
  <c r="C16" i="3"/>
  <c r="D16" i="3"/>
  <c r="E15" i="3"/>
  <c r="E14" i="3"/>
  <c r="C13" i="3"/>
  <c r="D13" i="3"/>
  <c r="E11" i="3"/>
  <c r="F11" i="3"/>
  <c r="E12" i="3"/>
  <c r="F12" i="3"/>
  <c r="C10" i="3"/>
  <c r="D10" i="3"/>
  <c r="E7" i="3"/>
  <c r="F7" i="3"/>
  <c r="F6" i="3"/>
  <c r="E6" i="3"/>
  <c r="C5" i="3"/>
  <c r="D5" i="3"/>
  <c r="I113" i="1" l="1"/>
  <c r="I114" i="1"/>
  <c r="C14" i="2"/>
  <c r="C15" i="2"/>
  <c r="C16" i="2"/>
  <c r="C18" i="2"/>
  <c r="B18" i="2"/>
  <c r="B16" i="2"/>
  <c r="B15" i="2"/>
  <c r="B14" i="2"/>
  <c r="C160" i="3" l="1"/>
  <c r="C140" i="3"/>
  <c r="C158" i="3"/>
  <c r="C138" i="3"/>
  <c r="C157" i="3"/>
  <c r="C137" i="3"/>
  <c r="C136" i="3"/>
  <c r="C156" i="3"/>
  <c r="D140" i="3"/>
  <c r="D160" i="3"/>
  <c r="D158" i="3"/>
  <c r="D138" i="3"/>
  <c r="D137" i="3"/>
  <c r="D157" i="3"/>
  <c r="D156" i="3"/>
  <c r="D136" i="3"/>
  <c r="M165" i="1"/>
  <c r="M141" i="1"/>
  <c r="M128" i="1"/>
  <c r="M116" i="1"/>
  <c r="N116" i="1" s="1"/>
  <c r="I138" i="1"/>
  <c r="G138" i="1"/>
  <c r="G113" i="1"/>
  <c r="F15" i="3"/>
  <c r="F14" i="3"/>
  <c r="G169" i="1"/>
  <c r="I168" i="1"/>
  <c r="M168" i="1" s="1"/>
  <c r="I167" i="1"/>
  <c r="M167" i="1" s="1"/>
  <c r="N167" i="1" s="1"/>
  <c r="I166" i="1"/>
  <c r="M166" i="1" s="1"/>
  <c r="N166" i="1" s="1"/>
  <c r="I163" i="1"/>
  <c r="G163" i="1"/>
  <c r="I162" i="1"/>
  <c r="G162" i="1"/>
  <c r="G145" i="1"/>
  <c r="I144" i="1"/>
  <c r="M144" i="1" s="1"/>
  <c r="I143" i="1"/>
  <c r="M143" i="1" s="1"/>
  <c r="N143" i="1" s="1"/>
  <c r="I142" i="1"/>
  <c r="M142" i="1" s="1"/>
  <c r="N142" i="1" s="1"/>
  <c r="I139" i="1"/>
  <c r="G139" i="1"/>
  <c r="I137" i="1"/>
  <c r="G137" i="1"/>
  <c r="G132" i="1"/>
  <c r="I131" i="1"/>
  <c r="M131" i="1" s="1"/>
  <c r="I130" i="1"/>
  <c r="M130" i="1" s="1"/>
  <c r="N130" i="1" s="1"/>
  <c r="I129" i="1"/>
  <c r="M129" i="1" s="1"/>
  <c r="N129" i="1" s="1"/>
  <c r="I126" i="1"/>
  <c r="G126" i="1"/>
  <c r="I125" i="1"/>
  <c r="G125" i="1"/>
  <c r="G120" i="1"/>
  <c r="I119" i="1"/>
  <c r="M119" i="1" s="1"/>
  <c r="I118" i="1"/>
  <c r="M118" i="1" s="1"/>
  <c r="N118" i="1" s="1"/>
  <c r="I117" i="1"/>
  <c r="M117" i="1" s="1"/>
  <c r="N117" i="1" s="1"/>
  <c r="G114" i="1"/>
  <c r="I109" i="1"/>
  <c r="G109" i="1"/>
  <c r="G115" i="1" l="1"/>
  <c r="D14" i="2" s="1"/>
  <c r="I140" i="1"/>
  <c r="G140" i="1"/>
  <c r="G127" i="1"/>
  <c r="G164" i="1"/>
  <c r="I120" i="1"/>
  <c r="I115" i="1"/>
  <c r="N141" i="1"/>
  <c r="M145" i="1"/>
  <c r="I169" i="1"/>
  <c r="M120" i="1"/>
  <c r="N128" i="1"/>
  <c r="M132" i="1"/>
  <c r="I127" i="1"/>
  <c r="N165" i="1"/>
  <c r="M169" i="1"/>
  <c r="I132" i="1"/>
  <c r="I145" i="1"/>
  <c r="I164" i="1"/>
  <c r="A1" i="3"/>
  <c r="J111" i="1" l="1"/>
  <c r="J112" i="1"/>
  <c r="J110" i="1"/>
  <c r="J114" i="1"/>
  <c r="J113" i="1"/>
  <c r="J109" i="1"/>
  <c r="G146" i="1"/>
  <c r="G147" i="1" s="1"/>
  <c r="D16" i="2"/>
  <c r="J125" i="1"/>
  <c r="E15" i="2"/>
  <c r="G170" i="1"/>
  <c r="G171" i="1" s="1"/>
  <c r="D18" i="2"/>
  <c r="J139" i="1"/>
  <c r="E16" i="2"/>
  <c r="J163" i="1"/>
  <c r="E18" i="2"/>
  <c r="G133" i="1"/>
  <c r="G134" i="1" s="1"/>
  <c r="D15" i="2"/>
  <c r="G121" i="1"/>
  <c r="G122" i="1" s="1"/>
  <c r="E14" i="2"/>
  <c r="J138" i="1"/>
  <c r="J137" i="1"/>
  <c r="I146" i="1"/>
  <c r="I147" i="1" s="1"/>
  <c r="I121" i="1"/>
  <c r="I122" i="1" s="1"/>
  <c r="J162" i="1"/>
  <c r="N120" i="1"/>
  <c r="J126" i="1"/>
  <c r="N145" i="1"/>
  <c r="O145" i="1" s="1"/>
  <c r="I133" i="1"/>
  <c r="I134" i="1" s="1"/>
  <c r="I170" i="1"/>
  <c r="I171" i="1" s="1"/>
  <c r="N169" i="1"/>
  <c r="O169" i="1" s="1"/>
  <c r="N132" i="1"/>
  <c r="O132" i="1" s="1"/>
  <c r="G15" i="2" l="1"/>
  <c r="G18" i="2"/>
  <c r="G16" i="2"/>
  <c r="G14" i="2"/>
  <c r="J164" i="1"/>
  <c r="J140" i="1"/>
  <c r="J115" i="1"/>
  <c r="J127" i="1"/>
  <c r="G74" i="1" l="1"/>
  <c r="G202" i="1" s="1"/>
  <c r="C12" i="2" l="1"/>
  <c r="B12" i="2"/>
  <c r="C10" i="2"/>
  <c r="I97" i="1"/>
  <c r="G97" i="1"/>
  <c r="I70" i="1"/>
  <c r="G70" i="1"/>
  <c r="I58" i="1"/>
  <c r="G58" i="1"/>
  <c r="C132" i="3" l="1"/>
  <c r="C152" i="3"/>
  <c r="C150" i="3"/>
  <c r="C130" i="3"/>
  <c r="D132" i="3"/>
  <c r="D152" i="3"/>
  <c r="I46" i="1"/>
  <c r="G46" i="1"/>
  <c r="G64" i="1" l="1"/>
  <c r="I63" i="1"/>
  <c r="M63" i="1" s="1"/>
  <c r="I62" i="1"/>
  <c r="M62" i="1" s="1"/>
  <c r="N62" i="1" s="1"/>
  <c r="I61" i="1"/>
  <c r="M61" i="1" s="1"/>
  <c r="N61" i="1" s="1"/>
  <c r="M60" i="1"/>
  <c r="I57" i="1"/>
  <c r="G57" i="1"/>
  <c r="I34" i="1"/>
  <c r="G34" i="1"/>
  <c r="I21" i="1"/>
  <c r="G21" i="1"/>
  <c r="I59" i="1" l="1"/>
  <c r="G59" i="1"/>
  <c r="N60" i="1"/>
  <c r="M64" i="1"/>
  <c r="I64" i="1"/>
  <c r="G65" i="1" l="1"/>
  <c r="G66" i="1" s="1"/>
  <c r="D12" i="2"/>
  <c r="E12" i="2"/>
  <c r="J58" i="1"/>
  <c r="I65" i="1"/>
  <c r="I66" i="1" s="1"/>
  <c r="J57" i="1"/>
  <c r="N64" i="1"/>
  <c r="O64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G12" i="2"/>
  <c r="J59" i="1"/>
  <c r="I51" i="1"/>
  <c r="M51" i="1" s="1"/>
  <c r="I50" i="1"/>
  <c r="M50" i="1" s="1"/>
  <c r="I49" i="1"/>
  <c r="M49" i="1" s="1"/>
  <c r="I103" i="1"/>
  <c r="M103" i="1" s="1"/>
  <c r="I101" i="1"/>
  <c r="M101" i="1" s="1"/>
  <c r="I89" i="1"/>
  <c r="M89" i="1" s="1"/>
  <c r="I88" i="1"/>
  <c r="I87" i="1"/>
  <c r="I75" i="1"/>
  <c r="M75" i="1" s="1"/>
  <c r="I74" i="1"/>
  <c r="I73" i="1"/>
  <c r="M73" i="1" s="1"/>
  <c r="I39" i="1"/>
  <c r="M39" i="1" s="1"/>
  <c r="I38" i="1"/>
  <c r="M38" i="1" s="1"/>
  <c r="I37" i="1"/>
  <c r="M37" i="1" s="1"/>
  <c r="I27" i="1"/>
  <c r="M27" i="1" s="1"/>
  <c r="I25" i="1"/>
  <c r="I14" i="1"/>
  <c r="I12" i="1"/>
  <c r="B32" i="2"/>
  <c r="I203" i="1" l="1"/>
  <c r="I201" i="1"/>
  <c r="A82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83" i="1"/>
  <c r="E32" i="2"/>
  <c r="A95" i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96" i="1"/>
  <c r="M12" i="1"/>
  <c r="M88" i="1"/>
  <c r="M14" i="1"/>
  <c r="M203" i="1" s="1"/>
  <c r="M87" i="1"/>
  <c r="M74" i="1"/>
  <c r="I40" i="1"/>
  <c r="M25" i="1"/>
  <c r="G28" i="1"/>
  <c r="G104" i="1"/>
  <c r="I26" i="1"/>
  <c r="I102" i="1"/>
  <c r="G15" i="1"/>
  <c r="G52" i="1"/>
  <c r="D32" i="2"/>
  <c r="G90" i="1"/>
  <c r="G76" i="1"/>
  <c r="G40" i="1"/>
  <c r="M26" i="1" l="1"/>
  <c r="I202" i="1"/>
  <c r="A109" i="1"/>
  <c r="J32" i="2"/>
  <c r="I90" i="1"/>
  <c r="I15" i="1"/>
  <c r="I52" i="1"/>
  <c r="I76" i="1"/>
  <c r="I104" i="1"/>
  <c r="M102" i="1"/>
  <c r="I28" i="1"/>
  <c r="I184" i="1"/>
  <c r="G184" i="1"/>
  <c r="I188" i="1"/>
  <c r="G188" i="1"/>
  <c r="I187" i="1"/>
  <c r="G187" i="1"/>
  <c r="I186" i="1"/>
  <c r="G186" i="1"/>
  <c r="I185" i="1"/>
  <c r="G185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E31" i="2"/>
  <c r="E30" i="2"/>
  <c r="D31" i="2"/>
  <c r="D30" i="2"/>
  <c r="C9" i="2"/>
  <c r="C13" i="2"/>
  <c r="C22" i="2"/>
  <c r="C23" i="2"/>
  <c r="C11" i="2"/>
  <c r="B19" i="2"/>
  <c r="B11" i="2"/>
  <c r="B23" i="2"/>
  <c r="B22" i="2"/>
  <c r="B13" i="2"/>
  <c r="B10" i="2"/>
  <c r="B9" i="2"/>
  <c r="C8" i="2"/>
  <c r="B8" i="2"/>
  <c r="I84" i="1"/>
  <c r="G84" i="1"/>
  <c r="N74" i="1"/>
  <c r="N73" i="1"/>
  <c r="M72" i="1"/>
  <c r="N38" i="1"/>
  <c r="N37" i="1"/>
  <c r="M36" i="1"/>
  <c r="I33" i="1"/>
  <c r="G33" i="1"/>
  <c r="N25" i="1"/>
  <c r="M24" i="1"/>
  <c r="I22" i="1"/>
  <c r="G22" i="1"/>
  <c r="I20" i="1"/>
  <c r="G20" i="1"/>
  <c r="N88" i="1"/>
  <c r="N87" i="1"/>
  <c r="M86" i="1"/>
  <c r="I82" i="1"/>
  <c r="G82" i="1"/>
  <c r="I81" i="1"/>
  <c r="G81" i="1"/>
  <c r="N102" i="1"/>
  <c r="N101" i="1"/>
  <c r="M100" i="1"/>
  <c r="I98" i="1"/>
  <c r="G98" i="1"/>
  <c r="N50" i="1"/>
  <c r="N49" i="1"/>
  <c r="M48" i="1"/>
  <c r="I45" i="1"/>
  <c r="G45" i="1"/>
  <c r="A149" i="1" l="1"/>
  <c r="A150" i="1" s="1"/>
  <c r="C129" i="3"/>
  <c r="C149" i="3"/>
  <c r="C135" i="3"/>
  <c r="C155" i="3"/>
  <c r="C148" i="3"/>
  <c r="C128" i="3"/>
  <c r="C161" i="3"/>
  <c r="C141" i="3"/>
  <c r="C134" i="3"/>
  <c r="C154" i="3"/>
  <c r="C153" i="3"/>
  <c r="C133" i="3"/>
  <c r="C131" i="3"/>
  <c r="C151" i="3"/>
  <c r="D141" i="3"/>
  <c r="D161" i="3"/>
  <c r="D135" i="3"/>
  <c r="D155" i="3"/>
  <c r="D134" i="3"/>
  <c r="D154" i="3"/>
  <c r="D133" i="3"/>
  <c r="D153" i="3"/>
  <c r="D131" i="3"/>
  <c r="D151" i="3"/>
  <c r="D130" i="3"/>
  <c r="D150" i="3"/>
  <c r="D149" i="3"/>
  <c r="D129" i="3"/>
  <c r="D148" i="3"/>
  <c r="D128" i="3"/>
  <c r="N48" i="1"/>
  <c r="M52" i="1"/>
  <c r="N100" i="1"/>
  <c r="M104" i="1"/>
  <c r="N86" i="1"/>
  <c r="M90" i="1"/>
  <c r="N72" i="1"/>
  <c r="M76" i="1"/>
  <c r="N36" i="1"/>
  <c r="M40" i="1"/>
  <c r="N24" i="1"/>
  <c r="M28" i="1"/>
  <c r="N28" i="1" s="1"/>
  <c r="O28" i="1" s="1"/>
  <c r="G35" i="1"/>
  <c r="D10" i="2" s="1"/>
  <c r="D29" i="2"/>
  <c r="D33" i="2" s="1"/>
  <c r="G71" i="1"/>
  <c r="I71" i="1"/>
  <c r="J69" i="1" s="1"/>
  <c r="I35" i="1"/>
  <c r="G23" i="1"/>
  <c r="N26" i="1"/>
  <c r="I23" i="1"/>
  <c r="J22" i="1" s="1"/>
  <c r="G85" i="1"/>
  <c r="I47" i="1"/>
  <c r="I85" i="1"/>
  <c r="G47" i="1"/>
  <c r="G174" i="1"/>
  <c r="I174" i="1"/>
  <c r="G194" i="1"/>
  <c r="G204" i="1" s="1"/>
  <c r="M192" i="1"/>
  <c r="M202" i="1" s="1"/>
  <c r="M191" i="1"/>
  <c r="M201" i="1" s="1"/>
  <c r="B30" i="2"/>
  <c r="B31" i="2"/>
  <c r="B29" i="2"/>
  <c r="M11" i="1"/>
  <c r="I9" i="1"/>
  <c r="I8" i="1"/>
  <c r="G9" i="1"/>
  <c r="G8" i="1"/>
  <c r="A2" i="1"/>
  <c r="A1" i="1"/>
  <c r="A8" i="2"/>
  <c r="A9" i="2" l="1"/>
  <c r="A10" i="2" s="1"/>
  <c r="A11" i="2" s="1"/>
  <c r="A12" i="2" s="1"/>
  <c r="A151" i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5" i="1" s="1"/>
  <c r="A186" i="1" s="1"/>
  <c r="A187" i="1" s="1"/>
  <c r="A188" i="1" s="1"/>
  <c r="A182" i="1" s="1"/>
  <c r="A183" i="1" s="1"/>
  <c r="A184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J81" i="1"/>
  <c r="J83" i="1"/>
  <c r="J70" i="1"/>
  <c r="J82" i="1"/>
  <c r="M15" i="1"/>
  <c r="J84" i="1"/>
  <c r="E10" i="2"/>
  <c r="J34" i="1"/>
  <c r="N191" i="1"/>
  <c r="N192" i="1"/>
  <c r="J31" i="2"/>
  <c r="J21" i="1"/>
  <c r="J46" i="1"/>
  <c r="J33" i="1"/>
  <c r="J20" i="1"/>
  <c r="J45" i="1"/>
  <c r="G41" i="1"/>
  <c r="G42" i="1" s="1"/>
  <c r="N12" i="1"/>
  <c r="N201" i="1" s="1"/>
  <c r="J30" i="2"/>
  <c r="N13" i="1"/>
  <c r="G77" i="1"/>
  <c r="G78" i="1" s="1"/>
  <c r="D13" i="2"/>
  <c r="G29" i="1"/>
  <c r="G30" i="1" s="1"/>
  <c r="D9" i="2"/>
  <c r="I41" i="1"/>
  <c r="I42" i="1" s="1"/>
  <c r="G53" i="1"/>
  <c r="G54" i="1" s="1"/>
  <c r="D11" i="2"/>
  <c r="I53" i="1"/>
  <c r="I54" i="1" s="1"/>
  <c r="E11" i="2"/>
  <c r="I29" i="1"/>
  <c r="I30" i="1" s="1"/>
  <c r="E9" i="2"/>
  <c r="I91" i="1"/>
  <c r="I92" i="1" s="1"/>
  <c r="E22" i="2"/>
  <c r="G91" i="1"/>
  <c r="G92" i="1" s="1"/>
  <c r="D22" i="2"/>
  <c r="I77" i="1"/>
  <c r="I78" i="1" s="1"/>
  <c r="E13" i="2"/>
  <c r="N40" i="1"/>
  <c r="O40" i="1" s="1"/>
  <c r="N76" i="1"/>
  <c r="O76" i="1" s="1"/>
  <c r="N90" i="1"/>
  <c r="O90" i="1" s="1"/>
  <c r="N104" i="1"/>
  <c r="O104" i="1" s="1"/>
  <c r="N52" i="1"/>
  <c r="O52" i="1" s="1"/>
  <c r="G10" i="1"/>
  <c r="I10" i="1"/>
  <c r="I189" i="1"/>
  <c r="G189" i="1"/>
  <c r="N11" i="1"/>
  <c r="N202" i="1" l="1"/>
  <c r="I190" i="1"/>
  <c r="G22" i="2"/>
  <c r="A27" i="2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J183" i="1"/>
  <c r="J182" i="1"/>
  <c r="G11" i="2"/>
  <c r="G13" i="2"/>
  <c r="G10" i="2"/>
  <c r="G9" i="2"/>
  <c r="D19" i="2"/>
  <c r="J47" i="1"/>
  <c r="J35" i="1"/>
  <c r="J23" i="1"/>
  <c r="E19" i="2"/>
  <c r="J85" i="1"/>
  <c r="J181" i="1"/>
  <c r="J188" i="1"/>
  <c r="J185" i="1"/>
  <c r="J179" i="1"/>
  <c r="J180" i="1"/>
  <c r="J184" i="1"/>
  <c r="J186" i="1"/>
  <c r="J187" i="1"/>
  <c r="J178" i="1"/>
  <c r="J176" i="1"/>
  <c r="J177" i="1"/>
  <c r="J175" i="1"/>
  <c r="J9" i="1"/>
  <c r="J8" i="1"/>
  <c r="J71" i="1"/>
  <c r="G195" i="1"/>
  <c r="E8" i="2"/>
  <c r="G16" i="1"/>
  <c r="D8" i="2"/>
  <c r="J174" i="1"/>
  <c r="I16" i="1"/>
  <c r="N15" i="1"/>
  <c r="I200" i="1" l="1"/>
  <c r="E29" i="2" s="1"/>
  <c r="E33" i="2" s="1"/>
  <c r="M190" i="1"/>
  <c r="I194" i="1"/>
  <c r="I17" i="1"/>
  <c r="A256" i="1"/>
  <c r="A257" i="1" s="1"/>
  <c r="A258" i="1" s="1"/>
  <c r="A259" i="1" s="1"/>
  <c r="A260" i="1" s="1"/>
  <c r="G19" i="2"/>
  <c r="G8" i="2"/>
  <c r="G17" i="1"/>
  <c r="J189" i="1"/>
  <c r="J10" i="1"/>
  <c r="I204" i="1" l="1"/>
  <c r="I195" i="1"/>
  <c r="M200" i="1"/>
  <c r="J29" i="2" s="1"/>
  <c r="J33" i="2" s="1"/>
  <c r="N190" i="1"/>
  <c r="N200" i="1" s="1"/>
  <c r="M194" i="1"/>
  <c r="M204" i="1" l="1"/>
  <c r="N194" i="1"/>
  <c r="O97" i="1"/>
  <c r="O20" i="1"/>
  <c r="O84" i="1"/>
  <c r="F31" i="3"/>
  <c r="G95" i="1"/>
  <c r="G99" i="1" s="1"/>
  <c r="G199" i="1" s="1"/>
  <c r="I95" i="1"/>
  <c r="N204" i="1" l="1"/>
  <c r="O194" i="1"/>
  <c r="G105" i="1"/>
  <c r="G205" i="1" s="1"/>
  <c r="D23" i="2"/>
  <c r="I99" i="1"/>
  <c r="I199" i="1" s="1"/>
  <c r="D20" i="2" l="1"/>
  <c r="D24" i="2"/>
  <c r="J96" i="1"/>
  <c r="G106" i="1"/>
  <c r="J98" i="1"/>
  <c r="J97" i="1"/>
  <c r="I105" i="1"/>
  <c r="I205" i="1" s="1"/>
  <c r="E23" i="2"/>
  <c r="J95" i="1"/>
  <c r="G23" i="2" l="1"/>
  <c r="E24" i="2"/>
  <c r="D26" i="2"/>
  <c r="D35" i="2" s="1"/>
  <c r="D37" i="2" s="1"/>
  <c r="D38" i="2" s="1"/>
  <c r="I106" i="1"/>
  <c r="J99" i="1"/>
  <c r="E20" i="2"/>
  <c r="F24" i="2" l="1"/>
  <c r="F22" i="2"/>
  <c r="F23" i="2"/>
  <c r="F17" i="2"/>
  <c r="E26" i="2"/>
  <c r="G24" i="2"/>
  <c r="G20" i="2"/>
  <c r="F8" i="2"/>
  <c r="F9" i="2"/>
  <c r="F15" i="2"/>
  <c r="F19" i="2"/>
  <c r="F14" i="2"/>
  <c r="F18" i="2"/>
  <c r="F20" i="2"/>
  <c r="F10" i="2"/>
  <c r="F13" i="2"/>
  <c r="F16" i="2"/>
  <c r="F12" i="2"/>
  <c r="F11" i="2"/>
  <c r="H17" i="2" l="1"/>
  <c r="I17" i="2" s="1"/>
  <c r="K152" i="1" s="1"/>
  <c r="S152" i="1" s="1"/>
  <c r="G26" i="2"/>
  <c r="H24" i="2"/>
  <c r="H22" i="2"/>
  <c r="I22" i="2" s="1"/>
  <c r="H23" i="2"/>
  <c r="I23" i="2" s="1"/>
  <c r="K99" i="1" s="1"/>
  <c r="E35" i="2"/>
  <c r="H19" i="2"/>
  <c r="I19" i="2" s="1"/>
  <c r="K189" i="1" s="1"/>
  <c r="H10" i="2"/>
  <c r="I10" i="2" s="1"/>
  <c r="K35" i="1" s="1"/>
  <c r="H12" i="2"/>
  <c r="I12" i="2" s="1"/>
  <c r="K59" i="1" s="1"/>
  <c r="H13" i="2"/>
  <c r="I13" i="2" s="1"/>
  <c r="K71" i="1" s="1"/>
  <c r="H8" i="2"/>
  <c r="I8" i="2" s="1"/>
  <c r="H16" i="2"/>
  <c r="I16" i="2" s="1"/>
  <c r="K140" i="1" s="1"/>
  <c r="H15" i="2"/>
  <c r="I15" i="2" s="1"/>
  <c r="K127" i="1" s="1"/>
  <c r="H14" i="2"/>
  <c r="I14" i="2" s="1"/>
  <c r="K115" i="1" s="1"/>
  <c r="H18" i="2"/>
  <c r="I18" i="2" s="1"/>
  <c r="K164" i="1" s="1"/>
  <c r="H9" i="2"/>
  <c r="I9" i="2" s="1"/>
  <c r="K23" i="1" s="1"/>
  <c r="H11" i="2"/>
  <c r="I11" i="2" s="1"/>
  <c r="K47" i="1" s="1"/>
  <c r="K85" i="1" l="1"/>
  <c r="I24" i="2"/>
  <c r="I20" i="2"/>
  <c r="I26" i="2" s="1"/>
  <c r="K10" i="1"/>
  <c r="S23" i="1"/>
  <c r="S71" i="1"/>
  <c r="L69" i="1" s="1"/>
  <c r="G23" i="3" s="1"/>
  <c r="H23" i="3" s="1"/>
  <c r="I23" i="3" s="1"/>
  <c r="S140" i="1"/>
  <c r="S59" i="1"/>
  <c r="S47" i="1"/>
  <c r="S164" i="1"/>
  <c r="S35" i="1"/>
  <c r="S85" i="1"/>
  <c r="K116" i="1"/>
  <c r="S115" i="1"/>
  <c r="S189" i="1"/>
  <c r="S99" i="1"/>
  <c r="S127" i="1"/>
  <c r="S111" i="1" l="1"/>
  <c r="L111" i="1" s="1"/>
  <c r="S110" i="1"/>
  <c r="L110" i="1" s="1"/>
  <c r="S112" i="1"/>
  <c r="L112" i="1" s="1"/>
  <c r="L84" i="1"/>
  <c r="G29" i="3" s="1"/>
  <c r="H29" i="3" s="1"/>
  <c r="I29" i="3" s="1"/>
  <c r="L83" i="1"/>
  <c r="G28" i="3" s="1"/>
  <c r="H28" i="3" s="1"/>
  <c r="I28" i="3" s="1"/>
  <c r="M69" i="1"/>
  <c r="T69" i="1"/>
  <c r="L34" i="1"/>
  <c r="L151" i="1" s="1"/>
  <c r="L33" i="1"/>
  <c r="L150" i="1" s="1"/>
  <c r="M150" i="1" s="1"/>
  <c r="N150" i="1" s="1"/>
  <c r="O150" i="1" s="1"/>
  <c r="L46" i="1"/>
  <c r="L45" i="1"/>
  <c r="G17" i="3" s="1"/>
  <c r="H17" i="3" s="1"/>
  <c r="I17" i="3" s="1"/>
  <c r="L98" i="1"/>
  <c r="G34" i="3" s="1"/>
  <c r="H34" i="3" s="1"/>
  <c r="I34" i="3" s="1"/>
  <c r="L96" i="1"/>
  <c r="G32" i="3" s="1"/>
  <c r="H32" i="3" s="1"/>
  <c r="I32" i="3" s="1"/>
  <c r="L97" i="1"/>
  <c r="G33" i="3" s="1"/>
  <c r="H33" i="3" s="1"/>
  <c r="I33" i="3" s="1"/>
  <c r="L95" i="1"/>
  <c r="L21" i="1"/>
  <c r="L22" i="1"/>
  <c r="L20" i="1"/>
  <c r="L70" i="1"/>
  <c r="G24" i="3" s="1"/>
  <c r="H24" i="3" s="1"/>
  <c r="I24" i="3" s="1"/>
  <c r="L185" i="1"/>
  <c r="G54" i="3" s="1"/>
  <c r="H54" i="3" s="1"/>
  <c r="I54" i="3" s="1"/>
  <c r="L178" i="1"/>
  <c r="G47" i="3" s="1"/>
  <c r="L181" i="1"/>
  <c r="G50" i="3" s="1"/>
  <c r="L188" i="1"/>
  <c r="G57" i="3" s="1"/>
  <c r="H57" i="3" s="1"/>
  <c r="I57" i="3" s="1"/>
  <c r="L176" i="1"/>
  <c r="G45" i="3" s="1"/>
  <c r="L187" i="1"/>
  <c r="G56" i="3" s="1"/>
  <c r="H56" i="3" s="1"/>
  <c r="I56" i="3" s="1"/>
  <c r="L186" i="1"/>
  <c r="G55" i="3" s="1"/>
  <c r="H55" i="3" s="1"/>
  <c r="I55" i="3" s="1"/>
  <c r="L179" i="1"/>
  <c r="G48" i="3" s="1"/>
  <c r="L182" i="1"/>
  <c r="G51" i="3" s="1"/>
  <c r="L175" i="1"/>
  <c r="G44" i="3" s="1"/>
  <c r="L174" i="1"/>
  <c r="L183" i="1"/>
  <c r="G52" i="3" s="1"/>
  <c r="L177" i="1"/>
  <c r="G46" i="3" s="1"/>
  <c r="L184" i="1"/>
  <c r="G53" i="3" s="1"/>
  <c r="L180" i="1"/>
  <c r="G49" i="3" s="1"/>
  <c r="L58" i="1"/>
  <c r="L57" i="1"/>
  <c r="S10" i="1"/>
  <c r="L113" i="1"/>
  <c r="G40" i="3" s="1"/>
  <c r="H40" i="3" s="1"/>
  <c r="I40" i="3" s="1"/>
  <c r="L114" i="1"/>
  <c r="G41" i="3" s="1"/>
  <c r="H41" i="3" s="1"/>
  <c r="I41" i="3" s="1"/>
  <c r="L109" i="1"/>
  <c r="L82" i="1"/>
  <c r="G27" i="3" s="1"/>
  <c r="H27" i="3" s="1"/>
  <c r="I27" i="3" s="1"/>
  <c r="L81" i="1"/>
  <c r="M112" i="1" l="1"/>
  <c r="N112" i="1" s="1"/>
  <c r="G39" i="3"/>
  <c r="H39" i="3" s="1"/>
  <c r="I39" i="3" s="1"/>
  <c r="M110" i="1"/>
  <c r="G37" i="3"/>
  <c r="H37" i="3" s="1"/>
  <c r="I37" i="3" s="1"/>
  <c r="M111" i="1"/>
  <c r="N111" i="1" s="1"/>
  <c r="G38" i="3"/>
  <c r="H38" i="3" s="1"/>
  <c r="I38" i="3" s="1"/>
  <c r="N110" i="1"/>
  <c r="T151" i="1"/>
  <c r="M151" i="1"/>
  <c r="N151" i="1" s="1"/>
  <c r="O151" i="1" s="1"/>
  <c r="L139" i="1"/>
  <c r="M139" i="1" s="1"/>
  <c r="G18" i="3"/>
  <c r="H18" i="3" s="1"/>
  <c r="I18" i="3" s="1"/>
  <c r="M45" i="1"/>
  <c r="N45" i="1" s="1"/>
  <c r="L138" i="1"/>
  <c r="M138" i="1" s="1"/>
  <c r="T83" i="1"/>
  <c r="M83" i="1"/>
  <c r="N83" i="1" s="1"/>
  <c r="O83" i="1" s="1"/>
  <c r="N69" i="1"/>
  <c r="O69" i="1" s="1"/>
  <c r="H45" i="3"/>
  <c r="I45" i="3" s="1"/>
  <c r="M176" i="1"/>
  <c r="T176" i="1"/>
  <c r="T84" i="1"/>
  <c r="M84" i="1"/>
  <c r="N84" i="1" s="1"/>
  <c r="T113" i="1"/>
  <c r="M113" i="1"/>
  <c r="T183" i="1"/>
  <c r="M183" i="1"/>
  <c r="M188" i="1"/>
  <c r="T188" i="1"/>
  <c r="T21" i="1"/>
  <c r="M21" i="1"/>
  <c r="G11" i="3"/>
  <c r="H11" i="3" s="1"/>
  <c r="I11" i="3" s="1"/>
  <c r="M137" i="1"/>
  <c r="L9" i="1"/>
  <c r="L213" i="1" s="1"/>
  <c r="G60" i="3" s="1"/>
  <c r="H60" i="3" s="1"/>
  <c r="I60" i="3" s="1"/>
  <c r="L8" i="1"/>
  <c r="L212" i="1" s="1"/>
  <c r="G59" i="3" s="1"/>
  <c r="H59" i="3" s="1"/>
  <c r="I59" i="3" s="1"/>
  <c r="T174" i="1"/>
  <c r="M174" i="1"/>
  <c r="G43" i="3"/>
  <c r="H43" i="3" s="1"/>
  <c r="I43" i="3" s="1"/>
  <c r="M181" i="1"/>
  <c r="H50" i="3"/>
  <c r="I50" i="3" s="1"/>
  <c r="T181" i="1"/>
  <c r="G31" i="3"/>
  <c r="H31" i="3" s="1"/>
  <c r="I31" i="3" s="1"/>
  <c r="T95" i="1"/>
  <c r="M95" i="1"/>
  <c r="H44" i="3"/>
  <c r="I44" i="3" s="1"/>
  <c r="T175" i="1"/>
  <c r="M175" i="1"/>
  <c r="M178" i="1"/>
  <c r="H47" i="3"/>
  <c r="I47" i="3" s="1"/>
  <c r="T178" i="1"/>
  <c r="M97" i="1"/>
  <c r="T97" i="1"/>
  <c r="H46" i="3"/>
  <c r="I46" i="3" s="1"/>
  <c r="T177" i="1"/>
  <c r="M177" i="1"/>
  <c r="G20" i="3"/>
  <c r="H20" i="3" s="1"/>
  <c r="I20" i="3" s="1"/>
  <c r="T57" i="1"/>
  <c r="M57" i="1"/>
  <c r="T182" i="1"/>
  <c r="M182" i="1"/>
  <c r="T185" i="1"/>
  <c r="M185" i="1"/>
  <c r="H51" i="3"/>
  <c r="I51" i="3" s="1"/>
  <c r="T96" i="1"/>
  <c r="M96" i="1"/>
  <c r="G12" i="3"/>
  <c r="H12" i="3" s="1"/>
  <c r="I12" i="3" s="1"/>
  <c r="T22" i="1"/>
  <c r="M22" i="1"/>
  <c r="T58" i="1"/>
  <c r="M58" i="1"/>
  <c r="G21" i="3"/>
  <c r="H21" i="3" s="1"/>
  <c r="I21" i="3" s="1"/>
  <c r="H48" i="3"/>
  <c r="I48" i="3" s="1"/>
  <c r="T179" i="1"/>
  <c r="M179" i="1"/>
  <c r="T70" i="1"/>
  <c r="M70" i="1"/>
  <c r="T98" i="1"/>
  <c r="M98" i="1"/>
  <c r="T114" i="1"/>
  <c r="M114" i="1"/>
  <c r="T180" i="1"/>
  <c r="M180" i="1"/>
  <c r="H49" i="3"/>
  <c r="I49" i="3" s="1"/>
  <c r="T186" i="1"/>
  <c r="M186" i="1"/>
  <c r="H52" i="3"/>
  <c r="I52" i="3" s="1"/>
  <c r="T82" i="1"/>
  <c r="M82" i="1"/>
  <c r="N82" i="1" s="1"/>
  <c r="O82" i="1" s="1"/>
  <c r="G26" i="3"/>
  <c r="H26" i="3" s="1"/>
  <c r="I26" i="3" s="1"/>
  <c r="T81" i="1"/>
  <c r="M81" i="1"/>
  <c r="G36" i="3"/>
  <c r="H36" i="3" s="1"/>
  <c r="I36" i="3" s="1"/>
  <c r="T109" i="1"/>
  <c r="M109" i="1"/>
  <c r="T184" i="1"/>
  <c r="M184" i="1"/>
  <c r="H53" i="3"/>
  <c r="I53" i="3" s="1"/>
  <c r="T187" i="1"/>
  <c r="M187" i="1"/>
  <c r="M20" i="1"/>
  <c r="T46" i="1"/>
  <c r="M46" i="1"/>
  <c r="M152" i="1" l="1"/>
  <c r="J17" i="2" s="1"/>
  <c r="O17" i="2" s="1"/>
  <c r="T138" i="1"/>
  <c r="T139" i="1"/>
  <c r="L162" i="1"/>
  <c r="T162" i="1" s="1"/>
  <c r="L125" i="1"/>
  <c r="L126" i="1"/>
  <c r="L163" i="1"/>
  <c r="N186" i="1"/>
  <c r="O186" i="1" s="1"/>
  <c r="N98" i="1"/>
  <c r="O98" i="1" s="1"/>
  <c r="N185" i="1"/>
  <c r="O185" i="1" s="1"/>
  <c r="N137" i="1"/>
  <c r="M140" i="1"/>
  <c r="P138" i="1" s="1"/>
  <c r="Q138" i="1" s="1"/>
  <c r="N188" i="1"/>
  <c r="O188" i="1" s="1"/>
  <c r="N181" i="1"/>
  <c r="O181" i="1" s="1"/>
  <c r="N174" i="1"/>
  <c r="M189" i="1"/>
  <c r="P182" i="1" s="1"/>
  <c r="Q182" i="1" s="1"/>
  <c r="N183" i="1"/>
  <c r="O183" i="1" s="1"/>
  <c r="N180" i="1"/>
  <c r="O180" i="1" s="1"/>
  <c r="N58" i="1"/>
  <c r="O58" i="1" s="1"/>
  <c r="N22" i="1"/>
  <c r="O22" i="1" s="1"/>
  <c r="N182" i="1"/>
  <c r="O182" i="1" s="1"/>
  <c r="N95" i="1"/>
  <c r="M99" i="1"/>
  <c r="P96" i="1" s="1"/>
  <c r="Q96" i="1" s="1"/>
  <c r="N97" i="1"/>
  <c r="N46" i="1"/>
  <c r="O46" i="1" s="1"/>
  <c r="M47" i="1"/>
  <c r="P46" i="1" s="1"/>
  <c r="Q46" i="1" s="1"/>
  <c r="N70" i="1"/>
  <c r="M71" i="1"/>
  <c r="P69" i="1" s="1"/>
  <c r="N177" i="1"/>
  <c r="O177" i="1" s="1"/>
  <c r="N178" i="1"/>
  <c r="O178" i="1" s="1"/>
  <c r="G6" i="3"/>
  <c r="H6" i="3" s="1"/>
  <c r="I6" i="3" s="1"/>
  <c r="T8" i="1"/>
  <c r="M8" i="1"/>
  <c r="N113" i="1"/>
  <c r="O113" i="1" s="1"/>
  <c r="N81" i="1"/>
  <c r="M85" i="1"/>
  <c r="N20" i="1"/>
  <c r="M23" i="1"/>
  <c r="P20" i="1" s="1"/>
  <c r="N109" i="1"/>
  <c r="M115" i="1"/>
  <c r="N57" i="1"/>
  <c r="M59" i="1"/>
  <c r="N175" i="1"/>
  <c r="O175" i="1" s="1"/>
  <c r="G7" i="3"/>
  <c r="H7" i="3" s="1"/>
  <c r="I7" i="3" s="1"/>
  <c r="M9" i="1"/>
  <c r="T9" i="1"/>
  <c r="N21" i="1"/>
  <c r="O21" i="1" s="1"/>
  <c r="N139" i="1"/>
  <c r="O139" i="1" s="1"/>
  <c r="N184" i="1"/>
  <c r="O184" i="1" s="1"/>
  <c r="O45" i="1"/>
  <c r="N114" i="1"/>
  <c r="O114" i="1" s="1"/>
  <c r="N96" i="1"/>
  <c r="O96" i="1" s="1"/>
  <c r="N176" i="1"/>
  <c r="O176" i="1" s="1"/>
  <c r="N187" i="1"/>
  <c r="O187" i="1" s="1"/>
  <c r="N179" i="1"/>
  <c r="O179" i="1" s="1"/>
  <c r="N138" i="1"/>
  <c r="O138" i="1" s="1"/>
  <c r="P114" i="1" l="1"/>
  <c r="Q114" i="1" s="1"/>
  <c r="P112" i="1"/>
  <c r="Q112" i="1" s="1"/>
  <c r="P110" i="1"/>
  <c r="Q110" i="1" s="1"/>
  <c r="P111" i="1"/>
  <c r="Q111" i="1" s="1"/>
  <c r="P109" i="1"/>
  <c r="N152" i="1"/>
  <c r="R152" i="1"/>
  <c r="P150" i="1"/>
  <c r="M158" i="1"/>
  <c r="P151" i="1"/>
  <c r="Q151" i="1" s="1"/>
  <c r="M163" i="1"/>
  <c r="N163" i="1" s="1"/>
  <c r="O163" i="1" s="1"/>
  <c r="T163" i="1"/>
  <c r="T126" i="1"/>
  <c r="M126" i="1"/>
  <c r="T125" i="1"/>
  <c r="M125" i="1"/>
  <c r="M162" i="1"/>
  <c r="P58" i="1"/>
  <c r="Q58" i="1" s="1"/>
  <c r="Q69" i="1"/>
  <c r="P137" i="1"/>
  <c r="Q137" i="1" s="1"/>
  <c r="P139" i="1"/>
  <c r="Q139" i="1" s="1"/>
  <c r="P95" i="1"/>
  <c r="Q95" i="1" s="1"/>
  <c r="N23" i="1"/>
  <c r="O23" i="1" s="1"/>
  <c r="N47" i="1"/>
  <c r="O47" i="1" s="1"/>
  <c r="P57" i="1"/>
  <c r="Q57" i="1" s="1"/>
  <c r="P179" i="1"/>
  <c r="Q179" i="1" s="1"/>
  <c r="Q20" i="1"/>
  <c r="P184" i="1"/>
  <c r="Q184" i="1" s="1"/>
  <c r="R47" i="1"/>
  <c r="M53" i="1"/>
  <c r="J11" i="2"/>
  <c r="P45" i="1"/>
  <c r="R99" i="1"/>
  <c r="M105" i="1"/>
  <c r="J23" i="2"/>
  <c r="O174" i="1"/>
  <c r="N189" i="1"/>
  <c r="O189" i="1" s="1"/>
  <c r="P98" i="1"/>
  <c r="Q98" i="1" s="1"/>
  <c r="G15" i="3"/>
  <c r="H15" i="3" s="1"/>
  <c r="I15" i="3" s="1"/>
  <c r="M34" i="1"/>
  <c r="T34" i="1"/>
  <c r="M33" i="1"/>
  <c r="G14" i="3"/>
  <c r="H14" i="3" s="1"/>
  <c r="I14" i="3" s="1"/>
  <c r="P174" i="1"/>
  <c r="P185" i="1"/>
  <c r="Q185" i="1" s="1"/>
  <c r="P81" i="1"/>
  <c r="M91" i="1"/>
  <c r="P83" i="1"/>
  <c r="Q83" i="1" s="1"/>
  <c r="R85" i="1"/>
  <c r="P84" i="1"/>
  <c r="Q84" i="1" s="1"/>
  <c r="P82" i="1"/>
  <c r="Q82" i="1" s="1"/>
  <c r="J22" i="2"/>
  <c r="N99" i="1"/>
  <c r="O95" i="1"/>
  <c r="P188" i="1"/>
  <c r="Q188" i="1" s="1"/>
  <c r="P175" i="1"/>
  <c r="Q175" i="1" s="1"/>
  <c r="O81" i="1"/>
  <c r="N85" i="1"/>
  <c r="P178" i="1"/>
  <c r="Q178" i="1" s="1"/>
  <c r="P97" i="1"/>
  <c r="Q97" i="1" s="1"/>
  <c r="J19" i="2"/>
  <c r="R189" i="1"/>
  <c r="M195" i="1"/>
  <c r="N195" i="1" s="1"/>
  <c r="O195" i="1" s="1"/>
  <c r="N19" i="2" s="1"/>
  <c r="P187" i="1"/>
  <c r="Q187" i="1" s="1"/>
  <c r="P176" i="1"/>
  <c r="Q176" i="1" s="1"/>
  <c r="R115" i="1"/>
  <c r="J14" i="2"/>
  <c r="M121" i="1"/>
  <c r="P113" i="1"/>
  <c r="Q113" i="1" s="1"/>
  <c r="P180" i="1"/>
  <c r="Q180" i="1" s="1"/>
  <c r="R140" i="1"/>
  <c r="M146" i="1"/>
  <c r="J16" i="2"/>
  <c r="M29" i="1"/>
  <c r="R23" i="1"/>
  <c r="J9" i="2"/>
  <c r="P21" i="1"/>
  <c r="Q21" i="1" s="1"/>
  <c r="R59" i="1"/>
  <c r="M65" i="1"/>
  <c r="J12" i="2"/>
  <c r="N115" i="1"/>
  <c r="O109" i="1"/>
  <c r="P177" i="1"/>
  <c r="Q177" i="1" s="1"/>
  <c r="O137" i="1"/>
  <c r="N140" i="1"/>
  <c r="P186" i="1"/>
  <c r="Q186" i="1" s="1"/>
  <c r="O70" i="1"/>
  <c r="N71" i="1"/>
  <c r="N9" i="1"/>
  <c r="O9" i="1" s="1"/>
  <c r="O57" i="1"/>
  <c r="N59" i="1"/>
  <c r="M10" i="1"/>
  <c r="N8" i="1"/>
  <c r="M77" i="1"/>
  <c r="J13" i="2"/>
  <c r="R71" i="1"/>
  <c r="P70" i="1"/>
  <c r="P22" i="1"/>
  <c r="Q22" i="1" s="1"/>
  <c r="P183" i="1"/>
  <c r="Q183" i="1" s="1"/>
  <c r="P181" i="1"/>
  <c r="Q181" i="1" s="1"/>
  <c r="O23" i="2" l="1"/>
  <c r="J24" i="2"/>
  <c r="K24" i="2" s="1"/>
  <c r="O22" i="2"/>
  <c r="O24" i="2" s="1"/>
  <c r="P9" i="1"/>
  <c r="Q9" i="1" s="1"/>
  <c r="O152" i="1"/>
  <c r="L17" i="2"/>
  <c r="M159" i="1"/>
  <c r="N159" i="1" s="1"/>
  <c r="N158" i="1"/>
  <c r="O158" i="1" s="1"/>
  <c r="N17" i="2" s="1"/>
  <c r="P152" i="1"/>
  <c r="Q152" i="1" s="1"/>
  <c r="Q150" i="1"/>
  <c r="L11" i="2"/>
  <c r="F131" i="3" s="1"/>
  <c r="P59" i="1"/>
  <c r="Q59" i="1" s="1"/>
  <c r="N125" i="1"/>
  <c r="M127" i="1"/>
  <c r="P125" i="1" s="1"/>
  <c r="N126" i="1"/>
  <c r="O126" i="1" s="1"/>
  <c r="M164" i="1"/>
  <c r="N162" i="1"/>
  <c r="L9" i="2"/>
  <c r="M9" i="2" s="1"/>
  <c r="P140" i="1"/>
  <c r="Q140" i="1" s="1"/>
  <c r="P71" i="1"/>
  <c r="Q71" i="1" s="1"/>
  <c r="Q70" i="1"/>
  <c r="O59" i="1"/>
  <c r="L12" i="2"/>
  <c r="O9" i="2"/>
  <c r="P189" i="1"/>
  <c r="Q189" i="1" s="1"/>
  <c r="Q174" i="1"/>
  <c r="N34" i="1"/>
  <c r="O34" i="1" s="1"/>
  <c r="Q45" i="1"/>
  <c r="P47" i="1"/>
  <c r="Q47" i="1" s="1"/>
  <c r="O115" i="1"/>
  <c r="L14" i="2"/>
  <c r="O11" i="2"/>
  <c r="L23" i="2"/>
  <c r="M23" i="2" s="1"/>
  <c r="O99" i="1"/>
  <c r="S233" i="1" s="1"/>
  <c r="G161" i="3"/>
  <c r="G141" i="3"/>
  <c r="P99" i="1"/>
  <c r="Q99" i="1" s="1"/>
  <c r="N53" i="1"/>
  <c r="O53" i="1" s="1"/>
  <c r="N11" i="2" s="1"/>
  <c r="M54" i="1"/>
  <c r="N54" i="1" s="1"/>
  <c r="Q109" i="1"/>
  <c r="P115" i="1"/>
  <c r="Q115" i="1" s="1"/>
  <c r="O12" i="2"/>
  <c r="N77" i="1"/>
  <c r="O77" i="1" s="1"/>
  <c r="N13" i="2" s="1"/>
  <c r="M78" i="1"/>
  <c r="N78" i="1" s="1"/>
  <c r="N65" i="1"/>
  <c r="O65" i="1" s="1"/>
  <c r="N12" i="2" s="1"/>
  <c r="M66" i="1"/>
  <c r="N66" i="1" s="1"/>
  <c r="M122" i="1"/>
  <c r="N122" i="1" s="1"/>
  <c r="N121" i="1"/>
  <c r="O121" i="1" s="1"/>
  <c r="N14" i="2" s="1"/>
  <c r="O13" i="2"/>
  <c r="O8" i="1"/>
  <c r="N10" i="1"/>
  <c r="L13" i="2"/>
  <c r="O71" i="1"/>
  <c r="O16" i="2"/>
  <c r="O14" i="2"/>
  <c r="L19" i="2"/>
  <c r="O19" i="2"/>
  <c r="M30" i="1"/>
  <c r="N30" i="1" s="1"/>
  <c r="N29" i="1"/>
  <c r="O29" i="1" s="1"/>
  <c r="N9" i="2" s="1"/>
  <c r="R10" i="1"/>
  <c r="J8" i="2"/>
  <c r="M16" i="1"/>
  <c r="M147" i="1"/>
  <c r="N147" i="1" s="1"/>
  <c r="N146" i="1"/>
  <c r="O146" i="1" s="1"/>
  <c r="N16" i="2" s="1"/>
  <c r="L22" i="2"/>
  <c r="O85" i="1"/>
  <c r="N91" i="1"/>
  <c r="O91" i="1" s="1"/>
  <c r="N22" i="2" s="1"/>
  <c r="M92" i="1"/>
  <c r="N92" i="1" s="1"/>
  <c r="F154" i="3" s="1"/>
  <c r="P23" i="1"/>
  <c r="Q23" i="1" s="1"/>
  <c r="L16" i="2"/>
  <c r="O140" i="1"/>
  <c r="P8" i="1"/>
  <c r="Q81" i="1"/>
  <c r="P85" i="1"/>
  <c r="Q85" i="1" s="1"/>
  <c r="N33" i="1"/>
  <c r="M35" i="1"/>
  <c r="P33" i="1" s="1"/>
  <c r="N105" i="1"/>
  <c r="O105" i="1" s="1"/>
  <c r="N23" i="2" s="1"/>
  <c r="M106" i="1"/>
  <c r="N106" i="1" s="1"/>
  <c r="G139" i="3" l="1"/>
  <c r="K23" i="2"/>
  <c r="S257" i="1"/>
  <c r="S234" i="1"/>
  <c r="S235" i="1" s="1"/>
  <c r="S236" i="1" s="1"/>
  <c r="K22" i="2"/>
  <c r="M22" i="2"/>
  <c r="L24" i="2"/>
  <c r="M199" i="1"/>
  <c r="F139" i="3"/>
  <c r="M17" i="2"/>
  <c r="O159" i="1"/>
  <c r="G159" i="3" s="1"/>
  <c r="F159" i="3"/>
  <c r="M11" i="2"/>
  <c r="Q125" i="1"/>
  <c r="P126" i="1"/>
  <c r="Q126" i="1" s="1"/>
  <c r="N164" i="1"/>
  <c r="O162" i="1"/>
  <c r="P163" i="1"/>
  <c r="Q163" i="1" s="1"/>
  <c r="M170" i="1"/>
  <c r="J18" i="2"/>
  <c r="O18" i="2" s="1"/>
  <c r="R164" i="1"/>
  <c r="P162" i="1"/>
  <c r="R127" i="1"/>
  <c r="M133" i="1"/>
  <c r="J15" i="2"/>
  <c r="O15" i="2" s="1"/>
  <c r="N127" i="1"/>
  <c r="O125" i="1"/>
  <c r="F129" i="3"/>
  <c r="Q33" i="1"/>
  <c r="F132" i="3"/>
  <c r="M12" i="2"/>
  <c r="F134" i="3"/>
  <c r="O10" i="1"/>
  <c r="L8" i="2"/>
  <c r="G136" i="3"/>
  <c r="G156" i="3"/>
  <c r="O78" i="1"/>
  <c r="F153" i="3"/>
  <c r="G131" i="3"/>
  <c r="G151" i="3"/>
  <c r="G149" i="3"/>
  <c r="G129" i="3"/>
  <c r="F156" i="3"/>
  <c r="O122" i="1"/>
  <c r="G153" i="3"/>
  <c r="G133" i="3"/>
  <c r="M14" i="2"/>
  <c r="F136" i="3"/>
  <c r="O30" i="1"/>
  <c r="F149" i="3"/>
  <c r="P10" i="1"/>
  <c r="Q10" i="1" s="1"/>
  <c r="Q8" i="1"/>
  <c r="G138" i="3"/>
  <c r="G158" i="3"/>
  <c r="F138" i="3"/>
  <c r="M16" i="2"/>
  <c r="G135" i="3"/>
  <c r="G155" i="3"/>
  <c r="O147" i="1"/>
  <c r="F158" i="3"/>
  <c r="F152" i="3"/>
  <c r="O66" i="1"/>
  <c r="N35" i="1"/>
  <c r="O33" i="1"/>
  <c r="F133" i="3"/>
  <c r="M13" i="2"/>
  <c r="O106" i="1"/>
  <c r="F155" i="3"/>
  <c r="M17" i="1"/>
  <c r="N17" i="1" s="1"/>
  <c r="N16" i="1"/>
  <c r="G152" i="3"/>
  <c r="G132" i="3"/>
  <c r="M19" i="2"/>
  <c r="F141" i="3"/>
  <c r="R35" i="1"/>
  <c r="J10" i="2"/>
  <c r="M41" i="1"/>
  <c r="G154" i="3"/>
  <c r="G134" i="3"/>
  <c r="O8" i="2"/>
  <c r="O54" i="1"/>
  <c r="F151" i="3"/>
  <c r="F135" i="3"/>
  <c r="P34" i="1"/>
  <c r="Q34" i="1" s="1"/>
  <c r="S262" i="1" l="1"/>
  <c r="S258" i="1"/>
  <c r="S259" i="1" s="1"/>
  <c r="S260" i="1" s="1"/>
  <c r="S264" i="1"/>
  <c r="S263" i="1"/>
  <c r="S265" i="1"/>
  <c r="M24" i="2"/>
  <c r="M205" i="1"/>
  <c r="N199" i="1"/>
  <c r="O16" i="1"/>
  <c r="N8" i="2" s="1"/>
  <c r="G128" i="3" s="1"/>
  <c r="J20" i="2"/>
  <c r="J26" i="2" s="1"/>
  <c r="P127" i="1"/>
  <c r="Q127" i="1" s="1"/>
  <c r="Q162" i="1"/>
  <c r="P164" i="1"/>
  <c r="Q164" i="1" s="1"/>
  <c r="N170" i="1"/>
  <c r="O170" i="1" s="1"/>
  <c r="N18" i="2" s="1"/>
  <c r="M171" i="1"/>
  <c r="O127" i="1"/>
  <c r="L15" i="2"/>
  <c r="N133" i="1"/>
  <c r="O133" i="1" s="1"/>
  <c r="N15" i="2" s="1"/>
  <c r="M134" i="1"/>
  <c r="N134" i="1" s="1"/>
  <c r="L18" i="2"/>
  <c r="O164" i="1"/>
  <c r="F128" i="3"/>
  <c r="M8" i="2"/>
  <c r="O35" i="1"/>
  <c r="L10" i="2"/>
  <c r="P35" i="1"/>
  <c r="Q35" i="1" s="1"/>
  <c r="F148" i="3"/>
  <c r="O17" i="1"/>
  <c r="M42" i="1"/>
  <c r="N42" i="1" s="1"/>
  <c r="N41" i="1"/>
  <c r="O41" i="1" s="1"/>
  <c r="N10" i="2" s="1"/>
  <c r="O10" i="2"/>
  <c r="N171" i="1" l="1"/>
  <c r="O171" i="1" s="1"/>
  <c r="G148" i="3"/>
  <c r="N205" i="1"/>
  <c r="N207" i="1" s="1"/>
  <c r="K11" i="2"/>
  <c r="K17" i="2"/>
  <c r="K10" i="2"/>
  <c r="L20" i="2"/>
  <c r="L26" i="2" s="1"/>
  <c r="M26" i="2" s="1"/>
  <c r="K12" i="2"/>
  <c r="O20" i="2"/>
  <c r="O26" i="2" s="1"/>
  <c r="K8" i="2"/>
  <c r="K15" i="2"/>
  <c r="J35" i="2"/>
  <c r="L35" i="2" s="1"/>
  <c r="N35" i="2" s="1"/>
  <c r="G142" i="3" s="1"/>
  <c r="K20" i="2"/>
  <c r="K14" i="2"/>
  <c r="K19" i="2"/>
  <c r="K16" i="2"/>
  <c r="K18" i="2"/>
  <c r="K9" i="2"/>
  <c r="K13" i="2"/>
  <c r="G137" i="3"/>
  <c r="G157" i="3"/>
  <c r="M15" i="2"/>
  <c r="F137" i="3"/>
  <c r="G160" i="3"/>
  <c r="G140" i="3"/>
  <c r="F157" i="3"/>
  <c r="O134" i="1"/>
  <c r="F140" i="3"/>
  <c r="M18" i="2"/>
  <c r="F130" i="3"/>
  <c r="M10" i="2"/>
  <c r="G130" i="3"/>
  <c r="G150" i="3"/>
  <c r="O199" i="1"/>
  <c r="O42" i="1"/>
  <c r="F150" i="3"/>
  <c r="S274" i="1" l="1"/>
  <c r="L274" i="1" s="1"/>
  <c r="G121" i="3" s="1"/>
  <c r="H121" i="3" s="1"/>
  <c r="I121" i="3" s="1"/>
  <c r="L257" i="1"/>
  <c r="L259" i="1"/>
  <c r="L260" i="1"/>
  <c r="L258" i="1"/>
  <c r="S220" i="1"/>
  <c r="L220" i="1" s="1"/>
  <c r="S272" i="1"/>
  <c r="L272" i="1" s="1"/>
  <c r="G119" i="3" s="1"/>
  <c r="H119" i="3" s="1"/>
  <c r="I119" i="3" s="1"/>
  <c r="S271" i="1"/>
  <c r="L271" i="1" s="1"/>
  <c r="G118" i="3" s="1"/>
  <c r="H118" i="3" s="1"/>
  <c r="I118" i="3" s="1"/>
  <c r="M20" i="2"/>
  <c r="L37" i="2"/>
  <c r="L38" i="2" s="1"/>
  <c r="F142" i="3"/>
  <c r="L269" i="1"/>
  <c r="G116" i="3" s="1"/>
  <c r="H116" i="3" s="1"/>
  <c r="I116" i="3" s="1"/>
  <c r="L268" i="1"/>
  <c r="G115" i="3" s="1"/>
  <c r="H115" i="3" s="1"/>
  <c r="I115" i="3" s="1"/>
  <c r="L265" i="1"/>
  <c r="G112" i="3" s="1"/>
  <c r="H112" i="3" s="1"/>
  <c r="I112" i="3" s="1"/>
  <c r="L251" i="1"/>
  <c r="G98" i="3" s="1"/>
  <c r="H98" i="3" s="1"/>
  <c r="I98" i="3" s="1"/>
  <c r="L244" i="1"/>
  <c r="G91" i="3" s="1"/>
  <c r="H91" i="3" s="1"/>
  <c r="I91" i="3" s="1"/>
  <c r="L236" i="1"/>
  <c r="G83" i="3" s="1"/>
  <c r="H83" i="3" s="1"/>
  <c r="I83" i="3" s="1"/>
  <c r="S231" i="1"/>
  <c r="L231" i="1" s="1"/>
  <c r="G78" i="3" s="1"/>
  <c r="H78" i="3" s="1"/>
  <c r="I78" i="3" s="1"/>
  <c r="S221" i="1"/>
  <c r="L221" i="1" s="1"/>
  <c r="G68" i="3" s="1"/>
  <c r="H68" i="3" s="1"/>
  <c r="I68" i="3" s="1"/>
  <c r="S212" i="1"/>
  <c r="T212" i="1" s="1"/>
  <c r="L264" i="1"/>
  <c r="G111" i="3" s="1"/>
  <c r="H111" i="3" s="1"/>
  <c r="I111" i="3" s="1"/>
  <c r="L235" i="1"/>
  <c r="G82" i="3" s="1"/>
  <c r="H82" i="3" s="1"/>
  <c r="I82" i="3" s="1"/>
  <c r="S230" i="1"/>
  <c r="L230" i="1" s="1"/>
  <c r="G77" i="3" s="1"/>
  <c r="H77" i="3" s="1"/>
  <c r="I77" i="3" s="1"/>
  <c r="S219" i="1"/>
  <c r="L219" i="1" s="1"/>
  <c r="G66" i="3" s="1"/>
  <c r="H66" i="3" s="1"/>
  <c r="I66" i="3" s="1"/>
  <c r="L238" i="1"/>
  <c r="G85" i="3" s="1"/>
  <c r="H85" i="3" s="1"/>
  <c r="I85" i="3" s="1"/>
  <c r="L263" i="1"/>
  <c r="G110" i="3" s="1"/>
  <c r="H110" i="3" s="1"/>
  <c r="I110" i="3" s="1"/>
  <c r="L250" i="1"/>
  <c r="G97" i="3" s="1"/>
  <c r="H97" i="3" s="1"/>
  <c r="I97" i="3" s="1"/>
  <c r="L243" i="1"/>
  <c r="G90" i="3" s="1"/>
  <c r="H90" i="3" s="1"/>
  <c r="I90" i="3" s="1"/>
  <c r="L234" i="1"/>
  <c r="G81" i="3" s="1"/>
  <c r="H81" i="3" s="1"/>
  <c r="I81" i="3" s="1"/>
  <c r="S229" i="1"/>
  <c r="L229" i="1" s="1"/>
  <c r="G76" i="3" s="1"/>
  <c r="H76" i="3" s="1"/>
  <c r="I76" i="3" s="1"/>
  <c r="S217" i="1"/>
  <c r="L217" i="1" s="1"/>
  <c r="G64" i="3" s="1"/>
  <c r="H64" i="3" s="1"/>
  <c r="I64" i="3" s="1"/>
  <c r="L262" i="1"/>
  <c r="G109" i="3" s="1"/>
  <c r="H109" i="3" s="1"/>
  <c r="I109" i="3" s="1"/>
  <c r="L249" i="1"/>
  <c r="G96" i="3" s="1"/>
  <c r="H96" i="3" s="1"/>
  <c r="I96" i="3" s="1"/>
  <c r="L242" i="1"/>
  <c r="G89" i="3" s="1"/>
  <c r="H89" i="3" s="1"/>
  <c r="I89" i="3" s="1"/>
  <c r="L233" i="1"/>
  <c r="G80" i="3" s="1"/>
  <c r="H80" i="3" s="1"/>
  <c r="I80" i="3" s="1"/>
  <c r="S228" i="1"/>
  <c r="L228" i="1" s="1"/>
  <c r="G75" i="3" s="1"/>
  <c r="H75" i="3" s="1"/>
  <c r="I75" i="3" s="1"/>
  <c r="S213" i="1"/>
  <c r="T213" i="1" s="1"/>
  <c r="L254" i="1"/>
  <c r="G101" i="3" s="1"/>
  <c r="H101" i="3" s="1"/>
  <c r="I101" i="3" s="1"/>
  <c r="L239" i="1"/>
  <c r="G86" i="3" s="1"/>
  <c r="H86" i="3" s="1"/>
  <c r="I86" i="3" s="1"/>
  <c r="S224" i="1"/>
  <c r="L224" i="1" s="1"/>
  <c r="G71" i="3" s="1"/>
  <c r="H71" i="3" s="1"/>
  <c r="I71" i="3" s="1"/>
  <c r="S222" i="1"/>
  <c r="L222" i="1" s="1"/>
  <c r="G69" i="3" s="1"/>
  <c r="H69" i="3" s="1"/>
  <c r="I69" i="3" s="1"/>
  <c r="S216" i="1"/>
  <c r="L216" i="1" s="1"/>
  <c r="G63" i="3" s="1"/>
  <c r="H63" i="3" s="1"/>
  <c r="I63" i="3" s="1"/>
  <c r="L267" i="1"/>
  <c r="G114" i="3" s="1"/>
  <c r="H114" i="3" s="1"/>
  <c r="I114" i="3" s="1"/>
  <c r="L255" i="1"/>
  <c r="G102" i="3" s="1"/>
  <c r="H102" i="3" s="1"/>
  <c r="I102" i="3" s="1"/>
  <c r="S247" i="1"/>
  <c r="L247" i="1" s="1"/>
  <c r="G94" i="3" s="1"/>
  <c r="H94" i="3" s="1"/>
  <c r="I94" i="3" s="1"/>
  <c r="L240" i="1"/>
  <c r="G87" i="3" s="1"/>
  <c r="H87" i="3" s="1"/>
  <c r="I87" i="3" s="1"/>
  <c r="S226" i="1"/>
  <c r="L226" i="1" s="1"/>
  <c r="G73" i="3" s="1"/>
  <c r="H73" i="3" s="1"/>
  <c r="I73" i="3" s="1"/>
  <c r="S215" i="1"/>
  <c r="L215" i="1" s="1"/>
  <c r="G62" i="3" s="1"/>
  <c r="H62" i="3" s="1"/>
  <c r="I62" i="3" s="1"/>
  <c r="S225" i="1"/>
  <c r="L225" i="1" s="1"/>
  <c r="G72" i="3" s="1"/>
  <c r="H72" i="3" s="1"/>
  <c r="I72" i="3" s="1"/>
  <c r="S246" i="1"/>
  <c r="L246" i="1" s="1"/>
  <c r="G93" i="3" s="1"/>
  <c r="H93" i="3" s="1"/>
  <c r="I93" i="3" s="1"/>
  <c r="L253" i="1"/>
  <c r="G100" i="3" s="1"/>
  <c r="H100" i="3" s="1"/>
  <c r="I100" i="3" s="1"/>
  <c r="O205" i="1"/>
  <c r="T220" i="1" l="1"/>
  <c r="G67" i="3"/>
  <c r="H67" i="3" s="1"/>
  <c r="I67" i="3" s="1"/>
  <c r="T258" i="1"/>
  <c r="G105" i="3"/>
  <c r="H105" i="3" s="1"/>
  <c r="I105" i="3" s="1"/>
  <c r="T260" i="1"/>
  <c r="G107" i="3"/>
  <c r="H107" i="3" s="1"/>
  <c r="I107" i="3" s="1"/>
  <c r="T259" i="1"/>
  <c r="G106" i="3"/>
  <c r="H106" i="3" s="1"/>
  <c r="I106" i="3" s="1"/>
  <c r="T257" i="1"/>
  <c r="G104" i="3"/>
  <c r="H104" i="3" s="1"/>
  <c r="I104" i="3" s="1"/>
  <c r="T274" i="1"/>
  <c r="T271" i="1"/>
  <c r="T272" i="1"/>
  <c r="T238" i="1"/>
  <c r="T226" i="1"/>
  <c r="T224" i="1"/>
  <c r="T262" i="1"/>
  <c r="T219" i="1"/>
  <c r="T244" i="1"/>
  <c r="T239" i="1"/>
  <c r="T217" i="1"/>
  <c r="T230" i="1"/>
  <c r="T251" i="1"/>
  <c r="T240" i="1"/>
  <c r="T254" i="1"/>
  <c r="T229" i="1"/>
  <c r="T235" i="1"/>
  <c r="T265" i="1"/>
  <c r="T249" i="1"/>
  <c r="T247" i="1"/>
  <c r="T234" i="1"/>
  <c r="T264" i="1"/>
  <c r="T268" i="1"/>
  <c r="T222" i="1"/>
  <c r="T228" i="1"/>
  <c r="T243" i="1"/>
  <c r="T269" i="1"/>
  <c r="T236" i="1"/>
  <c r="T253" i="1"/>
  <c r="T246" i="1"/>
  <c r="T225" i="1"/>
  <c r="T267" i="1"/>
  <c r="T233" i="1"/>
  <c r="T250" i="1"/>
  <c r="T221" i="1"/>
  <c r="T215" i="1"/>
  <c r="T255" i="1"/>
  <c r="T216" i="1"/>
  <c r="T242" i="1"/>
  <c r="T263" i="1"/>
  <c r="T231" i="1"/>
</calcChain>
</file>

<file path=xl/sharedStrings.xml><?xml version="1.0" encoding="utf-8"?>
<sst xmlns="http://schemas.openxmlformats.org/spreadsheetml/2006/main" count="359" uniqueCount="143">
  <si>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</si>
  <si>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</si>
  <si>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</si>
  <si>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</si>
  <si>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</si>
  <si>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</si>
  <si>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</si>
  <si>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</si>
  <si>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</si>
  <si>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</si>
  <si>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</si>
  <si>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</si>
  <si>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</si>
  <si>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</si>
  <si>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</si>
  <si>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</si>
  <si>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</si>
  <si>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</si>
  <si>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</si>
  <si>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</si>
  <si>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</si>
  <si>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</si>
  <si>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</si>
  <si>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</si>
  <si>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</si>
  <si>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</si>
  <si>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</si>
  <si>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</si>
  <si>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</si>
  <si>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</si>
  <si>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</si>
  <si>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</si>
  <si>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</si>
  <si>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</si>
  <si>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</si>
  <si>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</si>
  <si>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</si>
  <si>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</si>
  <si>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 xml:space="preserve">    Prepay Daily Charges</t>
  </si>
  <si>
    <t>TOTAL Base Rates</t>
  </si>
  <si>
    <t>Base %</t>
  </si>
  <si>
    <t>Total %</t>
  </si>
  <si>
    <t>Base Rate Increase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</si>
  <si>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</si>
  <si>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</si>
  <si>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</si>
  <si>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</si>
  <si>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</si>
  <si>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</si>
  <si>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</si>
  <si>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</si>
  <si>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</si>
  <si>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</si>
  <si>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</si>
  <si>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</si>
  <si>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</si>
  <si>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</si>
  <si>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</si>
  <si>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SALT RIVER ELECTRIC COOPERATIVE</t>
  </si>
  <si>
    <t>175 Watt Mercury Vapor</t>
  </si>
  <si>
    <t>100 HPS Sodium Vapor</t>
  </si>
  <si>
    <t>250 HPS Sodium Vapor</t>
  </si>
  <si>
    <t>400 HPS Sodium Vapor</t>
  </si>
  <si>
    <t>100 HPS Decorative UDG</t>
  </si>
  <si>
    <t>175 MV Decorative</t>
  </si>
  <si>
    <t>175 MV Decorative W/P</t>
  </si>
  <si>
    <t>175 MV Overhead Durastar</t>
  </si>
  <si>
    <t>LED Open Bottom</t>
  </si>
  <si>
    <t>LED Cobra Head</t>
  </si>
  <si>
    <t>LED Directional Flood</t>
  </si>
  <si>
    <t>LED Ornamental with Pole</t>
  </si>
  <si>
    <t>Farm &amp; Home Service A-5</t>
  </si>
  <si>
    <t>Commercial &amp; Small Power B2</t>
  </si>
  <si>
    <t>Large Power LLP-1</t>
  </si>
  <si>
    <t>Large Power LLP-3</t>
  </si>
  <si>
    <t>Large Power LPR-2</t>
  </si>
  <si>
    <t>Large Power LLP-4-B1</t>
  </si>
  <si>
    <t>Demand Charge Contract per kW</t>
  </si>
  <si>
    <t>Demand Charge Excess per kW</t>
  </si>
  <si>
    <t>LPR-3</t>
  </si>
  <si>
    <t>Net Metering</t>
  </si>
  <si>
    <t>Net Metering LLP-1 Large Power</t>
  </si>
  <si>
    <t>Prepaid Metering</t>
  </si>
  <si>
    <t>Large Power LPR-1-B2</t>
  </si>
  <si>
    <t xml:space="preserve">Customers  </t>
  </si>
  <si>
    <t>OL</t>
  </si>
  <si>
    <t>LED</t>
  </si>
  <si>
    <t>RATES WITH NO CURRENT MEMBERS</t>
  </si>
  <si>
    <t>Energy Charge On Peak per kWh</t>
  </si>
  <si>
    <t>Energy Charge Off Peak per kWh</t>
  </si>
  <si>
    <t>Farm &amp; Home Service Taxable A-5T</t>
  </si>
  <si>
    <t>Farm &amp; Home Service TOD Option A</t>
  </si>
  <si>
    <t>Farm &amp; Home Service TOD Option B</t>
  </si>
  <si>
    <t>Farm &amp; Home Service Taxable TOD Option A</t>
  </si>
  <si>
    <t>Farm &amp; Home Service Taxable TOD Option B</t>
  </si>
  <si>
    <t>Large Power LLP-3-B1</t>
  </si>
  <si>
    <t>Large Power LLP-3-C1</t>
  </si>
  <si>
    <t>Large Power LLP-4-C1</t>
  </si>
  <si>
    <t>Large Power LPR-1</t>
  </si>
  <si>
    <t>Large Power LPR-1-C1</t>
  </si>
  <si>
    <t>Large Power LPR-1-C2</t>
  </si>
  <si>
    <t>Large Power LPR-1-B3</t>
  </si>
  <si>
    <t>Large Power LPR-1-C3</t>
  </si>
  <si>
    <t>Same as A5</t>
  </si>
  <si>
    <t>Energy Charge Winter On Peak per kWh</t>
  </si>
  <si>
    <t>Energy Charge Winter Off Peak per kWh</t>
  </si>
  <si>
    <t>Energy Charge Summer All Hrs per kWh</t>
  </si>
  <si>
    <t>Present &amp; Proposed Rates</t>
  </si>
  <si>
    <t>Var</t>
  </si>
  <si>
    <t>2023 Rate</t>
  </si>
  <si>
    <t>2023 Revenue</t>
  </si>
  <si>
    <t>Count</t>
  </si>
  <si>
    <t xml:space="preserve">Charge per </t>
  </si>
  <si>
    <t>Large Power LPR-1-B1</t>
  </si>
  <si>
    <t>FAC Roll In &gt;</t>
  </si>
  <si>
    <t>Net Metering B2 Commercial</t>
  </si>
  <si>
    <t>Street Lighting Service OL-1</t>
  </si>
  <si>
    <t>Commercial Lighting Service CL</t>
  </si>
  <si>
    <t xml:space="preserve">High Pressure Sodium 400W </t>
  </si>
  <si>
    <t>100 Metal Halide (MH)</t>
  </si>
  <si>
    <t>100 URD Metal Halide w Pole</t>
  </si>
  <si>
    <t>100 URD Metal Halide w/o Pole</t>
  </si>
  <si>
    <t>Outdoor Lighting Service OL &amp; LED</t>
  </si>
  <si>
    <t>OL-LED</t>
  </si>
  <si>
    <t>includes 25</t>
  </si>
  <si>
    <t>Large Power 500-3000 kW LLP2</t>
  </si>
  <si>
    <t>Customer Charge 500-999 kW</t>
  </si>
  <si>
    <t>Customer Charge 1000-2999 kW</t>
  </si>
  <si>
    <t>Customer Charge 3000-9999 kW</t>
  </si>
  <si>
    <t>Customer Charge 10000 kW +</t>
  </si>
  <si>
    <t>Prepay Electric Service</t>
  </si>
  <si>
    <t>Prepay Charge per Day</t>
  </si>
  <si>
    <t>B</t>
  </si>
  <si>
    <t>E</t>
  </si>
  <si>
    <t>Tot</t>
  </si>
  <si>
    <t xml:space="preserve">Remaining Revenue Increase Allocated by East Kentucky Power Cooperative:   </t>
  </si>
  <si>
    <t xml:space="preserve">Rate B Increase Allocated by East Kentucky Power Cooperative:   </t>
  </si>
  <si>
    <t>SubTotal Base Rate E</t>
  </si>
  <si>
    <t>SubTotal Base Rate B</t>
  </si>
  <si>
    <t>Same as B</t>
  </si>
  <si>
    <t>Same as EKPC Rate C</t>
  </si>
  <si>
    <t>FAC Roll In</t>
  </si>
  <si>
    <t>Billing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</si>
</sst>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&quot;$&quot;#,##0"/>
    <numFmt numFmtId="172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sz val="10"/>
      <color rgb="FF0033CC"/>
      <name val="Arial"/>
      <family val="2"/>
    </font>
    <font>
      <i/>
      <sz val="10"/>
      <color theme="0"/>
      <name val="Arial"/>
      <family val="2"/>
    </font>
    <font>
      <sz val="10"/>
      <color theme="5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165" fontId="6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3" fillId="0" borderId="0" xfId="0" applyNumberFormat="1" applyFo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0" fontId="3" fillId="0" borderId="5" xfId="0" applyFont="1" applyBorder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3" fillId="0" borderId="0" xfId="1" applyNumberFormat="1" applyFont="1" applyAlignment="1">
      <alignment vertical="center"/>
    </xf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3" fillId="0" borderId="2" xfId="0" applyNumberFormat="1" applyFont="1" applyBorder="1"/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0" fontId="6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0" fontId="3" fillId="0" borderId="5" xfId="3" applyNumberFormat="1" applyFont="1" applyBorder="1" applyAlignment="1"/>
    <xf numFmtId="165" fontId="3" fillId="0" borderId="0" xfId="2" applyNumberFormat="1" applyFont="1" applyFill="1" applyAlignment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9" fontId="6" fillId="0" borderId="0" xfId="1" applyNumberFormat="1" applyFont="1" applyAlignment="1">
      <alignment vertical="center"/>
    </xf>
    <xf numFmtId="0" fontId="2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6" fillId="0" borderId="0" xfId="2" applyNumberFormat="1" applyFont="1" applyFill="1" applyAlignment="1">
      <alignment horizontal="center"/>
    </xf>
    <xf numFmtId="10" fontId="6" fillId="0" borderId="0" xfId="3" applyNumberFormat="1" applyFont="1" applyFill="1" applyAlignment="1"/>
    <xf numFmtId="165" fontId="6" fillId="0" borderId="0" xfId="2" applyNumberFormat="1" applyFont="1" applyFill="1" applyAlignment="1"/>
    <xf numFmtId="0" fontId="6" fillId="0" borderId="0" xfId="0" applyFont="1"/>
    <xf numFmtId="43" fontId="6" fillId="0" borderId="0" xfId="1" applyFont="1" applyFill="1"/>
    <xf numFmtId="167" fontId="6" fillId="0" borderId="0" xfId="1" applyNumberFormat="1" applyFont="1" applyFill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6" fillId="0" borderId="6" xfId="0" applyFont="1" applyBorder="1"/>
    <xf numFmtId="164" fontId="6" fillId="0" borderId="0" xfId="1" applyNumberFormat="1" applyFont="1" applyFill="1"/>
    <xf numFmtId="165" fontId="6" fillId="0" borderId="0" xfId="2" applyNumberFormat="1" applyFont="1" applyFill="1"/>
    <xf numFmtId="10" fontId="6" fillId="0" borderId="0" xfId="3" applyNumberFormat="1" applyFont="1" applyFill="1"/>
    <xf numFmtId="10" fontId="6" fillId="0" borderId="0" xfId="0" applyNumberFormat="1" applyFont="1"/>
    <xf numFmtId="172" fontId="6" fillId="0" borderId="0" xfId="0" applyNumberFormat="1" applyFont="1"/>
    <xf numFmtId="0" fontId="6" fillId="0" borderId="5" xfId="0" applyFont="1" applyBorder="1" applyAlignment="1">
      <alignment vertical="center"/>
    </xf>
    <xf numFmtId="10" fontId="6" fillId="0" borderId="5" xfId="3" applyNumberFormat="1" applyFont="1" applyFill="1" applyBorder="1" applyAlignment="1">
      <alignment vertical="center"/>
    </xf>
    <xf numFmtId="165" fontId="6" fillId="0" borderId="5" xfId="3" applyNumberFormat="1" applyFont="1" applyFill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165" fontId="6" fillId="0" borderId="0" xfId="0" applyNumberFormat="1" applyFont="1"/>
    <xf numFmtId="168" fontId="6" fillId="0" borderId="0" xfId="3" applyNumberFormat="1" applyFont="1" applyFill="1"/>
    <xf numFmtId="0" fontId="6" fillId="0" borderId="5" xfId="0" applyFont="1" applyBorder="1"/>
    <xf numFmtId="165" fontId="6" fillId="0" borderId="5" xfId="2" applyNumberFormat="1" applyFont="1" applyFill="1" applyBorder="1"/>
    <xf numFmtId="43" fontId="6" fillId="0" borderId="5" xfId="1" applyFont="1" applyFill="1" applyBorder="1"/>
    <xf numFmtId="0" fontId="6" fillId="0" borderId="3" xfId="0" applyFont="1" applyBorder="1" applyAlignment="1">
      <alignment vertical="center"/>
    </xf>
    <xf numFmtId="165" fontId="6" fillId="0" borderId="3" xfId="2" applyNumberFormat="1" applyFont="1" applyFill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0" fontId="6" fillId="0" borderId="3" xfId="3" applyNumberFormat="1" applyFont="1" applyFill="1" applyBorder="1" applyAlignment="1">
      <alignment vertical="center"/>
    </xf>
    <xf numFmtId="44" fontId="6" fillId="0" borderId="0" xfId="0" applyNumberFormat="1" applyFont="1"/>
    <xf numFmtId="43" fontId="6" fillId="0" borderId="0" xfId="1" applyFont="1" applyFill="1" applyAlignment="1">
      <alignment horizontal="center"/>
    </xf>
    <xf numFmtId="165" fontId="6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5" xfId="0" applyNumberFormat="1" applyFont="1" applyBorder="1"/>
    <xf numFmtId="164" fontId="10" fillId="0" borderId="0" xfId="1" applyNumberFormat="1" applyFont="1" applyFill="1"/>
    <xf numFmtId="0" fontId="10" fillId="0" borderId="6" xfId="0" applyFont="1" applyBorder="1"/>
    <xf numFmtId="43" fontId="10" fillId="0" borderId="0" xfId="1" applyFont="1" applyFill="1"/>
    <xf numFmtId="167" fontId="10" fillId="0" borderId="0" xfId="1" applyNumberFormat="1" applyFont="1" applyFill="1"/>
    <xf numFmtId="172" fontId="10" fillId="0" borderId="0" xfId="0" applyNumberFormat="1" applyFont="1"/>
    <xf numFmtId="0" fontId="10" fillId="0" borderId="0" xfId="0" applyFont="1"/>
    <xf numFmtId="43" fontId="10" fillId="0" borderId="0" xfId="1" applyFont="1"/>
    <xf numFmtId="164" fontId="3" fillId="0" borderId="0" xfId="0" applyNumberFormat="1" applyFont="1"/>
    <xf numFmtId="0" fontId="6" fillId="0" borderId="0" xfId="0" applyFont="1" applyAlignment="1">
      <alignment horizontal="right"/>
    </xf>
    <xf numFmtId="10" fontId="3" fillId="0" borderId="0" xfId="2" applyNumberFormat="1" applyFont="1"/>
    <xf numFmtId="10" fontId="6" fillId="0" borderId="0" xfId="3" applyNumberFormat="1" applyFont="1"/>
    <xf numFmtId="167" fontId="10" fillId="0" borderId="0" xfId="1" applyNumberFormat="1" applyFont="1"/>
    <xf numFmtId="169" fontId="3" fillId="0" borderId="0" xfId="0" applyNumberFormat="1" applyFont="1"/>
    <xf numFmtId="43" fontId="6" fillId="0" borderId="0" xfId="1" applyFont="1"/>
    <xf numFmtId="164" fontId="3" fillId="0" borderId="0" xfId="1" applyNumberFormat="1" applyFont="1"/>
    <xf numFmtId="0" fontId="3" fillId="0" borderId="0" xfId="0" applyFont="1" applyAlignment="1">
      <alignment horizontal="right"/>
    </xf>
    <xf numFmtId="6" fontId="6" fillId="0" borderId="1" xfId="0" applyNumberFormat="1" applyFont="1" applyBorder="1"/>
    <xf numFmtId="164" fontId="6" fillId="0" borderId="6" xfId="1" applyNumberFormat="1" applyFont="1" applyFill="1" applyBorder="1"/>
    <xf numFmtId="10" fontId="6" fillId="0" borderId="5" xfId="0" applyNumberFormat="1" applyFont="1" applyBorder="1" applyAlignment="1">
      <alignment vertical="center"/>
    </xf>
    <xf numFmtId="43" fontId="6" fillId="0" borderId="0" xfId="0" applyNumberFormat="1" applyFont="1"/>
    <xf numFmtId="166" fontId="6" fillId="0" borderId="0" xfId="0" applyNumberFormat="1" applyFont="1"/>
    <xf numFmtId="164" fontId="6" fillId="0" borderId="0" xfId="0" applyNumberFormat="1" applyFont="1"/>
    <xf numFmtId="0" fontId="6" fillId="0" borderId="6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165" fontId="12" fillId="0" borderId="0" xfId="0" applyNumberFormat="1" applyFont="1"/>
    <xf numFmtId="10" fontId="12" fillId="0" borderId="0" xfId="3" applyNumberFormat="1" applyFont="1" applyAlignment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33CC"/>
      <color rgb="FFFFFFCC"/>
      <color rgb="FF0000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39"/>
  <sheetViews>
    <sheetView view="pageBreakPreview" zoomScaleNormal="75" zoomScaleSheetLayoutView="100" workbookViewId="0">
      <selection activeCell="L18" sqref="L18"/>
    </sheetView>
  </sheetViews>
  <sheetFormatPr defaultColWidth="8.85546875" defaultRowHeight="12.75" x14ac:dyDescent="0.2"/>
  <cols>
    <col min="1" max="1" width="5.28515625" style="2" customWidth="1"/>
    <col min="2" max="2" width="30.28515625" style="2" bestFit="1" customWidth="1"/>
    <col min="3" max="3" width="5.85546875" style="11" bestFit="1" customWidth="1"/>
    <col min="4" max="4" width="13.28515625" style="2" hidden="1" customWidth="1"/>
    <col min="5" max="5" width="13.85546875" style="2" bestFit="1" customWidth="1"/>
    <col min="6" max="6" width="8.5703125" style="2" bestFit="1" customWidth="1"/>
    <col min="7" max="7" width="15.28515625" style="2" customWidth="1"/>
    <col min="8" max="8" width="10.42578125" style="2" customWidth="1"/>
    <col min="9" max="9" width="12.7109375" style="2" bestFit="1" customWidth="1"/>
    <col min="10" max="10" width="13.85546875" style="2" bestFit="1" customWidth="1"/>
    <col min="11" max="11" width="12.140625" style="2" customWidth="1"/>
    <col min="12" max="12" width="12.7109375" style="2" bestFit="1" customWidth="1"/>
    <col min="13" max="14" width="7.7109375" style="2" bestFit="1" customWidth="1"/>
    <col min="15" max="15" width="12.85546875" style="2" bestFit="1" customWidth="1"/>
    <col min="16" max="16" width="31.2851562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58</v>
      </c>
    </row>
    <row r="2" spans="1:22" x14ac:dyDescent="0.2">
      <c r="A2" s="1" t="s">
        <v>0</v>
      </c>
      <c r="K2" s="21" t="s">
        <v>34</v>
      </c>
      <c r="L2" s="141">
        <v>7416340.1420970112</v>
      </c>
      <c r="P2" s="140" t="s">
        <v>132</v>
      </c>
      <c r="Q2" s="139">
        <v>900223</v>
      </c>
    </row>
    <row r="3" spans="1:22" x14ac:dyDescent="0.2">
      <c r="A3" s="1"/>
      <c r="K3" s="21" t="s">
        <v>136</v>
      </c>
      <c r="L3" s="141">
        <v>900223</v>
      </c>
      <c r="P3" s="140" t="s">
        <v>133</v>
      </c>
      <c r="Q3" s="139">
        <v>6516117.0958710164</v>
      </c>
    </row>
    <row r="4" spans="1:22" x14ac:dyDescent="0.2">
      <c r="A4" s="1"/>
      <c r="K4" s="21" t="s">
        <v>135</v>
      </c>
      <c r="L4" s="141">
        <f>L2-L3</f>
        <v>6516117.1420970112</v>
      </c>
      <c r="M4" s="4"/>
      <c r="P4" s="140" t="s">
        <v>134</v>
      </c>
      <c r="Q4" s="139">
        <f>SUM(Q2:Q3)</f>
        <v>7416340.0958710164</v>
      </c>
    </row>
    <row r="5" spans="1:22" x14ac:dyDescent="0.2">
      <c r="M5" s="4"/>
      <c r="N5" s="4"/>
    </row>
    <row r="6" spans="1:22" s="8" customFormat="1" ht="31.9" customHeight="1" x14ac:dyDescent="0.2">
      <c r="A6" s="6" t="s">
        <v>1</v>
      </c>
      <c r="B6" s="6" t="s">
        <v>2</v>
      </c>
      <c r="C6" s="7" t="s">
        <v>11</v>
      </c>
      <c r="D6" s="9" t="s">
        <v>110</v>
      </c>
      <c r="E6" s="9" t="s">
        <v>3</v>
      </c>
      <c r="F6" s="9" t="s">
        <v>19</v>
      </c>
      <c r="G6" s="9" t="s">
        <v>29</v>
      </c>
      <c r="H6" s="9" t="s">
        <v>30</v>
      </c>
      <c r="I6" s="9" t="s">
        <v>31</v>
      </c>
      <c r="J6" s="9" t="s">
        <v>4</v>
      </c>
      <c r="K6" s="9" t="s">
        <v>21</v>
      </c>
      <c r="L6" s="9" t="s">
        <v>42</v>
      </c>
      <c r="M6" s="7" t="s">
        <v>40</v>
      </c>
      <c r="N6" s="7" t="s">
        <v>41</v>
      </c>
      <c r="O6" s="9" t="s">
        <v>33</v>
      </c>
      <c r="Q6" s="2"/>
      <c r="R6" s="2"/>
      <c r="S6" s="2"/>
      <c r="T6" s="2"/>
      <c r="U6" s="2"/>
      <c r="V6" s="2"/>
    </row>
    <row r="7" spans="1:22" x14ac:dyDescent="0.2">
      <c r="A7" s="3">
        <v>1</v>
      </c>
      <c r="B7" s="26" t="s">
        <v>5</v>
      </c>
      <c r="C7" s="58"/>
      <c r="D7" s="26"/>
      <c r="E7" s="27"/>
      <c r="F7" s="28"/>
      <c r="G7" s="28"/>
      <c r="H7" s="8"/>
      <c r="I7" s="8"/>
      <c r="J7" s="27"/>
      <c r="K7" s="28"/>
      <c r="L7" s="27"/>
      <c r="M7" s="29"/>
      <c r="N7" s="29"/>
    </row>
    <row r="8" spans="1:22" x14ac:dyDescent="0.2">
      <c r="A8" s="3">
        <f>A7+1</f>
        <v>2</v>
      </c>
      <c r="B8" s="2" t="str">
        <f>'Billing Detail'!B7</f>
        <v>Farm &amp; Home Service A-5</v>
      </c>
      <c r="C8" s="11">
        <f>'Billing Detail'!C7</f>
        <v>1</v>
      </c>
      <c r="D8" s="30">
        <f>'Billing Detail'!G10</f>
        <v>62135436.725410007</v>
      </c>
      <c r="E8" s="30">
        <f>'Billing Detail'!I10</f>
        <v>70535956.100710005</v>
      </c>
      <c r="F8" s="29">
        <f t="shared" ref="F8:F20" si="0">E8/E$20</f>
        <v>0.65848913071704163</v>
      </c>
      <c r="G8" s="88">
        <f>E8</f>
        <v>70535956.100710005</v>
      </c>
      <c r="H8" s="89">
        <f t="shared" ref="H8:H19" si="1">G8/G$20</f>
        <v>0.65848913071704163</v>
      </c>
      <c r="I8" s="90">
        <f t="shared" ref="I8:I19" si="2">ROUND(L$4*H8,2)</f>
        <v>4290792.3099999996</v>
      </c>
      <c r="J8" s="30">
        <f>'Billing Detail'!M10</f>
        <v>74829573.94912</v>
      </c>
      <c r="K8" s="29">
        <f t="shared" ref="K8:K20" si="3">J8/J$20</f>
        <v>0.65850967977899011</v>
      </c>
      <c r="L8" s="30">
        <f>'Billing Detail'!N10</f>
        <v>4293617.8484099964</v>
      </c>
      <c r="M8" s="29">
        <f>IF(E8=0,0,L8/E8)</f>
        <v>6.0871335497028549E-2</v>
      </c>
      <c r="N8" s="29">
        <f>'Billing Detail'!O16</f>
        <v>5.3630991309571434E-2</v>
      </c>
      <c r="O8" s="31">
        <f>J8-I8-E8</f>
        <v>2825.5384099930525</v>
      </c>
    </row>
    <row r="9" spans="1:22" x14ac:dyDescent="0.2">
      <c r="A9" s="3">
        <f>A8+1</f>
        <v>3</v>
      </c>
      <c r="B9" s="2" t="str">
        <f>'Billing Detail'!B19</f>
        <v>Large Power 500-3000 kW LLP2</v>
      </c>
      <c r="C9" s="11">
        <f>'Billing Detail'!C19</f>
        <v>7</v>
      </c>
      <c r="D9" s="30">
        <f>'Billing Detail'!G23</f>
        <v>7810231.2285999991</v>
      </c>
      <c r="E9" s="30">
        <f>'Billing Detail'!I23</f>
        <v>8977807.9245999996</v>
      </c>
      <c r="F9" s="29">
        <f t="shared" si="0"/>
        <v>8.3812416571963283E-2</v>
      </c>
      <c r="G9" s="88">
        <f t="shared" ref="G9:G19" si="4">E9</f>
        <v>8977807.9245999996</v>
      </c>
      <c r="H9" s="89">
        <f t="shared" si="1"/>
        <v>8.3812416571963283E-2</v>
      </c>
      <c r="I9" s="90">
        <f t="shared" si="2"/>
        <v>546131.52</v>
      </c>
      <c r="J9" s="30">
        <f>'Billing Detail'!M23</f>
        <v>9523630.4121106006</v>
      </c>
      <c r="K9" s="29">
        <f t="shared" si="3"/>
        <v>8.3809147667693693E-2</v>
      </c>
      <c r="L9" s="30">
        <f>'Billing Detail'!N23</f>
        <v>545822.48751060083</v>
      </c>
      <c r="M9" s="29">
        <f t="shared" ref="M9:M19" si="5">IF(E9=0,0,L9/E9)</f>
        <v>6.079685510034117E-2</v>
      </c>
      <c r="N9" s="29">
        <f>'Billing Detail'!O29</f>
        <v>4.3765128369105989E-2</v>
      </c>
      <c r="O9" s="31">
        <f t="shared" ref="O9:O20" si="6">J9-I9-E9</f>
        <v>-309.03248939849436</v>
      </c>
    </row>
    <row r="10" spans="1:22" x14ac:dyDescent="0.2">
      <c r="A10" s="3">
        <f t="shared" ref="A10:A38" si="7">A9+1</f>
        <v>4</v>
      </c>
      <c r="B10" s="2" t="str">
        <f>'Billing Detail'!B32</f>
        <v>Commercial &amp; Small Power B2</v>
      </c>
      <c r="C10" s="11">
        <f>'Billing Detail'!C32</f>
        <v>8</v>
      </c>
      <c r="D10" s="30">
        <f>'Billing Detail'!G35</f>
        <v>7863571.9830400003</v>
      </c>
      <c r="E10" s="30">
        <f>'Billing Detail'!I35</f>
        <v>8879330.1693399996</v>
      </c>
      <c r="F10" s="29">
        <f t="shared" si="0"/>
        <v>8.2893076492932719E-2</v>
      </c>
      <c r="G10" s="88">
        <f t="shared" si="4"/>
        <v>8879330.1693399996</v>
      </c>
      <c r="H10" s="89">
        <f t="shared" si="1"/>
        <v>8.2893076492932719E-2</v>
      </c>
      <c r="I10" s="90">
        <f t="shared" si="2"/>
        <v>540141</v>
      </c>
      <c r="J10" s="30">
        <f>'Billing Detail'!M35</f>
        <v>9419008.3594400007</v>
      </c>
      <c r="K10" s="29">
        <f t="shared" si="3"/>
        <v>8.2888460421114127E-2</v>
      </c>
      <c r="L10" s="30">
        <f>'Billing Detail'!N35</f>
        <v>539678.19010000117</v>
      </c>
      <c r="M10" s="29">
        <f t="shared" si="5"/>
        <v>6.0779155612828782E-2</v>
      </c>
      <c r="N10" s="29">
        <f>'Billing Detail'!O41</f>
        <v>5.3474903429873114E-2</v>
      </c>
      <c r="O10" s="31">
        <f t="shared" si="6"/>
        <v>-462.80989999882877</v>
      </c>
    </row>
    <row r="11" spans="1:22" x14ac:dyDescent="0.2">
      <c r="A11" s="3">
        <f t="shared" si="7"/>
        <v>5</v>
      </c>
      <c r="B11" s="2" t="str">
        <f>'Billing Detail'!B44</f>
        <v>Large Power LLP-1</v>
      </c>
      <c r="C11" s="11">
        <f>'Billing Detail'!C44</f>
        <v>9</v>
      </c>
      <c r="D11" s="30">
        <f>'Billing Detail'!G47</f>
        <v>4727641.7650899999</v>
      </c>
      <c r="E11" s="30">
        <f>'Billing Detail'!I47</f>
        <v>5381246.36479</v>
      </c>
      <c r="F11" s="29">
        <f t="shared" si="0"/>
        <v>5.0236679798675604E-2</v>
      </c>
      <c r="G11" s="88">
        <f t="shared" si="4"/>
        <v>5381246.36479</v>
      </c>
      <c r="H11" s="89">
        <f t="shared" si="1"/>
        <v>5.0236679798675604E-2</v>
      </c>
      <c r="I11" s="90">
        <f t="shared" si="2"/>
        <v>327348.09000000003</v>
      </c>
      <c r="J11" s="30">
        <f>'Billing Detail'!M47</f>
        <v>5707706.1244000001</v>
      </c>
      <c r="K11" s="29">
        <f t="shared" si="3"/>
        <v>5.0228533103861481E-2</v>
      </c>
      <c r="L11" s="30">
        <f>'Billing Detail'!N47</f>
        <v>326459.75960999983</v>
      </c>
      <c r="M11" s="29">
        <f>IF(E11=0,0,L11/E11)</f>
        <v>6.0666198400812249E-2</v>
      </c>
      <c r="N11" s="29">
        <f>'Billing Detail'!O53</f>
        <v>5.3682181429844385E-2</v>
      </c>
      <c r="O11" s="31">
        <f>J11-I11-E11</f>
        <v>-888.33038999978453</v>
      </c>
    </row>
    <row r="12" spans="1:22" x14ac:dyDescent="0.2">
      <c r="A12" s="3">
        <f t="shared" si="7"/>
        <v>6</v>
      </c>
      <c r="B12" s="2" t="str">
        <f>'Billing Detail'!B56</f>
        <v>Large Power LLP-3</v>
      </c>
      <c r="C12" s="11">
        <f>'Billing Detail'!C56</f>
        <v>11</v>
      </c>
      <c r="D12" s="30">
        <f>'Billing Detail'!G59</f>
        <v>6560554.9090800006</v>
      </c>
      <c r="E12" s="30">
        <f>'Billing Detail'!I59</f>
        <v>7565246.6152800005</v>
      </c>
      <c r="F12" s="29">
        <f t="shared" si="0"/>
        <v>7.0625436199419786E-2</v>
      </c>
      <c r="G12" s="88">
        <f t="shared" si="4"/>
        <v>7565246.6152800005</v>
      </c>
      <c r="H12" s="89">
        <f t="shared" si="1"/>
        <v>7.0625436199419786E-2</v>
      </c>
      <c r="I12" s="90">
        <f t="shared" si="2"/>
        <v>460203.62</v>
      </c>
      <c r="J12" s="30">
        <f>'Billing Detail'!M59</f>
        <v>8025032.7721799994</v>
      </c>
      <c r="K12" s="29">
        <f t="shared" si="3"/>
        <v>7.0621299602980026E-2</v>
      </c>
      <c r="L12" s="30">
        <f>'Billing Detail'!N59</f>
        <v>459786.15689999936</v>
      </c>
      <c r="M12" s="29">
        <f t="shared" ref="M12" si="8">IF(E12=0,0,L12/E12)</f>
        <v>6.0776096310111105E-2</v>
      </c>
      <c r="N12" s="29">
        <f>'Billing Detail'!O65</f>
        <v>5.4396486569964708E-2</v>
      </c>
      <c r="O12" s="31">
        <f t="shared" ref="O12" si="9">J12-I12-E12</f>
        <v>-417.46310000121593</v>
      </c>
    </row>
    <row r="13" spans="1:22" x14ac:dyDescent="0.2">
      <c r="A13" s="3">
        <f t="shared" si="7"/>
        <v>7</v>
      </c>
      <c r="B13" s="2" t="str">
        <f>'Billing Detail'!B68</f>
        <v>Large Power LPR-2</v>
      </c>
      <c r="C13" s="11">
        <f>'Billing Detail'!C68</f>
        <v>13</v>
      </c>
      <c r="D13" s="30">
        <f>'Billing Detail'!G71</f>
        <v>925749.48600000003</v>
      </c>
      <c r="E13" s="30">
        <f>'Billing Detail'!I71</f>
        <v>1043997.876</v>
      </c>
      <c r="F13" s="29">
        <f t="shared" si="0"/>
        <v>9.7462527176371255E-3</v>
      </c>
      <c r="G13" s="88">
        <f t="shared" si="4"/>
        <v>1043997.876</v>
      </c>
      <c r="H13" s="89">
        <f t="shared" si="1"/>
        <v>9.7462527176371255E-3</v>
      </c>
      <c r="I13" s="90">
        <f t="shared" si="2"/>
        <v>63507.72</v>
      </c>
      <c r="J13" s="79">
        <f>'Billing Detail'!M71</f>
        <v>1107570.213</v>
      </c>
      <c r="K13" s="29">
        <f t="shared" si="3"/>
        <v>9.7467574356536208E-3</v>
      </c>
      <c r="L13" s="79">
        <f>'Billing Detail'!N71</f>
        <v>63572.336999999941</v>
      </c>
      <c r="M13" s="51">
        <f t="shared" si="5"/>
        <v>6.0893166989546575E-2</v>
      </c>
      <c r="N13" s="51">
        <f>'Billing Detail'!O77</f>
        <v>5.4324366254877084E-2</v>
      </c>
      <c r="O13" s="31">
        <f t="shared" si="6"/>
        <v>64.616999999969266</v>
      </c>
    </row>
    <row r="14" spans="1:22" x14ac:dyDescent="0.2">
      <c r="A14" s="3">
        <f t="shared" si="7"/>
        <v>8</v>
      </c>
      <c r="B14" s="2" t="str">
        <f>'Billing Detail'!B108</f>
        <v>LPR-3</v>
      </c>
      <c r="C14" s="11">
        <f>'Billing Detail'!C108</f>
        <v>36</v>
      </c>
      <c r="D14" s="30">
        <f>'Billing Detail'!G115</f>
        <v>961453.46565000003</v>
      </c>
      <c r="E14" s="30">
        <f>'Billing Detail'!I115</f>
        <v>1123570.4557500002</v>
      </c>
      <c r="F14" s="29">
        <f t="shared" si="0"/>
        <v>1.048910333971812E-2</v>
      </c>
      <c r="G14" s="88">
        <f t="shared" si="4"/>
        <v>1123570.4557500002</v>
      </c>
      <c r="H14" s="89">
        <f t="shared" si="1"/>
        <v>1.048910333971812E-2</v>
      </c>
      <c r="I14" s="90">
        <f t="shared" si="2"/>
        <v>68348.23</v>
      </c>
      <c r="J14" s="30">
        <f>'Billing Detail'!M115</f>
        <v>1191941.23278</v>
      </c>
      <c r="K14" s="29">
        <f t="shared" si="3"/>
        <v>1.0489233041030338E-2</v>
      </c>
      <c r="L14" s="30">
        <f>'Billing Detail'!N115</f>
        <v>68370.777029999968</v>
      </c>
      <c r="M14" s="29">
        <f t="shared" ref="M14:M18" si="10">IF(E14=0,0,L14/E14)</f>
        <v>6.0851348199932369E-2</v>
      </c>
      <c r="N14" s="29">
        <f>'Billing Detail'!O121</f>
        <v>5.4005673655239797E-2</v>
      </c>
      <c r="O14" s="31">
        <f t="shared" ref="O14:O18" si="11">J14-I14-E14</f>
        <v>22.547029999783263</v>
      </c>
    </row>
    <row r="15" spans="1:22" x14ac:dyDescent="0.2">
      <c r="A15" s="3">
        <f t="shared" si="7"/>
        <v>9</v>
      </c>
      <c r="B15" s="2" t="str">
        <f>'Billing Detail'!B124</f>
        <v>Net Metering</v>
      </c>
      <c r="C15" s="11">
        <f>'Billing Detail'!C124</f>
        <v>41</v>
      </c>
      <c r="D15" s="30">
        <f>'Billing Detail'!G127</f>
        <v>287148.46906000003</v>
      </c>
      <c r="E15" s="30">
        <f>'Billing Detail'!I127</f>
        <v>326062.59886000003</v>
      </c>
      <c r="F15" s="29">
        <f t="shared" si="0"/>
        <v>3.0439606854708763E-3</v>
      </c>
      <c r="G15" s="88">
        <f t="shared" si="4"/>
        <v>326062.59886000003</v>
      </c>
      <c r="H15" s="89">
        <f t="shared" si="1"/>
        <v>3.0439606854708763E-3</v>
      </c>
      <c r="I15" s="90">
        <f t="shared" si="2"/>
        <v>19834.8</v>
      </c>
      <c r="J15" s="30">
        <f>'Billing Detail'!M127</f>
        <v>345910.46591999999</v>
      </c>
      <c r="K15" s="29">
        <f t="shared" si="3"/>
        <v>3.044055687127953E-3</v>
      </c>
      <c r="L15" s="30">
        <f>'Billing Detail'!N127</f>
        <v>19847.86705999999</v>
      </c>
      <c r="M15" s="29">
        <f t="shared" si="10"/>
        <v>6.0871339213369811E-2</v>
      </c>
      <c r="N15" s="29">
        <f>'Billing Detail'!O133</f>
        <v>5.8358587621154583E-2</v>
      </c>
      <c r="O15" s="31">
        <f t="shared" si="11"/>
        <v>13.067059999972116</v>
      </c>
    </row>
    <row r="16" spans="1:22" x14ac:dyDescent="0.2">
      <c r="A16" s="3">
        <f t="shared" si="7"/>
        <v>10</v>
      </c>
      <c r="B16" s="2" t="str">
        <f>'Billing Detail'!B136</f>
        <v>Net Metering LLP-1 Large Power</v>
      </c>
      <c r="C16" s="11">
        <f>'Billing Detail'!C136</f>
        <v>43</v>
      </c>
      <c r="D16" s="30">
        <f>'Billing Detail'!G140</f>
        <v>87896.869200000001</v>
      </c>
      <c r="E16" s="30">
        <f>'Billing Detail'!I140</f>
        <v>100434.5892</v>
      </c>
      <c r="F16" s="29">
        <f t="shared" si="0"/>
        <v>9.3760812204494212E-4</v>
      </c>
      <c r="G16" s="88">
        <f t="shared" si="4"/>
        <v>100434.5892</v>
      </c>
      <c r="H16" s="89">
        <f t="shared" si="1"/>
        <v>9.3760812204494212E-4</v>
      </c>
      <c r="I16" s="90">
        <f t="shared" si="2"/>
        <v>6109.56</v>
      </c>
      <c r="J16" s="30">
        <f>'Billing Detail'!M140</f>
        <v>106528.7124</v>
      </c>
      <c r="K16" s="29">
        <f t="shared" si="3"/>
        <v>9.3746609245016436E-4</v>
      </c>
      <c r="L16" s="30">
        <f>'Billing Detail'!N140</f>
        <v>6094.1231999999982</v>
      </c>
      <c r="M16" s="29">
        <f t="shared" si="10"/>
        <v>6.067753399045115E-2</v>
      </c>
      <c r="N16" s="29">
        <f>'Billing Detail'!O146</f>
        <v>5.3842112242133096E-2</v>
      </c>
      <c r="O16" s="31">
        <f t="shared" si="11"/>
        <v>-15.436799999995856</v>
      </c>
    </row>
    <row r="17" spans="1:19" x14ac:dyDescent="0.2">
      <c r="A17" s="3">
        <f t="shared" si="7"/>
        <v>11</v>
      </c>
      <c r="B17" s="2" t="str">
        <f>'Billing Detail'!B149</f>
        <v>Net Metering B2 Commercial</v>
      </c>
      <c r="C17" s="11">
        <f>'Billing Detail'!C149</f>
        <v>45</v>
      </c>
      <c r="D17" s="30">
        <f>'Billing Detail'!G158</f>
        <v>9410.1259200000004</v>
      </c>
      <c r="E17" s="30">
        <f>'Billing Detail'!I152</f>
        <v>8906.7608199999995</v>
      </c>
      <c r="F17" s="29">
        <f t="shared" si="0"/>
        <v>8.3149155609267604E-5</v>
      </c>
      <c r="G17" s="88">
        <f t="shared" si="4"/>
        <v>8906.7608199999995</v>
      </c>
      <c r="H17" s="89">
        <f t="shared" si="1"/>
        <v>8.3149155609267604E-5</v>
      </c>
      <c r="I17" s="90">
        <f t="shared" si="2"/>
        <v>541.80999999999995</v>
      </c>
      <c r="J17" s="30">
        <f>'Billing Detail'!M152</f>
        <v>9448.1231200000002</v>
      </c>
      <c r="K17" s="29">
        <f t="shared" si="3"/>
        <v>8.3144673982696654E-5</v>
      </c>
      <c r="L17" s="30">
        <f>'Billing Detail'!N152</f>
        <v>541.36230000000069</v>
      </c>
      <c r="M17" s="29">
        <f t="shared" si="10"/>
        <v>6.0781052836220734E-2</v>
      </c>
      <c r="N17" s="152">
        <f>'Billing Detail'!O158</f>
        <v>5.7529761514604767E-2</v>
      </c>
      <c r="O17" s="31">
        <f t="shared" si="11"/>
        <v>-0.44769999999880383</v>
      </c>
    </row>
    <row r="18" spans="1:19" x14ac:dyDescent="0.2">
      <c r="A18" s="3">
        <f t="shared" si="7"/>
        <v>12</v>
      </c>
      <c r="B18" s="2" t="str">
        <f>'Billing Detail'!B161</f>
        <v>Prepaid Metering</v>
      </c>
      <c r="C18" s="11">
        <f>'Billing Detail'!C161</f>
        <v>51</v>
      </c>
      <c r="D18" s="30">
        <f>'Billing Detail'!G164</f>
        <v>2107247.7439600001</v>
      </c>
      <c r="E18" s="30">
        <f>'Billing Detail'!I164</f>
        <v>2394213.6907600001</v>
      </c>
      <c r="F18" s="29">
        <f t="shared" si="0"/>
        <v>2.2351206095915146E-2</v>
      </c>
      <c r="G18" s="88">
        <f t="shared" si="4"/>
        <v>2394213.6907600001</v>
      </c>
      <c r="H18" s="89">
        <f t="shared" si="1"/>
        <v>2.2351206095915146E-2</v>
      </c>
      <c r="I18" s="90">
        <f t="shared" si="2"/>
        <v>145643.07999999999</v>
      </c>
      <c r="J18" s="30">
        <f>'Billing Detail'!M164</f>
        <v>2539952.7027199999</v>
      </c>
      <c r="K18" s="29">
        <f t="shared" si="3"/>
        <v>2.2351903834962265E-2</v>
      </c>
      <c r="L18" s="30">
        <f>'Billing Detail'!N164</f>
        <v>145739.01196000003</v>
      </c>
      <c r="M18" s="29">
        <f t="shared" si="10"/>
        <v>6.087134683192702E-2</v>
      </c>
      <c r="N18" s="29">
        <f>'Billing Detail'!O170</f>
        <v>5.3493794963333223E-2</v>
      </c>
      <c r="O18" s="31">
        <f t="shared" si="11"/>
        <v>95.931959999725223</v>
      </c>
    </row>
    <row r="19" spans="1:19" x14ac:dyDescent="0.2">
      <c r="A19" s="3">
        <f t="shared" si="7"/>
        <v>13</v>
      </c>
      <c r="B19" s="2" t="str">
        <f>'Billing Detail'!B173</f>
        <v>Outdoor Lighting Service OL &amp; LED</v>
      </c>
      <c r="C19" s="11">
        <v>6</v>
      </c>
      <c r="D19" s="30">
        <f>'Billing Detail'!G189</f>
        <v>725227.51</v>
      </c>
      <c r="E19" s="30">
        <f>'Billing Detail'!I189</f>
        <v>781101.40999999992</v>
      </c>
      <c r="F19" s="29">
        <f t="shared" si="0"/>
        <v>7.291980103571293E-3</v>
      </c>
      <c r="G19" s="88">
        <f t="shared" si="4"/>
        <v>781101.40999999992</v>
      </c>
      <c r="H19" s="89">
        <f t="shared" si="1"/>
        <v>7.291980103571293E-3</v>
      </c>
      <c r="I19" s="90">
        <f t="shared" si="2"/>
        <v>47515.4</v>
      </c>
      <c r="J19" s="30">
        <f>'Billing Detail'!M189</f>
        <v>828433.44000000006</v>
      </c>
      <c r="K19" s="29">
        <f t="shared" si="3"/>
        <v>7.29031866015352E-3</v>
      </c>
      <c r="L19" s="30">
        <f t="shared" ref="L19:L20" si="12">J19-E19</f>
        <v>47332.030000000144</v>
      </c>
      <c r="M19" s="29">
        <f t="shared" si="5"/>
        <v>6.0596523567919496E-2</v>
      </c>
      <c r="N19" s="29">
        <f>'Billing Detail'!O195</f>
        <v>5.7204152792616023E-2</v>
      </c>
      <c r="O19" s="31">
        <f t="shared" si="6"/>
        <v>-183.36999999987893</v>
      </c>
    </row>
    <row r="20" spans="1:19" ht="16.149999999999999" customHeight="1" x14ac:dyDescent="0.2">
      <c r="A20" s="3">
        <f t="shared" si="7"/>
        <v>14</v>
      </c>
      <c r="B20" s="32" t="s">
        <v>137</v>
      </c>
      <c r="C20" s="59"/>
      <c r="D20" s="33">
        <f>SUM(D8:D19)</f>
        <v>94201570.281010032</v>
      </c>
      <c r="E20" s="33">
        <f>SUM(E8:E19)</f>
        <v>107117874.55611002</v>
      </c>
      <c r="F20" s="34">
        <f t="shared" si="0"/>
        <v>1</v>
      </c>
      <c r="G20" s="33">
        <f>SUM(G8:G19)</f>
        <v>107117874.55611002</v>
      </c>
      <c r="H20" s="34">
        <v>1</v>
      </c>
      <c r="I20" s="33">
        <f>SUM(I8:I19)</f>
        <v>6516117.1399999997</v>
      </c>
      <c r="J20" s="33">
        <f>SUM(J8:J19)</f>
        <v>113634736.5071906</v>
      </c>
      <c r="K20" s="34">
        <f t="shared" si="3"/>
        <v>1</v>
      </c>
      <c r="L20" s="33">
        <f t="shared" si="12"/>
        <v>6516861.9510805756</v>
      </c>
      <c r="M20" s="34">
        <f t="shared" ref="M20" si="13">L20/E20</f>
        <v>6.0838230576232548E-2</v>
      </c>
      <c r="N20" s="34"/>
      <c r="O20" s="35">
        <f t="shared" si="6"/>
        <v>744.81108057498932</v>
      </c>
    </row>
    <row r="21" spans="1:19" ht="16.149999999999999" customHeight="1" x14ac:dyDescent="0.2">
      <c r="A21" s="3">
        <f t="shared" si="7"/>
        <v>15</v>
      </c>
      <c r="D21" s="36"/>
      <c r="E21" s="36"/>
      <c r="F21" s="37"/>
      <c r="G21" s="36"/>
      <c r="H21" s="37"/>
      <c r="I21" s="36"/>
      <c r="J21" s="36"/>
      <c r="K21" s="37"/>
      <c r="L21" s="36"/>
      <c r="M21" s="37"/>
      <c r="N21" s="37"/>
      <c r="O21" s="31"/>
    </row>
    <row r="22" spans="1:19" ht="16.149999999999999" customHeight="1" x14ac:dyDescent="0.2">
      <c r="A22" s="3">
        <f t="shared" si="7"/>
        <v>16</v>
      </c>
      <c r="B22" s="2" t="str">
        <f>'Billing Detail'!B80</f>
        <v>Large Power LLP-4-B1</v>
      </c>
      <c r="C22" s="11">
        <f>'Billing Detail'!C80</f>
        <v>14</v>
      </c>
      <c r="D22" s="30">
        <f>'Billing Detail'!G85</f>
        <v>3135342.6731500002</v>
      </c>
      <c r="E22" s="30">
        <f>'Billing Detail'!I85</f>
        <v>3729484.1054500001</v>
      </c>
      <c r="F22" s="37">
        <f>E22/E24</f>
        <v>0.3781335345165045</v>
      </c>
      <c r="G22" s="36">
        <f>E22</f>
        <v>3729484.1054500001</v>
      </c>
      <c r="H22" s="37">
        <f>G22/G24</f>
        <v>0.3781335345165045</v>
      </c>
      <c r="I22" s="90">
        <f>ROUND(L$3*H22,2)</f>
        <v>340404.5</v>
      </c>
      <c r="J22" s="30">
        <f>'Billing Detail'!M85</f>
        <v>4070172.2795200003</v>
      </c>
      <c r="K22" s="37">
        <f>J22/J24</f>
        <v>0.37812772697090918</v>
      </c>
      <c r="L22" s="30">
        <f>'Billing Detail'!N85</f>
        <v>340688.17407000018</v>
      </c>
      <c r="M22" s="29">
        <f t="shared" ref="M22:M24" si="14">IF(E22=0,0,L22/E22)</f>
        <v>9.1349946651372763E-2</v>
      </c>
      <c r="N22" s="51">
        <f>'Billing Detail'!O91</f>
        <v>8.0833456414362695E-2</v>
      </c>
      <c r="O22" s="31">
        <f>J22-I22-E22</f>
        <v>283.67407000018284</v>
      </c>
    </row>
    <row r="23" spans="1:19" ht="16.149999999999999" customHeight="1" x14ac:dyDescent="0.2">
      <c r="A23" s="3">
        <f t="shared" si="7"/>
        <v>17</v>
      </c>
      <c r="B23" s="2" t="str">
        <f>'Billing Detail'!B94</f>
        <v>Large Power LPR-1-B2</v>
      </c>
      <c r="C23" s="11">
        <f>'Billing Detail'!C94</f>
        <v>16</v>
      </c>
      <c r="D23" s="30">
        <f>'Billing Detail'!G99</f>
        <v>5041550.5520000001</v>
      </c>
      <c r="E23" s="30">
        <f>'Billing Detail'!I99</f>
        <v>6133391.7439999999</v>
      </c>
      <c r="F23" s="37">
        <f>E23/E24</f>
        <v>0.62186646548349556</v>
      </c>
      <c r="G23" s="36">
        <f>E23</f>
        <v>6133391.7439999999</v>
      </c>
      <c r="H23" s="37">
        <f>G23/G24</f>
        <v>0.62186646548349556</v>
      </c>
      <c r="I23" s="90">
        <f>ROUND(L$3*H23,2)</f>
        <v>559818.5</v>
      </c>
      <c r="J23" s="30">
        <f>'Billing Detail'!M99</f>
        <v>6693842.0712000001</v>
      </c>
      <c r="K23" s="37">
        <f>J23/J24</f>
        <v>0.62187227302909087</v>
      </c>
      <c r="L23" s="30">
        <f>'Billing Detail'!N99</f>
        <v>560450.32720000006</v>
      </c>
      <c r="M23" s="29">
        <f t="shared" si="14"/>
        <v>9.1376900513204865E-2</v>
      </c>
      <c r="N23" s="29">
        <f>'Billing Detail'!O105</f>
        <v>8.0938685300916968E-2</v>
      </c>
      <c r="O23" s="31">
        <f>J23-I23-E23</f>
        <v>631.82720000017434</v>
      </c>
    </row>
    <row r="24" spans="1:19" ht="16.149999999999999" customHeight="1" x14ac:dyDescent="0.2">
      <c r="A24" s="3">
        <f t="shared" si="7"/>
        <v>18</v>
      </c>
      <c r="B24" s="32" t="s">
        <v>138</v>
      </c>
      <c r="C24" s="59"/>
      <c r="D24" s="33">
        <f>SUM(D22:D23)</f>
        <v>8176893.2251500003</v>
      </c>
      <c r="E24" s="33">
        <f>SUM(E22:E23)</f>
        <v>9862875.8494499996</v>
      </c>
      <c r="F24" s="34">
        <f>E24/E24</f>
        <v>1</v>
      </c>
      <c r="G24" s="33">
        <f>SUM(G22:G23)</f>
        <v>9862875.8494499996</v>
      </c>
      <c r="H24" s="34">
        <f>G24/G24</f>
        <v>1</v>
      </c>
      <c r="I24" s="33">
        <f>SUM(I22:I23)</f>
        <v>900223</v>
      </c>
      <c r="J24" s="33">
        <f>SUM(J22:J23)</f>
        <v>10764014.35072</v>
      </c>
      <c r="K24" s="34">
        <f>J24/J24</f>
        <v>1</v>
      </c>
      <c r="L24" s="33">
        <f>SUM(L22:L23)</f>
        <v>901138.50127000024</v>
      </c>
      <c r="M24" s="34">
        <f t="shared" si="14"/>
        <v>9.1366708354161427E-2</v>
      </c>
      <c r="N24" s="34"/>
      <c r="O24" s="33">
        <f>SUM(O22:O23)</f>
        <v>915.50127000035718</v>
      </c>
    </row>
    <row r="25" spans="1:19" ht="16.149999999999999" customHeight="1" x14ac:dyDescent="0.2">
      <c r="A25" s="3">
        <f t="shared" si="7"/>
        <v>19</v>
      </c>
      <c r="D25" s="36"/>
      <c r="E25" s="36"/>
      <c r="F25" s="37"/>
      <c r="G25" s="36"/>
      <c r="H25" s="37"/>
      <c r="I25" s="36"/>
      <c r="J25" s="36"/>
      <c r="K25" s="37"/>
      <c r="L25" s="36"/>
      <c r="M25" s="37"/>
      <c r="N25" s="37"/>
      <c r="O25" s="31"/>
    </row>
    <row r="26" spans="1:19" ht="16.149999999999999" customHeight="1" x14ac:dyDescent="0.2">
      <c r="A26" s="3">
        <f t="shared" si="7"/>
        <v>20</v>
      </c>
      <c r="B26" s="38" t="s">
        <v>39</v>
      </c>
      <c r="C26" s="60"/>
      <c r="D26" s="39">
        <f>D20+D24</f>
        <v>102378463.50616004</v>
      </c>
      <c r="E26" s="39">
        <f>E20+E24</f>
        <v>116980750.40556002</v>
      </c>
      <c r="F26" s="78">
        <v>1</v>
      </c>
      <c r="G26" s="39">
        <f>G20+G24</f>
        <v>116980750.40556002</v>
      </c>
      <c r="H26" s="78">
        <v>1</v>
      </c>
      <c r="I26" s="39">
        <f>I20+I24</f>
        <v>7416340.1399999997</v>
      </c>
      <c r="J26" s="39">
        <f>J20+J24</f>
        <v>124398750.8579106</v>
      </c>
      <c r="K26" s="78">
        <v>1</v>
      </c>
      <c r="L26" s="39">
        <f>L20+L24</f>
        <v>7418000.4523505755</v>
      </c>
      <c r="M26" s="78">
        <f t="shared" ref="M26" si="15">L26/E26</f>
        <v>6.3412146243148074E-2</v>
      </c>
      <c r="N26" s="39"/>
      <c r="O26" s="39">
        <f>O20+O24</f>
        <v>1660.3123505753465</v>
      </c>
    </row>
    <row r="27" spans="1:19" ht="12.6" customHeight="1" x14ac:dyDescent="0.2">
      <c r="A27" s="3">
        <f t="shared" si="7"/>
        <v>21</v>
      </c>
      <c r="S27" s="30"/>
    </row>
    <row r="28" spans="1:19" x14ac:dyDescent="0.2">
      <c r="A28" s="3">
        <f t="shared" si="7"/>
        <v>22</v>
      </c>
      <c r="B28" s="26" t="s">
        <v>7</v>
      </c>
      <c r="C28" s="58"/>
      <c r="D28" s="26"/>
    </row>
    <row r="29" spans="1:19" x14ac:dyDescent="0.2">
      <c r="A29" s="3">
        <f t="shared" si="7"/>
        <v>23</v>
      </c>
      <c r="B29" s="2" t="str">
        <f>'Billing Detail'!D11</f>
        <v xml:space="preserve">    FAC</v>
      </c>
      <c r="D29" s="30">
        <f>'Billing Detail'!G200</f>
        <v>14785734.460000001</v>
      </c>
      <c r="E29" s="30">
        <f>'Billing Detail'!I200</f>
        <v>2517065.6826000009</v>
      </c>
      <c r="F29" s="40"/>
      <c r="G29" s="41"/>
      <c r="H29" s="41"/>
      <c r="I29" s="41"/>
      <c r="J29" s="30">
        <f>'Billing Detail'!M200</f>
        <v>2517065.6826000009</v>
      </c>
      <c r="K29" s="42"/>
      <c r="L29" s="42"/>
      <c r="M29" s="41"/>
      <c r="N29" s="41"/>
    </row>
    <row r="30" spans="1:19" x14ac:dyDescent="0.2">
      <c r="A30" s="3">
        <f t="shared" si="7"/>
        <v>24</v>
      </c>
      <c r="B30" s="2" t="str">
        <f>'Billing Detail'!D12</f>
        <v xml:space="preserve">    ES</v>
      </c>
      <c r="D30" s="30">
        <f>'Billing Detail'!G201</f>
        <v>15145822.919999994</v>
      </c>
      <c r="E30" s="30">
        <f>'Billing Detail'!I201</f>
        <v>15145822.919999994</v>
      </c>
      <c r="F30" s="41"/>
      <c r="G30" s="41"/>
      <c r="H30" s="41"/>
      <c r="I30" s="41"/>
      <c r="J30" s="30">
        <f>'Billing Detail'!M201</f>
        <v>15145822.919999994</v>
      </c>
      <c r="K30" s="42"/>
      <c r="L30" s="42"/>
      <c r="M30" s="41"/>
      <c r="N30" s="41"/>
    </row>
    <row r="31" spans="1:19" x14ac:dyDescent="0.2">
      <c r="A31" s="3">
        <f t="shared" si="7"/>
        <v>25</v>
      </c>
      <c r="B31" s="2" t="str">
        <f>'Billing Detail'!D13</f>
        <v>Prepay Charge per Day</v>
      </c>
      <c r="D31" s="30">
        <f>'Billing Detail'!G202</f>
        <v>102361.81666666668</v>
      </c>
      <c r="E31" s="30">
        <f>'Billing Detail'!I202</f>
        <v>102361.81666666668</v>
      </c>
      <c r="F31" s="41"/>
      <c r="G31" s="41"/>
      <c r="H31" s="41"/>
      <c r="I31" s="41"/>
      <c r="J31" s="30">
        <f>'Billing Detail'!M202</f>
        <v>102361.81666666668</v>
      </c>
      <c r="K31" s="42"/>
      <c r="L31" s="42"/>
      <c r="M31" s="41"/>
      <c r="N31" s="41"/>
    </row>
    <row r="32" spans="1:19" x14ac:dyDescent="0.2">
      <c r="A32" s="3">
        <f t="shared" si="7"/>
        <v>26</v>
      </c>
      <c r="B32" s="2" t="str">
        <f>'Billing Detail'!D14</f>
        <v xml:space="preserve">    Other</v>
      </c>
      <c r="D32" s="30">
        <f>'Billing Detail'!G203</f>
        <v>0</v>
      </c>
      <c r="E32" s="30">
        <f>'Billing Detail'!I203</f>
        <v>0</v>
      </c>
      <c r="F32" s="41"/>
      <c r="G32" s="41"/>
      <c r="H32" s="41"/>
      <c r="I32" s="41"/>
      <c r="J32" s="30">
        <f>'Billing Detail'!M203</f>
        <v>0</v>
      </c>
      <c r="K32" s="42"/>
      <c r="L32" s="42"/>
      <c r="M32" s="41"/>
      <c r="N32" s="50"/>
    </row>
    <row r="33" spans="1:14" x14ac:dyDescent="0.2">
      <c r="A33" s="3">
        <f t="shared" si="7"/>
        <v>27</v>
      </c>
      <c r="B33" s="32" t="s">
        <v>8</v>
      </c>
      <c r="C33" s="59"/>
      <c r="D33" s="33">
        <f>SUM(D29:D32)</f>
        <v>30033919.196666662</v>
      </c>
      <c r="E33" s="33">
        <f>SUM(E29:E32)</f>
        <v>17765250.41926666</v>
      </c>
      <c r="F33" s="43"/>
      <c r="G33" s="43"/>
      <c r="H33" s="43"/>
      <c r="I33" s="43"/>
      <c r="J33" s="33">
        <f>SUM(J29:J32)</f>
        <v>17765250.41926666</v>
      </c>
      <c r="K33" s="44"/>
      <c r="L33" s="44"/>
      <c r="M33" s="43"/>
      <c r="N33" s="41"/>
    </row>
    <row r="34" spans="1:14" x14ac:dyDescent="0.2">
      <c r="A34" s="3">
        <f t="shared" si="7"/>
        <v>28</v>
      </c>
    </row>
    <row r="35" spans="1:14" ht="18" customHeight="1" thickBot="1" x14ac:dyDescent="0.25">
      <c r="A35" s="3">
        <f t="shared" si="7"/>
        <v>29</v>
      </c>
      <c r="B35" s="45" t="s">
        <v>9</v>
      </c>
      <c r="C35" s="61"/>
      <c r="D35" s="46">
        <f>D26+D33</f>
        <v>132412382.70282669</v>
      </c>
      <c r="E35" s="46">
        <f>E26+E33</f>
        <v>134746000.82482669</v>
      </c>
      <c r="F35" s="47"/>
      <c r="G35" s="47"/>
      <c r="H35" s="47"/>
      <c r="I35" s="47"/>
      <c r="J35" s="46">
        <f>J26+J33</f>
        <v>142164001.27717727</v>
      </c>
      <c r="K35" s="48"/>
      <c r="L35" s="47">
        <f t="shared" ref="L35" si="16">J35-E35</f>
        <v>7418000.4523505867</v>
      </c>
      <c r="M35" s="45"/>
      <c r="N35" s="49">
        <f>L35/E35</f>
        <v>5.50517299730044E-2</v>
      </c>
    </row>
    <row r="36" spans="1:14" ht="18" customHeight="1" thickTop="1" x14ac:dyDescent="0.2">
      <c r="A36" s="3">
        <f t="shared" si="7"/>
        <v>30</v>
      </c>
      <c r="B36" s="2" t="s">
        <v>10</v>
      </c>
      <c r="D36" s="36">
        <v>128433617</v>
      </c>
      <c r="L36" s="36">
        <f>L2</f>
        <v>7416340.1420970112</v>
      </c>
    </row>
    <row r="37" spans="1:14" ht="15" customHeight="1" x14ac:dyDescent="0.2">
      <c r="A37" s="3">
        <f t="shared" si="7"/>
        <v>31</v>
      </c>
      <c r="B37" s="32" t="s">
        <v>35</v>
      </c>
      <c r="C37" s="59"/>
      <c r="D37" s="33">
        <f>D35-D36</f>
        <v>3978765.7028266937</v>
      </c>
      <c r="E37" s="32"/>
      <c r="F37" s="32"/>
      <c r="G37" s="32"/>
      <c r="H37" s="32"/>
      <c r="I37" s="32"/>
      <c r="J37" s="32"/>
      <c r="K37" s="32"/>
      <c r="L37" s="33">
        <f>L35-L36</f>
        <v>1660.3102535754442</v>
      </c>
    </row>
    <row r="38" spans="1:14" ht="15" customHeight="1" x14ac:dyDescent="0.2">
      <c r="A38" s="3">
        <f t="shared" si="7"/>
        <v>32</v>
      </c>
      <c r="B38" s="2" t="s">
        <v>35</v>
      </c>
      <c r="D38" s="29">
        <f>D37/D36</f>
        <v>3.0979161030921472E-2</v>
      </c>
      <c r="L38" s="29">
        <f>L37/L36</f>
        <v>2.2387191279848477E-4</v>
      </c>
    </row>
    <row r="39" spans="1:14" x14ac:dyDescent="0.2">
      <c r="A39" s="3"/>
    </row>
  </sheetData>
  <printOptions horizontalCentered="1"/>
  <pageMargins left="0.7" right="0.7" top="0.75" bottom="0.75" header="0.3" footer="0.3"/>
  <pageSetup scale="72" orientation="landscape" r:id="rId1"/>
  <headerFooter>
    <oddHeader>&amp;R&amp;"Arial,Bold"&amp;10Exhibit 4 
Page &amp;P of &amp;N</oddHeader>
  </headerFooter>
  <ignoredErrors>
    <ignoredError sqref="J20 F20 J8 G18:G19 G8 J9:J10 G9:G13 G14:G16 G24:J24 F24 K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284"/>
  <sheetViews>
    <sheetView tabSelected="1" view="pageBreakPreview" zoomScale="75" zoomScaleNormal="75" zoomScaleSheetLayoutView="75" workbookViewId="0">
      <pane xSplit="4" ySplit="5" topLeftCell="E146" activePane="bottomRight" state="frozen"/>
      <selection activeCell="B96" sqref="B96"/>
      <selection pane="topRight" activeCell="B96" sqref="B96"/>
      <selection pane="bottomLeft" activeCell="B96" sqref="B96"/>
      <selection pane="bottomRight" activeCell="O171" sqref="O171"/>
    </sheetView>
  </sheetViews>
  <sheetFormatPr defaultColWidth="8.85546875" defaultRowHeight="12.75" x14ac:dyDescent="0.2"/>
  <cols>
    <col min="1" max="1" width="7.42578125" style="5" customWidth="1"/>
    <col min="2" max="2" width="33" style="2" customWidth="1"/>
    <col min="3" max="3" width="6.7109375" style="11" customWidth="1"/>
    <col min="4" max="4" width="30.28515625" style="91" customWidth="1"/>
    <col min="5" max="5" width="17.42578125" style="91" customWidth="1"/>
    <col min="6" max="6" width="14" style="91" customWidth="1"/>
    <col min="7" max="7" width="16.7109375" style="91" customWidth="1"/>
    <col min="8" max="8" width="13.42578125" style="91" bestFit="1" customWidth="1"/>
    <col min="9" max="9" width="15.28515625" style="91" bestFit="1" customWidth="1"/>
    <col min="10" max="10" width="8.5703125" style="91" bestFit="1" customWidth="1"/>
    <col min="11" max="11" width="14.5703125" style="91" customWidth="1"/>
    <col min="12" max="12" width="11.5703125" style="91" customWidth="1"/>
    <col min="13" max="13" width="15.7109375" style="91" customWidth="1"/>
    <col min="14" max="14" width="13.85546875" style="91" customWidth="1"/>
    <col min="15" max="15" width="8.7109375" style="91" customWidth="1"/>
    <col min="16" max="16" width="9.85546875" style="91" bestFit="1" customWidth="1"/>
    <col min="17" max="17" width="9.42578125" style="91" bestFit="1" customWidth="1"/>
    <col min="18" max="18" width="11.85546875" style="91" customWidth="1"/>
    <col min="19" max="19" width="8.85546875" style="2" customWidth="1"/>
    <col min="20" max="20" width="14.140625" style="2" customWidth="1"/>
    <col min="21" max="21" width="8.85546875" style="2"/>
    <col min="22" max="22" width="9.28515625" style="2" bestFit="1" customWidth="1"/>
    <col min="23" max="23" width="15.28515625" style="2" customWidth="1"/>
    <col min="24" max="24" width="11.7109375" style="2" customWidth="1"/>
    <col min="25" max="16384" width="8.85546875" style="2"/>
  </cols>
  <sheetData>
    <row r="1" spans="1:20" x14ac:dyDescent="0.2">
      <c r="A1" s="23" t="str">
        <f>Summary!A1</f>
        <v>SALT RIVER ELECTRIC COOPERATIVE</v>
      </c>
      <c r="F1" s="92"/>
      <c r="G1" s="92"/>
    </row>
    <row r="2" spans="1:20" ht="14.45" customHeight="1" x14ac:dyDescent="0.2">
      <c r="A2" s="23" t="str">
        <f>Summary!A2</f>
        <v>Billing Analysis for Pass-Through Rate Increase</v>
      </c>
      <c r="F2" s="92"/>
      <c r="G2" s="93"/>
      <c r="H2" s="81"/>
      <c r="P2" s="94"/>
    </row>
    <row r="5" spans="1:20" ht="38.450000000000003" customHeight="1" x14ac:dyDescent="0.2">
      <c r="A5" s="13" t="s">
        <v>1</v>
      </c>
      <c r="B5" s="13" t="s">
        <v>12</v>
      </c>
      <c r="C5" s="7" t="s">
        <v>11</v>
      </c>
      <c r="D5" s="95" t="s">
        <v>13</v>
      </c>
      <c r="E5" s="96" t="s">
        <v>142</v>
      </c>
      <c r="F5" s="96" t="s">
        <v>109</v>
      </c>
      <c r="G5" s="96" t="s">
        <v>110</v>
      </c>
      <c r="H5" s="96" t="s">
        <v>22</v>
      </c>
      <c r="I5" s="96" t="s">
        <v>23</v>
      </c>
      <c r="J5" s="96" t="s">
        <v>47</v>
      </c>
      <c r="K5" s="96" t="s">
        <v>10</v>
      </c>
      <c r="L5" s="96" t="s">
        <v>20</v>
      </c>
      <c r="M5" s="96" t="s">
        <v>4</v>
      </c>
      <c r="N5" s="96" t="s">
        <v>14</v>
      </c>
      <c r="O5" s="97" t="s">
        <v>15</v>
      </c>
      <c r="P5" s="96" t="s">
        <v>21</v>
      </c>
      <c r="Q5" s="96" t="s">
        <v>24</v>
      </c>
      <c r="R5" s="96" t="s">
        <v>36</v>
      </c>
      <c r="T5" s="9" t="s">
        <v>32</v>
      </c>
    </row>
    <row r="6" spans="1:20" ht="30.6" customHeight="1" thickBot="1" x14ac:dyDescent="0.25">
      <c r="A6" s="24"/>
      <c r="B6" s="17"/>
      <c r="C6" s="18"/>
      <c r="D6" s="98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P6" s="99"/>
      <c r="Q6" s="99"/>
      <c r="R6" s="99"/>
    </row>
    <row r="7" spans="1:20" x14ac:dyDescent="0.2">
      <c r="A7" s="25">
        <v>1</v>
      </c>
      <c r="B7" s="19" t="s">
        <v>71</v>
      </c>
      <c r="C7" s="20">
        <v>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spans="1:20" x14ac:dyDescent="0.2">
      <c r="A8" s="25">
        <f>A7+1</f>
        <v>2</v>
      </c>
      <c r="C8" s="2"/>
      <c r="D8" s="91" t="s">
        <v>16</v>
      </c>
      <c r="E8" s="102">
        <f>608482+19796</f>
        <v>628278</v>
      </c>
      <c r="F8" s="92">
        <v>9.1999999999999993</v>
      </c>
      <c r="G8" s="103">
        <f>F8*E8</f>
        <v>5780157.5999999996</v>
      </c>
      <c r="H8" s="92">
        <v>9.1999999999999993</v>
      </c>
      <c r="I8" s="103">
        <f>H8*E8</f>
        <v>5780157.5999999996</v>
      </c>
      <c r="J8" s="104">
        <f>I8/I10</f>
        <v>8.1946257193241862E-2</v>
      </c>
      <c r="K8" s="104"/>
      <c r="L8" s="92">
        <f>ROUND(H8*S10,2)</f>
        <v>9.76</v>
      </c>
      <c r="M8" s="103">
        <f>L8*E8</f>
        <v>6131993.2800000003</v>
      </c>
      <c r="N8" s="103">
        <f t="shared" ref="N8:N13" si="0">M8-I8</f>
        <v>351835.68000000063</v>
      </c>
      <c r="O8" s="104">
        <f>IF(I8=0,0,N8/I8)</f>
        <v>6.0869565217391418E-2</v>
      </c>
      <c r="P8" s="104">
        <f>M8/M10</f>
        <v>8.194612044924135E-2</v>
      </c>
      <c r="Q8" s="105">
        <f>P8-J8</f>
        <v>-1.3674400051177926E-7</v>
      </c>
      <c r="R8" s="105"/>
      <c r="T8" s="4">
        <f>L8/H8-1</f>
        <v>6.0869565217391397E-2</v>
      </c>
    </row>
    <row r="9" spans="1:20" x14ac:dyDescent="0.2">
      <c r="A9" s="25">
        <f t="shared" ref="A9:A59" si="1">A8+1</f>
        <v>3</v>
      </c>
      <c r="B9" s="10"/>
      <c r="D9" s="91" t="s">
        <v>45</v>
      </c>
      <c r="E9" s="102">
        <f>693466105+24527004</f>
        <v>717993109</v>
      </c>
      <c r="F9" s="93">
        <v>7.8490000000000004E-2</v>
      </c>
      <c r="G9" s="103">
        <f t="shared" ref="G9" si="2">F9*E9</f>
        <v>56355279.125410005</v>
      </c>
      <c r="H9" s="93">
        <v>9.0190000000000006E-2</v>
      </c>
      <c r="I9" s="103">
        <f t="shared" ref="I9" si="3">H9*E9</f>
        <v>64755798.500710003</v>
      </c>
      <c r="J9" s="104">
        <f>I9/I10</f>
        <v>0.91805374280675811</v>
      </c>
      <c r="K9" s="104"/>
      <c r="L9" s="106">
        <f>ROUND(H9*S10,5)</f>
        <v>9.5680000000000001E-2</v>
      </c>
      <c r="M9" s="103">
        <f t="shared" ref="M9" si="4">L9*E9</f>
        <v>68697580.669119999</v>
      </c>
      <c r="N9" s="103">
        <f t="shared" si="0"/>
        <v>3941782.1684099957</v>
      </c>
      <c r="O9" s="104">
        <f t="shared" ref="O9" si="5">IF(I9=0,0,N9/I9)</f>
        <v>6.0871493513693246E-2</v>
      </c>
      <c r="P9" s="104">
        <f>M9/M10</f>
        <v>0.91805387955075868</v>
      </c>
      <c r="Q9" s="105">
        <f t="shared" ref="Q9:Q10" si="6">P9-J9</f>
        <v>1.3674400056729041E-7</v>
      </c>
      <c r="R9" s="105"/>
      <c r="T9" s="4">
        <f>L9/H9-1</f>
        <v>6.0871493513693142E-2</v>
      </c>
    </row>
    <row r="10" spans="1:20" s="5" customFormat="1" ht="20.45" customHeight="1" x14ac:dyDescent="0.25">
      <c r="A10" s="25">
        <f t="shared" si="1"/>
        <v>4</v>
      </c>
      <c r="C10" s="12"/>
      <c r="D10" s="107" t="s">
        <v>6</v>
      </c>
      <c r="E10" s="107"/>
      <c r="F10" s="107"/>
      <c r="G10" s="14">
        <f>SUM(G8:G9)</f>
        <v>62135436.725410007</v>
      </c>
      <c r="H10" s="107"/>
      <c r="I10" s="14">
        <f>SUM(I8:I9)</f>
        <v>70535956.100710005</v>
      </c>
      <c r="J10" s="108">
        <f>SUM(J8:J9)</f>
        <v>1</v>
      </c>
      <c r="K10" s="109">
        <f>I10+Summary!I8</f>
        <v>74826748.410710007</v>
      </c>
      <c r="L10" s="107"/>
      <c r="M10" s="14">
        <f>SUM(M8:M9)</f>
        <v>74829573.94912</v>
      </c>
      <c r="N10" s="14">
        <f>SUM(N8:N9)</f>
        <v>4293617.8484099964</v>
      </c>
      <c r="O10" s="108">
        <f t="shared" ref="O10" si="7">N10/I10</f>
        <v>6.0871335497028549E-2</v>
      </c>
      <c r="P10" s="108">
        <f>SUM(P8:P9)</f>
        <v>1</v>
      </c>
      <c r="Q10" s="143">
        <f t="shared" si="6"/>
        <v>0</v>
      </c>
      <c r="R10" s="110">
        <f>M10-K10</f>
        <v>2825.5384099930525</v>
      </c>
      <c r="S10" s="5">
        <f>K10/I10</f>
        <v>1.0608312773682926</v>
      </c>
    </row>
    <row r="11" spans="1:20" x14ac:dyDescent="0.2">
      <c r="A11" s="25">
        <f t="shared" si="1"/>
        <v>5</v>
      </c>
      <c r="D11" s="91" t="s">
        <v>25</v>
      </c>
      <c r="G11" s="103">
        <f>8269405.51+302052.31</f>
        <v>8571457.8200000003</v>
      </c>
      <c r="I11" s="111">
        <f>G11-(E9*$H$278)</f>
        <v>170938.44470000081</v>
      </c>
      <c r="K11" s="111"/>
      <c r="M11" s="103">
        <f>I11</f>
        <v>170938.44470000081</v>
      </c>
      <c r="N11" s="103">
        <f t="shared" si="0"/>
        <v>0</v>
      </c>
      <c r="O11" s="92">
        <v>0</v>
      </c>
      <c r="R11" s="112"/>
    </row>
    <row r="12" spans="1:20" x14ac:dyDescent="0.2">
      <c r="A12" s="25">
        <f t="shared" si="1"/>
        <v>6</v>
      </c>
      <c r="D12" s="91" t="s">
        <v>26</v>
      </c>
      <c r="F12" s="92"/>
      <c r="G12" s="103">
        <f>8934155.11+315109.61</f>
        <v>9249264.7199999988</v>
      </c>
      <c r="I12" s="111">
        <f>G12</f>
        <v>9249264.7199999988</v>
      </c>
      <c r="M12" s="103">
        <f t="shared" ref="M12:M14" si="8">I12</f>
        <v>9249264.7199999988</v>
      </c>
      <c r="N12" s="103">
        <f t="shared" si="0"/>
        <v>0</v>
      </c>
      <c r="O12" s="92">
        <v>0</v>
      </c>
    </row>
    <row r="13" spans="1:20" x14ac:dyDescent="0.2">
      <c r="A13" s="25">
        <f t="shared" si="1"/>
        <v>7</v>
      </c>
      <c r="D13" s="91" t="s">
        <v>131</v>
      </c>
      <c r="E13" s="102">
        <v>19796</v>
      </c>
      <c r="F13" s="92">
        <f>0.17</f>
        <v>0.17</v>
      </c>
      <c r="G13" s="103">
        <f>E13/12*F13*365</f>
        <v>102361.81666666668</v>
      </c>
      <c r="H13" s="144">
        <f>F13</f>
        <v>0.17</v>
      </c>
      <c r="I13" s="103">
        <f>E13/12*H13*365</f>
        <v>102361.81666666668</v>
      </c>
      <c r="L13" s="144">
        <f>H13</f>
        <v>0.17</v>
      </c>
      <c r="M13" s="103">
        <f>E13/12*L13*365</f>
        <v>102361.81666666668</v>
      </c>
      <c r="N13" s="103">
        <f t="shared" si="0"/>
        <v>0</v>
      </c>
      <c r="O13" s="92">
        <v>0</v>
      </c>
    </row>
    <row r="14" spans="1:20" x14ac:dyDescent="0.2">
      <c r="A14" s="25">
        <f t="shared" si="1"/>
        <v>8</v>
      </c>
      <c r="D14" s="91" t="s">
        <v>37</v>
      </c>
      <c r="G14" s="103">
        <v>0</v>
      </c>
      <c r="I14" s="111">
        <f>G14</f>
        <v>0</v>
      </c>
      <c r="M14" s="103">
        <f t="shared" si="8"/>
        <v>0</v>
      </c>
      <c r="N14" s="103"/>
      <c r="O14" s="92">
        <v>0</v>
      </c>
    </row>
    <row r="15" spans="1:20" x14ac:dyDescent="0.2">
      <c r="A15" s="25">
        <f t="shared" si="1"/>
        <v>9</v>
      </c>
      <c r="D15" s="113" t="s">
        <v>8</v>
      </c>
      <c r="E15" s="113"/>
      <c r="F15" s="113"/>
      <c r="G15" s="114">
        <f>SUM(G11:G14)</f>
        <v>17923084.356666666</v>
      </c>
      <c r="H15" s="113"/>
      <c r="I15" s="114">
        <f>SUM(I11:I14)</f>
        <v>9522564.981366666</v>
      </c>
      <c r="J15" s="113"/>
      <c r="K15" s="113"/>
      <c r="L15" s="113"/>
      <c r="M15" s="114">
        <f>SUM(M11:M14)</f>
        <v>9522564.981366666</v>
      </c>
      <c r="N15" s="114">
        <f>M15-I15</f>
        <v>0</v>
      </c>
      <c r="O15" s="115">
        <v>0</v>
      </c>
    </row>
    <row r="16" spans="1:20" s="5" customFormat="1" ht="26.45" customHeight="1" thickBot="1" x14ac:dyDescent="0.25">
      <c r="A16" s="25">
        <f t="shared" si="1"/>
        <v>10</v>
      </c>
      <c r="C16" s="12"/>
      <c r="D16" s="116" t="s">
        <v>18</v>
      </c>
      <c r="E16" s="116"/>
      <c r="F16" s="116"/>
      <c r="G16" s="117">
        <f>G10+G15</f>
        <v>80058521.082076669</v>
      </c>
      <c r="H16" s="116"/>
      <c r="I16" s="118">
        <f>I15+I10</f>
        <v>80058521.082076669</v>
      </c>
      <c r="J16" s="116"/>
      <c r="K16" s="116"/>
      <c r="L16" s="116"/>
      <c r="M16" s="117">
        <f>M15+M10</f>
        <v>84352138.930486664</v>
      </c>
      <c r="N16" s="117">
        <f>M16-I16</f>
        <v>4293617.8484099954</v>
      </c>
      <c r="O16" s="119">
        <f>N16/I16</f>
        <v>5.3630991309571434E-2</v>
      </c>
      <c r="P16" s="91"/>
      <c r="Q16" s="91"/>
      <c r="R16" s="91"/>
    </row>
    <row r="17" spans="1:20" ht="13.5" thickTop="1" x14ac:dyDescent="0.2">
      <c r="A17" s="25">
        <f t="shared" si="1"/>
        <v>11</v>
      </c>
      <c r="D17" s="91" t="s">
        <v>17</v>
      </c>
      <c r="E17" s="92">
        <f>E9/E8</f>
        <v>1142.7952419152032</v>
      </c>
      <c r="G17" s="120">
        <f>G16/E8</f>
        <v>127.42531344735399</v>
      </c>
      <c r="I17" s="120">
        <f>I16/E8</f>
        <v>127.42531344735399</v>
      </c>
      <c r="M17" s="120">
        <f>M16/E8</f>
        <v>134.25925932546843</v>
      </c>
      <c r="N17" s="120">
        <f>M17-I17</f>
        <v>6.8339458781144486</v>
      </c>
      <c r="O17" s="104">
        <f>N17/I17</f>
        <v>5.3630991309571364E-2</v>
      </c>
    </row>
    <row r="18" spans="1:20" ht="13.5" thickBot="1" x14ac:dyDescent="0.25">
      <c r="A18" s="25">
        <f t="shared" si="1"/>
        <v>12</v>
      </c>
    </row>
    <row r="19" spans="1:20" x14ac:dyDescent="0.2">
      <c r="A19" s="25">
        <f t="shared" si="1"/>
        <v>13</v>
      </c>
      <c r="B19" s="19" t="s">
        <v>125</v>
      </c>
      <c r="C19" s="20">
        <v>7</v>
      </c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</row>
    <row r="20" spans="1:20" x14ac:dyDescent="0.2">
      <c r="A20" s="25">
        <f t="shared" si="1"/>
        <v>14</v>
      </c>
      <c r="C20" s="2"/>
      <c r="D20" s="91" t="s">
        <v>16</v>
      </c>
      <c r="E20" s="102">
        <v>904</v>
      </c>
      <c r="F20" s="92">
        <v>0</v>
      </c>
      <c r="G20" s="103">
        <f>F20*E20</f>
        <v>0</v>
      </c>
      <c r="H20" s="92">
        <v>0</v>
      </c>
      <c r="I20" s="103">
        <f>H20*E20</f>
        <v>0</v>
      </c>
      <c r="J20" s="104">
        <f>I20/I23</f>
        <v>0</v>
      </c>
      <c r="K20" s="104"/>
      <c r="L20" s="92">
        <f>ROUND(H20*S23,2)</f>
        <v>0</v>
      </c>
      <c r="M20" s="103">
        <f>L20*E20</f>
        <v>0</v>
      </c>
      <c r="N20" s="103">
        <f>M20-I20</f>
        <v>0</v>
      </c>
      <c r="O20" s="104">
        <f>IF(I20=0,0,N20/I20)</f>
        <v>0</v>
      </c>
      <c r="P20" s="104">
        <f>M20/M$23</f>
        <v>0</v>
      </c>
      <c r="Q20" s="105">
        <f>P20-J20</f>
        <v>0</v>
      </c>
      <c r="R20" s="105"/>
      <c r="T20" s="4"/>
    </row>
    <row r="21" spans="1:20" x14ac:dyDescent="0.2">
      <c r="A21" s="25">
        <f t="shared" si="1"/>
        <v>15</v>
      </c>
      <c r="D21" s="91" t="s">
        <v>45</v>
      </c>
      <c r="E21" s="102">
        <v>99792880</v>
      </c>
      <c r="F21" s="93">
        <v>5.9859999999999997E-2</v>
      </c>
      <c r="G21" s="103">
        <f t="shared" ref="G21" si="9">F21*E21</f>
        <v>5973601.7967999997</v>
      </c>
      <c r="H21" s="93">
        <v>7.1559999999999999E-2</v>
      </c>
      <c r="I21" s="103">
        <f t="shared" ref="I21" si="10">H21*E21</f>
        <v>7141178.4928000001</v>
      </c>
      <c r="J21" s="104">
        <f>I21/I23</f>
        <v>0.79542562647531478</v>
      </c>
      <c r="K21" s="104"/>
      <c r="L21" s="106">
        <f>ROUND(H21*S23,5)</f>
        <v>7.5910000000000005E-2</v>
      </c>
      <c r="M21" s="103">
        <f t="shared" ref="M21" si="11">L21*E21</f>
        <v>7575277.520800001</v>
      </c>
      <c r="N21" s="103">
        <f t="shared" ref="N21" si="12">M21-I21</f>
        <v>434099.02800000086</v>
      </c>
      <c r="O21" s="104">
        <f t="shared" ref="O21" si="13">IF(I21=0,0,N21/I21)</f>
        <v>6.0788149804360099E-2</v>
      </c>
      <c r="P21" s="104">
        <f t="shared" ref="P21:P22" si="14">M21/M$23</f>
        <v>0.79541909891494722</v>
      </c>
      <c r="Q21" s="105">
        <f t="shared" ref="Q21" si="15">P21-J21</f>
        <v>-6.5275603675640781E-6</v>
      </c>
      <c r="R21" s="105"/>
      <c r="T21" s="4">
        <f>L21/H21-1</f>
        <v>6.0788149804360092E-2</v>
      </c>
    </row>
    <row r="22" spans="1:20" x14ac:dyDescent="0.2">
      <c r="A22" s="25">
        <f t="shared" si="1"/>
        <v>16</v>
      </c>
      <c r="D22" s="91" t="s">
        <v>46</v>
      </c>
      <c r="E22" s="102">
        <v>263504.94</v>
      </c>
      <c r="F22" s="92">
        <v>6.97</v>
      </c>
      <c r="G22" s="103">
        <f t="shared" ref="G22" si="16">F22*E22</f>
        <v>1836629.4317999999</v>
      </c>
      <c r="H22" s="92">
        <v>6.97</v>
      </c>
      <c r="I22" s="103">
        <f t="shared" ref="I22" si="17">H22*E22</f>
        <v>1836629.4317999999</v>
      </c>
      <c r="J22" s="104">
        <f>I22/I23</f>
        <v>0.2045743735246853</v>
      </c>
      <c r="K22" s="104"/>
      <c r="L22" s="92">
        <f>ROUND(H22*S23,5)</f>
        <v>7.3939899999999996</v>
      </c>
      <c r="M22" s="103">
        <f t="shared" ref="M22" si="18">L22*E22</f>
        <v>1948352.8913105999</v>
      </c>
      <c r="N22" s="103">
        <f t="shared" ref="N22:N30" si="19">M22-I22</f>
        <v>111723.45951059996</v>
      </c>
      <c r="O22" s="104">
        <f t="shared" ref="O22" si="20">IF(I22=0,0,N22/I22)</f>
        <v>6.0830703012912463E-2</v>
      </c>
      <c r="P22" s="104">
        <f t="shared" si="14"/>
        <v>0.20458090108505284</v>
      </c>
      <c r="Q22" s="105">
        <f t="shared" ref="Q22:Q23" si="21">P22-J22</f>
        <v>6.5275603675363225E-6</v>
      </c>
      <c r="R22" s="105"/>
      <c r="T22" s="4">
        <f>L22/H22-1</f>
        <v>6.083070301291249E-2</v>
      </c>
    </row>
    <row r="23" spans="1:20" s="5" customFormat="1" ht="20.45" customHeight="1" x14ac:dyDescent="0.25">
      <c r="A23" s="25">
        <f t="shared" si="1"/>
        <v>17</v>
      </c>
      <c r="C23" s="12"/>
      <c r="D23" s="107" t="s">
        <v>6</v>
      </c>
      <c r="E23" s="107"/>
      <c r="F23" s="107"/>
      <c r="G23" s="14">
        <f>SUM(G20:G22)</f>
        <v>7810231.2285999991</v>
      </c>
      <c r="H23" s="107"/>
      <c r="I23" s="14">
        <f>SUM(I20:I22)</f>
        <v>8977807.9245999996</v>
      </c>
      <c r="J23" s="108">
        <f>SUM(J20:J22)</f>
        <v>1</v>
      </c>
      <c r="K23" s="109">
        <f>I23+Summary!I9</f>
        <v>9523939.4445999991</v>
      </c>
      <c r="L23" s="107"/>
      <c r="M23" s="14">
        <f>SUM(M20:M22)</f>
        <v>9523630.4121106006</v>
      </c>
      <c r="N23" s="14">
        <f>SUM(N20:N22)</f>
        <v>545822.48751060083</v>
      </c>
      <c r="O23" s="108">
        <f t="shared" ref="O23" si="22">N23/I23</f>
        <v>6.079685510034117E-2</v>
      </c>
      <c r="P23" s="108">
        <f>SUM(P20:P22)</f>
        <v>1</v>
      </c>
      <c r="Q23" s="143">
        <f t="shared" si="21"/>
        <v>0</v>
      </c>
      <c r="R23" s="110">
        <f>M23-K23</f>
        <v>-309.03248939849436</v>
      </c>
      <c r="S23" s="5">
        <f>K23/I23</f>
        <v>1.0608312769204551</v>
      </c>
    </row>
    <row r="24" spans="1:20" x14ac:dyDescent="0.2">
      <c r="A24" s="25">
        <f t="shared" si="1"/>
        <v>18</v>
      </c>
      <c r="D24" s="91" t="s">
        <v>25</v>
      </c>
      <c r="G24" s="103">
        <v>1160861.9900000002</v>
      </c>
      <c r="I24" s="111">
        <f>G24+(E21*H278)</f>
        <v>2328438.6860000002</v>
      </c>
      <c r="K24" s="111"/>
      <c r="M24" s="103">
        <f>I24</f>
        <v>2328438.6860000002</v>
      </c>
      <c r="N24" s="103">
        <f t="shared" si="19"/>
        <v>0</v>
      </c>
      <c r="O24" s="92">
        <v>0</v>
      </c>
    </row>
    <row r="25" spans="1:20" x14ac:dyDescent="0.2">
      <c r="A25" s="25">
        <f t="shared" si="1"/>
        <v>19</v>
      </c>
      <c r="D25" s="91" t="s">
        <v>26</v>
      </c>
      <c r="G25" s="103">
        <v>1165383.3799999999</v>
      </c>
      <c r="I25" s="111">
        <f t="shared" ref="I25:I27" si="23">G25</f>
        <v>1165383.3799999999</v>
      </c>
      <c r="M25" s="103">
        <f t="shared" ref="M25:M27" si="24">I25</f>
        <v>1165383.3799999999</v>
      </c>
      <c r="N25" s="103">
        <f t="shared" si="19"/>
        <v>0</v>
      </c>
      <c r="O25" s="92">
        <v>0</v>
      </c>
    </row>
    <row r="26" spans="1:20" x14ac:dyDescent="0.2">
      <c r="A26" s="25">
        <f t="shared" si="1"/>
        <v>20</v>
      </c>
      <c r="D26" s="91" t="s">
        <v>28</v>
      </c>
      <c r="G26" s="103">
        <v>0</v>
      </c>
      <c r="I26" s="111">
        <f t="shared" si="23"/>
        <v>0</v>
      </c>
      <c r="M26" s="103">
        <f t="shared" si="24"/>
        <v>0</v>
      </c>
      <c r="N26" s="103">
        <f t="shared" si="19"/>
        <v>0</v>
      </c>
      <c r="O26" s="92">
        <v>0</v>
      </c>
    </row>
    <row r="27" spans="1:20" x14ac:dyDescent="0.2">
      <c r="A27" s="25">
        <f t="shared" si="1"/>
        <v>21</v>
      </c>
      <c r="D27" s="91" t="s">
        <v>37</v>
      </c>
      <c r="G27" s="103">
        <v>0</v>
      </c>
      <c r="I27" s="111">
        <f t="shared" si="23"/>
        <v>0</v>
      </c>
      <c r="M27" s="103">
        <f t="shared" si="24"/>
        <v>0</v>
      </c>
      <c r="N27" s="103"/>
      <c r="O27" s="92"/>
    </row>
    <row r="28" spans="1:20" x14ac:dyDescent="0.2">
      <c r="A28" s="25">
        <f t="shared" si="1"/>
        <v>22</v>
      </c>
      <c r="D28" s="113" t="s">
        <v>8</v>
      </c>
      <c r="E28" s="113"/>
      <c r="F28" s="113"/>
      <c r="G28" s="114">
        <f>SUM(G24:G27)</f>
        <v>2326245.37</v>
      </c>
      <c r="H28" s="113"/>
      <c r="I28" s="114">
        <f>SUM(I24:I27)</f>
        <v>3493822.0660000001</v>
      </c>
      <c r="J28" s="113"/>
      <c r="K28" s="113"/>
      <c r="L28" s="113"/>
      <c r="M28" s="114">
        <f>SUM(M24:M27)</f>
        <v>3493822.0660000001</v>
      </c>
      <c r="N28" s="114">
        <f t="shared" si="19"/>
        <v>0</v>
      </c>
      <c r="O28" s="115">
        <f t="shared" ref="O28" si="25">N28-J28</f>
        <v>0</v>
      </c>
    </row>
    <row r="29" spans="1:20" s="5" customFormat="1" ht="26.45" customHeight="1" thickBot="1" x14ac:dyDescent="0.25">
      <c r="A29" s="25">
        <f t="shared" si="1"/>
        <v>23</v>
      </c>
      <c r="C29" s="12"/>
      <c r="D29" s="116" t="s">
        <v>18</v>
      </c>
      <c r="E29" s="116"/>
      <c r="F29" s="116"/>
      <c r="G29" s="117">
        <f>G23+G28</f>
        <v>10136476.5986</v>
      </c>
      <c r="H29" s="116"/>
      <c r="I29" s="118">
        <f>I28+I23</f>
        <v>12471629.990599999</v>
      </c>
      <c r="J29" s="116"/>
      <c r="K29" s="116"/>
      <c r="L29" s="116"/>
      <c r="M29" s="117">
        <f>M28+M23</f>
        <v>13017452.4781106</v>
      </c>
      <c r="N29" s="117">
        <f t="shared" si="19"/>
        <v>545822.48751060106</v>
      </c>
      <c r="O29" s="119">
        <f>N29/I29</f>
        <v>4.3765128369105989E-2</v>
      </c>
      <c r="P29" s="91"/>
      <c r="Q29" s="91"/>
      <c r="R29" s="91"/>
    </row>
    <row r="30" spans="1:20" ht="13.5" thickTop="1" x14ac:dyDescent="0.2">
      <c r="A30" s="25">
        <f t="shared" si="1"/>
        <v>24</v>
      </c>
      <c r="D30" s="91" t="s">
        <v>17</v>
      </c>
      <c r="E30" s="92">
        <f>(E21+E22)/E20</f>
        <v>110681.84174778761</v>
      </c>
      <c r="G30" s="120">
        <f>G29/E20</f>
        <v>11212.916591371682</v>
      </c>
      <c r="I30" s="120">
        <f>I29/E20</f>
        <v>13796.050874557521</v>
      </c>
      <c r="M30" s="120">
        <f>M29/E20</f>
        <v>14399.836812069248</v>
      </c>
      <c r="N30" s="120">
        <f t="shared" si="19"/>
        <v>603.78593751172775</v>
      </c>
      <c r="O30" s="104">
        <f>N30/I30</f>
        <v>4.3765128369106052E-2</v>
      </c>
    </row>
    <row r="31" spans="1:20" ht="13.5" thickBot="1" x14ac:dyDescent="0.25">
      <c r="A31" s="25">
        <f t="shared" si="1"/>
        <v>25</v>
      </c>
    </row>
    <row r="32" spans="1:20" x14ac:dyDescent="0.2">
      <c r="A32" s="25">
        <f t="shared" si="1"/>
        <v>26</v>
      </c>
      <c r="B32" s="19" t="s">
        <v>72</v>
      </c>
      <c r="C32" s="20">
        <v>8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</row>
    <row r="33" spans="1:23" x14ac:dyDescent="0.2">
      <c r="A33" s="25">
        <f t="shared" si="1"/>
        <v>27</v>
      </c>
      <c r="C33" s="2"/>
      <c r="D33" s="91" t="s">
        <v>16</v>
      </c>
      <c r="E33" s="102">
        <f>36611</f>
        <v>36611</v>
      </c>
      <c r="F33" s="92">
        <v>12.37</v>
      </c>
      <c r="G33" s="103">
        <f>F33*E33</f>
        <v>452878.06999999995</v>
      </c>
      <c r="H33" s="92">
        <v>12.37</v>
      </c>
      <c r="I33" s="103">
        <f>H33*E33</f>
        <v>452878.06999999995</v>
      </c>
      <c r="J33" s="104">
        <f>I33/I35</f>
        <v>5.1003629931880588E-2</v>
      </c>
      <c r="K33" s="104"/>
      <c r="L33" s="92">
        <f>ROUND(H33*S35,2)</f>
        <v>13.12</v>
      </c>
      <c r="M33" s="103">
        <f>L33*E33</f>
        <v>480336.31999999995</v>
      </c>
      <c r="N33" s="103">
        <f>M33-I33</f>
        <v>27458.25</v>
      </c>
      <c r="O33" s="104">
        <f>IF(I33=0,0,N33/I33)</f>
        <v>6.0630557801131781E-2</v>
      </c>
      <c r="P33" s="104">
        <f>M33/M$35</f>
        <v>5.0996485157441554E-2</v>
      </c>
      <c r="Q33" s="105">
        <f>P33-J33</f>
        <v>-7.1447744390343293E-6</v>
      </c>
      <c r="R33" s="105"/>
    </row>
    <row r="34" spans="1:23" x14ac:dyDescent="0.2">
      <c r="A34" s="25">
        <f t="shared" si="1"/>
        <v>28</v>
      </c>
      <c r="D34" s="91" t="s">
        <v>45</v>
      </c>
      <c r="E34" s="102">
        <f>86816939</f>
        <v>86816939</v>
      </c>
      <c r="F34" s="93">
        <v>8.5360000000000005E-2</v>
      </c>
      <c r="G34" s="103">
        <f t="shared" ref="G34" si="26">F34*E34</f>
        <v>7410693.91304</v>
      </c>
      <c r="H34" s="93">
        <v>9.7059999999999994E-2</v>
      </c>
      <c r="I34" s="103">
        <f t="shared" ref="I34" si="27">H34*E34</f>
        <v>8426452.0993399993</v>
      </c>
      <c r="J34" s="104">
        <f>I34/I35</f>
        <v>0.94899637006811932</v>
      </c>
      <c r="K34" s="104"/>
      <c r="L34" s="106">
        <f>ROUND(H34*S35,5)</f>
        <v>0.10296</v>
      </c>
      <c r="M34" s="103">
        <f t="shared" ref="M34" si="28">L34*E34</f>
        <v>8938672.0394400004</v>
      </c>
      <c r="N34" s="103">
        <f t="shared" ref="N34" si="29">M34-I34</f>
        <v>512219.94010000117</v>
      </c>
      <c r="O34" s="104">
        <f t="shared" ref="O34" si="30">IF(I34=0,0,N34/I34)</f>
        <v>6.0787141974036819E-2</v>
      </c>
      <c r="P34" s="104">
        <f>M34/M$35</f>
        <v>0.9490035148425584</v>
      </c>
      <c r="Q34" s="105">
        <f t="shared" ref="Q34" si="31">P34-J34</f>
        <v>7.1447744390829016E-6</v>
      </c>
      <c r="R34" s="105"/>
      <c r="T34" s="4">
        <f>L34/H34-1</f>
        <v>6.0787141974036674E-2</v>
      </c>
    </row>
    <row r="35" spans="1:23" s="5" customFormat="1" ht="20.45" customHeight="1" x14ac:dyDescent="0.2">
      <c r="A35" s="25">
        <f t="shared" si="1"/>
        <v>29</v>
      </c>
      <c r="C35" s="12"/>
      <c r="D35" s="107" t="s">
        <v>6</v>
      </c>
      <c r="E35" s="107"/>
      <c r="F35" s="107"/>
      <c r="G35" s="14">
        <f>SUM(G33:G34)</f>
        <v>7863571.9830400003</v>
      </c>
      <c r="H35" s="107"/>
      <c r="I35" s="14">
        <f>SUM(I33:I34)</f>
        <v>8879330.1693399996</v>
      </c>
      <c r="J35" s="108">
        <f>SUM(J33:J34)</f>
        <v>0.99999999999999989</v>
      </c>
      <c r="K35" s="109">
        <f>I35+Summary!I10</f>
        <v>9419471.1693399996</v>
      </c>
      <c r="L35" s="107"/>
      <c r="M35" s="14">
        <f>SUM(M33:M34)</f>
        <v>9419008.3594400007</v>
      </c>
      <c r="N35" s="14">
        <f>SUM(N33:N34)</f>
        <v>539678.19010000117</v>
      </c>
      <c r="O35" s="108">
        <f t="shared" ref="O35" si="32">N35/I35</f>
        <v>6.0779155612828782E-2</v>
      </c>
      <c r="P35" s="108">
        <f>SUM(P33:P34)</f>
        <v>1</v>
      </c>
      <c r="Q35" s="143">
        <f t="shared" ref="Q35" si="33">P35-J35</f>
        <v>0</v>
      </c>
      <c r="R35" s="110">
        <f>M35-K35</f>
        <v>-462.80989999882877</v>
      </c>
      <c r="S35" s="5">
        <f>K35/I35</f>
        <v>1.0608312777764575</v>
      </c>
      <c r="W35" s="2"/>
    </row>
    <row r="36" spans="1:23" x14ac:dyDescent="0.2">
      <c r="A36" s="25">
        <f t="shared" si="1"/>
        <v>30</v>
      </c>
      <c r="D36" s="91" t="s">
        <v>25</v>
      </c>
      <c r="G36" s="103">
        <f>1043793.98</f>
        <v>1043793.98</v>
      </c>
      <c r="I36" s="111">
        <f>G36-(E34*$H$278)</f>
        <v>28035.793699999922</v>
      </c>
      <c r="K36" s="111"/>
      <c r="M36" s="103">
        <f>I36</f>
        <v>28035.793699999922</v>
      </c>
      <c r="N36" s="103">
        <f t="shared" ref="N36:N42" si="34">M36-I36</f>
        <v>0</v>
      </c>
      <c r="O36" s="92">
        <v>0</v>
      </c>
    </row>
    <row r="37" spans="1:23" x14ac:dyDescent="0.2">
      <c r="A37" s="25">
        <f t="shared" si="1"/>
        <v>31</v>
      </c>
      <c r="D37" s="91" t="s">
        <v>26</v>
      </c>
      <c r="G37" s="103">
        <f>1184811.03</f>
        <v>1184811.03</v>
      </c>
      <c r="I37" s="111">
        <f t="shared" ref="I37:I39" si="35">G37</f>
        <v>1184811.03</v>
      </c>
      <c r="M37" s="103">
        <f t="shared" ref="M37:M39" si="36">I37</f>
        <v>1184811.03</v>
      </c>
      <c r="N37" s="103">
        <f t="shared" si="34"/>
        <v>0</v>
      </c>
      <c r="O37" s="92">
        <v>0</v>
      </c>
    </row>
    <row r="38" spans="1:23" x14ac:dyDescent="0.2">
      <c r="A38" s="25">
        <f t="shared" si="1"/>
        <v>32</v>
      </c>
      <c r="D38" s="91" t="s">
        <v>28</v>
      </c>
      <c r="G38" s="103">
        <v>0</v>
      </c>
      <c r="I38" s="111">
        <f t="shared" si="35"/>
        <v>0</v>
      </c>
      <c r="M38" s="103">
        <f t="shared" si="36"/>
        <v>0</v>
      </c>
      <c r="N38" s="103">
        <f t="shared" si="34"/>
        <v>0</v>
      </c>
      <c r="O38" s="92">
        <v>0</v>
      </c>
    </row>
    <row r="39" spans="1:23" x14ac:dyDescent="0.2">
      <c r="A39" s="25">
        <f t="shared" si="1"/>
        <v>33</v>
      </c>
      <c r="D39" s="91" t="s">
        <v>37</v>
      </c>
      <c r="G39" s="103">
        <v>0</v>
      </c>
      <c r="I39" s="111">
        <f t="shared" si="35"/>
        <v>0</v>
      </c>
      <c r="M39" s="103">
        <f t="shared" si="36"/>
        <v>0</v>
      </c>
      <c r="N39" s="103"/>
      <c r="O39" s="92"/>
    </row>
    <row r="40" spans="1:23" x14ac:dyDescent="0.2">
      <c r="A40" s="25">
        <f t="shared" si="1"/>
        <v>34</v>
      </c>
      <c r="D40" s="113" t="s">
        <v>8</v>
      </c>
      <c r="E40" s="113"/>
      <c r="F40" s="113"/>
      <c r="G40" s="114">
        <f>SUM(G36:G39)</f>
        <v>2228605.0099999998</v>
      </c>
      <c r="H40" s="113"/>
      <c r="I40" s="114">
        <f>SUM(I36:I39)</f>
        <v>1212846.8237000001</v>
      </c>
      <c r="J40" s="113"/>
      <c r="K40" s="113"/>
      <c r="L40" s="113"/>
      <c r="M40" s="114">
        <f>SUM(M36:M39)</f>
        <v>1212846.8237000001</v>
      </c>
      <c r="N40" s="114">
        <f t="shared" si="34"/>
        <v>0</v>
      </c>
      <c r="O40" s="115">
        <f t="shared" ref="O40" si="37">N40-J40</f>
        <v>0</v>
      </c>
    </row>
    <row r="41" spans="1:23" s="5" customFormat="1" ht="26.45" customHeight="1" thickBot="1" x14ac:dyDescent="0.25">
      <c r="A41" s="25">
        <f t="shared" si="1"/>
        <v>35</v>
      </c>
      <c r="C41" s="12"/>
      <c r="D41" s="116" t="s">
        <v>18</v>
      </c>
      <c r="E41" s="116"/>
      <c r="F41" s="116"/>
      <c r="G41" s="117">
        <f>G35+G40</f>
        <v>10092176.993039999</v>
      </c>
      <c r="H41" s="116"/>
      <c r="I41" s="118">
        <f>I40+I35</f>
        <v>10092176.993039999</v>
      </c>
      <c r="J41" s="116"/>
      <c r="K41" s="116"/>
      <c r="L41" s="116"/>
      <c r="M41" s="117">
        <f>M40+M35</f>
        <v>10631855.18314</v>
      </c>
      <c r="N41" s="117">
        <f t="shared" si="34"/>
        <v>539678.19010000117</v>
      </c>
      <c r="O41" s="119">
        <f>N41/I41</f>
        <v>5.3474903429873114E-2</v>
      </c>
      <c r="P41" s="91"/>
      <c r="Q41" s="91"/>
      <c r="R41" s="91"/>
    </row>
    <row r="42" spans="1:23" ht="13.5" thickTop="1" x14ac:dyDescent="0.2">
      <c r="A42" s="25">
        <f t="shared" si="1"/>
        <v>36</v>
      </c>
      <c r="D42" s="91" t="s">
        <v>17</v>
      </c>
      <c r="E42" s="92">
        <f>E34/E33</f>
        <v>2371.334817404605</v>
      </c>
      <c r="G42" s="120">
        <f>G41/E33</f>
        <v>275.65969225205538</v>
      </c>
      <c r="I42" s="120">
        <f>I41/E33</f>
        <v>275.65969225205538</v>
      </c>
      <c r="M42" s="120">
        <f>M41/E33</f>
        <v>290.40056767474255</v>
      </c>
      <c r="N42" s="120">
        <f t="shared" si="34"/>
        <v>14.740875422687168</v>
      </c>
      <c r="O42" s="104">
        <f>N42/I42</f>
        <v>5.3474903429872989E-2</v>
      </c>
    </row>
    <row r="43" spans="1:23" ht="13.5" thickBot="1" x14ac:dyDescent="0.25">
      <c r="A43" s="25">
        <f t="shared" si="1"/>
        <v>37</v>
      </c>
    </row>
    <row r="44" spans="1:23" x14ac:dyDescent="0.2">
      <c r="A44" s="25">
        <f t="shared" si="1"/>
        <v>38</v>
      </c>
      <c r="B44" s="19" t="s">
        <v>73</v>
      </c>
      <c r="C44" s="20">
        <v>9</v>
      </c>
      <c r="D44" s="101" t="s">
        <v>84</v>
      </c>
      <c r="E44" s="142">
        <f>1911</f>
        <v>1911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</row>
    <row r="45" spans="1:23" x14ac:dyDescent="0.2">
      <c r="A45" s="25">
        <f t="shared" si="1"/>
        <v>39</v>
      </c>
      <c r="C45" s="2"/>
      <c r="D45" s="91" t="s">
        <v>46</v>
      </c>
      <c r="E45" s="102">
        <f>166775.351</f>
        <v>166775.351</v>
      </c>
      <c r="F45" s="92">
        <v>6.97</v>
      </c>
      <c r="G45" s="103">
        <f>F45*E45</f>
        <v>1162424.1964699998</v>
      </c>
      <c r="H45" s="92">
        <v>6.97</v>
      </c>
      <c r="I45" s="103">
        <f>H45*E45</f>
        <v>1162424.1964699998</v>
      </c>
      <c r="J45" s="104">
        <f>I45/I47</f>
        <v>0.216013933886367</v>
      </c>
      <c r="K45" s="104"/>
      <c r="L45" s="92">
        <f>ROUND(H45*S47,2)</f>
        <v>7.39</v>
      </c>
      <c r="M45" s="103">
        <f>L45*E45</f>
        <v>1232469.8438899999</v>
      </c>
      <c r="N45" s="103">
        <f>M45-I45</f>
        <v>70045.647420000052</v>
      </c>
      <c r="O45" s="104">
        <f>IF(I45=0,0,N45/I45)</f>
        <v>6.0258249641319997E-2</v>
      </c>
      <c r="P45" s="104">
        <f>M45/M$47</f>
        <v>0.21593085155896291</v>
      </c>
      <c r="Q45" s="105">
        <f>P45-J45</f>
        <v>-8.3082327404088163E-5</v>
      </c>
      <c r="R45" s="105"/>
      <c r="T45" s="4"/>
    </row>
    <row r="46" spans="1:23" x14ac:dyDescent="0.2">
      <c r="A46" s="25">
        <f t="shared" si="1"/>
        <v>40</v>
      </c>
      <c r="D46" s="91" t="s">
        <v>45</v>
      </c>
      <c r="E46" s="102">
        <f>55863641</f>
        <v>55863641</v>
      </c>
      <c r="F46" s="93">
        <v>6.3820000000000002E-2</v>
      </c>
      <c r="G46" s="103">
        <f t="shared" ref="G46" si="38">F46*E46</f>
        <v>3565217.56862</v>
      </c>
      <c r="H46" s="93">
        <v>7.5520000000000004E-2</v>
      </c>
      <c r="I46" s="103">
        <f t="shared" ref="I46" si="39">H46*E46</f>
        <v>4218822.1683200002</v>
      </c>
      <c r="J46" s="104">
        <f>I46/I47</f>
        <v>0.78398606611363297</v>
      </c>
      <c r="K46" s="104"/>
      <c r="L46" s="145">
        <f>ROUND(H46*S47,5)</f>
        <v>8.0110000000000001E-2</v>
      </c>
      <c r="M46" s="103">
        <f t="shared" ref="M46" si="40">L46*E46</f>
        <v>4475236.28051</v>
      </c>
      <c r="N46" s="103">
        <f t="shared" ref="N46" si="41">M46-I46</f>
        <v>256414.11218999978</v>
      </c>
      <c r="O46" s="104">
        <f t="shared" ref="O46" si="42">IF(I46=0,0,N46/I46)</f>
        <v>6.0778601694915203E-2</v>
      </c>
      <c r="P46" s="104">
        <f>M46/M$47</f>
        <v>0.78406914844103703</v>
      </c>
      <c r="Q46" s="105">
        <f t="shared" ref="Q46" si="43">P46-J46</f>
        <v>8.3082327404060408E-5</v>
      </c>
      <c r="R46" s="105"/>
      <c r="T46" s="4">
        <f>L46/H46-1</f>
        <v>6.0778601694915224E-2</v>
      </c>
    </row>
    <row r="47" spans="1:23" s="5" customFormat="1" ht="20.45" customHeight="1" x14ac:dyDescent="0.25">
      <c r="A47" s="25">
        <f t="shared" si="1"/>
        <v>41</v>
      </c>
      <c r="C47" s="12"/>
      <c r="D47" s="107" t="s">
        <v>6</v>
      </c>
      <c r="E47" s="107"/>
      <c r="F47" s="107"/>
      <c r="G47" s="14">
        <f>SUM(G45:G46)</f>
        <v>4727641.7650899999</v>
      </c>
      <c r="H47" s="107"/>
      <c r="I47" s="14">
        <f>SUM(I45:I46)</f>
        <v>5381246.36479</v>
      </c>
      <c r="J47" s="108">
        <f>SUM(J45:J46)</f>
        <v>1</v>
      </c>
      <c r="K47" s="109">
        <f>I47+Summary!I11</f>
        <v>5708594.4547899999</v>
      </c>
      <c r="L47" s="107"/>
      <c r="M47" s="14">
        <f>SUM(M45:M46)</f>
        <v>5707706.1244000001</v>
      </c>
      <c r="N47" s="14">
        <f>SUM(N45:N46)</f>
        <v>326459.75960999983</v>
      </c>
      <c r="O47" s="108">
        <f t="shared" ref="O47" si="44">N47/I47</f>
        <v>6.0666198400812249E-2</v>
      </c>
      <c r="P47" s="108">
        <f>SUM(P45:P46)</f>
        <v>1</v>
      </c>
      <c r="Q47" s="143">
        <f t="shared" ref="Q47" si="45">P47-J47</f>
        <v>0</v>
      </c>
      <c r="R47" s="110">
        <f>M47-K47</f>
        <v>-888.33038999978453</v>
      </c>
      <c r="S47" s="5">
        <f>K47/I47</f>
        <v>1.0608312773304469</v>
      </c>
    </row>
    <row r="48" spans="1:23" x14ac:dyDescent="0.2">
      <c r="A48" s="25">
        <f t="shared" si="1"/>
        <v>42</v>
      </c>
      <c r="D48" s="91" t="s">
        <v>25</v>
      </c>
      <c r="G48" s="103">
        <f>655234.39</f>
        <v>655234.39</v>
      </c>
      <c r="I48" s="111">
        <f>G48-(E46*$H$278)</f>
        <v>1629.7902999999933</v>
      </c>
      <c r="K48" s="111"/>
      <c r="M48" s="103">
        <f>I48</f>
        <v>1629.7902999999933</v>
      </c>
      <c r="N48" s="103">
        <f t="shared" ref="N48:N54" si="46">M48-I48</f>
        <v>0</v>
      </c>
      <c r="O48" s="92">
        <v>0</v>
      </c>
    </row>
    <row r="49" spans="1:20" x14ac:dyDescent="0.2">
      <c r="A49" s="25">
        <f t="shared" si="1"/>
        <v>43</v>
      </c>
      <c r="D49" s="91" t="s">
        <v>26</v>
      </c>
      <c r="G49" s="103">
        <f>698466.87</f>
        <v>698466.87</v>
      </c>
      <c r="I49" s="111">
        <f t="shared" ref="I49:I51" si="47">G49</f>
        <v>698466.87</v>
      </c>
      <c r="M49" s="103">
        <f t="shared" ref="M49:M51" si="48">I49</f>
        <v>698466.87</v>
      </c>
      <c r="N49" s="103">
        <f t="shared" si="46"/>
        <v>0</v>
      </c>
      <c r="O49" s="92">
        <v>0</v>
      </c>
    </row>
    <row r="50" spans="1:20" x14ac:dyDescent="0.2">
      <c r="A50" s="25">
        <f t="shared" si="1"/>
        <v>44</v>
      </c>
      <c r="D50" s="91" t="s">
        <v>28</v>
      </c>
      <c r="G50" s="103">
        <v>0</v>
      </c>
      <c r="I50" s="111">
        <f t="shared" si="47"/>
        <v>0</v>
      </c>
      <c r="M50" s="103">
        <f t="shared" si="48"/>
        <v>0</v>
      </c>
      <c r="N50" s="103">
        <f t="shared" si="46"/>
        <v>0</v>
      </c>
      <c r="O50" s="92">
        <v>0</v>
      </c>
    </row>
    <row r="51" spans="1:20" x14ac:dyDescent="0.2">
      <c r="A51" s="25">
        <f t="shared" si="1"/>
        <v>45</v>
      </c>
      <c r="D51" s="91" t="s">
        <v>37</v>
      </c>
      <c r="G51" s="103">
        <v>0</v>
      </c>
      <c r="I51" s="111">
        <f t="shared" si="47"/>
        <v>0</v>
      </c>
      <c r="M51" s="103">
        <f t="shared" si="48"/>
        <v>0</v>
      </c>
      <c r="N51" s="103"/>
      <c r="O51" s="92"/>
    </row>
    <row r="52" spans="1:20" x14ac:dyDescent="0.2">
      <c r="A52" s="25">
        <f t="shared" si="1"/>
        <v>46</v>
      </c>
      <c r="D52" s="113" t="s">
        <v>8</v>
      </c>
      <c r="E52" s="113"/>
      <c r="F52" s="113"/>
      <c r="G52" s="114">
        <f>SUM(G48:G51)</f>
        <v>1353701.26</v>
      </c>
      <c r="H52" s="113"/>
      <c r="I52" s="114">
        <f>SUM(I48:I51)</f>
        <v>700096.66029999999</v>
      </c>
      <c r="J52" s="113"/>
      <c r="K52" s="113"/>
      <c r="L52" s="113"/>
      <c r="M52" s="114">
        <f>SUM(M48:M51)</f>
        <v>700096.66029999999</v>
      </c>
      <c r="N52" s="114">
        <f t="shared" si="46"/>
        <v>0</v>
      </c>
      <c r="O52" s="115">
        <f t="shared" ref="O52" si="49">N52-J52</f>
        <v>0</v>
      </c>
    </row>
    <row r="53" spans="1:20" s="5" customFormat="1" ht="26.45" customHeight="1" thickBot="1" x14ac:dyDescent="0.25">
      <c r="A53" s="25">
        <f t="shared" si="1"/>
        <v>47</v>
      </c>
      <c r="C53" s="12"/>
      <c r="D53" s="116" t="s">
        <v>18</v>
      </c>
      <c r="E53" s="116"/>
      <c r="F53" s="116"/>
      <c r="G53" s="117">
        <f>G47+G52</f>
        <v>6081343.0250899997</v>
      </c>
      <c r="H53" s="116"/>
      <c r="I53" s="118">
        <f>I52+I47</f>
        <v>6081343.0250899997</v>
      </c>
      <c r="J53" s="116"/>
      <c r="K53" s="116"/>
      <c r="L53" s="116"/>
      <c r="M53" s="117">
        <f>M52+M47</f>
        <v>6407802.7846999997</v>
      </c>
      <c r="N53" s="117">
        <f t="shared" si="46"/>
        <v>326459.75961000007</v>
      </c>
      <c r="O53" s="119">
        <f>N53/I53</f>
        <v>5.3682181429844385E-2</v>
      </c>
      <c r="P53" s="91"/>
      <c r="Q53" s="91"/>
      <c r="R53" s="91"/>
    </row>
    <row r="54" spans="1:20" ht="13.5" thickTop="1" x14ac:dyDescent="0.2">
      <c r="A54" s="25">
        <f t="shared" si="1"/>
        <v>48</v>
      </c>
      <c r="D54" s="91" t="s">
        <v>17</v>
      </c>
      <c r="E54" s="92">
        <f>E46/E44</f>
        <v>29232.674515960229</v>
      </c>
      <c r="G54" s="120">
        <f>G53/E44</f>
        <v>3182.283110983778</v>
      </c>
      <c r="I54" s="120">
        <f>I53/E44</f>
        <v>3182.283110983778</v>
      </c>
      <c r="M54" s="120">
        <f>M53/E44</f>
        <v>3353.1150103087389</v>
      </c>
      <c r="N54" s="120">
        <f t="shared" si="46"/>
        <v>170.83189932496089</v>
      </c>
      <c r="O54" s="104">
        <f>N54/I54</f>
        <v>5.3682181429844419E-2</v>
      </c>
    </row>
    <row r="55" spans="1:20" ht="13.5" thickBot="1" x14ac:dyDescent="0.25">
      <c r="A55" s="25">
        <f t="shared" si="1"/>
        <v>49</v>
      </c>
    </row>
    <row r="56" spans="1:20" x14ac:dyDescent="0.2">
      <c r="A56" s="25">
        <f t="shared" si="1"/>
        <v>50</v>
      </c>
      <c r="B56" s="19" t="s">
        <v>74</v>
      </c>
      <c r="C56" s="20">
        <v>11</v>
      </c>
      <c r="D56" s="101" t="s">
        <v>84</v>
      </c>
      <c r="E56" s="101">
        <v>259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</row>
    <row r="57" spans="1:20" x14ac:dyDescent="0.2">
      <c r="A57" s="25">
        <f t="shared" si="1"/>
        <v>51</v>
      </c>
      <c r="C57" s="2"/>
      <c r="D57" s="91" t="s">
        <v>46</v>
      </c>
      <c r="E57" s="102">
        <v>205349.84</v>
      </c>
      <c r="F57" s="91">
        <v>6.95</v>
      </c>
      <c r="G57" s="103">
        <f>F57*E57</f>
        <v>1427181.388</v>
      </c>
      <c r="H57" s="91">
        <v>6.95</v>
      </c>
      <c r="I57" s="103">
        <f>H57*E57</f>
        <v>1427181.388</v>
      </c>
      <c r="J57" s="104">
        <f>I57/I59</f>
        <v>0.18864968461403925</v>
      </c>
      <c r="K57" s="104"/>
      <c r="L57" s="92">
        <f>ROUND(H57*S59,2)</f>
        <v>7.37</v>
      </c>
      <c r="M57" s="103">
        <f>L57*E57</f>
        <v>1513428.3208000001</v>
      </c>
      <c r="N57" s="103">
        <f>M57-I57</f>
        <v>86246.932800000068</v>
      </c>
      <c r="O57" s="104">
        <f>IF(I57=0,0,N57/I57)</f>
        <v>6.0431654676259036E-2</v>
      </c>
      <c r="P57" s="104">
        <f>M57/M$59</f>
        <v>0.18858842870355999</v>
      </c>
      <c r="Q57" s="105">
        <f>P57-J57</f>
        <v>-6.1255910479257603E-5</v>
      </c>
      <c r="R57" s="105"/>
      <c r="T57" s="4">
        <f>L57/H57-1</f>
        <v>6.0431654676258884E-2</v>
      </c>
    </row>
    <row r="58" spans="1:20" x14ac:dyDescent="0.2">
      <c r="A58" s="25">
        <f t="shared" si="1"/>
        <v>52</v>
      </c>
      <c r="D58" s="91" t="s">
        <v>45</v>
      </c>
      <c r="E58" s="102">
        <v>85871086</v>
      </c>
      <c r="F58" s="93">
        <v>5.978E-2</v>
      </c>
      <c r="G58" s="103">
        <f t="shared" ref="G58" si="50">F58*E58</f>
        <v>5133373.5210800003</v>
      </c>
      <c r="H58" s="93">
        <v>7.1480000000000002E-2</v>
      </c>
      <c r="I58" s="103">
        <f t="shared" ref="I58" si="51">H58*E58</f>
        <v>6138065.2272800002</v>
      </c>
      <c r="J58" s="104">
        <f>I58/I59</f>
        <v>0.8113503153859607</v>
      </c>
      <c r="K58" s="104"/>
      <c r="L58" s="106">
        <f>ROUND(H58*S59,5)</f>
        <v>7.5829999999999995E-2</v>
      </c>
      <c r="M58" s="103">
        <f t="shared" ref="M58" si="52">L58*E58</f>
        <v>6511604.4513799995</v>
      </c>
      <c r="N58" s="103">
        <f t="shared" ref="N58" si="53">M58-I58</f>
        <v>373539.22409999929</v>
      </c>
      <c r="O58" s="104">
        <f t="shared" ref="O58" si="54">IF(I58=0,0,N58/I58)</f>
        <v>6.0856183547845437E-2</v>
      </c>
      <c r="P58" s="104">
        <f>M58/M$59</f>
        <v>0.81141157129644004</v>
      </c>
      <c r="Q58" s="105">
        <f t="shared" ref="Q58" si="55">P58-J58</f>
        <v>6.1255910479340869E-5</v>
      </c>
      <c r="R58" s="105"/>
      <c r="T58" s="4">
        <f>L58/H58-1</f>
        <v>6.0856183547845388E-2</v>
      </c>
    </row>
    <row r="59" spans="1:20" s="5" customFormat="1" ht="20.45" customHeight="1" x14ac:dyDescent="0.25">
      <c r="A59" s="25">
        <f t="shared" si="1"/>
        <v>53</v>
      </c>
      <c r="C59" s="12"/>
      <c r="D59" s="107" t="s">
        <v>6</v>
      </c>
      <c r="E59" s="107"/>
      <c r="F59" s="107"/>
      <c r="G59" s="14">
        <f>SUM(G57:G58)</f>
        <v>6560554.9090800006</v>
      </c>
      <c r="H59" s="107"/>
      <c r="I59" s="14">
        <f>SUM(I57:I58)</f>
        <v>7565246.6152800005</v>
      </c>
      <c r="J59" s="108">
        <f>SUM(J57:J58)</f>
        <v>1</v>
      </c>
      <c r="K59" s="109">
        <f>I59+Summary!I12</f>
        <v>8025450.2352800006</v>
      </c>
      <c r="L59" s="107"/>
      <c r="M59" s="14">
        <f>SUM(M57:M58)</f>
        <v>8025032.7721799994</v>
      </c>
      <c r="N59" s="14">
        <f>SUM(N57:N58)</f>
        <v>459786.15689999936</v>
      </c>
      <c r="O59" s="108">
        <f t="shared" ref="O59" si="56">N59/I59</f>
        <v>6.0776096310111105E-2</v>
      </c>
      <c r="P59" s="108">
        <f>SUM(P57:P58)</f>
        <v>1</v>
      </c>
      <c r="Q59" s="143">
        <f t="shared" ref="Q59" si="57">P59-J59</f>
        <v>0</v>
      </c>
      <c r="R59" s="110">
        <f>M59-K59</f>
        <v>-417.46310000121593</v>
      </c>
      <c r="S59" s="5">
        <f>K59/I59</f>
        <v>1.0608312780009708</v>
      </c>
    </row>
    <row r="60" spans="1:20" x14ac:dyDescent="0.2">
      <c r="A60" s="25">
        <f t="shared" ref="A60:A115" si="58">A59+1</f>
        <v>54</v>
      </c>
      <c r="D60" s="91" t="s">
        <v>25</v>
      </c>
      <c r="G60" s="103">
        <v>1000868.36</v>
      </c>
      <c r="I60" s="111">
        <f>G60-(E58*$H$278)</f>
        <v>-3823.3462000000291</v>
      </c>
      <c r="K60" s="111"/>
      <c r="M60" s="103">
        <f>I60</f>
        <v>-3823.3462000000291</v>
      </c>
      <c r="N60" s="103">
        <f t="shared" ref="N60:N62" si="59">M60-I60</f>
        <v>0</v>
      </c>
      <c r="O60" s="92">
        <v>0</v>
      </c>
    </row>
    <row r="61" spans="1:20" x14ac:dyDescent="0.2">
      <c r="A61" s="25">
        <f t="shared" si="58"/>
        <v>55</v>
      </c>
      <c r="D61" s="91" t="s">
        <v>26</v>
      </c>
      <c r="E61" s="102"/>
      <c r="F61" s="146"/>
      <c r="G61" s="103">
        <v>891074.05</v>
      </c>
      <c r="I61" s="111">
        <f t="shared" ref="I61:I63" si="60">G61</f>
        <v>891074.05</v>
      </c>
      <c r="M61" s="103">
        <f t="shared" ref="M61:M63" si="61">I61</f>
        <v>891074.05</v>
      </c>
      <c r="N61" s="103">
        <f t="shared" si="59"/>
        <v>0</v>
      </c>
      <c r="O61" s="92">
        <v>0</v>
      </c>
    </row>
    <row r="62" spans="1:20" x14ac:dyDescent="0.2">
      <c r="A62" s="25">
        <f t="shared" si="58"/>
        <v>56</v>
      </c>
      <c r="D62" s="91" t="s">
        <v>28</v>
      </c>
      <c r="G62" s="103">
        <v>0</v>
      </c>
      <c r="I62" s="111">
        <f t="shared" si="60"/>
        <v>0</v>
      </c>
      <c r="M62" s="103">
        <f t="shared" si="61"/>
        <v>0</v>
      </c>
      <c r="N62" s="103">
        <f t="shared" si="59"/>
        <v>0</v>
      </c>
      <c r="O62" s="92">
        <v>0</v>
      </c>
    </row>
    <row r="63" spans="1:20" x14ac:dyDescent="0.2">
      <c r="A63" s="25">
        <f t="shared" si="58"/>
        <v>57</v>
      </c>
      <c r="D63" s="91" t="s">
        <v>37</v>
      </c>
      <c r="G63" s="103">
        <v>0</v>
      </c>
      <c r="I63" s="111">
        <f t="shared" si="60"/>
        <v>0</v>
      </c>
      <c r="M63" s="103">
        <f t="shared" si="61"/>
        <v>0</v>
      </c>
      <c r="N63" s="103"/>
      <c r="O63" s="92"/>
    </row>
    <row r="64" spans="1:20" x14ac:dyDescent="0.2">
      <c r="A64" s="25">
        <f t="shared" si="58"/>
        <v>58</v>
      </c>
      <c r="D64" s="113" t="s">
        <v>8</v>
      </c>
      <c r="E64" s="113"/>
      <c r="F64" s="113"/>
      <c r="G64" s="114">
        <f>SUM(G60:G63)</f>
        <v>1891942.4100000001</v>
      </c>
      <c r="H64" s="113"/>
      <c r="I64" s="114">
        <f>SUM(I60:I63)</f>
        <v>887250.70380000002</v>
      </c>
      <c r="J64" s="113"/>
      <c r="K64" s="113"/>
      <c r="L64" s="113"/>
      <c r="M64" s="114">
        <f>SUM(M60:M63)</f>
        <v>887250.70380000002</v>
      </c>
      <c r="N64" s="114">
        <f t="shared" ref="N64:N66" si="62">M64-I64</f>
        <v>0</v>
      </c>
      <c r="O64" s="115">
        <f t="shared" ref="O64" si="63">N64-J64</f>
        <v>0</v>
      </c>
    </row>
    <row r="65" spans="1:20" s="5" customFormat="1" ht="26.45" customHeight="1" thickBot="1" x14ac:dyDescent="0.25">
      <c r="A65" s="25">
        <f t="shared" si="58"/>
        <v>59</v>
      </c>
      <c r="C65" s="12"/>
      <c r="D65" s="116" t="s">
        <v>18</v>
      </c>
      <c r="E65" s="116"/>
      <c r="F65" s="116"/>
      <c r="G65" s="117">
        <f>G59+G64</f>
        <v>8452497.3190800007</v>
      </c>
      <c r="H65" s="116"/>
      <c r="I65" s="118">
        <f>I64+I59</f>
        <v>8452497.3190800007</v>
      </c>
      <c r="J65" s="116"/>
      <c r="K65" s="116"/>
      <c r="L65" s="116"/>
      <c r="M65" s="117">
        <f>M64+M59</f>
        <v>8912283.4759799987</v>
      </c>
      <c r="N65" s="117">
        <f t="shared" si="62"/>
        <v>459786.15689999796</v>
      </c>
      <c r="O65" s="119">
        <f>N65/I65</f>
        <v>5.4396486569964708E-2</v>
      </c>
      <c r="P65" s="91"/>
      <c r="Q65" s="91"/>
      <c r="R65" s="91"/>
    </row>
    <row r="66" spans="1:20" ht="13.5" thickTop="1" x14ac:dyDescent="0.2">
      <c r="A66" s="25">
        <f t="shared" si="58"/>
        <v>60</v>
      </c>
      <c r="D66" s="91" t="s">
        <v>17</v>
      </c>
      <c r="E66" s="92">
        <f>E58/E56</f>
        <v>331548.59459459462</v>
      </c>
      <c r="G66" s="120">
        <f>G65/E56</f>
        <v>32635.124784092666</v>
      </c>
      <c r="I66" s="120">
        <f>I65/E56</f>
        <v>32635.124784092666</v>
      </c>
      <c r="M66" s="120">
        <f>M65/E56</f>
        <v>34410.360911119686</v>
      </c>
      <c r="N66" s="120">
        <f t="shared" si="62"/>
        <v>1775.2361270270194</v>
      </c>
      <c r="O66" s="104">
        <f>N66/I66</f>
        <v>5.4396486569964715E-2</v>
      </c>
    </row>
    <row r="67" spans="1:20" ht="13.5" thickBot="1" x14ac:dyDescent="0.25">
      <c r="A67" s="25">
        <f t="shared" si="58"/>
        <v>61</v>
      </c>
    </row>
    <row r="68" spans="1:20" x14ac:dyDescent="0.2">
      <c r="A68" s="25">
        <f t="shared" si="58"/>
        <v>62</v>
      </c>
      <c r="B68" s="19" t="s">
        <v>75</v>
      </c>
      <c r="C68" s="20">
        <v>13</v>
      </c>
      <c r="D68" s="101" t="s">
        <v>84</v>
      </c>
      <c r="E68" s="101">
        <v>36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</row>
    <row r="69" spans="1:20" x14ac:dyDescent="0.2">
      <c r="A69" s="25">
        <f t="shared" si="58"/>
        <v>63</v>
      </c>
      <c r="C69" s="2"/>
      <c r="D69" s="91" t="s">
        <v>46</v>
      </c>
      <c r="E69" s="102">
        <v>46829.7</v>
      </c>
      <c r="F69" s="91">
        <v>9.83</v>
      </c>
      <c r="G69" s="103">
        <f>F69*E69</f>
        <v>460335.951</v>
      </c>
      <c r="H69" s="91">
        <v>9.83</v>
      </c>
      <c r="I69" s="103">
        <f>H69*E69</f>
        <v>460335.951</v>
      </c>
      <c r="J69" s="104">
        <f>I69/I71</f>
        <v>0.44093571604162918</v>
      </c>
      <c r="K69" s="104"/>
      <c r="L69" s="92">
        <f>ROUND(H69*S71,2)</f>
        <v>10.43</v>
      </c>
      <c r="M69" s="103">
        <f>L69*E69</f>
        <v>488433.77099999995</v>
      </c>
      <c r="N69" s="103">
        <f>M69-I69</f>
        <v>28097.819999999949</v>
      </c>
      <c r="O69" s="104">
        <f>IF(I69=0,0,N69/I69)</f>
        <v>6.1037639877924606E-2</v>
      </c>
      <c r="P69" s="104">
        <f>M69/M$71</f>
        <v>0.44099576285733855</v>
      </c>
      <c r="Q69" s="105">
        <f>P69-J69</f>
        <v>6.0046815709369206E-5</v>
      </c>
      <c r="R69" s="105"/>
      <c r="T69" s="4">
        <f>L69/H69-1</f>
        <v>6.1037639877924654E-2</v>
      </c>
    </row>
    <row r="70" spans="1:20" x14ac:dyDescent="0.2">
      <c r="A70" s="25">
        <f t="shared" si="58"/>
        <v>64</v>
      </c>
      <c r="D70" s="91" t="s">
        <v>45</v>
      </c>
      <c r="E70" s="102">
        <v>10106700</v>
      </c>
      <c r="F70" s="93">
        <v>4.6050000000000001E-2</v>
      </c>
      <c r="G70" s="103">
        <f t="shared" ref="G70" si="64">F70*E70</f>
        <v>465413.53500000003</v>
      </c>
      <c r="H70" s="93">
        <v>5.7750000000000003E-2</v>
      </c>
      <c r="I70" s="103">
        <f t="shared" ref="I70" si="65">H70*E70</f>
        <v>583661.92500000005</v>
      </c>
      <c r="J70" s="104">
        <f>IF(I71=0,0,I70/I71)</f>
        <v>0.55906428395837082</v>
      </c>
      <c r="K70" s="104"/>
      <c r="L70" s="106">
        <f>ROUND(H70*S71,5)</f>
        <v>6.1260000000000002E-2</v>
      </c>
      <c r="M70" s="103">
        <f t="shared" ref="M70" si="66">L70*E70</f>
        <v>619136.44200000004</v>
      </c>
      <c r="N70" s="103">
        <f t="shared" ref="N70" si="67">M70-I70</f>
        <v>35474.516999999993</v>
      </c>
      <c r="O70" s="104">
        <f t="shared" ref="O70" si="68">IF(I70=0,0,N70/I70)</f>
        <v>6.0779220779220759E-2</v>
      </c>
      <c r="P70" s="104">
        <f>IF(M71=0,0,M70/M71)</f>
        <v>0.55900423714266145</v>
      </c>
      <c r="Q70" s="105">
        <f t="shared" ref="Q70" si="69">P70-J70</f>
        <v>-6.0046815709369206E-5</v>
      </c>
      <c r="R70" s="105"/>
      <c r="T70" s="4">
        <f>L70/H70-1</f>
        <v>6.0779220779220822E-2</v>
      </c>
    </row>
    <row r="71" spans="1:20" s="5" customFormat="1" ht="20.45" customHeight="1" x14ac:dyDescent="0.25">
      <c r="A71" s="25">
        <f t="shared" si="58"/>
        <v>65</v>
      </c>
      <c r="C71" s="12"/>
      <c r="D71" s="107" t="s">
        <v>6</v>
      </c>
      <c r="E71" s="107"/>
      <c r="F71" s="107"/>
      <c r="G71" s="14">
        <f>SUM(G69:G70)</f>
        <v>925749.48600000003</v>
      </c>
      <c r="H71" s="107"/>
      <c r="I71" s="14">
        <f>SUM(I69:I70)</f>
        <v>1043997.876</v>
      </c>
      <c r="J71" s="108">
        <f>SUM(J69:J70)</f>
        <v>1</v>
      </c>
      <c r="K71" s="109">
        <f>I71+Summary!I13</f>
        <v>1107505.5960000001</v>
      </c>
      <c r="L71" s="107"/>
      <c r="M71" s="14">
        <f>SUM(M69:M70)</f>
        <v>1107570.213</v>
      </c>
      <c r="N71" s="14">
        <f>SUM(N69:N70)</f>
        <v>63572.336999999941</v>
      </c>
      <c r="O71" s="108">
        <f>IF(I71=0,0,N71/I71)</f>
        <v>6.0893166989546575E-2</v>
      </c>
      <c r="P71" s="108">
        <f>SUM(P69:P70)</f>
        <v>1</v>
      </c>
      <c r="Q71" s="143">
        <f t="shared" ref="Q71" si="70">P71-J71</f>
        <v>0</v>
      </c>
      <c r="R71" s="110">
        <f>M71-K71</f>
        <v>64.616999999852851</v>
      </c>
      <c r="S71" s="5">
        <f>IF(I71=0,0,K71/I71)</f>
        <v>1.0608312731854639</v>
      </c>
    </row>
    <row r="72" spans="1:20" x14ac:dyDescent="0.2">
      <c r="A72" s="25">
        <f t="shared" si="58"/>
        <v>66</v>
      </c>
      <c r="D72" s="91" t="s">
        <v>25</v>
      </c>
      <c r="G72" s="103">
        <v>116328.74000000002</v>
      </c>
      <c r="I72" s="111">
        <f>G72-(E70*$H$278)</f>
        <v>-1919.6499999999796</v>
      </c>
      <c r="K72" s="111"/>
      <c r="M72" s="103">
        <f>I72</f>
        <v>-1919.6499999999796</v>
      </c>
      <c r="N72" s="103">
        <f t="shared" ref="N72:N77" si="71">M72-I72</f>
        <v>0</v>
      </c>
      <c r="O72" s="92">
        <v>0</v>
      </c>
    </row>
    <row r="73" spans="1:20" x14ac:dyDescent="0.2">
      <c r="A73" s="25">
        <f t="shared" si="58"/>
        <v>67</v>
      </c>
      <c r="D73" s="91" t="s">
        <v>26</v>
      </c>
      <c r="G73" s="103">
        <v>128157.92</v>
      </c>
      <c r="I73" s="111">
        <f t="shared" ref="I73:I75" si="72">G73</f>
        <v>128157.92</v>
      </c>
      <c r="M73" s="103">
        <f t="shared" ref="M73:M75" si="73">I73</f>
        <v>128157.92</v>
      </c>
      <c r="N73" s="103">
        <f t="shared" si="71"/>
        <v>0</v>
      </c>
      <c r="O73" s="92">
        <v>0</v>
      </c>
    </row>
    <row r="74" spans="1:20" x14ac:dyDescent="0.2">
      <c r="A74" s="25">
        <f t="shared" si="58"/>
        <v>68</v>
      </c>
      <c r="D74" s="91" t="s">
        <v>28</v>
      </c>
      <c r="F74" s="92"/>
      <c r="G74" s="103">
        <f>F74*E74</f>
        <v>0</v>
      </c>
      <c r="H74" s="92"/>
      <c r="I74" s="111">
        <f t="shared" si="72"/>
        <v>0</v>
      </c>
      <c r="M74" s="103">
        <f t="shared" si="73"/>
        <v>0</v>
      </c>
      <c r="N74" s="103">
        <f t="shared" si="71"/>
        <v>0</v>
      </c>
      <c r="O74" s="92">
        <v>0</v>
      </c>
    </row>
    <row r="75" spans="1:20" x14ac:dyDescent="0.2">
      <c r="A75" s="25">
        <f t="shared" si="58"/>
        <v>69</v>
      </c>
      <c r="D75" s="91" t="s">
        <v>37</v>
      </c>
      <c r="G75" s="103">
        <v>0</v>
      </c>
      <c r="I75" s="111">
        <f t="shared" si="72"/>
        <v>0</v>
      </c>
      <c r="M75" s="103">
        <f t="shared" si="73"/>
        <v>0</v>
      </c>
      <c r="N75" s="103"/>
      <c r="O75" s="92"/>
    </row>
    <row r="76" spans="1:20" x14ac:dyDescent="0.2">
      <c r="A76" s="25">
        <f t="shared" si="58"/>
        <v>70</v>
      </c>
      <c r="D76" s="113" t="s">
        <v>8</v>
      </c>
      <c r="E76" s="113"/>
      <c r="F76" s="113"/>
      <c r="G76" s="114">
        <f>SUM(G72:G75)</f>
        <v>244486.66000000003</v>
      </c>
      <c r="H76" s="113"/>
      <c r="I76" s="114">
        <f>SUM(I72:I75)</f>
        <v>126238.27000000002</v>
      </c>
      <c r="J76" s="113"/>
      <c r="K76" s="113"/>
      <c r="L76" s="113"/>
      <c r="M76" s="114">
        <f>SUM(M72:M75)</f>
        <v>126238.27000000002</v>
      </c>
      <c r="N76" s="114">
        <f t="shared" si="71"/>
        <v>0</v>
      </c>
      <c r="O76" s="115">
        <f t="shared" ref="O76" si="74">N76-J76</f>
        <v>0</v>
      </c>
    </row>
    <row r="77" spans="1:20" s="5" customFormat="1" ht="26.45" customHeight="1" thickBot="1" x14ac:dyDescent="0.25">
      <c r="A77" s="25">
        <f t="shared" si="58"/>
        <v>71</v>
      </c>
      <c r="C77" s="12"/>
      <c r="D77" s="116" t="s">
        <v>18</v>
      </c>
      <c r="E77" s="116"/>
      <c r="F77" s="116"/>
      <c r="G77" s="117">
        <f>G71+G76</f>
        <v>1170236.1460000002</v>
      </c>
      <c r="H77" s="116"/>
      <c r="I77" s="118">
        <f>I76+I71</f>
        <v>1170236.1460000002</v>
      </c>
      <c r="J77" s="116"/>
      <c r="K77" s="116"/>
      <c r="L77" s="116"/>
      <c r="M77" s="117">
        <f>M76+M71</f>
        <v>1233808.483</v>
      </c>
      <c r="N77" s="117">
        <f t="shared" si="71"/>
        <v>63572.336999999825</v>
      </c>
      <c r="O77" s="119">
        <f>IF(I77=0,0,N77/I77)</f>
        <v>5.4324366254877084E-2</v>
      </c>
      <c r="P77" s="91"/>
      <c r="Q77" s="91"/>
      <c r="R77" s="91"/>
    </row>
    <row r="78" spans="1:20" ht="13.5" thickTop="1" x14ac:dyDescent="0.2">
      <c r="A78" s="25">
        <f t="shared" si="58"/>
        <v>72</v>
      </c>
      <c r="D78" s="91" t="s">
        <v>17</v>
      </c>
      <c r="E78" s="144">
        <f>E70/E68</f>
        <v>280741.66666666669</v>
      </c>
      <c r="G78" s="120">
        <f>G77/E68</f>
        <v>32506.559611111115</v>
      </c>
      <c r="I78" s="120">
        <f>I77/E68</f>
        <v>32506.559611111115</v>
      </c>
      <c r="M78" s="120">
        <f>M77/E68</f>
        <v>34272.457861111114</v>
      </c>
      <c r="N78" s="120">
        <f>M78-I78</f>
        <v>1765.8982499999984</v>
      </c>
      <c r="O78" s="104">
        <f>N78/I78</f>
        <v>5.4324366254877188E-2</v>
      </c>
    </row>
    <row r="79" spans="1:20" ht="13.5" thickBot="1" x14ac:dyDescent="0.25">
      <c r="A79" s="25">
        <f t="shared" si="58"/>
        <v>73</v>
      </c>
    </row>
    <row r="80" spans="1:20" x14ac:dyDescent="0.2">
      <c r="A80" s="25">
        <f t="shared" si="58"/>
        <v>74</v>
      </c>
      <c r="B80" s="19" t="s">
        <v>76</v>
      </c>
      <c r="C80" s="20">
        <v>14</v>
      </c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</row>
    <row r="81" spans="1:23" x14ac:dyDescent="0.2">
      <c r="A81" s="25">
        <f t="shared" si="58"/>
        <v>75</v>
      </c>
      <c r="C81" s="2"/>
      <c r="D81" s="91" t="s">
        <v>16</v>
      </c>
      <c r="E81" s="102">
        <v>48</v>
      </c>
      <c r="F81" s="92">
        <v>1854.38</v>
      </c>
      <c r="G81" s="103">
        <f>F81*E81</f>
        <v>89010.240000000005</v>
      </c>
      <c r="H81" s="92">
        <v>1854.38</v>
      </c>
      <c r="I81" s="103">
        <f>H81*E81</f>
        <v>89010.240000000005</v>
      </c>
      <c r="J81" s="104">
        <f>IF(I85=0,0,I81/I85)</f>
        <v>2.3866636103885477E-2</v>
      </c>
      <c r="K81" s="104"/>
      <c r="L81" s="92">
        <f>ROUND(H81*S85,2)</f>
        <v>2023.64</v>
      </c>
      <c r="M81" s="103">
        <f>L81*E81</f>
        <v>97134.720000000001</v>
      </c>
      <c r="N81" s="103">
        <f>M81-I81</f>
        <v>8124.4799999999959</v>
      </c>
      <c r="O81" s="104">
        <f>IF(I81=0,0,N81/I81)</f>
        <v>9.1275790291094547E-2</v>
      </c>
      <c r="P81" s="104">
        <f>IF(M$85=0,0,M81/M$85)</f>
        <v>2.3865014384957483E-2</v>
      </c>
      <c r="Q81" s="105">
        <f>P81-J81</f>
        <v>-1.6217189279937871E-6</v>
      </c>
      <c r="R81" s="105"/>
      <c r="T81" s="4">
        <f t="shared" ref="T81:T84" si="75">L81/H81-1</f>
        <v>9.1275790291094561E-2</v>
      </c>
    </row>
    <row r="82" spans="1:23" x14ac:dyDescent="0.2">
      <c r="A82" s="25">
        <f t="shared" si="58"/>
        <v>76</v>
      </c>
      <c r="D82" s="91" t="s">
        <v>45</v>
      </c>
      <c r="E82" s="102">
        <v>50781319</v>
      </c>
      <c r="F82" s="93">
        <v>4.8849999999999998E-2</v>
      </c>
      <c r="G82" s="103">
        <f t="shared" ref="G82:G83" si="76">F82*E82</f>
        <v>2480667.4331499999</v>
      </c>
      <c r="H82" s="93">
        <v>6.055E-2</v>
      </c>
      <c r="I82" s="103">
        <f t="shared" ref="I82:I83" si="77">H82*E82</f>
        <v>3074808.8654499999</v>
      </c>
      <c r="J82" s="104">
        <f>IF(I86=0,0,I82/I$85)</f>
        <v>0.82445957095156808</v>
      </c>
      <c r="K82" s="104"/>
      <c r="L82" s="106">
        <f>ROUND(H82*S85,5)</f>
        <v>6.608E-2</v>
      </c>
      <c r="M82" s="103">
        <f t="shared" ref="M82:M83" si="78">L82*E82</f>
        <v>3355629.5595200001</v>
      </c>
      <c r="N82" s="103">
        <f t="shared" ref="N82:N91" si="79">M82-I82</f>
        <v>280820.6940700002</v>
      </c>
      <c r="O82" s="104">
        <f t="shared" ref="O82:O83" si="80">IF(I82=0,0,N82/I82)</f>
        <v>9.1329479768786193E-2</v>
      </c>
      <c r="P82" s="104">
        <f>IF(M$85=0,0,M82/M$85)</f>
        <v>0.82444410925911293</v>
      </c>
      <c r="Q82" s="105">
        <f t="shared" ref="Q82:Q85" si="81">P82-J82</f>
        <v>-1.5461692455143172E-5</v>
      </c>
      <c r="R82" s="105"/>
      <c r="T82" s="4">
        <f t="shared" si="75"/>
        <v>9.1329479768786026E-2</v>
      </c>
    </row>
    <row r="83" spans="1:23" x14ac:dyDescent="0.2">
      <c r="A83" s="25">
        <f>A81+1</f>
        <v>76</v>
      </c>
      <c r="D83" s="91" t="s">
        <v>77</v>
      </c>
      <c r="E83" s="102">
        <v>87700</v>
      </c>
      <c r="F83" s="92">
        <v>6.45</v>
      </c>
      <c r="G83" s="103">
        <f t="shared" si="76"/>
        <v>565665</v>
      </c>
      <c r="H83" s="92">
        <v>6.45</v>
      </c>
      <c r="I83" s="103">
        <f t="shared" si="77"/>
        <v>565665</v>
      </c>
      <c r="J83" s="104">
        <f>IF(I86=0,0,I83/I$85)</f>
        <v>0.15167379294454636</v>
      </c>
      <c r="K83" s="104"/>
      <c r="L83" s="92">
        <f>ROUND(H83*S85,2)</f>
        <v>7.04</v>
      </c>
      <c r="M83" s="103">
        <f t="shared" si="78"/>
        <v>617408</v>
      </c>
      <c r="N83" s="103">
        <f t="shared" si="79"/>
        <v>51743</v>
      </c>
      <c r="O83" s="104">
        <f t="shared" si="80"/>
        <v>9.1472868217054262E-2</v>
      </c>
      <c r="P83" s="104">
        <f>IF(M$85=0,0,M83/M$85)</f>
        <v>0.15169087635592948</v>
      </c>
      <c r="Q83" s="105">
        <f t="shared" si="81"/>
        <v>1.7083411383123082E-5</v>
      </c>
      <c r="R83" s="105"/>
      <c r="T83" s="4">
        <f t="shared" ref="T83" si="82">L83/H83-1</f>
        <v>9.1472868217054248E-2</v>
      </c>
    </row>
    <row r="84" spans="1:23" x14ac:dyDescent="0.2">
      <c r="A84" s="25">
        <f>A82+1</f>
        <v>77</v>
      </c>
      <c r="D84" s="91" t="s">
        <v>78</v>
      </c>
      <c r="E84" s="102">
        <v>0</v>
      </c>
      <c r="F84" s="92">
        <v>9.34</v>
      </c>
      <c r="G84" s="103">
        <f t="shared" ref="G84" si="83">F84*E84</f>
        <v>0</v>
      </c>
      <c r="H84" s="92">
        <v>9.34</v>
      </c>
      <c r="I84" s="103">
        <f t="shared" ref="I84" si="84">H84*E84</f>
        <v>0</v>
      </c>
      <c r="J84" s="104">
        <f>IF(I87=0,0,I84/I$85)</f>
        <v>0</v>
      </c>
      <c r="K84" s="104"/>
      <c r="L84" s="92">
        <f>ROUND(H84*S85,2)</f>
        <v>10.19</v>
      </c>
      <c r="M84" s="103">
        <f t="shared" ref="M84" si="85">L84*E84</f>
        <v>0</v>
      </c>
      <c r="N84" s="103">
        <f t="shared" ref="N84" si="86">M84-I84</f>
        <v>0</v>
      </c>
      <c r="O84" s="104">
        <f t="shared" ref="O84" si="87">IF(I84=0,0,N84/I84)</f>
        <v>0</v>
      </c>
      <c r="P84" s="104">
        <f>IF(M$85=0,0,M84/M$85)</f>
        <v>0</v>
      </c>
      <c r="Q84" s="105">
        <f t="shared" ref="Q84" si="88">P84-J84</f>
        <v>0</v>
      </c>
      <c r="R84" s="105"/>
      <c r="T84" s="4">
        <f t="shared" si="75"/>
        <v>9.10064239828694E-2</v>
      </c>
    </row>
    <row r="85" spans="1:23" s="5" customFormat="1" ht="20.45" customHeight="1" x14ac:dyDescent="0.2">
      <c r="A85" s="25">
        <f t="shared" si="58"/>
        <v>78</v>
      </c>
      <c r="C85" s="12"/>
      <c r="D85" s="107" t="s">
        <v>6</v>
      </c>
      <c r="E85" s="107"/>
      <c r="F85" s="107"/>
      <c r="G85" s="14">
        <f>SUM(G81:G84)</f>
        <v>3135342.6731500002</v>
      </c>
      <c r="H85" s="107"/>
      <c r="I85" s="14">
        <f>SUM(I81:I84)</f>
        <v>3729484.1054500001</v>
      </c>
      <c r="J85" s="108">
        <f>SUM(J81:J84)</f>
        <v>1</v>
      </c>
      <c r="K85" s="109">
        <f>I85+Summary!I22</f>
        <v>4069888.6054500001</v>
      </c>
      <c r="L85" s="107"/>
      <c r="M85" s="14">
        <f>SUM(M81:M84)</f>
        <v>4070172.2795200003</v>
      </c>
      <c r="N85" s="14">
        <f>SUM(N81:N84)</f>
        <v>340688.17407000018</v>
      </c>
      <c r="O85" s="108">
        <f>IF(I85=0,0,N85/I85)</f>
        <v>9.1349946651372763E-2</v>
      </c>
      <c r="P85" s="108">
        <f>SUM(P81:P84)</f>
        <v>0.99999999999999989</v>
      </c>
      <c r="Q85" s="143">
        <f t="shared" si="81"/>
        <v>0</v>
      </c>
      <c r="R85" s="110">
        <f>M85-K85</f>
        <v>283.67407000018284</v>
      </c>
      <c r="S85" s="5">
        <f>IF(I85=0,0,K85/I85)</f>
        <v>1.0912738841017064</v>
      </c>
      <c r="W85" s="2"/>
    </row>
    <row r="86" spans="1:23" x14ac:dyDescent="0.2">
      <c r="A86" s="25">
        <f t="shared" si="58"/>
        <v>79</v>
      </c>
      <c r="D86" s="91" t="s">
        <v>25</v>
      </c>
      <c r="G86" s="103">
        <v>598059.94999999995</v>
      </c>
      <c r="I86" s="111">
        <f>G86-(E82*$H$278)</f>
        <v>3918.5176999999676</v>
      </c>
      <c r="K86" s="111"/>
      <c r="M86" s="103">
        <f>I86</f>
        <v>3918.5176999999676</v>
      </c>
      <c r="N86" s="103">
        <f t="shared" si="79"/>
        <v>0</v>
      </c>
      <c r="O86" s="92">
        <v>0</v>
      </c>
    </row>
    <row r="87" spans="1:23" x14ac:dyDescent="0.2">
      <c r="A87" s="25">
        <f t="shared" si="58"/>
        <v>80</v>
      </c>
      <c r="D87" s="91" t="s">
        <v>26</v>
      </c>
      <c r="G87" s="103">
        <v>481290.02</v>
      </c>
      <c r="I87" s="111">
        <f t="shared" ref="I87:I89" si="89">G87</f>
        <v>481290.02</v>
      </c>
      <c r="M87" s="103">
        <f t="shared" ref="M87:M89" si="90">I87</f>
        <v>481290.02</v>
      </c>
      <c r="N87" s="103">
        <f t="shared" si="79"/>
        <v>0</v>
      </c>
      <c r="O87" s="92">
        <v>0</v>
      </c>
    </row>
    <row r="88" spans="1:23" x14ac:dyDescent="0.2">
      <c r="A88" s="25">
        <f t="shared" si="58"/>
        <v>81</v>
      </c>
      <c r="D88" s="91" t="s">
        <v>28</v>
      </c>
      <c r="G88" s="103">
        <v>0</v>
      </c>
      <c r="I88" s="111">
        <f t="shared" si="89"/>
        <v>0</v>
      </c>
      <c r="M88" s="103">
        <f t="shared" si="90"/>
        <v>0</v>
      </c>
      <c r="N88" s="103">
        <f t="shared" si="79"/>
        <v>0</v>
      </c>
      <c r="O88" s="92">
        <v>0</v>
      </c>
    </row>
    <row r="89" spans="1:23" x14ac:dyDescent="0.2">
      <c r="A89" s="25">
        <f t="shared" si="58"/>
        <v>82</v>
      </c>
      <c r="D89" s="91" t="s">
        <v>37</v>
      </c>
      <c r="G89" s="103">
        <v>0</v>
      </c>
      <c r="I89" s="111">
        <f t="shared" si="89"/>
        <v>0</v>
      </c>
      <c r="M89" s="103">
        <f t="shared" si="90"/>
        <v>0</v>
      </c>
      <c r="N89" s="103"/>
      <c r="O89" s="92"/>
    </row>
    <row r="90" spans="1:23" x14ac:dyDescent="0.2">
      <c r="A90" s="25">
        <f t="shared" si="58"/>
        <v>83</v>
      </c>
      <c r="D90" s="113" t="s">
        <v>8</v>
      </c>
      <c r="E90" s="113"/>
      <c r="F90" s="113"/>
      <c r="G90" s="114">
        <f>SUM(G86:G89)</f>
        <v>1079349.97</v>
      </c>
      <c r="H90" s="113"/>
      <c r="I90" s="114">
        <f>SUM(I86:I89)</f>
        <v>485208.53769999999</v>
      </c>
      <c r="J90" s="113"/>
      <c r="K90" s="113"/>
      <c r="L90" s="113"/>
      <c r="M90" s="114">
        <f>SUM(M86:M89)</f>
        <v>485208.53769999999</v>
      </c>
      <c r="N90" s="114">
        <f t="shared" si="79"/>
        <v>0</v>
      </c>
      <c r="O90" s="115">
        <f t="shared" ref="O90" si="91">N90-J90</f>
        <v>0</v>
      </c>
    </row>
    <row r="91" spans="1:23" s="5" customFormat="1" ht="26.45" customHeight="1" thickBot="1" x14ac:dyDescent="0.25">
      <c r="A91" s="25">
        <f t="shared" si="58"/>
        <v>84</v>
      </c>
      <c r="C91" s="12"/>
      <c r="D91" s="116" t="s">
        <v>18</v>
      </c>
      <c r="E91" s="116"/>
      <c r="F91" s="116"/>
      <c r="G91" s="117">
        <f>G85+G90</f>
        <v>4214692.6431499999</v>
      </c>
      <c r="H91" s="116"/>
      <c r="I91" s="118">
        <f>I90+I85</f>
        <v>4214692.6431499999</v>
      </c>
      <c r="J91" s="116"/>
      <c r="K91" s="116"/>
      <c r="L91" s="116"/>
      <c r="M91" s="117">
        <f>M90+M85</f>
        <v>4555380.8172200006</v>
      </c>
      <c r="N91" s="117">
        <f t="shared" si="79"/>
        <v>340688.17407000065</v>
      </c>
      <c r="O91" s="119">
        <f>IF(I91=0,0,N91/I91)</f>
        <v>8.0833456414362695E-2</v>
      </c>
      <c r="P91" s="91"/>
      <c r="Q91" s="91"/>
      <c r="R91" s="91"/>
    </row>
    <row r="92" spans="1:23" ht="13.5" thickTop="1" x14ac:dyDescent="0.2">
      <c r="A92" s="25">
        <f t="shared" si="58"/>
        <v>85</v>
      </c>
      <c r="D92" s="73"/>
      <c r="E92" s="121">
        <f>E82/E81</f>
        <v>1057944.1458333333</v>
      </c>
      <c r="F92" s="121"/>
      <c r="G92" s="121">
        <f>G91/E81</f>
        <v>87806.096732291669</v>
      </c>
      <c r="H92" s="121"/>
      <c r="I92" s="121">
        <f>I91/E81</f>
        <v>87806.096732291669</v>
      </c>
      <c r="J92" s="121"/>
      <c r="K92" s="121"/>
      <c r="L92" s="121"/>
      <c r="M92" s="121">
        <f>M91/E81</f>
        <v>94903.767025416673</v>
      </c>
      <c r="N92" s="121">
        <f>M92-I92</f>
        <v>7097.6702931250038</v>
      </c>
      <c r="O92" s="73"/>
      <c r="P92" s="73"/>
      <c r="Q92" s="73"/>
    </row>
    <row r="93" spans="1:23" ht="13.5" thickBot="1" x14ac:dyDescent="0.25">
      <c r="A93" s="25">
        <f t="shared" si="58"/>
        <v>86</v>
      </c>
    </row>
    <row r="94" spans="1:23" x14ac:dyDescent="0.2">
      <c r="A94" s="25">
        <f t="shared" si="58"/>
        <v>87</v>
      </c>
      <c r="B94" s="19" t="s">
        <v>83</v>
      </c>
      <c r="C94" s="20">
        <v>16</v>
      </c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</row>
    <row r="95" spans="1:23" x14ac:dyDescent="0.2">
      <c r="A95" s="25">
        <f t="shared" si="58"/>
        <v>88</v>
      </c>
      <c r="C95" s="2"/>
      <c r="D95" s="91" t="s">
        <v>16</v>
      </c>
      <c r="E95" s="102">
        <f>12+12</f>
        <v>24</v>
      </c>
      <c r="F95" s="92">
        <v>3559.45</v>
      </c>
      <c r="G95" s="103">
        <f>F95*E95</f>
        <v>85426.799999999988</v>
      </c>
      <c r="H95" s="92">
        <v>3559.45</v>
      </c>
      <c r="I95" s="103">
        <f>H95*E95</f>
        <v>85426.799999999988</v>
      </c>
      <c r="J95" s="104">
        <f>I95/I99</f>
        <v>1.3928149964262252E-2</v>
      </c>
      <c r="K95" s="104"/>
      <c r="L95" s="92">
        <f>ROUND(H95*S99,2)</f>
        <v>3884.33</v>
      </c>
      <c r="M95" s="103">
        <f>L95*E95</f>
        <v>93223.92</v>
      </c>
      <c r="N95" s="103">
        <f>M95-I95</f>
        <v>7797.1200000000099</v>
      </c>
      <c r="O95" s="104">
        <f>IF(I95=0,0,N95/I95)</f>
        <v>9.1272528059110389E-2</v>
      </c>
      <c r="P95" s="104">
        <f>M95/M$99</f>
        <v>1.3926817963198199E-2</v>
      </c>
      <c r="Q95" s="105">
        <f>P95-J95</f>
        <v>-1.3320010640530816E-6</v>
      </c>
      <c r="R95" s="105"/>
      <c r="T95" s="4">
        <f t="shared" ref="T95:T98" si="92">L95/H95-1</f>
        <v>9.1272528059110236E-2</v>
      </c>
    </row>
    <row r="96" spans="1:23" x14ac:dyDescent="0.2">
      <c r="A96" s="25">
        <f>A94+1</f>
        <v>88</v>
      </c>
      <c r="B96" s="148" t="s">
        <v>124</v>
      </c>
      <c r="D96" s="91" t="s">
        <v>77</v>
      </c>
      <c r="E96" s="102">
        <f>81600+69000</f>
        <v>150600</v>
      </c>
      <c r="F96" s="92">
        <v>6.45</v>
      </c>
      <c r="G96" s="103">
        <f t="shared" ref="G96" si="93">F96*E96</f>
        <v>971370</v>
      </c>
      <c r="H96" s="92">
        <v>6.45</v>
      </c>
      <c r="I96" s="103">
        <f t="shared" ref="I96" si="94">H96*E96</f>
        <v>971370</v>
      </c>
      <c r="J96" s="104">
        <f>I96/I99</f>
        <v>0.1583740352065795</v>
      </c>
      <c r="K96" s="104"/>
      <c r="L96" s="92">
        <f>ROUND(H96*S$99,2)</f>
        <v>7.04</v>
      </c>
      <c r="M96" s="103">
        <f t="shared" ref="M96" si="95">L96*E96</f>
        <v>1060224</v>
      </c>
      <c r="N96" s="103">
        <f t="shared" ref="N96" si="96">M96-I96</f>
        <v>88854</v>
      </c>
      <c r="O96" s="104">
        <f t="shared" ref="O96" si="97">IF(I96=0,0,N96/I96)</f>
        <v>9.1472868217054262E-2</v>
      </c>
      <c r="P96" s="104">
        <f>M96/M$99</f>
        <v>0.15838796146111264</v>
      </c>
      <c r="Q96" s="105">
        <f t="shared" ref="Q96" si="98">P96-J96</f>
        <v>1.3926254533142002E-5</v>
      </c>
      <c r="R96" s="105"/>
      <c r="T96" s="4">
        <f t="shared" si="92"/>
        <v>9.1472868217054248E-2</v>
      </c>
    </row>
    <row r="97" spans="1:20" x14ac:dyDescent="0.2">
      <c r="A97" s="25">
        <f>A95+1</f>
        <v>89</v>
      </c>
      <c r="D97" s="91" t="s">
        <v>78</v>
      </c>
      <c r="E97" s="102"/>
      <c r="F97" s="92">
        <v>9.34</v>
      </c>
      <c r="G97" s="103">
        <f t="shared" ref="G97" si="99">F97*E97</f>
        <v>0</v>
      </c>
      <c r="H97" s="92">
        <v>9.34</v>
      </c>
      <c r="I97" s="103">
        <f t="shared" ref="I97" si="100">H97*E97</f>
        <v>0</v>
      </c>
      <c r="J97" s="104">
        <f>I97/I99</f>
        <v>0</v>
      </c>
      <c r="K97" s="104"/>
      <c r="L97" s="92">
        <f>ROUND(H97*S$99,2)</f>
        <v>10.19</v>
      </c>
      <c r="M97" s="103">
        <f t="shared" ref="M97" si="101">L97*E97</f>
        <v>0</v>
      </c>
      <c r="N97" s="103">
        <f t="shared" ref="N97" si="102">M97-I97</f>
        <v>0</v>
      </c>
      <c r="O97" s="104">
        <f t="shared" ref="O97" si="103">IF(I97=0,0,N97/I97)</f>
        <v>0</v>
      </c>
      <c r="P97" s="104">
        <f>M97/M$99</f>
        <v>0</v>
      </c>
      <c r="Q97" s="105">
        <f t="shared" ref="Q97" si="104">P97-J97</f>
        <v>0</v>
      </c>
      <c r="R97" s="105"/>
      <c r="T97" s="4">
        <f t="shared" ref="T97" si="105">L97/H97-1</f>
        <v>9.10064239828694E-2</v>
      </c>
    </row>
    <row r="98" spans="1:20" x14ac:dyDescent="0.2">
      <c r="A98" s="25">
        <f t="shared" si="58"/>
        <v>90</v>
      </c>
      <c r="B98" s="52"/>
      <c r="D98" s="91" t="s">
        <v>45</v>
      </c>
      <c r="E98" s="102">
        <f>48282405+45037355</f>
        <v>93319760</v>
      </c>
      <c r="F98" s="93">
        <v>4.2700000000000002E-2</v>
      </c>
      <c r="G98" s="103">
        <f t="shared" ref="G98" si="106">F98*E98</f>
        <v>3984753.7520000003</v>
      </c>
      <c r="H98" s="93">
        <v>5.4399999999999997E-2</v>
      </c>
      <c r="I98" s="103">
        <f t="shared" ref="I98" si="107">H98*E98</f>
        <v>5076594.9440000001</v>
      </c>
      <c r="J98" s="104">
        <f>I98/I99</f>
        <v>0.82769781482915827</v>
      </c>
      <c r="K98" s="104"/>
      <c r="L98" s="106">
        <f>ROUND(H98*S99,5)</f>
        <v>5.9369999999999999E-2</v>
      </c>
      <c r="M98" s="103">
        <f t="shared" ref="M98" si="108">L98*E98</f>
        <v>5540394.1512000002</v>
      </c>
      <c r="N98" s="103">
        <f t="shared" ref="N98:N106" si="109">M98-I98</f>
        <v>463799.20720000006</v>
      </c>
      <c r="O98" s="104">
        <f t="shared" ref="O98" si="110">IF(I98=0,0,N98/I98)</f>
        <v>9.1360294117647067E-2</v>
      </c>
      <c r="P98" s="104">
        <f>M98/M$99</f>
        <v>0.82768522057568916</v>
      </c>
      <c r="Q98" s="105">
        <f t="shared" ref="Q98:Q99" si="111">P98-J98</f>
        <v>-1.2594253469111472E-5</v>
      </c>
      <c r="R98" s="105"/>
      <c r="T98" s="4">
        <f t="shared" si="92"/>
        <v>9.1360294117647012E-2</v>
      </c>
    </row>
    <row r="99" spans="1:20" s="5" customFormat="1" ht="20.45" customHeight="1" x14ac:dyDescent="0.25">
      <c r="A99" s="25">
        <f t="shared" si="58"/>
        <v>91</v>
      </c>
      <c r="C99" s="12"/>
      <c r="D99" s="107" t="s">
        <v>6</v>
      </c>
      <c r="E99" s="107"/>
      <c r="F99" s="107"/>
      <c r="G99" s="14">
        <f>SUM(G95:G98)</f>
        <v>5041550.5520000001</v>
      </c>
      <c r="H99" s="107"/>
      <c r="I99" s="14">
        <f>SUM(I95:I98)</f>
        <v>6133391.7439999999</v>
      </c>
      <c r="J99" s="108">
        <f>SUM(J95:J98)</f>
        <v>1</v>
      </c>
      <c r="K99" s="109">
        <f>I99+Summary!I23</f>
        <v>6693210.2439999999</v>
      </c>
      <c r="L99" s="107"/>
      <c r="M99" s="14">
        <f>SUM(M95:M98)</f>
        <v>6693842.0712000001</v>
      </c>
      <c r="N99" s="14">
        <f>SUM(N95:N98)</f>
        <v>560450.32720000006</v>
      </c>
      <c r="O99" s="108">
        <f t="shared" ref="O99" si="112">N99/I99</f>
        <v>9.1376900513204865E-2</v>
      </c>
      <c r="P99" s="108">
        <f>SUM(P95:P98)</f>
        <v>1</v>
      </c>
      <c r="Q99" s="143">
        <f t="shared" si="111"/>
        <v>0</v>
      </c>
      <c r="R99" s="110">
        <f>M99-K99</f>
        <v>631.82720000017434</v>
      </c>
      <c r="S99" s="5">
        <f>K99/I99</f>
        <v>1.0912738861899116</v>
      </c>
    </row>
    <row r="100" spans="1:20" x14ac:dyDescent="0.2">
      <c r="A100" s="25">
        <f t="shared" si="58"/>
        <v>92</v>
      </c>
      <c r="D100" s="91" t="s">
        <v>25</v>
      </c>
      <c r="G100" s="103">
        <f>569834.35+528958</f>
        <v>1098792.3500000001</v>
      </c>
      <c r="I100" s="111">
        <f>G100-(E98*$H$278)</f>
        <v>6951.158000000054</v>
      </c>
      <c r="K100" s="111"/>
      <c r="M100" s="103">
        <f>I100</f>
        <v>6951.158000000054</v>
      </c>
      <c r="N100" s="103">
        <f t="shared" si="109"/>
        <v>0</v>
      </c>
      <c r="O100" s="92">
        <v>0</v>
      </c>
    </row>
    <row r="101" spans="1:20" x14ac:dyDescent="0.2">
      <c r="A101" s="25">
        <f t="shared" si="58"/>
        <v>93</v>
      </c>
      <c r="D101" s="91" t="s">
        <v>26</v>
      </c>
      <c r="G101" s="103">
        <f>406597.5+377441</f>
        <v>784038.5</v>
      </c>
      <c r="I101" s="111">
        <f t="shared" ref="I101:I103" si="113">G101</f>
        <v>784038.5</v>
      </c>
      <c r="M101" s="103">
        <f t="shared" ref="M101:M103" si="114">I101</f>
        <v>784038.5</v>
      </c>
      <c r="N101" s="103">
        <f t="shared" si="109"/>
        <v>0</v>
      </c>
      <c r="O101" s="92">
        <v>0</v>
      </c>
    </row>
    <row r="102" spans="1:20" x14ac:dyDescent="0.2">
      <c r="A102" s="25">
        <f t="shared" si="58"/>
        <v>94</v>
      </c>
      <c r="D102" s="91" t="s">
        <v>28</v>
      </c>
      <c r="G102" s="103">
        <v>0</v>
      </c>
      <c r="I102" s="111">
        <f t="shared" si="113"/>
        <v>0</v>
      </c>
      <c r="M102" s="103">
        <f t="shared" si="114"/>
        <v>0</v>
      </c>
      <c r="N102" s="103">
        <f t="shared" si="109"/>
        <v>0</v>
      </c>
      <c r="O102" s="92">
        <v>0</v>
      </c>
    </row>
    <row r="103" spans="1:20" x14ac:dyDescent="0.2">
      <c r="A103" s="25">
        <f t="shared" si="58"/>
        <v>95</v>
      </c>
      <c r="D103" s="91" t="s">
        <v>37</v>
      </c>
      <c r="G103" s="103">
        <v>0</v>
      </c>
      <c r="I103" s="111">
        <f t="shared" si="113"/>
        <v>0</v>
      </c>
      <c r="M103" s="103">
        <f t="shared" si="114"/>
        <v>0</v>
      </c>
      <c r="N103" s="103"/>
      <c r="O103" s="92"/>
    </row>
    <row r="104" spans="1:20" x14ac:dyDescent="0.2">
      <c r="A104" s="25">
        <f t="shared" si="58"/>
        <v>96</v>
      </c>
      <c r="D104" s="113" t="s">
        <v>8</v>
      </c>
      <c r="E104" s="113"/>
      <c r="F104" s="113"/>
      <c r="G104" s="114">
        <f>SUM(G100:G103)</f>
        <v>1882830.85</v>
      </c>
      <c r="H104" s="113"/>
      <c r="I104" s="114">
        <f>SUM(I100:I103)</f>
        <v>790989.65800000005</v>
      </c>
      <c r="J104" s="113"/>
      <c r="K104" s="113"/>
      <c r="L104" s="113"/>
      <c r="M104" s="114">
        <f>SUM(M100:M103)</f>
        <v>790989.65800000005</v>
      </c>
      <c r="N104" s="114">
        <f t="shared" si="109"/>
        <v>0</v>
      </c>
      <c r="O104" s="115">
        <f t="shared" ref="O104" si="115">N104-J104</f>
        <v>0</v>
      </c>
    </row>
    <row r="105" spans="1:20" s="5" customFormat="1" ht="26.45" customHeight="1" thickBot="1" x14ac:dyDescent="0.25">
      <c r="A105" s="25">
        <f t="shared" si="58"/>
        <v>97</v>
      </c>
      <c r="C105" s="12"/>
      <c r="D105" s="116" t="s">
        <v>18</v>
      </c>
      <c r="E105" s="116"/>
      <c r="F105" s="116"/>
      <c r="G105" s="117">
        <f>G99+G104</f>
        <v>6924381.4020000007</v>
      </c>
      <c r="H105" s="116"/>
      <c r="I105" s="118">
        <f>I104+I99</f>
        <v>6924381.4019999998</v>
      </c>
      <c r="J105" s="116"/>
      <c r="K105" s="116"/>
      <c r="L105" s="116"/>
      <c r="M105" s="117">
        <f>M104+M99</f>
        <v>7484831.7291999999</v>
      </c>
      <c r="N105" s="117">
        <f t="shared" si="109"/>
        <v>560450.32720000017</v>
      </c>
      <c r="O105" s="119">
        <f>N105/I105</f>
        <v>8.0938685300916968E-2</v>
      </c>
      <c r="P105" s="91"/>
      <c r="Q105" s="91"/>
      <c r="R105" s="91"/>
    </row>
    <row r="106" spans="1:20" ht="13.5" thickTop="1" x14ac:dyDescent="0.2">
      <c r="A106" s="25">
        <f t="shared" si="58"/>
        <v>98</v>
      </c>
      <c r="D106" s="91" t="s">
        <v>17</v>
      </c>
      <c r="E106" s="92">
        <f>E98/E95</f>
        <v>3888323.3333333335</v>
      </c>
      <c r="G106" s="120">
        <f>G105/E95</f>
        <v>288515.89175000001</v>
      </c>
      <c r="I106" s="120">
        <f>I105/E95</f>
        <v>288515.89175000001</v>
      </c>
      <c r="M106" s="120">
        <f>M105/E95</f>
        <v>311867.98871666664</v>
      </c>
      <c r="N106" s="120">
        <f t="shared" si="109"/>
        <v>23352.096966666635</v>
      </c>
      <c r="O106" s="104">
        <f>N106/I106</f>
        <v>8.0938685300916829E-2</v>
      </c>
    </row>
    <row r="107" spans="1:20" ht="13.5" thickBot="1" x14ac:dyDescent="0.25">
      <c r="A107" s="25">
        <f t="shared" si="58"/>
        <v>99</v>
      </c>
    </row>
    <row r="108" spans="1:20" x14ac:dyDescent="0.2">
      <c r="A108" s="25">
        <f t="shared" si="58"/>
        <v>100</v>
      </c>
      <c r="B108" s="19" t="s">
        <v>79</v>
      </c>
      <c r="C108" s="20">
        <v>36</v>
      </c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</row>
    <row r="109" spans="1:20" x14ac:dyDescent="0.2">
      <c r="A109" s="25">
        <f t="shared" si="58"/>
        <v>101</v>
      </c>
      <c r="C109" s="2"/>
      <c r="D109" s="91" t="s">
        <v>126</v>
      </c>
      <c r="E109" s="102">
        <v>12</v>
      </c>
      <c r="F109" s="92">
        <v>1001.85</v>
      </c>
      <c r="G109" s="103">
        <f>F109*E109</f>
        <v>12022.2</v>
      </c>
      <c r="H109" s="92">
        <v>1001.85</v>
      </c>
      <c r="I109" s="103">
        <f>H109*E109</f>
        <v>12022.2</v>
      </c>
      <c r="J109" s="104">
        <f>I109/I$115</f>
        <v>1.069999654981583E-2</v>
      </c>
      <c r="K109" s="104"/>
      <c r="L109" s="92">
        <f>ROUND(H109*S115,2)</f>
        <v>1062.79</v>
      </c>
      <c r="M109" s="103">
        <f>L109*E109</f>
        <v>12753.48</v>
      </c>
      <c r="N109" s="103">
        <f t="shared" ref="N109:N118" si="116">M109-I109</f>
        <v>731.27999999999884</v>
      </c>
      <c r="O109" s="104">
        <f>IF(I109=0,0,N109/I109)</f>
        <v>6.0827469182013177E-2</v>
      </c>
      <c r="P109" s="104">
        <f>M109/M$115</f>
        <v>1.0699755700417108E-2</v>
      </c>
      <c r="Q109" s="105">
        <f>P109-J109</f>
        <v>-2.4084939872180688E-7</v>
      </c>
      <c r="R109" s="105"/>
      <c r="T109" s="4">
        <f>L109/H109-1</f>
        <v>6.0827469182013205E-2</v>
      </c>
    </row>
    <row r="110" spans="1:20" x14ac:dyDescent="0.2">
      <c r="A110" s="25">
        <f t="shared" si="58"/>
        <v>102</v>
      </c>
      <c r="C110" s="2"/>
      <c r="D110" s="91" t="s">
        <v>127</v>
      </c>
      <c r="E110" s="102">
        <v>0</v>
      </c>
      <c r="F110" s="92">
        <v>1854.38</v>
      </c>
      <c r="G110" s="103">
        <f t="shared" ref="G110:G112" si="117">F110*E110</f>
        <v>0</v>
      </c>
      <c r="H110" s="92">
        <v>1854.38</v>
      </c>
      <c r="I110" s="103">
        <f t="shared" ref="I110:I112" si="118">H110*E110</f>
        <v>0</v>
      </c>
      <c r="J110" s="104">
        <f t="shared" ref="J110:J114" si="119">I110/I$115</f>
        <v>0</v>
      </c>
      <c r="K110" s="104"/>
      <c r="L110" s="92">
        <f>ROUND(H110*S110,2)</f>
        <v>1967.18</v>
      </c>
      <c r="M110" s="103">
        <f t="shared" ref="M110:M112" si="120">L110*E110</f>
        <v>0</v>
      </c>
      <c r="N110" s="103">
        <f t="shared" si="116"/>
        <v>0</v>
      </c>
      <c r="O110" s="104">
        <f t="shared" ref="O110:O112" si="121">IF(I110=0,0,N110/I110)</f>
        <v>0</v>
      </c>
      <c r="P110" s="104">
        <f t="shared" ref="P110:P112" si="122">M110/M$115</f>
        <v>0</v>
      </c>
      <c r="Q110" s="105">
        <f t="shared" ref="Q110:Q112" si="123">P110-J110</f>
        <v>0</v>
      </c>
      <c r="R110" s="105"/>
      <c r="S110" s="137">
        <f>S115</f>
        <v>1.0608312808958442</v>
      </c>
      <c r="T110" s="4"/>
    </row>
    <row r="111" spans="1:20" x14ac:dyDescent="0.2">
      <c r="A111" s="25">
        <f t="shared" si="58"/>
        <v>103</v>
      </c>
      <c r="C111" s="2"/>
      <c r="D111" s="91" t="s">
        <v>128</v>
      </c>
      <c r="E111" s="102">
        <v>0</v>
      </c>
      <c r="F111" s="92">
        <v>3559.44</v>
      </c>
      <c r="G111" s="103">
        <f t="shared" si="117"/>
        <v>0</v>
      </c>
      <c r="H111" s="92">
        <v>3559.44</v>
      </c>
      <c r="I111" s="103">
        <f t="shared" si="118"/>
        <v>0</v>
      </c>
      <c r="J111" s="104">
        <f t="shared" si="119"/>
        <v>0</v>
      </c>
      <c r="K111" s="104"/>
      <c r="L111" s="92">
        <f t="shared" ref="L111:L112" si="124">ROUND(H111*S111,2)</f>
        <v>3775.97</v>
      </c>
      <c r="M111" s="103">
        <f t="shared" si="120"/>
        <v>0</v>
      </c>
      <c r="N111" s="103">
        <f t="shared" si="116"/>
        <v>0</v>
      </c>
      <c r="O111" s="104">
        <f t="shared" si="121"/>
        <v>0</v>
      </c>
      <c r="P111" s="104">
        <f t="shared" si="122"/>
        <v>0</v>
      </c>
      <c r="Q111" s="105">
        <f t="shared" si="123"/>
        <v>0</v>
      </c>
      <c r="R111" s="105"/>
      <c r="S111" s="137">
        <f>S115</f>
        <v>1.0608312808958442</v>
      </c>
      <c r="T111" s="4"/>
    </row>
    <row r="112" spans="1:20" x14ac:dyDescent="0.2">
      <c r="A112" s="25">
        <f t="shared" si="58"/>
        <v>104</v>
      </c>
      <c r="C112" s="2"/>
      <c r="D112" s="91" t="s">
        <v>129</v>
      </c>
      <c r="E112" s="102">
        <v>0</v>
      </c>
      <c r="F112" s="92">
        <v>5649.73</v>
      </c>
      <c r="G112" s="103">
        <f t="shared" si="117"/>
        <v>0</v>
      </c>
      <c r="H112" s="92">
        <v>5649.73</v>
      </c>
      <c r="I112" s="103">
        <f t="shared" si="118"/>
        <v>0</v>
      </c>
      <c r="J112" s="104">
        <f t="shared" si="119"/>
        <v>0</v>
      </c>
      <c r="K112" s="104"/>
      <c r="L112" s="92">
        <f t="shared" si="124"/>
        <v>5993.41</v>
      </c>
      <c r="M112" s="103">
        <f t="shared" si="120"/>
        <v>0</v>
      </c>
      <c r="N112" s="103">
        <f t="shared" si="116"/>
        <v>0</v>
      </c>
      <c r="O112" s="104">
        <f t="shared" si="121"/>
        <v>0</v>
      </c>
      <c r="P112" s="104">
        <f t="shared" si="122"/>
        <v>0</v>
      </c>
      <c r="Q112" s="105">
        <f t="shared" si="123"/>
        <v>0</v>
      </c>
      <c r="R112" s="105"/>
      <c r="S112" s="137">
        <f>S115</f>
        <v>1.0608312808958442</v>
      </c>
      <c r="T112" s="4"/>
    </row>
    <row r="113" spans="1:25" x14ac:dyDescent="0.2">
      <c r="A113" s="25">
        <f t="shared" si="58"/>
        <v>105</v>
      </c>
      <c r="D113" s="91" t="s">
        <v>46</v>
      </c>
      <c r="E113" s="102">
        <v>31674</v>
      </c>
      <c r="F113" s="92">
        <v>9.83</v>
      </c>
      <c r="G113" s="103">
        <f t="shared" ref="G113" si="125">F113*E113</f>
        <v>311355.42</v>
      </c>
      <c r="H113" s="92">
        <v>9.83</v>
      </c>
      <c r="I113" s="103">
        <f t="shared" ref="I113:I114" si="126">H113*E113</f>
        <v>311355.42</v>
      </c>
      <c r="J113" s="104">
        <f t="shared" si="119"/>
        <v>0.27711250185211178</v>
      </c>
      <c r="K113" s="104"/>
      <c r="L113" s="92">
        <f>ROUND(H113*S115,2)</f>
        <v>10.43</v>
      </c>
      <c r="M113" s="103">
        <f t="shared" ref="M113:M114" si="127">L113*E113</f>
        <v>330359.82</v>
      </c>
      <c r="N113" s="103">
        <f t="shared" si="116"/>
        <v>19004.400000000023</v>
      </c>
      <c r="O113" s="104">
        <f t="shared" ref="O113" si="128">IF(I113=0,0,N113/I113)</f>
        <v>6.10376398779248E-2</v>
      </c>
      <c r="P113" s="104">
        <f>M113/M115</f>
        <v>0.27716116442208477</v>
      </c>
      <c r="Q113" s="105">
        <f t="shared" ref="Q113" si="129">P113-J113</f>
        <v>4.8662569972990344E-5</v>
      </c>
      <c r="R113" s="105"/>
      <c r="T113" s="4">
        <f t="shared" ref="T113" si="130">L113/H113-1</f>
        <v>6.1037639877924654E-2</v>
      </c>
      <c r="X113" s="5"/>
      <c r="Y113" s="5"/>
    </row>
    <row r="114" spans="1:25" x14ac:dyDescent="0.2">
      <c r="A114" s="25">
        <f t="shared" si="58"/>
        <v>106</v>
      </c>
      <c r="B114" s="10"/>
      <c r="D114" s="91" t="s">
        <v>45</v>
      </c>
      <c r="E114" s="102">
        <v>13856153</v>
      </c>
      <c r="F114" s="93">
        <v>4.6050000000000001E-2</v>
      </c>
      <c r="G114" s="103">
        <f t="shared" ref="G114" si="131">F114*E114</f>
        <v>638075.84565000003</v>
      </c>
      <c r="H114" s="93">
        <v>5.7750000000000003E-2</v>
      </c>
      <c r="I114" s="103">
        <f t="shared" si="126"/>
        <v>800192.83575000009</v>
      </c>
      <c r="J114" s="104">
        <f t="shared" si="119"/>
        <v>0.71218750159807231</v>
      </c>
      <c r="K114" s="104"/>
      <c r="L114" s="106">
        <f>ROUND(H114*S115,5)</f>
        <v>6.1260000000000002E-2</v>
      </c>
      <c r="M114" s="103">
        <f t="shared" si="127"/>
        <v>848827.93278000003</v>
      </c>
      <c r="N114" s="103">
        <f t="shared" si="116"/>
        <v>48635.097029999946</v>
      </c>
      <c r="O114" s="104">
        <f t="shared" ref="O114" si="132">IF(I114=0,0,N114/I114)</f>
        <v>6.0779220779220704E-2</v>
      </c>
      <c r="P114" s="104">
        <f>M114/M115</f>
        <v>0.71213907987749814</v>
      </c>
      <c r="Q114" s="105">
        <f t="shared" ref="Q114:Q115" si="133">P114-J114</f>
        <v>-4.8421720574176597E-5</v>
      </c>
      <c r="R114" s="105"/>
      <c r="T114" s="4">
        <f>L114/H114-1</f>
        <v>6.0779220779220822E-2</v>
      </c>
    </row>
    <row r="115" spans="1:25" s="5" customFormat="1" ht="20.45" customHeight="1" x14ac:dyDescent="0.25">
      <c r="A115" s="25">
        <f t="shared" si="58"/>
        <v>107</v>
      </c>
      <c r="C115" s="12"/>
      <c r="D115" s="107" t="s">
        <v>6</v>
      </c>
      <c r="E115" s="107"/>
      <c r="F115" s="107"/>
      <c r="G115" s="14">
        <f>SUM(G109:G114)</f>
        <v>961453.46565000003</v>
      </c>
      <c r="H115" s="107"/>
      <c r="I115" s="14">
        <f>SUM(I109:I114)</f>
        <v>1123570.4557500002</v>
      </c>
      <c r="J115" s="108">
        <f>SUM(J109:J114)</f>
        <v>1</v>
      </c>
      <c r="K115" s="109">
        <f>I115+Summary!I14</f>
        <v>1191918.6857500002</v>
      </c>
      <c r="L115" s="107"/>
      <c r="M115" s="14">
        <f>SUM(M109:M114)</f>
        <v>1191941.23278</v>
      </c>
      <c r="N115" s="14">
        <f>SUM(N109:N114)</f>
        <v>68370.777029999968</v>
      </c>
      <c r="O115" s="108">
        <f t="shared" ref="O115" si="134">N115/I115</f>
        <v>6.0851348199932369E-2</v>
      </c>
      <c r="P115" s="108">
        <f>SUM(P109:P114)</f>
        <v>1</v>
      </c>
      <c r="Q115" s="143">
        <f t="shared" si="133"/>
        <v>0</v>
      </c>
      <c r="R115" s="110">
        <f>M115-K115</f>
        <v>22.547029999783263</v>
      </c>
      <c r="S115" s="62">
        <f>K115/I115</f>
        <v>1.0608312808958442</v>
      </c>
    </row>
    <row r="116" spans="1:25" x14ac:dyDescent="0.2">
      <c r="A116" s="25">
        <f t="shared" ref="A116:A191" si="135">A115+1</f>
        <v>108</v>
      </c>
      <c r="D116" s="91" t="s">
        <v>25</v>
      </c>
      <c r="G116" s="103">
        <v>167411.89999999997</v>
      </c>
      <c r="I116" s="111">
        <f>G116-(E114*$H$278)</f>
        <v>5294.9098999999696</v>
      </c>
      <c r="K116" s="111">
        <f>K115-I115</f>
        <v>68348.229999999981</v>
      </c>
      <c r="M116" s="103">
        <f>I116</f>
        <v>5294.9098999999696</v>
      </c>
      <c r="N116" s="103">
        <f t="shared" si="116"/>
        <v>0</v>
      </c>
      <c r="O116" s="92">
        <v>0</v>
      </c>
      <c r="R116" s="112"/>
    </row>
    <row r="117" spans="1:25" x14ac:dyDescent="0.2">
      <c r="A117" s="25">
        <f t="shared" si="135"/>
        <v>109</v>
      </c>
      <c r="D117" s="91" t="s">
        <v>26</v>
      </c>
      <c r="G117" s="103">
        <v>137127.12</v>
      </c>
      <c r="I117" s="111">
        <f>G117</f>
        <v>137127.12</v>
      </c>
      <c r="M117" s="103">
        <f t="shared" ref="M117:M119" si="136">I117</f>
        <v>137127.12</v>
      </c>
      <c r="N117" s="103">
        <f t="shared" si="116"/>
        <v>0</v>
      </c>
      <c r="O117" s="92">
        <v>0</v>
      </c>
    </row>
    <row r="118" spans="1:25" x14ac:dyDescent="0.2">
      <c r="A118" s="25">
        <f t="shared" si="135"/>
        <v>110</v>
      </c>
      <c r="D118" s="91" t="s">
        <v>38</v>
      </c>
      <c r="G118" s="103">
        <v>0</v>
      </c>
      <c r="I118" s="111">
        <f>G118</f>
        <v>0</v>
      </c>
      <c r="M118" s="103">
        <f t="shared" si="136"/>
        <v>0</v>
      </c>
      <c r="N118" s="103">
        <f t="shared" si="116"/>
        <v>0</v>
      </c>
      <c r="O118" s="92">
        <v>0</v>
      </c>
    </row>
    <row r="119" spans="1:25" x14ac:dyDescent="0.2">
      <c r="A119" s="25">
        <f t="shared" si="135"/>
        <v>111</v>
      </c>
      <c r="D119" s="91" t="s">
        <v>37</v>
      </c>
      <c r="G119" s="103">
        <v>0</v>
      </c>
      <c r="I119" s="111">
        <f>G119</f>
        <v>0</v>
      </c>
      <c r="M119" s="103">
        <f t="shared" si="136"/>
        <v>0</v>
      </c>
      <c r="N119" s="103"/>
      <c r="O119" s="92">
        <v>0</v>
      </c>
    </row>
    <row r="120" spans="1:25" x14ac:dyDescent="0.2">
      <c r="A120" s="25">
        <f t="shared" si="135"/>
        <v>112</v>
      </c>
      <c r="D120" s="113" t="s">
        <v>8</v>
      </c>
      <c r="E120" s="113"/>
      <c r="F120" s="113"/>
      <c r="G120" s="114">
        <f>SUM(G116:G119)</f>
        <v>304539.01999999996</v>
      </c>
      <c r="H120" s="113"/>
      <c r="I120" s="114">
        <f>SUM(I116:I119)</f>
        <v>142422.02989999996</v>
      </c>
      <c r="J120" s="113"/>
      <c r="K120" s="113"/>
      <c r="L120" s="113"/>
      <c r="M120" s="114">
        <f>SUM(M116:M119)</f>
        <v>142422.02989999996</v>
      </c>
      <c r="N120" s="114">
        <f>M120-I120</f>
        <v>0</v>
      </c>
      <c r="O120" s="115">
        <v>0</v>
      </c>
    </row>
    <row r="121" spans="1:25" s="5" customFormat="1" ht="26.45" customHeight="1" thickBot="1" x14ac:dyDescent="0.25">
      <c r="A121" s="25">
        <f t="shared" si="135"/>
        <v>113</v>
      </c>
      <c r="C121" s="12"/>
      <c r="D121" s="116" t="s">
        <v>18</v>
      </c>
      <c r="E121" s="116"/>
      <c r="F121" s="116"/>
      <c r="G121" s="117">
        <f>G115+G120</f>
        <v>1265992.4856499999</v>
      </c>
      <c r="H121" s="116"/>
      <c r="I121" s="118">
        <f>I120+I115</f>
        <v>1265992.4856500002</v>
      </c>
      <c r="J121" s="116"/>
      <c r="K121" s="116"/>
      <c r="L121" s="116"/>
      <c r="M121" s="117">
        <f>M120+M115</f>
        <v>1334363.2626799999</v>
      </c>
      <c r="N121" s="117">
        <f>M121-I121</f>
        <v>68370.777029999765</v>
      </c>
      <c r="O121" s="119">
        <f>N121/I121</f>
        <v>5.4005673655239797E-2</v>
      </c>
      <c r="P121" s="91"/>
      <c r="Q121" s="91"/>
      <c r="R121" s="91"/>
    </row>
    <row r="122" spans="1:25" ht="13.5" thickTop="1" x14ac:dyDescent="0.2">
      <c r="A122" s="25">
        <f t="shared" si="135"/>
        <v>114</v>
      </c>
      <c r="D122" s="91" t="s">
        <v>17</v>
      </c>
      <c r="E122" s="92">
        <f>E114/E109</f>
        <v>1154679.4166666667</v>
      </c>
      <c r="G122" s="120">
        <f>G121/E109</f>
        <v>105499.37380416667</v>
      </c>
      <c r="I122" s="120">
        <f>I121/E109</f>
        <v>105499.37380416668</v>
      </c>
      <c r="M122" s="120">
        <f>M121/E109</f>
        <v>111196.93855666666</v>
      </c>
      <c r="N122" s="120">
        <f>M122-I122</f>
        <v>5697.5647524999804</v>
      </c>
      <c r="O122" s="104">
        <f>N122/I122</f>
        <v>5.4005673655239797E-2</v>
      </c>
    </row>
    <row r="123" spans="1:25" ht="13.5" thickBot="1" x14ac:dyDescent="0.25">
      <c r="A123" s="25">
        <f t="shared" si="135"/>
        <v>115</v>
      </c>
    </row>
    <row r="124" spans="1:25" x14ac:dyDescent="0.2">
      <c r="A124" s="25">
        <f t="shared" si="135"/>
        <v>116</v>
      </c>
      <c r="B124" s="19" t="s">
        <v>80</v>
      </c>
      <c r="C124" s="20">
        <v>41</v>
      </c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</row>
    <row r="125" spans="1:25" x14ac:dyDescent="0.2">
      <c r="A125" s="25">
        <f t="shared" si="135"/>
        <v>117</v>
      </c>
      <c r="C125" s="2"/>
      <c r="D125" s="91" t="s">
        <v>16</v>
      </c>
      <c r="E125" s="102">
        <v>2836</v>
      </c>
      <c r="F125" s="92">
        <f>F8</f>
        <v>9.1999999999999993</v>
      </c>
      <c r="G125" s="103">
        <f>F125*E125</f>
        <v>26091.199999999997</v>
      </c>
      <c r="H125" s="92">
        <f>H8</f>
        <v>9.1999999999999993</v>
      </c>
      <c r="I125" s="103">
        <f>H125*E125</f>
        <v>26091.199999999997</v>
      </c>
      <c r="J125" s="104">
        <f>I125/I127</f>
        <v>8.0018990498209985E-2</v>
      </c>
      <c r="K125" s="104"/>
      <c r="L125" s="92">
        <f>L8</f>
        <v>9.76</v>
      </c>
      <c r="M125" s="103">
        <f>L125*E125</f>
        <v>27679.360000000001</v>
      </c>
      <c r="N125" s="103">
        <f>M125-I125</f>
        <v>1588.1600000000035</v>
      </c>
      <c r="O125" s="104">
        <f>IF(I125=0,0,N125/I125)</f>
        <v>6.0869565217391446E-2</v>
      </c>
      <c r="P125" s="104">
        <f>M125/M127</f>
        <v>8.001885668993175E-2</v>
      </c>
      <c r="Q125" s="105">
        <f>P125-J125</f>
        <v>-1.3380827823539221E-7</v>
      </c>
      <c r="R125" s="105"/>
      <c r="T125" s="4">
        <f>L125/H125-1</f>
        <v>6.0869565217391397E-2</v>
      </c>
    </row>
    <row r="126" spans="1:25" x14ac:dyDescent="0.2">
      <c r="A126" s="25">
        <f t="shared" si="135"/>
        <v>118</v>
      </c>
      <c r="D126" s="91" t="s">
        <v>45</v>
      </c>
      <c r="E126" s="102">
        <v>3325994</v>
      </c>
      <c r="F126" s="93">
        <f>F9</f>
        <v>7.8490000000000004E-2</v>
      </c>
      <c r="G126" s="103">
        <f t="shared" ref="G126" si="137">F126*E126</f>
        <v>261057.26906000002</v>
      </c>
      <c r="H126" s="93">
        <f>H9</f>
        <v>9.0190000000000006E-2</v>
      </c>
      <c r="I126" s="103">
        <f t="shared" ref="I126" si="138">H126*E126</f>
        <v>299971.39886000002</v>
      </c>
      <c r="J126" s="104">
        <f>I126/I127</f>
        <v>0.91998100950178996</v>
      </c>
      <c r="K126" s="104"/>
      <c r="L126" s="93">
        <f>L9</f>
        <v>9.5680000000000001E-2</v>
      </c>
      <c r="M126" s="103">
        <f t="shared" ref="M126" si="139">L126*E126</f>
        <v>318231.10592</v>
      </c>
      <c r="N126" s="103">
        <f t="shared" ref="N126:N130" si="140">M126-I126</f>
        <v>18259.707059999986</v>
      </c>
      <c r="O126" s="104">
        <f t="shared" ref="O126" si="141">IF(I126=0,0,N126/I126)</f>
        <v>6.0871493513693267E-2</v>
      </c>
      <c r="P126" s="104">
        <f>M126/M127</f>
        <v>0.91998114331006831</v>
      </c>
      <c r="Q126" s="105">
        <f t="shared" ref="Q126:Q127" si="142">P126-J126</f>
        <v>1.3380827834641451E-7</v>
      </c>
      <c r="R126" s="105"/>
      <c r="T126" s="4">
        <f>L126/H126-1</f>
        <v>6.0871493513693142E-2</v>
      </c>
    </row>
    <row r="127" spans="1:25" s="5" customFormat="1" ht="20.45" customHeight="1" x14ac:dyDescent="0.25">
      <c r="A127" s="25">
        <f t="shared" si="135"/>
        <v>119</v>
      </c>
      <c r="C127" s="12"/>
      <c r="D127" s="107" t="s">
        <v>6</v>
      </c>
      <c r="E127" s="107"/>
      <c r="F127" s="107"/>
      <c r="G127" s="14">
        <f>SUM(G125:G126)</f>
        <v>287148.46906000003</v>
      </c>
      <c r="H127" s="107"/>
      <c r="I127" s="14">
        <f>SUM(I125:I126)</f>
        <v>326062.59886000003</v>
      </c>
      <c r="J127" s="108">
        <f>SUM(J125:J126)</f>
        <v>1</v>
      </c>
      <c r="K127" s="109">
        <f>I127+Summary!I15</f>
        <v>345897.39886000002</v>
      </c>
      <c r="L127" s="107"/>
      <c r="M127" s="14">
        <f>SUM(M125:M126)</f>
        <v>345910.46591999999</v>
      </c>
      <c r="N127" s="14">
        <f>SUM(N125:N126)</f>
        <v>19847.86705999999</v>
      </c>
      <c r="O127" s="108">
        <f t="shared" ref="O127" si="143">N127/I127</f>
        <v>6.0871339213369811E-2</v>
      </c>
      <c r="P127" s="108">
        <f>SUM(P125:P126)</f>
        <v>1</v>
      </c>
      <c r="Q127" s="143">
        <f t="shared" si="142"/>
        <v>0</v>
      </c>
      <c r="R127" s="110">
        <f>M127-K127</f>
        <v>13.067059999972116</v>
      </c>
      <c r="S127" s="62">
        <f>K127/I127</f>
        <v>1.0608312639025379</v>
      </c>
    </row>
    <row r="128" spans="1:25" x14ac:dyDescent="0.2">
      <c r="A128" s="25">
        <f t="shared" si="135"/>
        <v>120</v>
      </c>
      <c r="D128" s="91" t="s">
        <v>25</v>
      </c>
      <c r="G128" s="103">
        <v>25286.170000000002</v>
      </c>
      <c r="I128" s="111">
        <f>G128-(E126*$H$278)</f>
        <v>-13627.959800000001</v>
      </c>
      <c r="K128" s="111"/>
      <c r="M128" s="103">
        <f>I128</f>
        <v>-13627.959800000001</v>
      </c>
      <c r="N128" s="103">
        <f t="shared" si="140"/>
        <v>0</v>
      </c>
      <c r="O128" s="92">
        <v>0</v>
      </c>
    </row>
    <row r="129" spans="1:20" x14ac:dyDescent="0.2">
      <c r="A129" s="25">
        <f t="shared" si="135"/>
        <v>121</v>
      </c>
      <c r="D129" s="91" t="s">
        <v>26</v>
      </c>
      <c r="G129" s="103">
        <v>27667.270000000004</v>
      </c>
      <c r="I129" s="111">
        <f t="shared" ref="I129:I131" si="144">G129</f>
        <v>27667.270000000004</v>
      </c>
      <c r="M129" s="103">
        <f t="shared" ref="M129:M131" si="145">I129</f>
        <v>27667.270000000004</v>
      </c>
      <c r="N129" s="103">
        <f t="shared" si="140"/>
        <v>0</v>
      </c>
      <c r="O129" s="92">
        <v>0</v>
      </c>
    </row>
    <row r="130" spans="1:20" x14ac:dyDescent="0.2">
      <c r="A130" s="25">
        <f t="shared" si="135"/>
        <v>122</v>
      </c>
      <c r="D130" s="91" t="s">
        <v>28</v>
      </c>
      <c r="G130" s="103">
        <v>0</v>
      </c>
      <c r="I130" s="111">
        <f t="shared" si="144"/>
        <v>0</v>
      </c>
      <c r="M130" s="103">
        <f t="shared" si="145"/>
        <v>0</v>
      </c>
      <c r="N130" s="103">
        <f t="shared" si="140"/>
        <v>0</v>
      </c>
      <c r="O130" s="92">
        <v>0</v>
      </c>
    </row>
    <row r="131" spans="1:20" x14ac:dyDescent="0.2">
      <c r="A131" s="25">
        <f t="shared" si="135"/>
        <v>123</v>
      </c>
      <c r="D131" s="91" t="s">
        <v>37</v>
      </c>
      <c r="G131" s="103">
        <v>0</v>
      </c>
      <c r="I131" s="111">
        <f t="shared" si="144"/>
        <v>0</v>
      </c>
      <c r="M131" s="103">
        <f t="shared" si="145"/>
        <v>0</v>
      </c>
      <c r="N131" s="103"/>
      <c r="O131" s="92"/>
    </row>
    <row r="132" spans="1:20" x14ac:dyDescent="0.2">
      <c r="A132" s="25">
        <f t="shared" si="135"/>
        <v>124</v>
      </c>
      <c r="D132" s="113" t="s">
        <v>8</v>
      </c>
      <c r="E132" s="113"/>
      <c r="F132" s="113"/>
      <c r="G132" s="114">
        <f>SUM(G128:G131)</f>
        <v>52953.440000000002</v>
      </c>
      <c r="H132" s="113"/>
      <c r="I132" s="114">
        <f>SUM(I128:I131)</f>
        <v>14039.310200000004</v>
      </c>
      <c r="J132" s="113"/>
      <c r="K132" s="113"/>
      <c r="L132" s="113"/>
      <c r="M132" s="114">
        <f>SUM(M128:M131)</f>
        <v>14039.310200000004</v>
      </c>
      <c r="N132" s="114">
        <f t="shared" ref="N132:N134" si="146">M132-I132</f>
        <v>0</v>
      </c>
      <c r="O132" s="115">
        <f t="shared" ref="O132" si="147">N132-J132</f>
        <v>0</v>
      </c>
    </row>
    <row r="133" spans="1:20" s="5" customFormat="1" ht="26.45" customHeight="1" thickBot="1" x14ac:dyDescent="0.25">
      <c r="A133" s="25">
        <f t="shared" si="135"/>
        <v>125</v>
      </c>
      <c r="C133" s="12"/>
      <c r="D133" s="116" t="s">
        <v>18</v>
      </c>
      <c r="E133" s="116"/>
      <c r="F133" s="116"/>
      <c r="G133" s="117">
        <f>G127+G132</f>
        <v>340101.90906000003</v>
      </c>
      <c r="H133" s="116"/>
      <c r="I133" s="118">
        <f>I132+I127</f>
        <v>340101.90906000003</v>
      </c>
      <c r="J133" s="116"/>
      <c r="K133" s="116"/>
      <c r="L133" s="116"/>
      <c r="M133" s="117">
        <f>M132+M127</f>
        <v>359949.77611999999</v>
      </c>
      <c r="N133" s="117">
        <f t="shared" si="146"/>
        <v>19847.86705999996</v>
      </c>
      <c r="O133" s="119">
        <f>N133/I133</f>
        <v>5.8358587621154583E-2</v>
      </c>
      <c r="P133" s="91"/>
      <c r="Q133" s="91"/>
      <c r="R133" s="91"/>
    </row>
    <row r="134" spans="1:20" ht="13.5" thickTop="1" x14ac:dyDescent="0.2">
      <c r="A134" s="25">
        <f t="shared" si="135"/>
        <v>126</v>
      </c>
      <c r="D134" s="91" t="s">
        <v>17</v>
      </c>
      <c r="E134" s="92">
        <f>E126/E125</f>
        <v>1172.7764456981665</v>
      </c>
      <c r="G134" s="120">
        <f>G133/E125</f>
        <v>119.92309910437237</v>
      </c>
      <c r="I134" s="120">
        <f>I133/E125</f>
        <v>119.92309910437237</v>
      </c>
      <c r="M134" s="120">
        <f>M133/E125</f>
        <v>126.92164179125528</v>
      </c>
      <c r="N134" s="120">
        <f t="shared" si="146"/>
        <v>6.9985426868829137</v>
      </c>
      <c r="O134" s="104">
        <f>N134/I134</f>
        <v>5.8358587621154534E-2</v>
      </c>
    </row>
    <row r="135" spans="1:20" ht="13.5" thickBot="1" x14ac:dyDescent="0.25">
      <c r="A135" s="25">
        <f t="shared" si="135"/>
        <v>127</v>
      </c>
    </row>
    <row r="136" spans="1:20" x14ac:dyDescent="0.2">
      <c r="A136" s="25">
        <f t="shared" si="135"/>
        <v>128</v>
      </c>
      <c r="B136" s="19" t="s">
        <v>81</v>
      </c>
      <c r="C136" s="20">
        <v>43</v>
      </c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</row>
    <row r="137" spans="1:20" x14ac:dyDescent="0.2">
      <c r="A137" s="25">
        <f t="shared" si="135"/>
        <v>129</v>
      </c>
      <c r="C137" s="2"/>
      <c r="D137" s="91" t="s">
        <v>16</v>
      </c>
      <c r="E137" s="102">
        <v>12</v>
      </c>
      <c r="F137" s="92">
        <v>0</v>
      </c>
      <c r="G137" s="103">
        <f>F137*E137</f>
        <v>0</v>
      </c>
      <c r="H137" s="92">
        <v>0</v>
      </c>
      <c r="I137" s="103">
        <f>H137*E137</f>
        <v>0</v>
      </c>
      <c r="J137" s="104">
        <f>I137/I140</f>
        <v>0</v>
      </c>
      <c r="K137" s="104"/>
      <c r="L137" s="92">
        <v>0</v>
      </c>
      <c r="M137" s="103">
        <f>L137*E137</f>
        <v>0</v>
      </c>
      <c r="N137" s="103">
        <f>M137-I137</f>
        <v>0</v>
      </c>
      <c r="O137" s="104">
        <f>IF(I137=0,0,N137/I137)</f>
        <v>0</v>
      </c>
      <c r="P137" s="104">
        <f>M137/M140</f>
        <v>0</v>
      </c>
      <c r="Q137" s="105">
        <f>P137-J137</f>
        <v>0</v>
      </c>
      <c r="R137" s="105"/>
      <c r="T137" s="4"/>
    </row>
    <row r="138" spans="1:20" x14ac:dyDescent="0.2">
      <c r="A138" s="25">
        <f t="shared" si="135"/>
        <v>130</v>
      </c>
      <c r="D138" s="91" t="s">
        <v>46</v>
      </c>
      <c r="E138" s="102">
        <v>2798.76</v>
      </c>
      <c r="F138" s="92">
        <f>F45</f>
        <v>6.97</v>
      </c>
      <c r="G138" s="103">
        <f t="shared" ref="G138" si="148">F138*E138</f>
        <v>19507.357200000002</v>
      </c>
      <c r="H138" s="92">
        <f>H45</f>
        <v>6.97</v>
      </c>
      <c r="I138" s="103">
        <f t="shared" ref="I138" si="149">H138*E138</f>
        <v>19507.357200000002</v>
      </c>
      <c r="J138" s="104">
        <f>I138/I140</f>
        <v>0.19422947169280602</v>
      </c>
      <c r="K138" s="104"/>
      <c r="L138" s="92">
        <f>L45</f>
        <v>7.39</v>
      </c>
      <c r="M138" s="103">
        <f t="shared" ref="M138" si="150">L138*E138</f>
        <v>20682.8364</v>
      </c>
      <c r="N138" s="103">
        <f t="shared" ref="N138" si="151">M138-I138</f>
        <v>1175.4791999999979</v>
      </c>
      <c r="O138" s="104">
        <f t="shared" ref="O138" si="152">IF(I138=0,0,N138/I138)</f>
        <v>6.025824964131983E-2</v>
      </c>
      <c r="P138" s="104">
        <f>M138/M140</f>
        <v>0.19415269305367103</v>
      </c>
      <c r="Q138" s="105">
        <f t="shared" ref="Q138" si="153">P138-J138</f>
        <v>-7.6778639134994497E-5</v>
      </c>
      <c r="R138" s="105"/>
      <c r="T138" s="4">
        <f>L138/H138-1</f>
        <v>6.0258249641319983E-2</v>
      </c>
    </row>
    <row r="139" spans="1:20" x14ac:dyDescent="0.2">
      <c r="A139" s="25">
        <f t="shared" si="135"/>
        <v>131</v>
      </c>
      <c r="D139" s="91" t="s">
        <v>45</v>
      </c>
      <c r="E139" s="102">
        <v>1071600</v>
      </c>
      <c r="F139" s="93">
        <f>F46</f>
        <v>6.3820000000000002E-2</v>
      </c>
      <c r="G139" s="103">
        <f t="shared" ref="G139" si="154">F139*E139</f>
        <v>68389.512000000002</v>
      </c>
      <c r="H139" s="93">
        <f>H46</f>
        <v>7.5520000000000004E-2</v>
      </c>
      <c r="I139" s="103">
        <f t="shared" ref="I139" si="155">H139*E139</f>
        <v>80927.232000000004</v>
      </c>
      <c r="J139" s="104">
        <f>I139/I140</f>
        <v>0.80577052830719398</v>
      </c>
      <c r="K139" s="104"/>
      <c r="L139" s="93">
        <f>L46</f>
        <v>8.0110000000000001E-2</v>
      </c>
      <c r="M139" s="103">
        <f t="shared" ref="M139" si="156">L139*E139</f>
        <v>85845.876000000004</v>
      </c>
      <c r="N139" s="103">
        <f t="shared" ref="N139:N143" si="157">M139-I139</f>
        <v>4918.6440000000002</v>
      </c>
      <c r="O139" s="104">
        <f t="shared" ref="O139" si="158">IF(I139=0,0,N139/I139)</f>
        <v>6.0778601694915252E-2</v>
      </c>
      <c r="P139" s="104">
        <f>M139/M140</f>
        <v>0.805847306946329</v>
      </c>
      <c r="Q139" s="105">
        <f t="shared" ref="Q139:Q140" si="159">P139-J139</f>
        <v>7.6778639135022253E-5</v>
      </c>
      <c r="R139" s="105"/>
      <c r="T139" s="4">
        <f>L139/H139-1</f>
        <v>6.0778601694915224E-2</v>
      </c>
    </row>
    <row r="140" spans="1:20" s="5" customFormat="1" ht="20.45" customHeight="1" x14ac:dyDescent="0.25">
      <c r="A140" s="25">
        <f t="shared" si="135"/>
        <v>132</v>
      </c>
      <c r="C140" s="12"/>
      <c r="D140" s="107" t="s">
        <v>6</v>
      </c>
      <c r="E140" s="107"/>
      <c r="F140" s="107"/>
      <c r="G140" s="14">
        <f>SUM(G137:G139)</f>
        <v>87896.869200000001</v>
      </c>
      <c r="H140" s="107"/>
      <c r="I140" s="14">
        <f>SUM(I137:I139)</f>
        <v>100434.5892</v>
      </c>
      <c r="J140" s="108">
        <f>SUM(J137:J139)</f>
        <v>1</v>
      </c>
      <c r="K140" s="109">
        <f>I140+Summary!I16</f>
        <v>106544.1492</v>
      </c>
      <c r="L140" s="107"/>
      <c r="M140" s="14">
        <f>SUM(M137:M139)</f>
        <v>106528.7124</v>
      </c>
      <c r="N140" s="14">
        <f>SUM(N137:N139)</f>
        <v>6094.1231999999982</v>
      </c>
      <c r="O140" s="108">
        <f t="shared" ref="O140" si="160">N140/I140</f>
        <v>6.067753399045115E-2</v>
      </c>
      <c r="P140" s="108">
        <f>SUM(P137:P139)</f>
        <v>1</v>
      </c>
      <c r="Q140" s="143">
        <f t="shared" si="159"/>
        <v>0</v>
      </c>
      <c r="R140" s="110">
        <f>M140-K140</f>
        <v>-15.436799999995856</v>
      </c>
      <c r="S140" s="62">
        <f>K140/I140</f>
        <v>1.0608312340266932</v>
      </c>
    </row>
    <row r="141" spans="1:20" x14ac:dyDescent="0.2">
      <c r="A141" s="25">
        <f t="shared" si="135"/>
        <v>133</v>
      </c>
      <c r="D141" s="91" t="s">
        <v>25</v>
      </c>
      <c r="G141" s="103">
        <v>12194.68</v>
      </c>
      <c r="I141" s="111">
        <f>G141-(E139*$H$278)</f>
        <v>-343.04000000000087</v>
      </c>
      <c r="K141" s="111"/>
      <c r="M141" s="103">
        <f>I141</f>
        <v>-343.04000000000087</v>
      </c>
      <c r="N141" s="103">
        <f t="shared" si="157"/>
        <v>0</v>
      </c>
      <c r="O141" s="92">
        <v>0</v>
      </c>
    </row>
    <row r="142" spans="1:20" x14ac:dyDescent="0.2">
      <c r="A142" s="25">
        <f t="shared" si="135"/>
        <v>134</v>
      </c>
      <c r="D142" s="91" t="s">
        <v>26</v>
      </c>
      <c r="G142" s="103">
        <v>13093.52</v>
      </c>
      <c r="I142" s="111">
        <f t="shared" ref="I142:I144" si="161">G142</f>
        <v>13093.52</v>
      </c>
      <c r="M142" s="103">
        <f t="shared" ref="M142:M144" si="162">I142</f>
        <v>13093.52</v>
      </c>
      <c r="N142" s="103">
        <f t="shared" si="157"/>
        <v>0</v>
      </c>
      <c r="O142" s="92">
        <v>0</v>
      </c>
    </row>
    <row r="143" spans="1:20" x14ac:dyDescent="0.2">
      <c r="A143" s="25">
        <f t="shared" si="135"/>
        <v>135</v>
      </c>
      <c r="D143" s="91" t="s">
        <v>28</v>
      </c>
      <c r="G143" s="103">
        <v>0</v>
      </c>
      <c r="I143" s="111">
        <f t="shared" si="161"/>
        <v>0</v>
      </c>
      <c r="M143" s="103">
        <f t="shared" si="162"/>
        <v>0</v>
      </c>
      <c r="N143" s="103">
        <f t="shared" si="157"/>
        <v>0</v>
      </c>
      <c r="O143" s="92">
        <v>0</v>
      </c>
    </row>
    <row r="144" spans="1:20" x14ac:dyDescent="0.2">
      <c r="A144" s="25">
        <f t="shared" si="135"/>
        <v>136</v>
      </c>
      <c r="D144" s="91" t="s">
        <v>37</v>
      </c>
      <c r="G144" s="103">
        <v>0</v>
      </c>
      <c r="I144" s="111">
        <f t="shared" si="161"/>
        <v>0</v>
      </c>
      <c r="M144" s="103">
        <f t="shared" si="162"/>
        <v>0</v>
      </c>
      <c r="N144" s="103"/>
      <c r="O144" s="92"/>
    </row>
    <row r="145" spans="1:20" x14ac:dyDescent="0.2">
      <c r="A145" s="25">
        <f t="shared" si="135"/>
        <v>137</v>
      </c>
      <c r="D145" s="113" t="s">
        <v>8</v>
      </c>
      <c r="E145" s="113"/>
      <c r="F145" s="113"/>
      <c r="G145" s="114">
        <f>SUM(G141:G144)</f>
        <v>25288.2</v>
      </c>
      <c r="H145" s="113"/>
      <c r="I145" s="114">
        <f>SUM(I141:I144)</f>
        <v>12750.48</v>
      </c>
      <c r="J145" s="113"/>
      <c r="K145" s="113"/>
      <c r="L145" s="113"/>
      <c r="M145" s="114">
        <f>SUM(M141:M144)</f>
        <v>12750.48</v>
      </c>
      <c r="N145" s="114">
        <f t="shared" ref="N145:N147" si="163">M145-I145</f>
        <v>0</v>
      </c>
      <c r="O145" s="115">
        <f t="shared" ref="O145" si="164">N145-J145</f>
        <v>0</v>
      </c>
    </row>
    <row r="146" spans="1:20" s="5" customFormat="1" ht="26.45" customHeight="1" thickBot="1" x14ac:dyDescent="0.25">
      <c r="A146" s="25">
        <f t="shared" si="135"/>
        <v>138</v>
      </c>
      <c r="C146" s="12"/>
      <c r="D146" s="116" t="s">
        <v>18</v>
      </c>
      <c r="E146" s="116"/>
      <c r="F146" s="116"/>
      <c r="G146" s="117">
        <f>G140+G145</f>
        <v>113185.0692</v>
      </c>
      <c r="H146" s="116"/>
      <c r="I146" s="118">
        <f>I145+I140</f>
        <v>113185.0692</v>
      </c>
      <c r="J146" s="116"/>
      <c r="K146" s="116"/>
      <c r="L146" s="116"/>
      <c r="M146" s="117">
        <f>M145+M140</f>
        <v>119279.1924</v>
      </c>
      <c r="N146" s="117">
        <f t="shared" si="163"/>
        <v>6094.1232000000018</v>
      </c>
      <c r="O146" s="119">
        <f>N146/I146</f>
        <v>5.3842112242133096E-2</v>
      </c>
      <c r="P146" s="91"/>
      <c r="Q146" s="91"/>
      <c r="R146" s="91"/>
    </row>
    <row r="147" spans="1:20" ht="13.5" thickTop="1" x14ac:dyDescent="0.2">
      <c r="A147" s="25">
        <f t="shared" si="135"/>
        <v>139</v>
      </c>
      <c r="D147" s="91" t="s">
        <v>17</v>
      </c>
      <c r="E147" s="92">
        <f>(E139)/E137</f>
        <v>89300</v>
      </c>
      <c r="G147" s="120">
        <f>G146/E137</f>
        <v>9432.0890999999992</v>
      </c>
      <c r="I147" s="120">
        <f>I146/E137</f>
        <v>9432.0890999999992</v>
      </c>
      <c r="M147" s="120">
        <f>M146/E137</f>
        <v>9939.9326999999994</v>
      </c>
      <c r="N147" s="120">
        <f t="shared" si="163"/>
        <v>507.84360000000015</v>
      </c>
      <c r="O147" s="104">
        <f>N147/I147</f>
        <v>5.3842112242133103E-2</v>
      </c>
    </row>
    <row r="148" spans="1:20" ht="13.5" thickBot="1" x14ac:dyDescent="0.25">
      <c r="A148" s="25">
        <f t="shared" si="135"/>
        <v>140</v>
      </c>
    </row>
    <row r="149" spans="1:20" x14ac:dyDescent="0.2">
      <c r="A149" s="25">
        <f t="shared" si="135"/>
        <v>141</v>
      </c>
      <c r="B149" s="19" t="s">
        <v>115</v>
      </c>
      <c r="C149" s="20">
        <v>45</v>
      </c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</row>
    <row r="150" spans="1:20" x14ac:dyDescent="0.2">
      <c r="A150" s="25">
        <f t="shared" si="135"/>
        <v>142</v>
      </c>
      <c r="C150" s="2"/>
      <c r="D150" s="91" t="s">
        <v>16</v>
      </c>
      <c r="E150" s="102">
        <v>28</v>
      </c>
      <c r="F150" s="92">
        <f>F33</f>
        <v>12.37</v>
      </c>
      <c r="G150" s="103">
        <f>F150*E150</f>
        <v>346.35999999999996</v>
      </c>
      <c r="H150" s="92">
        <f>H33</f>
        <v>12.37</v>
      </c>
      <c r="I150" s="103">
        <f>H150*E150</f>
        <v>346.35999999999996</v>
      </c>
      <c r="J150" s="104">
        <f>I150/I152</f>
        <v>3.8887313468916072E-2</v>
      </c>
      <c r="K150" s="104"/>
      <c r="L150" s="92">
        <f>L33</f>
        <v>13.12</v>
      </c>
      <c r="M150" s="103">
        <f>L150*E150</f>
        <v>367.35999999999996</v>
      </c>
      <c r="N150" s="103">
        <f>M150-I150</f>
        <v>21</v>
      </c>
      <c r="O150" s="104">
        <f>IF(I150=0,0,N150/I150)</f>
        <v>6.0630557801131781E-2</v>
      </c>
      <c r="P150" s="104">
        <f>M150/M152</f>
        <v>3.8881796451441665E-2</v>
      </c>
      <c r="Q150" s="105">
        <f>P150-J150</f>
        <v>-5.5170174744073597E-6</v>
      </c>
      <c r="R150" s="105"/>
      <c r="T150" s="4"/>
    </row>
    <row r="151" spans="1:20" x14ac:dyDescent="0.2">
      <c r="A151" s="25">
        <f t="shared" si="135"/>
        <v>143</v>
      </c>
      <c r="D151" s="91" t="s">
        <v>45</v>
      </c>
      <c r="E151" s="102">
        <v>88197</v>
      </c>
      <c r="F151" s="93">
        <f>F34</f>
        <v>8.5360000000000005E-2</v>
      </c>
      <c r="G151" s="103">
        <f t="shared" ref="G151" si="165">F151*E151</f>
        <v>7528.4959200000003</v>
      </c>
      <c r="H151" s="93">
        <f>H34</f>
        <v>9.7059999999999994E-2</v>
      </c>
      <c r="I151" s="103">
        <f t="shared" ref="I151" si="166">H151*E151</f>
        <v>8560.4008199999989</v>
      </c>
      <c r="J151" s="104">
        <f>I151/I152</f>
        <v>0.96111268653108384</v>
      </c>
      <c r="K151" s="104"/>
      <c r="L151" s="93">
        <f>L34</f>
        <v>0.10296</v>
      </c>
      <c r="M151" s="103">
        <f t="shared" ref="M151" si="167">L151*E151</f>
        <v>9080.7631199999996</v>
      </c>
      <c r="N151" s="103">
        <f t="shared" ref="N151" si="168">M151-I151</f>
        <v>520.36230000000069</v>
      </c>
      <c r="O151" s="104">
        <f t="shared" ref="O151" si="169">IF(I151=0,0,N151/I151)</f>
        <v>6.0787141974036764E-2</v>
      </c>
      <c r="P151" s="104">
        <f>M151/M152</f>
        <v>0.96111820354855826</v>
      </c>
      <c r="Q151" s="105">
        <f t="shared" ref="Q151:Q152" si="170">P151-J151</f>
        <v>5.5170174744212375E-6</v>
      </c>
      <c r="R151" s="105"/>
      <c r="T151" s="4">
        <f>L151/H151-1</f>
        <v>6.0787141974036674E-2</v>
      </c>
    </row>
    <row r="152" spans="1:20" s="5" customFormat="1" ht="20.45" customHeight="1" x14ac:dyDescent="0.25">
      <c r="A152" s="25">
        <f t="shared" si="135"/>
        <v>144</v>
      </c>
      <c r="C152" s="12"/>
      <c r="D152" s="107" t="s">
        <v>6</v>
      </c>
      <c r="E152" s="107"/>
      <c r="F152" s="107"/>
      <c r="G152" s="14">
        <f>SUM(G150:G151)</f>
        <v>7874.85592</v>
      </c>
      <c r="H152" s="107"/>
      <c r="I152" s="14">
        <f>SUM(I150:I151)</f>
        <v>8906.7608199999995</v>
      </c>
      <c r="J152" s="108">
        <f>SUM(J150:J151)</f>
        <v>0.99999999999999989</v>
      </c>
      <c r="K152" s="109">
        <f>I152+Summary!I17</f>
        <v>9448.570819999999</v>
      </c>
      <c r="L152" s="107"/>
      <c r="M152" s="14">
        <f>SUM(M150:M151)</f>
        <v>9448.1231200000002</v>
      </c>
      <c r="N152" s="14">
        <f>SUM(N150:N151)</f>
        <v>541.36230000000069</v>
      </c>
      <c r="O152" s="108">
        <f t="shared" ref="O152" si="171">N152/I152</f>
        <v>6.0781052836220734E-2</v>
      </c>
      <c r="P152" s="108">
        <f>SUM(P150:P151)</f>
        <v>0.99999999999999989</v>
      </c>
      <c r="Q152" s="143">
        <f t="shared" si="170"/>
        <v>0</v>
      </c>
      <c r="R152" s="110">
        <f>M152-K152</f>
        <v>-0.44769999999880383</v>
      </c>
      <c r="S152" s="62">
        <f>K152/I152</f>
        <v>1.0608313180234248</v>
      </c>
    </row>
    <row r="153" spans="1:20" x14ac:dyDescent="0.2">
      <c r="A153" s="25">
        <f t="shared" si="135"/>
        <v>145</v>
      </c>
      <c r="D153" s="91" t="s">
        <v>25</v>
      </c>
      <c r="G153" s="103">
        <v>744.61</v>
      </c>
      <c r="I153" s="111">
        <f>G153-(E151*$H$278)</f>
        <v>-287.29489999999998</v>
      </c>
      <c r="K153" s="111"/>
      <c r="M153" s="103">
        <f>I153</f>
        <v>-287.29489999999998</v>
      </c>
      <c r="N153" s="103">
        <f t="shared" ref="N153:N155" si="172">M153-I153</f>
        <v>0</v>
      </c>
      <c r="O153" s="92">
        <v>0</v>
      </c>
    </row>
    <row r="154" spans="1:20" x14ac:dyDescent="0.2">
      <c r="A154" s="25">
        <f t="shared" si="135"/>
        <v>146</v>
      </c>
      <c r="D154" s="91" t="s">
        <v>26</v>
      </c>
      <c r="G154" s="103">
        <v>790.66</v>
      </c>
      <c r="I154" s="111">
        <f t="shared" ref="I154:I156" si="173">G154</f>
        <v>790.66</v>
      </c>
      <c r="M154" s="103">
        <f t="shared" ref="M154:M156" si="174">I154</f>
        <v>790.66</v>
      </c>
      <c r="N154" s="103">
        <f t="shared" si="172"/>
        <v>0</v>
      </c>
      <c r="O154" s="92">
        <v>0</v>
      </c>
    </row>
    <row r="155" spans="1:20" x14ac:dyDescent="0.2">
      <c r="A155" s="25">
        <f t="shared" si="135"/>
        <v>147</v>
      </c>
      <c r="D155" s="91" t="s">
        <v>28</v>
      </c>
      <c r="G155" s="103">
        <v>0</v>
      </c>
      <c r="I155" s="111">
        <f t="shared" si="173"/>
        <v>0</v>
      </c>
      <c r="M155" s="103">
        <f t="shared" si="174"/>
        <v>0</v>
      </c>
      <c r="N155" s="103">
        <f t="shared" si="172"/>
        <v>0</v>
      </c>
      <c r="O155" s="92">
        <v>0</v>
      </c>
    </row>
    <row r="156" spans="1:20" x14ac:dyDescent="0.2">
      <c r="A156" s="25">
        <f t="shared" si="135"/>
        <v>148</v>
      </c>
      <c r="D156" s="91" t="s">
        <v>37</v>
      </c>
      <c r="G156" s="103">
        <v>0</v>
      </c>
      <c r="I156" s="111">
        <f t="shared" si="173"/>
        <v>0</v>
      </c>
      <c r="M156" s="103">
        <f t="shared" si="174"/>
        <v>0</v>
      </c>
      <c r="N156" s="103"/>
      <c r="O156" s="92"/>
    </row>
    <row r="157" spans="1:20" x14ac:dyDescent="0.2">
      <c r="A157" s="25">
        <f t="shared" si="135"/>
        <v>149</v>
      </c>
      <c r="D157" s="113" t="s">
        <v>8</v>
      </c>
      <c r="E157" s="113"/>
      <c r="F157" s="113"/>
      <c r="G157" s="114">
        <f>SUM(G153:G156)</f>
        <v>1535.27</v>
      </c>
      <c r="H157" s="113"/>
      <c r="I157" s="114">
        <f>SUM(I153:I156)</f>
        <v>503.36509999999998</v>
      </c>
      <c r="J157" s="113"/>
      <c r="K157" s="113"/>
      <c r="L157" s="113"/>
      <c r="M157" s="114">
        <f>SUM(M153:M156)</f>
        <v>503.36509999999998</v>
      </c>
      <c r="N157" s="114">
        <f t="shared" ref="N157:N159" si="175">M157-I157</f>
        <v>0</v>
      </c>
      <c r="O157" s="115">
        <f t="shared" ref="O157" si="176">N157-J157</f>
        <v>0</v>
      </c>
    </row>
    <row r="158" spans="1:20" s="5" customFormat="1" ht="26.45" customHeight="1" thickBot="1" x14ac:dyDescent="0.25">
      <c r="A158" s="25">
        <f t="shared" si="135"/>
        <v>150</v>
      </c>
      <c r="C158" s="12"/>
      <c r="D158" s="116" t="s">
        <v>18</v>
      </c>
      <c r="E158" s="116"/>
      <c r="F158" s="116"/>
      <c r="G158" s="117">
        <f>G152+G157</f>
        <v>9410.1259200000004</v>
      </c>
      <c r="H158" s="116"/>
      <c r="I158" s="118">
        <f>I157+I152</f>
        <v>9410.1259199999986</v>
      </c>
      <c r="J158" s="116"/>
      <c r="K158" s="116"/>
      <c r="L158" s="116"/>
      <c r="M158" s="117">
        <f>M157+M152</f>
        <v>9951.4882199999993</v>
      </c>
      <c r="N158" s="117">
        <f t="shared" si="175"/>
        <v>541.36230000000069</v>
      </c>
      <c r="O158" s="119">
        <f>N158/I158</f>
        <v>5.7529761514604767E-2</v>
      </c>
      <c r="P158" s="91"/>
      <c r="Q158" s="91"/>
      <c r="R158" s="91"/>
    </row>
    <row r="159" spans="1:20" ht="13.5" thickTop="1" x14ac:dyDescent="0.2">
      <c r="A159" s="25">
        <f t="shared" si="135"/>
        <v>151</v>
      </c>
      <c r="D159" s="91" t="s">
        <v>17</v>
      </c>
      <c r="E159" s="92">
        <f>(E151)/E150</f>
        <v>3149.8928571428573</v>
      </c>
      <c r="G159" s="120">
        <f>G158/E150</f>
        <v>336.07592571428575</v>
      </c>
      <c r="I159" s="120">
        <f>I158/E150</f>
        <v>336.07592571428569</v>
      </c>
      <c r="M159" s="120">
        <f>M158/E150</f>
        <v>355.41029357142855</v>
      </c>
      <c r="N159" s="120">
        <f t="shared" si="175"/>
        <v>19.334367857142865</v>
      </c>
      <c r="O159" s="104">
        <f>N159/I159</f>
        <v>5.7529761514604712E-2</v>
      </c>
    </row>
    <row r="160" spans="1:20" ht="13.5" thickBot="1" x14ac:dyDescent="0.25">
      <c r="A160" s="25">
        <f t="shared" si="135"/>
        <v>152</v>
      </c>
    </row>
    <row r="161" spans="1:23" x14ac:dyDescent="0.2">
      <c r="A161" s="25">
        <f t="shared" si="135"/>
        <v>153</v>
      </c>
      <c r="B161" s="19" t="s">
        <v>82</v>
      </c>
      <c r="C161" s="20">
        <v>51</v>
      </c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</row>
    <row r="162" spans="1:23" x14ac:dyDescent="0.2">
      <c r="A162" s="25">
        <f t="shared" si="135"/>
        <v>154</v>
      </c>
      <c r="C162" s="2"/>
      <c r="D162" s="91" t="s">
        <v>16</v>
      </c>
      <c r="E162" s="102">
        <v>19796</v>
      </c>
      <c r="F162" s="92">
        <f>F8</f>
        <v>9.1999999999999993</v>
      </c>
      <c r="G162" s="103">
        <f>F162*E162</f>
        <v>182123.19999999998</v>
      </c>
      <c r="H162" s="92">
        <f>H8</f>
        <v>9.1999999999999993</v>
      </c>
      <c r="I162" s="103">
        <f>H162*E162</f>
        <v>182123.19999999998</v>
      </c>
      <c r="J162" s="104">
        <f>I162/I164</f>
        <v>7.6068063892069812E-2</v>
      </c>
      <c r="K162" s="104"/>
      <c r="L162" s="92">
        <f>L8</f>
        <v>9.76</v>
      </c>
      <c r="M162" s="103">
        <f>L162*E162</f>
        <v>193208.95999999999</v>
      </c>
      <c r="N162" s="103">
        <f>M162-I162</f>
        <v>11085.760000000009</v>
      </c>
      <c r="O162" s="104">
        <f>IF(I162=0,0,N162/I162)</f>
        <v>6.0869565217391362E-2</v>
      </c>
      <c r="P162" s="104">
        <f>M162/M164</f>
        <v>7.6067936144281437E-2</v>
      </c>
      <c r="Q162" s="105">
        <f>P162-J162</f>
        <v>-1.2774778837543188E-7</v>
      </c>
      <c r="R162" s="105"/>
      <c r="T162" s="4">
        <f>L162/H162-1</f>
        <v>6.0869565217391397E-2</v>
      </c>
    </row>
    <row r="163" spans="1:23" x14ac:dyDescent="0.2">
      <c r="A163" s="25">
        <f t="shared" si="135"/>
        <v>155</v>
      </c>
      <c r="D163" s="91" t="s">
        <v>45</v>
      </c>
      <c r="E163" s="102">
        <v>24527004</v>
      </c>
      <c r="F163" s="93">
        <f>F9</f>
        <v>7.8490000000000004E-2</v>
      </c>
      <c r="G163" s="103">
        <f t="shared" ref="G163" si="177">F163*E163</f>
        <v>1925124.5439600002</v>
      </c>
      <c r="H163" s="93">
        <f>H9</f>
        <v>9.0190000000000006E-2</v>
      </c>
      <c r="I163" s="103">
        <f t="shared" ref="I163" si="178">H163*E163</f>
        <v>2212090.49076</v>
      </c>
      <c r="J163" s="104">
        <f>I163/I164</f>
        <v>0.92393193610793012</v>
      </c>
      <c r="K163" s="104"/>
      <c r="L163" s="93">
        <f>L9</f>
        <v>9.5680000000000001E-2</v>
      </c>
      <c r="M163" s="103">
        <f t="shared" ref="M163" si="179">L163*E163</f>
        <v>2346743.74272</v>
      </c>
      <c r="N163" s="103">
        <f t="shared" ref="N163:N167" si="180">M163-I163</f>
        <v>134653.25196000002</v>
      </c>
      <c r="O163" s="104">
        <f t="shared" ref="O163" si="181">IF(I163=0,0,N163/I163)</f>
        <v>6.0871493513693323E-2</v>
      </c>
      <c r="P163" s="104">
        <f>M163/M164</f>
        <v>0.92393206385571858</v>
      </c>
      <c r="Q163" s="105">
        <f t="shared" ref="Q163:Q164" si="182">P163-J163</f>
        <v>1.2774778845869861E-7</v>
      </c>
      <c r="R163" s="105"/>
      <c r="T163" s="4">
        <f>L163/H163-1</f>
        <v>6.0871493513693142E-2</v>
      </c>
    </row>
    <row r="164" spans="1:23" s="5" customFormat="1" ht="20.45" customHeight="1" x14ac:dyDescent="0.25">
      <c r="A164" s="25">
        <f t="shared" si="135"/>
        <v>156</v>
      </c>
      <c r="C164" s="12"/>
      <c r="D164" s="107" t="s">
        <v>6</v>
      </c>
      <c r="E164" s="107"/>
      <c r="F164" s="107"/>
      <c r="G164" s="14">
        <f>SUM(G162:G163)</f>
        <v>2107247.7439600001</v>
      </c>
      <c r="H164" s="107"/>
      <c r="I164" s="14">
        <f>SUM(I162:I163)</f>
        <v>2394213.6907600001</v>
      </c>
      <c r="J164" s="108">
        <f>SUM(J162:J163)</f>
        <v>0.99999999999999989</v>
      </c>
      <c r="K164" s="109">
        <f>I164+Summary!I18</f>
        <v>2539856.7707600002</v>
      </c>
      <c r="L164" s="107"/>
      <c r="M164" s="14">
        <f>SUM(M162:M163)</f>
        <v>2539952.7027199999</v>
      </c>
      <c r="N164" s="14">
        <f>SUM(N162:N163)</f>
        <v>145739.01196000003</v>
      </c>
      <c r="O164" s="108">
        <f t="shared" ref="O164" si="183">N164/I164</f>
        <v>6.087134683192702E-2</v>
      </c>
      <c r="P164" s="108">
        <f>SUM(P162:P163)</f>
        <v>1</v>
      </c>
      <c r="Q164" s="143">
        <f t="shared" si="182"/>
        <v>0</v>
      </c>
      <c r="R164" s="110">
        <f>M164-K164</f>
        <v>95.931959999725223</v>
      </c>
      <c r="S164" s="62">
        <f>K164/I164</f>
        <v>1.0608312785788843</v>
      </c>
    </row>
    <row r="165" spans="1:23" x14ac:dyDescent="0.2">
      <c r="A165" s="25">
        <f t="shared" si="135"/>
        <v>157</v>
      </c>
      <c r="D165" s="91" t="s">
        <v>25</v>
      </c>
      <c r="G165" s="103">
        <v>302052.31</v>
      </c>
      <c r="I165" s="111">
        <f>G165-(E163*$H$278)</f>
        <v>15086.363199999963</v>
      </c>
      <c r="K165" s="111"/>
      <c r="M165" s="103">
        <f>I165</f>
        <v>15086.363199999963</v>
      </c>
      <c r="N165" s="103">
        <f t="shared" si="180"/>
        <v>0</v>
      </c>
      <c r="O165" s="92">
        <v>0</v>
      </c>
    </row>
    <row r="166" spans="1:23" x14ac:dyDescent="0.2">
      <c r="A166" s="25">
        <f t="shared" si="135"/>
        <v>158</v>
      </c>
      <c r="D166" s="91" t="s">
        <v>26</v>
      </c>
      <c r="G166" s="103">
        <v>315109.61</v>
      </c>
      <c r="I166" s="111">
        <f t="shared" ref="I166:I168" si="184">G166</f>
        <v>315109.61</v>
      </c>
      <c r="M166" s="103">
        <f t="shared" ref="M166:M168" si="185">I166</f>
        <v>315109.61</v>
      </c>
      <c r="N166" s="103">
        <f t="shared" si="180"/>
        <v>0</v>
      </c>
      <c r="O166" s="92">
        <v>0</v>
      </c>
    </row>
    <row r="167" spans="1:23" x14ac:dyDescent="0.2">
      <c r="A167" s="25">
        <f t="shared" si="135"/>
        <v>159</v>
      </c>
      <c r="D167" s="91" t="s">
        <v>28</v>
      </c>
      <c r="G167" s="103">
        <v>0</v>
      </c>
      <c r="I167" s="111">
        <f t="shared" si="184"/>
        <v>0</v>
      </c>
      <c r="M167" s="103">
        <f t="shared" si="185"/>
        <v>0</v>
      </c>
      <c r="N167" s="103">
        <f t="shared" si="180"/>
        <v>0</v>
      </c>
      <c r="O167" s="92">
        <v>0</v>
      </c>
    </row>
    <row r="168" spans="1:23" x14ac:dyDescent="0.2">
      <c r="A168" s="25">
        <f t="shared" si="135"/>
        <v>160</v>
      </c>
      <c r="D168" s="91" t="s">
        <v>37</v>
      </c>
      <c r="G168" s="103">
        <v>0</v>
      </c>
      <c r="I168" s="111">
        <f t="shared" si="184"/>
        <v>0</v>
      </c>
      <c r="M168" s="103">
        <f t="shared" si="185"/>
        <v>0</v>
      </c>
      <c r="N168" s="103"/>
      <c r="O168" s="92"/>
    </row>
    <row r="169" spans="1:23" x14ac:dyDescent="0.2">
      <c r="A169" s="25">
        <f t="shared" si="135"/>
        <v>161</v>
      </c>
      <c r="D169" s="113" t="s">
        <v>8</v>
      </c>
      <c r="E169" s="113"/>
      <c r="F169" s="113"/>
      <c r="G169" s="114">
        <f>SUM(G165:G168)</f>
        <v>617161.91999999993</v>
      </c>
      <c r="H169" s="113"/>
      <c r="I169" s="114">
        <f>SUM(I165:I168)</f>
        <v>330195.97319999995</v>
      </c>
      <c r="J169" s="113"/>
      <c r="K169" s="113"/>
      <c r="L169" s="113"/>
      <c r="M169" s="114">
        <f>SUM(M165:M168)</f>
        <v>330195.97319999995</v>
      </c>
      <c r="N169" s="114">
        <f t="shared" ref="N169:N171" si="186">M169-I169</f>
        <v>0</v>
      </c>
      <c r="O169" s="115">
        <f t="shared" ref="O169" si="187">N169-J169</f>
        <v>0</v>
      </c>
    </row>
    <row r="170" spans="1:23" s="5" customFormat="1" ht="26.45" customHeight="1" thickBot="1" x14ac:dyDescent="0.25">
      <c r="A170" s="25">
        <f t="shared" si="135"/>
        <v>162</v>
      </c>
      <c r="C170" s="12"/>
      <c r="D170" s="116" t="s">
        <v>18</v>
      </c>
      <c r="E170" s="116"/>
      <c r="F170" s="116"/>
      <c r="G170" s="117">
        <f>G164+G169</f>
        <v>2724409.66396</v>
      </c>
      <c r="H170" s="116"/>
      <c r="I170" s="118">
        <f>I169+I164</f>
        <v>2724409.66396</v>
      </c>
      <c r="J170" s="116"/>
      <c r="K170" s="116"/>
      <c r="L170" s="116"/>
      <c r="M170" s="117">
        <f>M169+M164</f>
        <v>2870148.6759199998</v>
      </c>
      <c r="N170" s="117">
        <f t="shared" si="186"/>
        <v>145739.0119599998</v>
      </c>
      <c r="O170" s="119">
        <f>N170/I170</f>
        <v>5.3493794963333223E-2</v>
      </c>
      <c r="P170" s="91"/>
      <c r="Q170" s="91"/>
      <c r="R170" s="91"/>
    </row>
    <row r="171" spans="1:23" ht="13.5" thickTop="1" x14ac:dyDescent="0.2">
      <c r="A171" s="25">
        <f t="shared" si="135"/>
        <v>163</v>
      </c>
      <c r="D171" s="91" t="s">
        <v>17</v>
      </c>
      <c r="E171" s="92">
        <f>(E163)/E162</f>
        <v>1238.9878763386544</v>
      </c>
      <c r="G171" s="120">
        <f>G170/E162</f>
        <v>137.62425055364722</v>
      </c>
      <c r="I171" s="120">
        <f>I170/E162</f>
        <v>137.62425055364722</v>
      </c>
      <c r="M171" s="120">
        <f>M170/E162</f>
        <v>144.9862939947464</v>
      </c>
      <c r="N171" s="120">
        <f t="shared" si="186"/>
        <v>7.3620434410991891</v>
      </c>
      <c r="O171" s="104">
        <f>N171/I171</f>
        <v>5.3493794963333119E-2</v>
      </c>
    </row>
    <row r="172" spans="1:23" ht="13.5" thickBot="1" x14ac:dyDescent="0.25">
      <c r="A172" s="25">
        <f t="shared" si="135"/>
        <v>164</v>
      </c>
    </row>
    <row r="173" spans="1:23" x14ac:dyDescent="0.2">
      <c r="A173" s="25">
        <f t="shared" si="135"/>
        <v>165</v>
      </c>
      <c r="B173" s="19" t="s">
        <v>122</v>
      </c>
      <c r="C173" s="20" t="s">
        <v>123</v>
      </c>
      <c r="D173" s="101"/>
      <c r="E173" s="147" t="s">
        <v>111</v>
      </c>
      <c r="F173" s="147" t="s">
        <v>112</v>
      </c>
      <c r="G173" s="101"/>
      <c r="H173" s="147" t="s">
        <v>112</v>
      </c>
      <c r="I173" s="101"/>
      <c r="J173" s="101"/>
      <c r="K173" s="101"/>
      <c r="L173" s="147" t="s">
        <v>112</v>
      </c>
      <c r="M173" s="101"/>
      <c r="N173" s="101"/>
      <c r="O173" s="101"/>
      <c r="P173" s="101"/>
      <c r="Q173" s="101"/>
      <c r="R173" s="101"/>
    </row>
    <row r="174" spans="1:23" x14ac:dyDescent="0.2">
      <c r="A174" s="25">
        <f t="shared" si="135"/>
        <v>166</v>
      </c>
      <c r="B174" s="22"/>
      <c r="C174" s="80" t="s">
        <v>85</v>
      </c>
      <c r="D174" s="81" t="s">
        <v>59</v>
      </c>
      <c r="E174" s="102">
        <v>30296</v>
      </c>
      <c r="F174" s="92">
        <v>10.199999999999999</v>
      </c>
      <c r="G174" s="103">
        <f t="shared" ref="G174" si="188">F174*E174</f>
        <v>309019.19999999995</v>
      </c>
      <c r="H174" s="92">
        <v>11.08</v>
      </c>
      <c r="I174" s="103">
        <f t="shared" ref="I174" si="189">H174*E174</f>
        <v>335679.68</v>
      </c>
      <c r="J174" s="104">
        <f t="shared" ref="J174:J188" si="190">I174/I$189</f>
        <v>0.42975172711568915</v>
      </c>
      <c r="K174" s="104"/>
      <c r="L174" s="92">
        <f t="shared" ref="L174:L188" si="191">ROUND(H174*S$189,2)</f>
        <v>11.75</v>
      </c>
      <c r="M174" s="103">
        <f t="shared" ref="M174" si="192">L174*E174</f>
        <v>355978</v>
      </c>
      <c r="N174" s="103">
        <f t="shared" ref="N174" si="193">M174-I174</f>
        <v>20298.320000000007</v>
      </c>
      <c r="O174" s="104">
        <f t="shared" ref="O174" si="194">IF(I174=0,0,N174/I174)</f>
        <v>6.0469314079422402E-2</v>
      </c>
      <c r="P174" s="104">
        <f t="shared" ref="P174:P188" si="195">M174/M$189</f>
        <v>0.42970018206894206</v>
      </c>
      <c r="Q174" s="105">
        <f t="shared" ref="Q174" si="196">P174-J174</f>
        <v>-5.1545046747092371E-5</v>
      </c>
      <c r="R174" s="105"/>
      <c r="T174" s="4">
        <f>L174/H174-1</f>
        <v>6.0469314079422354E-2</v>
      </c>
      <c r="W174" s="132"/>
    </row>
    <row r="175" spans="1:23" x14ac:dyDescent="0.2">
      <c r="A175" s="25">
        <f t="shared" si="135"/>
        <v>167</v>
      </c>
      <c r="B175" s="22"/>
      <c r="C175" s="80" t="s">
        <v>85</v>
      </c>
      <c r="D175" s="81" t="s">
        <v>60</v>
      </c>
      <c r="E175" s="102">
        <v>5777</v>
      </c>
      <c r="F175" s="92">
        <v>9.94</v>
      </c>
      <c r="G175" s="103">
        <f t="shared" ref="G175:G178" si="197">F175*E175</f>
        <v>57423.38</v>
      </c>
      <c r="H175" s="92">
        <v>10.5</v>
      </c>
      <c r="I175" s="103">
        <f t="shared" ref="I175:I178" si="198">H175*E175</f>
        <v>60658.5</v>
      </c>
      <c r="J175" s="104">
        <f t="shared" si="190"/>
        <v>7.7657650112294641E-2</v>
      </c>
      <c r="K175" s="104"/>
      <c r="L175" s="92">
        <f t="shared" si="191"/>
        <v>11.14</v>
      </c>
      <c r="M175" s="103">
        <f t="shared" ref="M175:M178" si="199">L175*E175</f>
        <v>64355.780000000006</v>
      </c>
      <c r="N175" s="103">
        <f t="shared" ref="N175:N178" si="200">M175-I175</f>
        <v>3697.2800000000061</v>
      </c>
      <c r="O175" s="104">
        <f t="shared" ref="O175:O178" si="201">IF(I175=0,0,N175/I175)</f>
        <v>6.0952380952381056E-2</v>
      </c>
      <c r="P175" s="104">
        <f t="shared" si="195"/>
        <v>7.7683706249231085E-2</v>
      </c>
      <c r="Q175" s="105">
        <f t="shared" ref="Q175:Q178" si="202">P175-J175</f>
        <v>2.6056136936444818E-5</v>
      </c>
      <c r="R175" s="105"/>
      <c r="T175" s="4">
        <f t="shared" ref="T175:T184" si="203">L175/H175-1</f>
        <v>6.0952380952381091E-2</v>
      </c>
      <c r="W175" s="132"/>
    </row>
    <row r="176" spans="1:23" x14ac:dyDescent="0.2">
      <c r="A176" s="25">
        <f t="shared" si="135"/>
        <v>168</v>
      </c>
      <c r="B176" s="22"/>
      <c r="C176" s="80" t="s">
        <v>85</v>
      </c>
      <c r="D176" s="81" t="s">
        <v>61</v>
      </c>
      <c r="E176" s="102">
        <v>2930</v>
      </c>
      <c r="F176" s="92">
        <v>12.89</v>
      </c>
      <c r="G176" s="103">
        <f t="shared" si="197"/>
        <v>37767.700000000004</v>
      </c>
      <c r="H176" s="92">
        <v>14.11</v>
      </c>
      <c r="I176" s="103">
        <f t="shared" si="198"/>
        <v>41342.299999999996</v>
      </c>
      <c r="J176" s="104">
        <f t="shared" si="190"/>
        <v>5.2928210691618134E-2</v>
      </c>
      <c r="K176" s="104"/>
      <c r="L176" s="92">
        <f t="shared" si="191"/>
        <v>14.97</v>
      </c>
      <c r="M176" s="103">
        <f t="shared" si="199"/>
        <v>43862.1</v>
      </c>
      <c r="N176" s="103">
        <f t="shared" si="200"/>
        <v>2519.8000000000029</v>
      </c>
      <c r="O176" s="104">
        <f t="shared" si="201"/>
        <v>6.0949681077250253E-2</v>
      </c>
      <c r="P176" s="104">
        <f t="shared" si="195"/>
        <v>5.2945834731152323E-2</v>
      </c>
      <c r="Q176" s="105">
        <f t="shared" si="202"/>
        <v>1.7624039534189229E-5</v>
      </c>
      <c r="R176" s="105"/>
      <c r="T176" s="4">
        <f t="shared" si="203"/>
        <v>6.0949681077250295E-2</v>
      </c>
      <c r="W176" s="132"/>
    </row>
    <row r="177" spans="1:23" x14ac:dyDescent="0.2">
      <c r="A177" s="25">
        <f t="shared" si="135"/>
        <v>169</v>
      </c>
      <c r="B177" s="22"/>
      <c r="C177" s="80" t="s">
        <v>85</v>
      </c>
      <c r="D177" s="81" t="s">
        <v>62</v>
      </c>
      <c r="E177" s="102">
        <v>5506</v>
      </c>
      <c r="F177" s="92">
        <v>16.97</v>
      </c>
      <c r="G177" s="103">
        <f t="shared" si="197"/>
        <v>93436.819999999992</v>
      </c>
      <c r="H177" s="92">
        <v>18.899999999999999</v>
      </c>
      <c r="I177" s="103">
        <f t="shared" si="198"/>
        <v>104063.4</v>
      </c>
      <c r="J177" s="104">
        <f t="shared" si="190"/>
        <v>0.1332264910391085</v>
      </c>
      <c r="K177" s="104"/>
      <c r="L177" s="92">
        <f t="shared" si="191"/>
        <v>20.05</v>
      </c>
      <c r="M177" s="103">
        <f t="shared" si="199"/>
        <v>110395.3</v>
      </c>
      <c r="N177" s="103">
        <f t="shared" si="200"/>
        <v>6331.9000000000087</v>
      </c>
      <c r="O177" s="104">
        <f t="shared" si="201"/>
        <v>6.0846560846560933E-2</v>
      </c>
      <c r="P177" s="104">
        <f t="shared" si="195"/>
        <v>0.13325789939141036</v>
      </c>
      <c r="Q177" s="105">
        <f t="shared" si="202"/>
        <v>3.1408352301864895E-5</v>
      </c>
      <c r="R177" s="105"/>
      <c r="T177" s="4">
        <f t="shared" si="203"/>
        <v>6.0846560846560926E-2</v>
      </c>
      <c r="W177" s="132"/>
    </row>
    <row r="178" spans="1:23" x14ac:dyDescent="0.2">
      <c r="A178" s="25">
        <f t="shared" si="135"/>
        <v>170</v>
      </c>
      <c r="B178" s="22"/>
      <c r="C178" s="80" t="s">
        <v>85</v>
      </c>
      <c r="D178" s="81" t="s">
        <v>63</v>
      </c>
      <c r="E178" s="102">
        <v>642</v>
      </c>
      <c r="F178" s="92">
        <v>11.08</v>
      </c>
      <c r="G178" s="103">
        <f t="shared" si="197"/>
        <v>7113.36</v>
      </c>
      <c r="H178" s="92">
        <v>11.64</v>
      </c>
      <c r="I178" s="103">
        <f t="shared" si="198"/>
        <v>7472.88</v>
      </c>
      <c r="J178" s="104">
        <f t="shared" si="190"/>
        <v>9.5671060176424471E-3</v>
      </c>
      <c r="K178" s="104"/>
      <c r="L178" s="92">
        <f t="shared" si="191"/>
        <v>12.35</v>
      </c>
      <c r="M178" s="103">
        <f t="shared" si="199"/>
        <v>7928.7</v>
      </c>
      <c r="N178" s="103">
        <f t="shared" si="200"/>
        <v>455.81999999999971</v>
      </c>
      <c r="O178" s="104">
        <f t="shared" si="201"/>
        <v>6.0996563573883118E-2</v>
      </c>
      <c r="P178" s="104">
        <f t="shared" si="195"/>
        <v>9.5707145766592908E-3</v>
      </c>
      <c r="Q178" s="105">
        <f t="shared" si="202"/>
        <v>3.6085590168436626E-6</v>
      </c>
      <c r="R178" s="105"/>
      <c r="T178" s="4">
        <f t="shared" si="203"/>
        <v>6.0996563573883167E-2</v>
      </c>
      <c r="W178" s="132"/>
    </row>
    <row r="179" spans="1:23" x14ac:dyDescent="0.2">
      <c r="A179" s="25">
        <f t="shared" si="135"/>
        <v>171</v>
      </c>
      <c r="B179" s="22"/>
      <c r="C179" s="80" t="s">
        <v>85</v>
      </c>
      <c r="D179" s="81" t="s">
        <v>64</v>
      </c>
      <c r="E179" s="102">
        <v>384</v>
      </c>
      <c r="F179" s="92">
        <v>17.93</v>
      </c>
      <c r="G179" s="103">
        <f t="shared" ref="G179:G184" si="204">F179*E179</f>
        <v>6885.12</v>
      </c>
      <c r="H179" s="92">
        <v>18.809999999999999</v>
      </c>
      <c r="I179" s="103">
        <f t="shared" ref="I179:I184" si="205">H179*E179</f>
        <v>7223.0399999999991</v>
      </c>
      <c r="J179" s="104">
        <f t="shared" si="190"/>
        <v>9.2472499825598832E-3</v>
      </c>
      <c r="K179" s="104"/>
      <c r="L179" s="92">
        <f t="shared" si="191"/>
        <v>19.95</v>
      </c>
      <c r="M179" s="103">
        <f t="shared" ref="M179:M184" si="206">L179*E179</f>
        <v>7660.7999999999993</v>
      </c>
      <c r="N179" s="103">
        <f t="shared" ref="N179:N184" si="207">M179-I179</f>
        <v>437.76000000000022</v>
      </c>
      <c r="O179" s="104">
        <f t="shared" ref="O179:O184" si="208">IF(I179=0,0,N179/I179)</f>
        <v>6.0606060606060642E-2</v>
      </c>
      <c r="P179" s="104">
        <f t="shared" si="195"/>
        <v>9.2473331351761931E-3</v>
      </c>
      <c r="Q179" s="105">
        <f t="shared" ref="Q179:Q184" si="209">P179-J179</f>
        <v>8.3152616309895011E-8</v>
      </c>
      <c r="R179" s="105"/>
      <c r="T179" s="4">
        <f t="shared" si="203"/>
        <v>6.0606060606060552E-2</v>
      </c>
      <c r="W179" s="132"/>
    </row>
    <row r="180" spans="1:23" x14ac:dyDescent="0.2">
      <c r="A180" s="25">
        <f t="shared" si="135"/>
        <v>172</v>
      </c>
      <c r="B180" s="22"/>
      <c r="C180" s="80" t="s">
        <v>85</v>
      </c>
      <c r="D180" s="81" t="s">
        <v>65</v>
      </c>
      <c r="E180" s="102">
        <v>640</v>
      </c>
      <c r="F180" s="92">
        <v>22.35</v>
      </c>
      <c r="G180" s="103">
        <f t="shared" si="204"/>
        <v>14304</v>
      </c>
      <c r="H180" s="92">
        <v>23.23</v>
      </c>
      <c r="I180" s="103">
        <f t="shared" si="205"/>
        <v>14867.2</v>
      </c>
      <c r="J180" s="104">
        <f t="shared" si="190"/>
        <v>1.9033636106225955E-2</v>
      </c>
      <c r="K180" s="104"/>
      <c r="L180" s="92">
        <f t="shared" si="191"/>
        <v>24.64</v>
      </c>
      <c r="M180" s="103">
        <f t="shared" si="206"/>
        <v>15769.6</v>
      </c>
      <c r="N180" s="103">
        <f t="shared" si="207"/>
        <v>902.39999999999964</v>
      </c>
      <c r="O180" s="104">
        <f t="shared" si="208"/>
        <v>6.0697374085234582E-2</v>
      </c>
      <c r="P180" s="104">
        <f t="shared" si="195"/>
        <v>1.9035445985859767E-2</v>
      </c>
      <c r="Q180" s="105">
        <f t="shared" si="209"/>
        <v>1.8098796338121559E-6</v>
      </c>
      <c r="R180" s="105"/>
      <c r="T180" s="4">
        <f t="shared" si="203"/>
        <v>6.0697374085234568E-2</v>
      </c>
      <c r="W180" s="132"/>
    </row>
    <row r="181" spans="1:23" x14ac:dyDescent="0.2">
      <c r="A181" s="25">
        <f t="shared" si="135"/>
        <v>173</v>
      </c>
      <c r="B181" s="22"/>
      <c r="C181" s="80" t="s">
        <v>85</v>
      </c>
      <c r="D181" s="81" t="s">
        <v>66</v>
      </c>
      <c r="E181" s="102">
        <v>48</v>
      </c>
      <c r="F181" s="92">
        <v>10.95</v>
      </c>
      <c r="G181" s="103">
        <f t="shared" si="204"/>
        <v>525.59999999999991</v>
      </c>
      <c r="H181" s="92">
        <v>11.83</v>
      </c>
      <c r="I181" s="103">
        <f t="shared" si="205"/>
        <v>567.84</v>
      </c>
      <c r="J181" s="104">
        <f t="shared" si="190"/>
        <v>7.2697346686392502E-4</v>
      </c>
      <c r="K181" s="104"/>
      <c r="L181" s="92">
        <f t="shared" si="191"/>
        <v>12.55</v>
      </c>
      <c r="M181" s="103">
        <f t="shared" si="206"/>
        <v>602.40000000000009</v>
      </c>
      <c r="N181" s="103">
        <f t="shared" si="207"/>
        <v>34.560000000000059</v>
      </c>
      <c r="O181" s="104">
        <f t="shared" si="208"/>
        <v>6.0862214708368653E-2</v>
      </c>
      <c r="P181" s="104">
        <f t="shared" si="195"/>
        <v>7.2715558174474466E-4</v>
      </c>
      <c r="Q181" s="105">
        <f t="shared" si="209"/>
        <v>1.8211488081963916E-7</v>
      </c>
      <c r="R181" s="105"/>
      <c r="T181" s="4">
        <f t="shared" si="203"/>
        <v>6.0862214708368612E-2</v>
      </c>
      <c r="W181" s="132"/>
    </row>
    <row r="182" spans="1:23" x14ac:dyDescent="0.2">
      <c r="A182" s="25">
        <f>A188+1</f>
        <v>178</v>
      </c>
      <c r="B182" s="22"/>
      <c r="C182" s="80" t="s">
        <v>85</v>
      </c>
      <c r="D182" s="81" t="s">
        <v>119</v>
      </c>
      <c r="E182" s="102">
        <v>17891</v>
      </c>
      <c r="F182" s="92">
        <v>10.19</v>
      </c>
      <c r="G182" s="103">
        <f t="shared" ref="G182:G183" si="210">F182*E182</f>
        <v>182309.28999999998</v>
      </c>
      <c r="H182" s="92">
        <v>10.75</v>
      </c>
      <c r="I182" s="103">
        <f t="shared" ref="I182:I183" si="211">H182*E182</f>
        <v>192328.25</v>
      </c>
      <c r="J182" s="104">
        <f t="shared" si="190"/>
        <v>0.24622699119183517</v>
      </c>
      <c r="K182" s="104"/>
      <c r="L182" s="92">
        <f t="shared" si="191"/>
        <v>11.4</v>
      </c>
      <c r="M182" s="103">
        <f t="shared" ref="M182:M183" si="212">L182*E182</f>
        <v>203957.4</v>
      </c>
      <c r="N182" s="103">
        <f t="shared" ref="N182:N183" si="213">M182-I182</f>
        <v>11629.149999999994</v>
      </c>
      <c r="O182" s="104">
        <f t="shared" ref="O182:O183" si="214">IF(I182=0,0,N182/I182)</f>
        <v>6.0465116279069739E-2</v>
      </c>
      <c r="P182" s="104">
        <f t="shared" si="195"/>
        <v>0.24619648381166262</v>
      </c>
      <c r="Q182" s="105">
        <f t="shared" ref="Q182:Q183" si="215">P182-J182</f>
        <v>-3.0507380172545284E-5</v>
      </c>
      <c r="R182" s="105"/>
      <c r="T182" s="4">
        <f t="shared" ref="T182:T183" si="216">L182/H182-1</f>
        <v>6.0465116279069697E-2</v>
      </c>
      <c r="W182" s="132"/>
    </row>
    <row r="183" spans="1:23" x14ac:dyDescent="0.2">
      <c r="A183" s="25">
        <f t="shared" si="135"/>
        <v>179</v>
      </c>
      <c r="B183" s="22"/>
      <c r="C183" s="80" t="s">
        <v>85</v>
      </c>
      <c r="D183" s="81" t="s">
        <v>121</v>
      </c>
      <c r="E183" s="102">
        <v>389</v>
      </c>
      <c r="F183" s="92">
        <v>17.920000000000002</v>
      </c>
      <c r="G183" s="103">
        <f t="shared" si="210"/>
        <v>6970.880000000001</v>
      </c>
      <c r="H183" s="92">
        <v>18.48</v>
      </c>
      <c r="I183" s="103">
        <f t="shared" si="211"/>
        <v>7188.72</v>
      </c>
      <c r="J183" s="104">
        <f t="shared" si="190"/>
        <v>9.2033120257714058E-3</v>
      </c>
      <c r="K183" s="104"/>
      <c r="L183" s="92">
        <f t="shared" si="191"/>
        <v>19.600000000000001</v>
      </c>
      <c r="M183" s="103">
        <f t="shared" si="212"/>
        <v>7624.4000000000005</v>
      </c>
      <c r="N183" s="103">
        <f t="shared" si="213"/>
        <v>435.68000000000029</v>
      </c>
      <c r="O183" s="104">
        <f t="shared" si="214"/>
        <v>6.0606060606060642E-2</v>
      </c>
      <c r="P183" s="104">
        <f t="shared" si="195"/>
        <v>9.2033947832912202E-3</v>
      </c>
      <c r="Q183" s="105">
        <f t="shared" si="215"/>
        <v>8.2757519814444236E-8</v>
      </c>
      <c r="R183" s="105"/>
      <c r="T183" s="4">
        <f t="shared" si="216"/>
        <v>6.0606060606060552E-2</v>
      </c>
      <c r="W183" s="132"/>
    </row>
    <row r="184" spans="1:23" x14ac:dyDescent="0.2">
      <c r="A184" s="25">
        <f t="shared" si="135"/>
        <v>180</v>
      </c>
      <c r="B184" s="22"/>
      <c r="C184" s="80" t="s">
        <v>85</v>
      </c>
      <c r="D184" s="81" t="s">
        <v>120</v>
      </c>
      <c r="E184" s="102">
        <v>424</v>
      </c>
      <c r="F184" s="92">
        <v>22.34</v>
      </c>
      <c r="G184" s="103">
        <f t="shared" si="204"/>
        <v>9472.16</v>
      </c>
      <c r="H184" s="92">
        <v>22.9</v>
      </c>
      <c r="I184" s="103">
        <f t="shared" si="205"/>
        <v>9709.5999999999985</v>
      </c>
      <c r="J184" s="104">
        <f t="shared" si="190"/>
        <v>1.2430652250390892E-2</v>
      </c>
      <c r="K184" s="104"/>
      <c r="L184" s="92">
        <f t="shared" si="191"/>
        <v>24.29</v>
      </c>
      <c r="M184" s="103">
        <f t="shared" si="206"/>
        <v>10298.959999999999</v>
      </c>
      <c r="N184" s="103">
        <f t="shared" si="207"/>
        <v>589.36000000000058</v>
      </c>
      <c r="O184" s="104">
        <f t="shared" si="208"/>
        <v>6.0698689956331944E-2</v>
      </c>
      <c r="P184" s="104">
        <f t="shared" si="195"/>
        <v>1.2431849684870275E-2</v>
      </c>
      <c r="Q184" s="105">
        <f t="shared" si="209"/>
        <v>1.1974344793826835E-6</v>
      </c>
      <c r="R184" s="105"/>
      <c r="T184" s="4">
        <f t="shared" si="203"/>
        <v>6.0698689956331986E-2</v>
      </c>
      <c r="W184" s="132"/>
    </row>
    <row r="185" spans="1:23" x14ac:dyDescent="0.2">
      <c r="A185" s="25">
        <f>A181+1</f>
        <v>174</v>
      </c>
      <c r="B185" s="22"/>
      <c r="C185" s="80" t="s">
        <v>86</v>
      </c>
      <c r="D185" s="81" t="s">
        <v>67</v>
      </c>
      <c r="E185" s="102">
        <v>22185</v>
      </c>
      <c r="F185" s="92">
        <v>9.99</v>
      </c>
      <c r="G185" s="103">
        <f>F185*E185</f>
        <v>221628.15</v>
      </c>
      <c r="H185" s="92">
        <v>10.220000000000001</v>
      </c>
      <c r="I185" s="103">
        <f>H185*E185</f>
        <v>226730.7</v>
      </c>
      <c r="J185" s="104">
        <f t="shared" si="190"/>
        <v>0.29027050405657318</v>
      </c>
      <c r="K185" s="104"/>
      <c r="L185" s="92">
        <f t="shared" si="191"/>
        <v>10.84</v>
      </c>
      <c r="M185" s="103">
        <f>L185*E185</f>
        <v>240485.4</v>
      </c>
      <c r="N185" s="103">
        <f>M185-I185</f>
        <v>13754.699999999983</v>
      </c>
      <c r="O185" s="104">
        <f>IF(I185=0,0,N185/I185)</f>
        <v>6.0665362035224969E-2</v>
      </c>
      <c r="P185" s="104">
        <f t="shared" si="195"/>
        <v>0.29028934418678221</v>
      </c>
      <c r="Q185" s="105">
        <f>P185-J185</f>
        <v>1.8840130209030193E-5</v>
      </c>
      <c r="R185" s="105"/>
      <c r="T185" s="4">
        <f>L185/H185-1</f>
        <v>6.0665362035224879E-2</v>
      </c>
      <c r="W185" s="132"/>
    </row>
    <row r="186" spans="1:23" x14ac:dyDescent="0.2">
      <c r="A186" s="25">
        <f>A185+1</f>
        <v>175</v>
      </c>
      <c r="B186" s="22"/>
      <c r="C186" s="80" t="s">
        <v>86</v>
      </c>
      <c r="D186" s="81" t="s">
        <v>68</v>
      </c>
      <c r="E186" s="102">
        <v>537</v>
      </c>
      <c r="F186" s="92">
        <v>15.18</v>
      </c>
      <c r="G186" s="103">
        <f>F186*E186</f>
        <v>8151.66</v>
      </c>
      <c r="H186" s="92">
        <v>15.68</v>
      </c>
      <c r="I186" s="103">
        <f>H186*E186</f>
        <v>8420.16</v>
      </c>
      <c r="J186" s="104">
        <f t="shared" si="190"/>
        <v>1.0779855076692284E-2</v>
      </c>
      <c r="K186" s="104"/>
      <c r="L186" s="92">
        <f t="shared" si="191"/>
        <v>16.63</v>
      </c>
      <c r="M186" s="103">
        <f>L186*E186</f>
        <v>8930.31</v>
      </c>
      <c r="N186" s="103">
        <f>M186-I186</f>
        <v>510.14999999999964</v>
      </c>
      <c r="O186" s="104">
        <f>IF(I186=0,0,N186/I186)</f>
        <v>6.0586734693877507E-2</v>
      </c>
      <c r="P186" s="104">
        <f t="shared" si="195"/>
        <v>1.0779755583019439E-2</v>
      </c>
      <c r="Q186" s="105">
        <f>P186-J186</f>
        <v>-9.9493672845590853E-8</v>
      </c>
      <c r="R186" s="105"/>
      <c r="T186" s="4">
        <f>L186/H186-1</f>
        <v>6.0586734693877542E-2</v>
      </c>
      <c r="W186" s="132"/>
    </row>
    <row r="187" spans="1:23" x14ac:dyDescent="0.2">
      <c r="A187" s="25">
        <f>A186+1</f>
        <v>176</v>
      </c>
      <c r="B187" s="22"/>
      <c r="C187" s="80" t="s">
        <v>86</v>
      </c>
      <c r="D187" s="81" t="s">
        <v>69</v>
      </c>
      <c r="E187" s="102">
        <v>680</v>
      </c>
      <c r="F187" s="92">
        <v>20.55</v>
      </c>
      <c r="G187" s="103">
        <f>F187*E187</f>
        <v>13974</v>
      </c>
      <c r="H187" s="92">
        <v>21.15</v>
      </c>
      <c r="I187" s="103">
        <f>H187*E187</f>
        <v>14381.999999999998</v>
      </c>
      <c r="J187" s="104">
        <f t="shared" si="190"/>
        <v>1.8412461961885333E-2</v>
      </c>
      <c r="K187" s="104"/>
      <c r="L187" s="92">
        <f t="shared" si="191"/>
        <v>22.44</v>
      </c>
      <c r="M187" s="103">
        <f>L187*E187</f>
        <v>15259.2</v>
      </c>
      <c r="N187" s="103">
        <f>M187-I187</f>
        <v>877.20000000000255</v>
      </c>
      <c r="O187" s="104">
        <f>IF(I187=0,0,N187/I187)</f>
        <v>6.0992907801418625E-2</v>
      </c>
      <c r="P187" s="104">
        <f t="shared" si="195"/>
        <v>1.841934338140672E-2</v>
      </c>
      <c r="Q187" s="105">
        <f>P187-J187</f>
        <v>6.881419521386628E-6</v>
      </c>
      <c r="R187" s="105"/>
      <c r="T187" s="4">
        <f>L187/H187-1</f>
        <v>6.0992907801418639E-2</v>
      </c>
      <c r="W187" s="132"/>
    </row>
    <row r="188" spans="1:23" x14ac:dyDescent="0.2">
      <c r="A188" s="25">
        <f>A187+1</f>
        <v>177</v>
      </c>
      <c r="B188" s="22"/>
      <c r="C188" s="80" t="s">
        <v>86</v>
      </c>
      <c r="D188" s="81" t="s">
        <v>70</v>
      </c>
      <c r="E188" s="102">
        <v>41</v>
      </c>
      <c r="F188" s="92">
        <v>28.52</v>
      </c>
      <c r="G188" s="103">
        <f>F188*E188</f>
        <v>1169.32</v>
      </c>
      <c r="H188" s="92">
        <v>28.86</v>
      </c>
      <c r="I188" s="103">
        <f>H188*E188</f>
        <v>1183.26</v>
      </c>
      <c r="J188" s="104">
        <f t="shared" si="190"/>
        <v>1.514860919275514E-3</v>
      </c>
      <c r="K188" s="104"/>
      <c r="L188" s="92">
        <f t="shared" si="191"/>
        <v>30.62</v>
      </c>
      <c r="M188" s="103">
        <f>L188*E188</f>
        <v>1255.42</v>
      </c>
      <c r="N188" s="103">
        <f>M188-I188</f>
        <v>72.160000000000082</v>
      </c>
      <c r="O188" s="104">
        <f>IF(I188=0,0,N188/I188)</f>
        <v>6.0984060984061055E-2</v>
      </c>
      <c r="P188" s="104">
        <f t="shared" si="195"/>
        <v>1.5154144429515061E-3</v>
      </c>
      <c r="Q188" s="105">
        <f>P188-J188</f>
        <v>5.5352367599203513E-7</v>
      </c>
      <c r="R188" s="105"/>
      <c r="T188" s="4">
        <f>L188/H188-1</f>
        <v>6.0984060984061061E-2</v>
      </c>
      <c r="W188" s="132"/>
    </row>
    <row r="189" spans="1:23" s="5" customFormat="1" ht="24.6" customHeight="1" x14ac:dyDescent="0.25">
      <c r="A189" s="25">
        <f>A184+1</f>
        <v>181</v>
      </c>
      <c r="C189" s="12"/>
      <c r="D189" s="107" t="s">
        <v>6</v>
      </c>
      <c r="E189" s="107"/>
      <c r="F189" s="107"/>
      <c r="G189" s="14">
        <f>SUM(G174:G184)</f>
        <v>725227.51</v>
      </c>
      <c r="H189" s="107"/>
      <c r="I189" s="14">
        <f>SUM(I174:I184)</f>
        <v>781101.40999999992</v>
      </c>
      <c r="J189" s="108">
        <f>SUM(J174:J184)</f>
        <v>1</v>
      </c>
      <c r="K189" s="109">
        <f>I189+Summary!I19</f>
        <v>828616.80999999994</v>
      </c>
      <c r="L189" s="107"/>
      <c r="M189" s="14">
        <f>SUM(M174:M184)</f>
        <v>828433.44000000006</v>
      </c>
      <c r="N189" s="14">
        <f>SUM(N174:N184)</f>
        <v>47332.030000000021</v>
      </c>
      <c r="O189" s="108">
        <f t="shared" ref="O189" si="217">N189/I189</f>
        <v>6.0596523567919336E-2</v>
      </c>
      <c r="P189" s="108">
        <f>SUM(P174:P184)</f>
        <v>1</v>
      </c>
      <c r="Q189" s="143">
        <f t="shared" ref="Q189" si="218">P189-J189</f>
        <v>0</v>
      </c>
      <c r="R189" s="110">
        <f>M189-K189</f>
        <v>-183.36999999987893</v>
      </c>
      <c r="S189" s="5">
        <f>K189/I189</f>
        <v>1.0608312818178116</v>
      </c>
    </row>
    <row r="190" spans="1:23" x14ac:dyDescent="0.2">
      <c r="A190" s="25">
        <f t="shared" si="135"/>
        <v>182</v>
      </c>
      <c r="D190" s="91" t="s">
        <v>25</v>
      </c>
      <c r="G190" s="103">
        <v>32647.21</v>
      </c>
      <c r="I190" s="151">
        <f>G190-(I189-G189)</f>
        <v>-23226.689999999908</v>
      </c>
      <c r="K190" s="111"/>
      <c r="M190" s="103">
        <f>I190</f>
        <v>-23226.689999999908</v>
      </c>
      <c r="N190" s="103">
        <f>M190-I190</f>
        <v>0</v>
      </c>
      <c r="O190" s="92">
        <v>0</v>
      </c>
    </row>
    <row r="191" spans="1:23" x14ac:dyDescent="0.2">
      <c r="A191" s="25">
        <f t="shared" si="135"/>
        <v>183</v>
      </c>
      <c r="D191" s="91" t="s">
        <v>26</v>
      </c>
      <c r="G191" s="103">
        <v>69548.25</v>
      </c>
      <c r="I191" s="111">
        <f>G191</f>
        <v>69548.25</v>
      </c>
      <c r="M191" s="103">
        <f t="shared" ref="M191:M192" si="219">I191</f>
        <v>69548.25</v>
      </c>
      <c r="N191" s="103">
        <f>M191-I191</f>
        <v>0</v>
      </c>
      <c r="O191" s="92">
        <v>0</v>
      </c>
    </row>
    <row r="192" spans="1:23" x14ac:dyDescent="0.2">
      <c r="A192" s="25">
        <f t="shared" ref="A192:A210" si="220">A191+1</f>
        <v>184</v>
      </c>
      <c r="D192" s="91" t="s">
        <v>28</v>
      </c>
      <c r="G192" s="103">
        <v>0</v>
      </c>
      <c r="I192" s="111">
        <v>0</v>
      </c>
      <c r="M192" s="103">
        <f t="shared" si="219"/>
        <v>0</v>
      </c>
      <c r="N192" s="103">
        <f>M192-I192</f>
        <v>0</v>
      </c>
      <c r="O192" s="92">
        <v>0</v>
      </c>
    </row>
    <row r="193" spans="1:25" x14ac:dyDescent="0.2">
      <c r="A193" s="25">
        <f t="shared" si="220"/>
        <v>185</v>
      </c>
      <c r="D193" s="91" t="s">
        <v>37</v>
      </c>
      <c r="G193" s="103"/>
      <c r="I193" s="111"/>
      <c r="M193" s="103"/>
      <c r="N193" s="103"/>
      <c r="O193" s="92"/>
    </row>
    <row r="194" spans="1:25" x14ac:dyDescent="0.2">
      <c r="A194" s="25">
        <f t="shared" si="220"/>
        <v>186</v>
      </c>
      <c r="D194" s="113" t="s">
        <v>8</v>
      </c>
      <c r="E194" s="113"/>
      <c r="F194" s="113"/>
      <c r="G194" s="114">
        <f>SUM(G190:G192)</f>
        <v>102195.45999999999</v>
      </c>
      <c r="H194" s="113"/>
      <c r="I194" s="114">
        <f>SUM(I190:I192)</f>
        <v>46321.560000000092</v>
      </c>
      <c r="J194" s="113"/>
      <c r="K194" s="113"/>
      <c r="L194" s="113"/>
      <c r="M194" s="114">
        <f>SUM(M190:M192)</f>
        <v>46321.560000000092</v>
      </c>
      <c r="N194" s="114">
        <f>M194-I194</f>
        <v>0</v>
      </c>
      <c r="O194" s="115">
        <f>N194-J194</f>
        <v>0</v>
      </c>
    </row>
    <row r="195" spans="1:25" s="5" customFormat="1" ht="26.45" customHeight="1" thickBot="1" x14ac:dyDescent="0.25">
      <c r="A195" s="25">
        <f t="shared" si="220"/>
        <v>187</v>
      </c>
      <c r="C195" s="12"/>
      <c r="D195" s="116" t="s">
        <v>18</v>
      </c>
      <c r="E195" s="116"/>
      <c r="F195" s="116"/>
      <c r="G195" s="117">
        <f>G189+G194</f>
        <v>827422.97</v>
      </c>
      <c r="H195" s="116"/>
      <c r="I195" s="118">
        <f>I194+I189</f>
        <v>827422.97</v>
      </c>
      <c r="J195" s="116"/>
      <c r="K195" s="116"/>
      <c r="L195" s="116"/>
      <c r="M195" s="117">
        <f>M194+M189</f>
        <v>874755.00000000012</v>
      </c>
      <c r="N195" s="117">
        <f>M195-I195</f>
        <v>47332.030000000144</v>
      </c>
      <c r="O195" s="119">
        <f>N195/I195</f>
        <v>5.7204152792616023E-2</v>
      </c>
      <c r="P195" s="91"/>
      <c r="Q195" s="91"/>
      <c r="R195" s="91"/>
    </row>
    <row r="196" spans="1:25" ht="13.5" thickTop="1" x14ac:dyDescent="0.2">
      <c r="A196" s="25">
        <f t="shared" si="220"/>
        <v>188</v>
      </c>
      <c r="G196" s="120"/>
      <c r="I196" s="120"/>
      <c r="M196" s="120"/>
      <c r="N196" s="120"/>
      <c r="O196" s="104"/>
      <c r="X196" s="5"/>
      <c r="Y196" s="5"/>
    </row>
    <row r="197" spans="1:25" x14ac:dyDescent="0.2">
      <c r="A197" s="25">
        <f t="shared" si="220"/>
        <v>189</v>
      </c>
      <c r="B197" s="1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</row>
    <row r="198" spans="1:25" x14ac:dyDescent="0.2">
      <c r="A198" s="25">
        <f t="shared" si="220"/>
        <v>190</v>
      </c>
    </row>
    <row r="199" spans="1:25" s="5" customFormat="1" ht="19.899999999999999" customHeight="1" x14ac:dyDescent="0.25">
      <c r="A199" s="25">
        <f t="shared" si="220"/>
        <v>191</v>
      </c>
      <c r="B199" s="5" t="s">
        <v>27</v>
      </c>
      <c r="C199" s="12"/>
      <c r="D199" s="107" t="s">
        <v>6</v>
      </c>
      <c r="E199" s="107"/>
      <c r="F199" s="107"/>
      <c r="G199" s="122">
        <f>G10+G23+G35+G71+G85+G99+G47+G189+G59+G115+G127+G140+G164+G152</f>
        <v>102376928.23616004</v>
      </c>
      <c r="H199" s="107"/>
      <c r="I199" s="122">
        <f>I10+I23+I35+I71+I85+I99+I47+I189+I59+I115+I127+I140+I164+I152</f>
        <v>116980750.40556003</v>
      </c>
      <c r="J199" s="107"/>
      <c r="K199" s="107"/>
      <c r="L199" s="107"/>
      <c r="M199" s="122">
        <f>M10+M23+M35+M71+M85+M99+M47+M189+M59+M115+M127+M140+M164+M152</f>
        <v>124398750.8579106</v>
      </c>
      <c r="N199" s="122">
        <f>N10+N23+N35+N71+N85+N99+N47+N189+N59+N115+N127+N140+N164+N152</f>
        <v>7418000.4523505988</v>
      </c>
      <c r="O199" s="108">
        <f>N199/I199</f>
        <v>6.3412146243148268E-2</v>
      </c>
      <c r="P199" s="123"/>
      <c r="Q199" s="123"/>
      <c r="R199" s="123"/>
    </row>
    <row r="200" spans="1:25" x14ac:dyDescent="0.2">
      <c r="A200" s="25">
        <f t="shared" si="220"/>
        <v>192</v>
      </c>
      <c r="D200" s="91" t="s">
        <v>25</v>
      </c>
      <c r="G200" s="111">
        <f t="shared" ref="G200:I205" si="221">G11+G24+G36+G72+G86+G100+G48+G190+G60+G116+G128+G141+G165+G153</f>
        <v>14785734.460000001</v>
      </c>
      <c r="I200" s="111">
        <f t="shared" si="221"/>
        <v>2517065.6826000009</v>
      </c>
      <c r="M200" s="111">
        <f t="shared" ref="M200:N200" si="222">M11+M24+M36+M72+M86+M100+M48+M190+M60+M116+M128+M141+M165+M153</f>
        <v>2517065.6826000009</v>
      </c>
      <c r="N200" s="111">
        <f t="shared" si="222"/>
        <v>0</v>
      </c>
    </row>
    <row r="201" spans="1:25" x14ac:dyDescent="0.2">
      <c r="A201" s="25">
        <f t="shared" si="220"/>
        <v>193</v>
      </c>
      <c r="D201" s="91" t="s">
        <v>26</v>
      </c>
      <c r="G201" s="111">
        <f t="shared" si="221"/>
        <v>15145822.919999994</v>
      </c>
      <c r="I201" s="111">
        <f t="shared" si="221"/>
        <v>15145822.919999994</v>
      </c>
      <c r="M201" s="111">
        <f t="shared" ref="M201:N201" si="223">M12+M25+M37+M73+M87+M101+M49+M191+M61+M117+M129+M142+M166+M154</f>
        <v>15145822.919999994</v>
      </c>
      <c r="N201" s="111">
        <f t="shared" si="223"/>
        <v>0</v>
      </c>
    </row>
    <row r="202" spans="1:25" x14ac:dyDescent="0.2">
      <c r="A202" s="25">
        <f t="shared" si="220"/>
        <v>194</v>
      </c>
      <c r="D202" s="91" t="s">
        <v>28</v>
      </c>
      <c r="G202" s="111">
        <f t="shared" si="221"/>
        <v>102361.81666666668</v>
      </c>
      <c r="I202" s="111">
        <f t="shared" si="221"/>
        <v>102361.81666666668</v>
      </c>
      <c r="M202" s="111">
        <f t="shared" ref="M202:N202" si="224">M13+M26+M38+M74+M88+M102+M50+M192+M62+M118+M130+M143+M167+M155</f>
        <v>102361.81666666668</v>
      </c>
      <c r="N202" s="111">
        <f t="shared" si="224"/>
        <v>0</v>
      </c>
    </row>
    <row r="203" spans="1:25" x14ac:dyDescent="0.2">
      <c r="A203" s="25">
        <f t="shared" si="220"/>
        <v>195</v>
      </c>
      <c r="D203" s="91" t="s">
        <v>37</v>
      </c>
      <c r="G203" s="111">
        <f t="shared" si="221"/>
        <v>0</v>
      </c>
      <c r="I203" s="111">
        <f t="shared" si="221"/>
        <v>0</v>
      </c>
      <c r="M203" s="111">
        <f t="shared" ref="M203:N203" si="225">M14+M27+M39+M75+M89+M103+M51+M193+M63+M119+M131+M144+M168+M156</f>
        <v>0</v>
      </c>
      <c r="N203" s="111">
        <f t="shared" si="225"/>
        <v>0</v>
      </c>
      <c r="O203" s="92"/>
    </row>
    <row r="204" spans="1:25" x14ac:dyDescent="0.2">
      <c r="A204" s="25">
        <f t="shared" si="220"/>
        <v>196</v>
      </c>
      <c r="D204" s="113" t="s">
        <v>8</v>
      </c>
      <c r="E204" s="113"/>
      <c r="F204" s="113"/>
      <c r="G204" s="124">
        <f t="shared" si="221"/>
        <v>30033919.196666669</v>
      </c>
      <c r="H204" s="113"/>
      <c r="I204" s="124">
        <f t="shared" si="221"/>
        <v>17765250.419266663</v>
      </c>
      <c r="J204" s="113"/>
      <c r="K204" s="113"/>
      <c r="L204" s="113"/>
      <c r="M204" s="124">
        <f t="shared" ref="M204:N204" si="226">M15+M28+M40+M76+M90+M104+M52+M194+M64+M120+M132+M145+M169+M157</f>
        <v>17765250.419266663</v>
      </c>
      <c r="N204" s="124">
        <f t="shared" si="226"/>
        <v>0</v>
      </c>
      <c r="O204" s="113"/>
    </row>
    <row r="205" spans="1:25" s="5" customFormat="1" ht="21" customHeight="1" thickBot="1" x14ac:dyDescent="0.3">
      <c r="A205" s="25">
        <f t="shared" si="220"/>
        <v>197</v>
      </c>
      <c r="C205" s="12"/>
      <c r="D205" s="116" t="s">
        <v>18</v>
      </c>
      <c r="E205" s="116"/>
      <c r="F205" s="116"/>
      <c r="G205" s="118">
        <f t="shared" si="221"/>
        <v>132410847.43282664</v>
      </c>
      <c r="H205" s="116"/>
      <c r="I205" s="118">
        <f t="shared" si="221"/>
        <v>134746000.82482666</v>
      </c>
      <c r="J205" s="116"/>
      <c r="K205" s="116"/>
      <c r="L205" s="116"/>
      <c r="M205" s="118">
        <f t="shared" ref="M205:N205" si="227">M16+M29+M41+M77+M91+M105+M53+M195+M65+M121+M133+M146+M170+M158</f>
        <v>142164001.27717727</v>
      </c>
      <c r="N205" s="118">
        <f t="shared" si="227"/>
        <v>7418000.452350596</v>
      </c>
      <c r="O205" s="119">
        <f>N205/I205</f>
        <v>5.5051729973004476E-2</v>
      </c>
      <c r="P205" s="123"/>
      <c r="Q205" s="123"/>
      <c r="R205" s="123"/>
    </row>
    <row r="206" spans="1:25" ht="13.5" thickTop="1" x14ac:dyDescent="0.2">
      <c r="A206" s="25">
        <f t="shared" si="220"/>
        <v>198</v>
      </c>
    </row>
    <row r="207" spans="1:25" x14ac:dyDescent="0.2">
      <c r="A207" s="25">
        <f t="shared" si="220"/>
        <v>199</v>
      </c>
      <c r="D207" s="91" t="s">
        <v>35</v>
      </c>
      <c r="N207" s="111">
        <f>N205-Summary!L2</f>
        <v>1660.3102535847574</v>
      </c>
    </row>
    <row r="208" spans="1:25" x14ac:dyDescent="0.2">
      <c r="A208" s="25">
        <f t="shared" si="220"/>
        <v>200</v>
      </c>
      <c r="N208" s="111"/>
    </row>
    <row r="209" spans="1:22" x14ac:dyDescent="0.2">
      <c r="A209" s="25">
        <f t="shared" si="220"/>
        <v>201</v>
      </c>
      <c r="B209" s="1" t="s">
        <v>87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1:22" ht="13.5" thickBot="1" x14ac:dyDescent="0.25">
      <c r="A210" s="25">
        <f t="shared" si="220"/>
        <v>202</v>
      </c>
      <c r="D210" s="73"/>
      <c r="E210" s="73"/>
      <c r="F210" s="73"/>
      <c r="G210" s="73"/>
      <c r="H210" s="73"/>
    </row>
    <row r="211" spans="1:22" x14ac:dyDescent="0.2">
      <c r="A211" s="25">
        <f t="shared" ref="A211:A274" si="228">A210+1</f>
        <v>203</v>
      </c>
      <c r="B211" s="19" t="s">
        <v>90</v>
      </c>
      <c r="C211" s="20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</row>
    <row r="212" spans="1:22" x14ac:dyDescent="0.2">
      <c r="A212" s="25">
        <f t="shared" si="228"/>
        <v>204</v>
      </c>
      <c r="D212" s="91" t="s">
        <v>16</v>
      </c>
      <c r="E212" s="102"/>
      <c r="F212" s="127"/>
      <c r="G212" s="103"/>
      <c r="H212" s="92">
        <f>H8</f>
        <v>9.1999999999999993</v>
      </c>
      <c r="I212" s="103"/>
      <c r="J212" s="104"/>
      <c r="K212" s="104"/>
      <c r="L212" s="92">
        <f>L8</f>
        <v>9.76</v>
      </c>
      <c r="M212" s="103"/>
      <c r="N212" s="103"/>
      <c r="O212" s="104"/>
      <c r="P212" s="104"/>
      <c r="Q212" s="105"/>
      <c r="R212" s="105"/>
      <c r="S212" s="82">
        <f>1+O$199</f>
        <v>1.0634121462431483</v>
      </c>
      <c r="T212" s="4">
        <f t="shared" ref="T212:T213" si="229">L212/H212-1</f>
        <v>6.0869565217391397E-2</v>
      </c>
      <c r="V212" s="2" t="s">
        <v>103</v>
      </c>
    </row>
    <row r="213" spans="1:22" ht="13.5" thickBot="1" x14ac:dyDescent="0.25">
      <c r="A213" s="25">
        <f t="shared" si="228"/>
        <v>205</v>
      </c>
      <c r="D213" s="91" t="s">
        <v>45</v>
      </c>
      <c r="E213" s="102"/>
      <c r="F213" s="129"/>
      <c r="G213" s="103"/>
      <c r="H213" s="106">
        <f>H9</f>
        <v>9.0190000000000006E-2</v>
      </c>
      <c r="I213" s="103"/>
      <c r="J213" s="104"/>
      <c r="K213" s="104"/>
      <c r="L213" s="93">
        <f>L9</f>
        <v>9.5680000000000001E-2</v>
      </c>
      <c r="M213" s="103"/>
      <c r="N213" s="103"/>
      <c r="O213" s="104"/>
      <c r="P213" s="104"/>
      <c r="Q213" s="105"/>
      <c r="R213" s="105"/>
      <c r="S213" s="82">
        <f>1+O$199</f>
        <v>1.0634121462431483</v>
      </c>
      <c r="T213" s="4">
        <f t="shared" si="229"/>
        <v>6.0871493513693142E-2</v>
      </c>
      <c r="V213" s="2" t="s">
        <v>103</v>
      </c>
    </row>
    <row r="214" spans="1:22" x14ac:dyDescent="0.2">
      <c r="A214" s="25">
        <f t="shared" si="228"/>
        <v>206</v>
      </c>
      <c r="B214" s="19" t="s">
        <v>91</v>
      </c>
      <c r="C214" s="20"/>
      <c r="D214" s="101"/>
      <c r="E214" s="101"/>
      <c r="F214" s="126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82"/>
    </row>
    <row r="215" spans="1:22" x14ac:dyDescent="0.2">
      <c r="A215" s="25">
        <f t="shared" si="228"/>
        <v>207</v>
      </c>
      <c r="D215" s="91" t="s">
        <v>16</v>
      </c>
      <c r="E215" s="102"/>
      <c r="F215" s="127"/>
      <c r="G215" s="103"/>
      <c r="H215" s="92">
        <v>12.07</v>
      </c>
      <c r="I215" s="103"/>
      <c r="J215" s="104"/>
      <c r="K215" s="104"/>
      <c r="L215" s="92">
        <f t="shared" ref="L215:L265" si="230">H215*S215</f>
        <v>12.8353846051548</v>
      </c>
      <c r="M215" s="103"/>
      <c r="N215" s="103"/>
      <c r="O215" s="104"/>
      <c r="P215" s="104"/>
      <c r="Q215" s="105"/>
      <c r="R215" s="105"/>
      <c r="S215" s="82">
        <f>1+O$199</f>
        <v>1.0634121462431483</v>
      </c>
      <c r="T215" s="4">
        <f t="shared" ref="T215:T217" si="231">L215/H215-1</f>
        <v>6.3412146243148282E-2</v>
      </c>
    </row>
    <row r="216" spans="1:22" x14ac:dyDescent="0.2">
      <c r="A216" s="25">
        <f t="shared" si="228"/>
        <v>208</v>
      </c>
      <c r="D216" s="91" t="s">
        <v>88</v>
      </c>
      <c r="E216" s="102"/>
      <c r="F216" s="129"/>
      <c r="G216" s="103"/>
      <c r="H216" s="106">
        <v>0.11271</v>
      </c>
      <c r="I216" s="103"/>
      <c r="J216" s="104"/>
      <c r="K216" s="104"/>
      <c r="L216" s="93">
        <f t="shared" si="230"/>
        <v>0.11985718300306525</v>
      </c>
      <c r="M216" s="103"/>
      <c r="N216" s="103"/>
      <c r="O216" s="104"/>
      <c r="P216" s="104"/>
      <c r="Q216" s="105"/>
      <c r="R216" s="105"/>
      <c r="S216" s="82">
        <f>1+O$199</f>
        <v>1.0634121462431483</v>
      </c>
      <c r="T216" s="4">
        <f t="shared" si="231"/>
        <v>6.3412146243148282E-2</v>
      </c>
    </row>
    <row r="217" spans="1:22" ht="13.5" thickBot="1" x14ac:dyDescent="0.25">
      <c r="A217" s="25">
        <f t="shared" si="228"/>
        <v>209</v>
      </c>
      <c r="D217" s="91" t="s">
        <v>89</v>
      </c>
      <c r="E217" s="102"/>
      <c r="F217" s="129"/>
      <c r="G217" s="103"/>
      <c r="H217" s="106">
        <v>6.608E-2</v>
      </c>
      <c r="I217" s="103"/>
      <c r="J217" s="104"/>
      <c r="K217" s="104"/>
      <c r="L217" s="93">
        <f t="shared" si="230"/>
        <v>7.0270274623747242E-2</v>
      </c>
      <c r="M217" s="103"/>
      <c r="N217" s="103"/>
      <c r="O217" s="104"/>
      <c r="P217" s="104"/>
      <c r="Q217" s="105"/>
      <c r="R217" s="105"/>
      <c r="S217" s="82">
        <f>1+O$199</f>
        <v>1.0634121462431483</v>
      </c>
      <c r="T217" s="4">
        <f t="shared" si="231"/>
        <v>6.3412146243148282E-2</v>
      </c>
    </row>
    <row r="218" spans="1:22" x14ac:dyDescent="0.2">
      <c r="A218" s="25">
        <f t="shared" si="228"/>
        <v>210</v>
      </c>
      <c r="B218" s="19" t="s">
        <v>92</v>
      </c>
      <c r="C218" s="20"/>
      <c r="D218" s="101"/>
      <c r="E218" s="101"/>
      <c r="F218" s="126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82"/>
    </row>
    <row r="219" spans="1:22" x14ac:dyDescent="0.2">
      <c r="A219" s="25">
        <f t="shared" si="228"/>
        <v>211</v>
      </c>
      <c r="D219" s="91" t="s">
        <v>16</v>
      </c>
      <c r="E219" s="102"/>
      <c r="F219" s="127"/>
      <c r="G219" s="103"/>
      <c r="H219" s="92">
        <v>12.07</v>
      </c>
      <c r="I219" s="103"/>
      <c r="J219" s="104"/>
      <c r="K219" s="104"/>
      <c r="L219" s="92">
        <f t="shared" si="230"/>
        <v>12.8353846051548</v>
      </c>
      <c r="M219" s="103"/>
      <c r="N219" s="103"/>
      <c r="O219" s="104"/>
      <c r="P219" s="104"/>
      <c r="Q219" s="105"/>
      <c r="R219" s="105"/>
      <c r="S219" s="82">
        <f>1+O$199</f>
        <v>1.0634121462431483</v>
      </c>
      <c r="T219" s="4">
        <f t="shared" ref="T219:T222" si="232">L219/H219-1</f>
        <v>6.3412146243148282E-2</v>
      </c>
    </row>
    <row r="220" spans="1:22" x14ac:dyDescent="0.2">
      <c r="A220" s="25">
        <f t="shared" si="228"/>
        <v>212</v>
      </c>
      <c r="D220" s="91" t="s">
        <v>104</v>
      </c>
      <c r="E220" s="102"/>
      <c r="F220" s="129"/>
      <c r="G220" s="103"/>
      <c r="H220" s="106">
        <v>0.11271</v>
      </c>
      <c r="I220" s="103"/>
      <c r="J220" s="104"/>
      <c r="K220" s="104"/>
      <c r="L220" s="93">
        <f t="shared" ref="L220" si="233">H220*S220</f>
        <v>0.11985718300306525</v>
      </c>
      <c r="M220" s="103"/>
      <c r="N220" s="103"/>
      <c r="O220" s="104"/>
      <c r="P220" s="104"/>
      <c r="Q220" s="105"/>
      <c r="R220" s="105"/>
      <c r="S220" s="82">
        <f t="shared" ref="S220" si="234">1+O$199</f>
        <v>1.0634121462431483</v>
      </c>
      <c r="T220" s="4">
        <f t="shared" ref="T220" si="235">L220/H220-1</f>
        <v>6.3412146243148282E-2</v>
      </c>
    </row>
    <row r="221" spans="1:22" x14ac:dyDescent="0.2">
      <c r="A221" s="25">
        <f t="shared" si="228"/>
        <v>213</v>
      </c>
      <c r="D221" s="91" t="s">
        <v>105</v>
      </c>
      <c r="E221" s="102"/>
      <c r="F221" s="129"/>
      <c r="G221" s="103"/>
      <c r="H221" s="106">
        <v>6.608E-2</v>
      </c>
      <c r="I221" s="103"/>
      <c r="J221" s="104"/>
      <c r="K221" s="104"/>
      <c r="L221" s="93">
        <f t="shared" si="230"/>
        <v>7.0270274623747242E-2</v>
      </c>
      <c r="M221" s="103"/>
      <c r="N221" s="103"/>
      <c r="O221" s="104"/>
      <c r="P221" s="104"/>
      <c r="Q221" s="105"/>
      <c r="R221" s="105"/>
      <c r="S221" s="82">
        <f>1+O$199</f>
        <v>1.0634121462431483</v>
      </c>
      <c r="T221" s="4">
        <f t="shared" si="232"/>
        <v>6.3412146243148282E-2</v>
      </c>
    </row>
    <row r="222" spans="1:22" ht="13.5" thickBot="1" x14ac:dyDescent="0.25">
      <c r="A222" s="25">
        <f t="shared" si="228"/>
        <v>214</v>
      </c>
      <c r="D222" s="91" t="s">
        <v>106</v>
      </c>
      <c r="E222" s="102"/>
      <c r="F222" s="129"/>
      <c r="G222" s="103"/>
      <c r="H222" s="106">
        <v>9.0190000000000006E-2</v>
      </c>
      <c r="I222" s="103"/>
      <c r="J222" s="104"/>
      <c r="K222" s="104"/>
      <c r="L222" s="93">
        <f t="shared" si="230"/>
        <v>9.5909141469669557E-2</v>
      </c>
      <c r="M222" s="103"/>
      <c r="N222" s="103"/>
      <c r="O222" s="104"/>
      <c r="P222" s="104"/>
      <c r="Q222" s="105"/>
      <c r="R222" s="105"/>
      <c r="S222" s="82">
        <f>1+O$199</f>
        <v>1.0634121462431483</v>
      </c>
      <c r="T222" s="4">
        <f t="shared" si="232"/>
        <v>6.3412146243148282E-2</v>
      </c>
    </row>
    <row r="223" spans="1:22" x14ac:dyDescent="0.2">
      <c r="A223" s="25">
        <f t="shared" si="228"/>
        <v>215</v>
      </c>
      <c r="B223" s="19" t="s">
        <v>93</v>
      </c>
      <c r="C223" s="20"/>
      <c r="D223" s="101"/>
      <c r="E223" s="101"/>
      <c r="F223" s="126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82"/>
    </row>
    <row r="224" spans="1:22" x14ac:dyDescent="0.2">
      <c r="A224" s="25">
        <f t="shared" si="228"/>
        <v>216</v>
      </c>
      <c r="D224" s="91" t="s">
        <v>16</v>
      </c>
      <c r="E224" s="102"/>
      <c r="F224" s="127"/>
      <c r="G224" s="103"/>
      <c r="H224" s="92">
        <v>12.07</v>
      </c>
      <c r="I224" s="103"/>
      <c r="J224" s="104"/>
      <c r="K224" s="104"/>
      <c r="L224" s="92">
        <f t="shared" si="230"/>
        <v>12.8353846051548</v>
      </c>
      <c r="M224" s="103"/>
      <c r="N224" s="103"/>
      <c r="O224" s="104"/>
      <c r="P224" s="104"/>
      <c r="Q224" s="105"/>
      <c r="R224" s="105"/>
      <c r="S224" s="82">
        <f>1+O$199</f>
        <v>1.0634121462431483</v>
      </c>
      <c r="T224" s="4">
        <f t="shared" ref="T224:T226" si="236">L224/H224-1</f>
        <v>6.3412146243148282E-2</v>
      </c>
    </row>
    <row r="225" spans="1:22" x14ac:dyDescent="0.2">
      <c r="A225" s="25">
        <f t="shared" si="228"/>
        <v>217</v>
      </c>
      <c r="D225" s="91" t="s">
        <v>88</v>
      </c>
      <c r="E225" s="102"/>
      <c r="F225" s="129"/>
      <c r="G225" s="103"/>
      <c r="H225" s="106">
        <v>0.11271</v>
      </c>
      <c r="I225" s="103"/>
      <c r="J225" s="104"/>
      <c r="K225" s="104"/>
      <c r="L225" s="93">
        <f t="shared" si="230"/>
        <v>0.11985718300306525</v>
      </c>
      <c r="M225" s="103"/>
      <c r="N225" s="103"/>
      <c r="O225" s="104"/>
      <c r="P225" s="104"/>
      <c r="Q225" s="105"/>
      <c r="R225" s="105"/>
      <c r="S225" s="82">
        <f>1+O$199</f>
        <v>1.0634121462431483</v>
      </c>
      <c r="T225" s="4">
        <f t="shared" si="236"/>
        <v>6.3412146243148282E-2</v>
      </c>
    </row>
    <row r="226" spans="1:22" ht="13.5" thickBot="1" x14ac:dyDescent="0.25">
      <c r="A226" s="25">
        <f t="shared" si="228"/>
        <v>218</v>
      </c>
      <c r="D226" s="91" t="s">
        <v>89</v>
      </c>
      <c r="E226" s="102"/>
      <c r="F226" s="129"/>
      <c r="G226" s="103"/>
      <c r="H226" s="106">
        <v>6.608E-2</v>
      </c>
      <c r="I226" s="103"/>
      <c r="J226" s="104"/>
      <c r="K226" s="104"/>
      <c r="L226" s="93">
        <f t="shared" si="230"/>
        <v>7.0270274623747242E-2</v>
      </c>
      <c r="M226" s="103"/>
      <c r="N226" s="103"/>
      <c r="O226" s="104"/>
      <c r="P226" s="104"/>
      <c r="Q226" s="105"/>
      <c r="R226" s="105"/>
      <c r="S226" s="82">
        <f>1+O$199</f>
        <v>1.0634121462431483</v>
      </c>
      <c r="T226" s="4">
        <f t="shared" si="236"/>
        <v>6.3412146243148282E-2</v>
      </c>
    </row>
    <row r="227" spans="1:22" x14ac:dyDescent="0.2">
      <c r="A227" s="25">
        <f t="shared" si="228"/>
        <v>219</v>
      </c>
      <c r="B227" s="19" t="s">
        <v>94</v>
      </c>
      <c r="C227" s="20"/>
      <c r="D227" s="101"/>
      <c r="E227" s="101"/>
      <c r="F227" s="126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82"/>
    </row>
    <row r="228" spans="1:22" x14ac:dyDescent="0.2">
      <c r="A228" s="25">
        <f t="shared" si="228"/>
        <v>220</v>
      </c>
      <c r="D228" s="91" t="s">
        <v>16</v>
      </c>
      <c r="E228" s="102"/>
      <c r="F228" s="127"/>
      <c r="G228" s="103"/>
      <c r="H228" s="92">
        <v>12.07</v>
      </c>
      <c r="I228" s="103"/>
      <c r="J228" s="104"/>
      <c r="K228" s="104"/>
      <c r="L228" s="92">
        <f t="shared" si="230"/>
        <v>12.8353846051548</v>
      </c>
      <c r="M228" s="103"/>
      <c r="N228" s="103"/>
      <c r="O228" s="104"/>
      <c r="P228" s="104"/>
      <c r="Q228" s="105"/>
      <c r="R228" s="105"/>
      <c r="S228" s="82">
        <f>1+O$199</f>
        <v>1.0634121462431483</v>
      </c>
      <c r="T228" s="4">
        <f t="shared" ref="T228:T231" si="237">L228/H228-1</f>
        <v>6.3412146243148282E-2</v>
      </c>
    </row>
    <row r="229" spans="1:22" x14ac:dyDescent="0.2">
      <c r="A229" s="25">
        <f t="shared" si="228"/>
        <v>221</v>
      </c>
      <c r="D229" s="91" t="s">
        <v>104</v>
      </c>
      <c r="E229" s="102"/>
      <c r="F229" s="129"/>
      <c r="G229" s="103"/>
      <c r="H229" s="106">
        <v>0.11271</v>
      </c>
      <c r="I229" s="103"/>
      <c r="J229" s="104"/>
      <c r="K229" s="104"/>
      <c r="L229" s="93">
        <f t="shared" si="230"/>
        <v>0.11985718300306525</v>
      </c>
      <c r="M229" s="103"/>
      <c r="N229" s="103"/>
      <c r="O229" s="104"/>
      <c r="P229" s="104"/>
      <c r="Q229" s="105"/>
      <c r="R229" s="105"/>
      <c r="S229" s="82">
        <f>1+O$199</f>
        <v>1.0634121462431483</v>
      </c>
      <c r="T229" s="4">
        <f t="shared" si="237"/>
        <v>6.3412146243148282E-2</v>
      </c>
    </row>
    <row r="230" spans="1:22" x14ac:dyDescent="0.2">
      <c r="A230" s="25">
        <f t="shared" si="228"/>
        <v>222</v>
      </c>
      <c r="D230" s="91" t="s">
        <v>105</v>
      </c>
      <c r="E230" s="102"/>
      <c r="F230" s="129"/>
      <c r="G230" s="103"/>
      <c r="H230" s="106">
        <v>6.608E-2</v>
      </c>
      <c r="I230" s="103"/>
      <c r="J230" s="104"/>
      <c r="K230" s="104"/>
      <c r="L230" s="93">
        <f t="shared" si="230"/>
        <v>7.0270274623747242E-2</v>
      </c>
      <c r="M230" s="103"/>
      <c r="N230" s="103"/>
      <c r="O230" s="104"/>
      <c r="P230" s="104"/>
      <c r="Q230" s="105"/>
      <c r="R230" s="105"/>
      <c r="S230" s="82">
        <f>1+O$199</f>
        <v>1.0634121462431483</v>
      </c>
      <c r="T230" s="4">
        <f t="shared" si="237"/>
        <v>6.3412146243148282E-2</v>
      </c>
    </row>
    <row r="231" spans="1:22" ht="13.5" thickBot="1" x14ac:dyDescent="0.25">
      <c r="A231" s="25">
        <f t="shared" si="228"/>
        <v>223</v>
      </c>
      <c r="D231" s="91" t="s">
        <v>106</v>
      </c>
      <c r="E231" s="102"/>
      <c r="F231" s="129"/>
      <c r="G231" s="103"/>
      <c r="H231" s="106">
        <v>9.0190000000000006E-2</v>
      </c>
      <c r="I231" s="103"/>
      <c r="J231" s="104"/>
      <c r="K231" s="104"/>
      <c r="L231" s="93">
        <f t="shared" si="230"/>
        <v>9.5909141469669557E-2</v>
      </c>
      <c r="M231" s="103"/>
      <c r="N231" s="103"/>
      <c r="O231" s="104"/>
      <c r="P231" s="104"/>
      <c r="Q231" s="105"/>
      <c r="R231" s="105"/>
      <c r="S231" s="82">
        <f>1+O$199</f>
        <v>1.0634121462431483</v>
      </c>
      <c r="T231" s="4">
        <f t="shared" si="237"/>
        <v>6.3412146243148282E-2</v>
      </c>
    </row>
    <row r="232" spans="1:22" x14ac:dyDescent="0.2">
      <c r="A232" s="25">
        <f t="shared" si="228"/>
        <v>224</v>
      </c>
      <c r="B232" s="19" t="s">
        <v>95</v>
      </c>
      <c r="C232" s="20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82"/>
    </row>
    <row r="233" spans="1:22" x14ac:dyDescent="0.2">
      <c r="A233" s="25">
        <f t="shared" si="228"/>
        <v>225</v>
      </c>
      <c r="D233" s="91" t="s">
        <v>16</v>
      </c>
      <c r="E233" s="102"/>
      <c r="F233" s="127"/>
      <c r="G233" s="103"/>
      <c r="H233" s="92">
        <v>1001.86</v>
      </c>
      <c r="I233" s="103"/>
      <c r="J233" s="104"/>
      <c r="K233" s="104"/>
      <c r="L233" s="92">
        <f t="shared" si="230"/>
        <v>1093.4068615481594</v>
      </c>
      <c r="M233" s="103"/>
      <c r="N233" s="103"/>
      <c r="O233" s="104"/>
      <c r="P233" s="104"/>
      <c r="Q233" s="105"/>
      <c r="R233" s="105"/>
      <c r="S233" s="82">
        <f>1+O$99</f>
        <v>1.0913769005132048</v>
      </c>
      <c r="T233" s="4">
        <f t="shared" ref="T233:T236" si="238">L233/H233-1</f>
        <v>9.1376900513204795E-2</v>
      </c>
      <c r="V233" s="2" t="s">
        <v>139</v>
      </c>
    </row>
    <row r="234" spans="1:22" x14ac:dyDescent="0.2">
      <c r="A234" s="25">
        <f t="shared" si="228"/>
        <v>226</v>
      </c>
      <c r="D234" s="91" t="s">
        <v>77</v>
      </c>
      <c r="E234" s="102"/>
      <c r="F234" s="131"/>
      <c r="G234" s="103"/>
      <c r="H234" s="138">
        <v>6.45</v>
      </c>
      <c r="I234" s="103"/>
      <c r="J234" s="104"/>
      <c r="K234" s="104"/>
      <c r="L234" s="92">
        <f t="shared" si="230"/>
        <v>7.0393810083101709</v>
      </c>
      <c r="M234" s="103"/>
      <c r="N234" s="103"/>
      <c r="O234" s="104"/>
      <c r="P234" s="104"/>
      <c r="Q234" s="105"/>
      <c r="R234" s="105"/>
      <c r="S234" s="82">
        <f>S233</f>
        <v>1.0913769005132048</v>
      </c>
      <c r="T234" s="4">
        <f t="shared" si="238"/>
        <v>9.1376900513204795E-2</v>
      </c>
    </row>
    <row r="235" spans="1:22" x14ac:dyDescent="0.2">
      <c r="A235" s="25">
        <f t="shared" si="228"/>
        <v>227</v>
      </c>
      <c r="D235" s="91" t="s">
        <v>78</v>
      </c>
      <c r="E235" s="102"/>
      <c r="F235" s="129"/>
      <c r="G235" s="103"/>
      <c r="H235" s="106">
        <v>9.34</v>
      </c>
      <c r="I235" s="103"/>
      <c r="J235" s="104"/>
      <c r="K235" s="104"/>
      <c r="L235" s="92">
        <f t="shared" si="230"/>
        <v>10.193460250793333</v>
      </c>
      <c r="M235" s="103"/>
      <c r="N235" s="103"/>
      <c r="O235" s="104"/>
      <c r="P235" s="104"/>
      <c r="Q235" s="105"/>
      <c r="R235" s="105"/>
      <c r="S235" s="82">
        <f>S234</f>
        <v>1.0913769005132048</v>
      </c>
      <c r="T235" s="4">
        <f t="shared" si="238"/>
        <v>9.1376900513204795E-2</v>
      </c>
    </row>
    <row r="236" spans="1:22" ht="13.5" thickBot="1" x14ac:dyDescent="0.25">
      <c r="A236" s="25">
        <f t="shared" si="228"/>
        <v>228</v>
      </c>
      <c r="D236" s="91" t="s">
        <v>45</v>
      </c>
      <c r="E236" s="102"/>
      <c r="F236" s="129"/>
      <c r="G236" s="103"/>
      <c r="H236" s="106">
        <v>6.404E-2</v>
      </c>
      <c r="I236" s="103"/>
      <c r="J236" s="104"/>
      <c r="K236" s="104"/>
      <c r="L236" s="106">
        <f t="shared" si="230"/>
        <v>6.9891776708865636E-2</v>
      </c>
      <c r="M236" s="103"/>
      <c r="N236" s="103"/>
      <c r="O236" s="104"/>
      <c r="P236" s="104"/>
      <c r="Q236" s="105"/>
      <c r="R236" s="105"/>
      <c r="S236" s="82">
        <f>S235</f>
        <v>1.0913769005132048</v>
      </c>
      <c r="T236" s="4">
        <f t="shared" si="238"/>
        <v>9.1376900513204795E-2</v>
      </c>
    </row>
    <row r="237" spans="1:22" x14ac:dyDescent="0.2">
      <c r="A237" s="25">
        <f t="shared" si="228"/>
        <v>229</v>
      </c>
      <c r="B237" s="19" t="s">
        <v>96</v>
      </c>
      <c r="C237" s="20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82"/>
    </row>
    <row r="238" spans="1:22" x14ac:dyDescent="0.2">
      <c r="A238" s="25">
        <f t="shared" si="228"/>
        <v>230</v>
      </c>
      <c r="D238" s="91" t="s">
        <v>16</v>
      </c>
      <c r="E238" s="102"/>
      <c r="F238" s="127"/>
      <c r="G238" s="103"/>
      <c r="H238" s="92">
        <v>1001.86</v>
      </c>
      <c r="I238" s="103"/>
      <c r="J238" s="104"/>
      <c r="K238" s="104"/>
      <c r="L238" s="92">
        <f t="shared" si="230"/>
        <v>1092.0274000000002</v>
      </c>
      <c r="M238" s="103"/>
      <c r="N238" s="103"/>
      <c r="O238" s="104"/>
      <c r="P238" s="104"/>
      <c r="Q238" s="105"/>
      <c r="R238" s="105"/>
      <c r="S238" s="82">
        <v>1.0900000000000001</v>
      </c>
      <c r="T238" s="4">
        <f t="shared" ref="T238:T240" si="239">L238/H238-1</f>
        <v>9.000000000000008E-2</v>
      </c>
      <c r="V238" s="2" t="s">
        <v>140</v>
      </c>
    </row>
    <row r="239" spans="1:22" x14ac:dyDescent="0.2">
      <c r="A239" s="25">
        <f t="shared" si="228"/>
        <v>231</v>
      </c>
      <c r="D239" s="91" t="s">
        <v>46</v>
      </c>
      <c r="E239" s="102"/>
      <c r="F239" s="131"/>
      <c r="G239" s="103"/>
      <c r="H239" s="138">
        <v>6.45</v>
      </c>
      <c r="I239" s="103"/>
      <c r="J239" s="104"/>
      <c r="K239" s="104"/>
      <c r="L239" s="92">
        <f t="shared" si="230"/>
        <v>7.0305000000000009</v>
      </c>
      <c r="M239" s="103"/>
      <c r="N239" s="103"/>
      <c r="O239" s="104"/>
      <c r="P239" s="104"/>
      <c r="Q239" s="105"/>
      <c r="R239" s="105"/>
      <c r="S239" s="82">
        <f>S238</f>
        <v>1.0900000000000001</v>
      </c>
      <c r="T239" s="4">
        <f t="shared" si="239"/>
        <v>9.000000000000008E-2</v>
      </c>
    </row>
    <row r="240" spans="1:22" ht="13.5" thickBot="1" x14ac:dyDescent="0.25">
      <c r="A240" s="25">
        <f t="shared" si="228"/>
        <v>232</v>
      </c>
      <c r="D240" s="91" t="s">
        <v>45</v>
      </c>
      <c r="E240" s="102"/>
      <c r="F240" s="129"/>
      <c r="G240" s="103"/>
      <c r="H240" s="106">
        <v>6.404E-2</v>
      </c>
      <c r="I240" s="103"/>
      <c r="J240" s="104"/>
      <c r="K240" s="104"/>
      <c r="L240" s="106">
        <f t="shared" si="230"/>
        <v>6.9803600000000007E-2</v>
      </c>
      <c r="M240" s="103"/>
      <c r="N240" s="103"/>
      <c r="O240" s="104"/>
      <c r="P240" s="104"/>
      <c r="Q240" s="105"/>
      <c r="R240" s="105"/>
      <c r="S240" s="82">
        <f>S239</f>
        <v>1.0900000000000001</v>
      </c>
      <c r="T240" s="4">
        <f t="shared" si="239"/>
        <v>9.000000000000008E-2</v>
      </c>
    </row>
    <row r="241" spans="1:22" x14ac:dyDescent="0.2">
      <c r="A241" s="25">
        <f t="shared" si="228"/>
        <v>233</v>
      </c>
      <c r="B241" s="19" t="s">
        <v>97</v>
      </c>
      <c r="C241" s="20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82"/>
    </row>
    <row r="242" spans="1:22" x14ac:dyDescent="0.2">
      <c r="A242" s="25">
        <f t="shared" si="228"/>
        <v>234</v>
      </c>
      <c r="D242" s="91" t="s">
        <v>16</v>
      </c>
      <c r="E242" s="102"/>
      <c r="F242" s="127"/>
      <c r="G242" s="103"/>
      <c r="H242" s="92">
        <v>1854.41</v>
      </c>
      <c r="I242" s="103"/>
      <c r="J242" s="104"/>
      <c r="K242" s="104"/>
      <c r="L242" s="92">
        <f t="shared" si="230"/>
        <v>2021.3069000000003</v>
      </c>
      <c r="M242" s="103"/>
      <c r="N242" s="103"/>
      <c r="O242" s="104"/>
      <c r="P242" s="104"/>
      <c r="Q242" s="105"/>
      <c r="R242" s="105"/>
      <c r="S242" s="82">
        <f>S238</f>
        <v>1.0900000000000001</v>
      </c>
      <c r="T242" s="4">
        <f t="shared" ref="T242:T244" si="240">L242/H242-1</f>
        <v>9.000000000000008E-2</v>
      </c>
      <c r="V242" s="2" t="s">
        <v>140</v>
      </c>
    </row>
    <row r="243" spans="1:22" x14ac:dyDescent="0.2">
      <c r="A243" s="25">
        <f t="shared" si="228"/>
        <v>235</v>
      </c>
      <c r="D243" s="91" t="s">
        <v>46</v>
      </c>
      <c r="E243" s="102"/>
      <c r="F243" s="131"/>
      <c r="G243" s="103"/>
      <c r="H243" s="138">
        <v>6.45</v>
      </c>
      <c r="I243" s="103"/>
      <c r="J243" s="104"/>
      <c r="K243" s="104"/>
      <c r="L243" s="92">
        <f t="shared" si="230"/>
        <v>7.0305000000000009</v>
      </c>
      <c r="M243" s="103"/>
      <c r="N243" s="103"/>
      <c r="O243" s="104"/>
      <c r="P243" s="104"/>
      <c r="Q243" s="105"/>
      <c r="R243" s="105"/>
      <c r="S243" s="82">
        <f>S242</f>
        <v>1.0900000000000001</v>
      </c>
      <c r="T243" s="4">
        <f t="shared" si="240"/>
        <v>9.000000000000008E-2</v>
      </c>
    </row>
    <row r="244" spans="1:22" ht="13.5" thickBot="1" x14ac:dyDescent="0.25">
      <c r="A244" s="25">
        <f t="shared" si="228"/>
        <v>236</v>
      </c>
      <c r="D244" s="91" t="s">
        <v>45</v>
      </c>
      <c r="E244" s="102"/>
      <c r="F244" s="129"/>
      <c r="G244" s="103"/>
      <c r="H244" s="106">
        <v>6.055E-2</v>
      </c>
      <c r="I244" s="103"/>
      <c r="J244" s="104"/>
      <c r="K244" s="104"/>
      <c r="L244" s="106">
        <f t="shared" si="230"/>
        <v>6.5999500000000003E-2</v>
      </c>
      <c r="M244" s="103"/>
      <c r="N244" s="103"/>
      <c r="O244" s="104"/>
      <c r="P244" s="104"/>
      <c r="Q244" s="105"/>
      <c r="R244" s="105"/>
      <c r="S244" s="82">
        <f>S243</f>
        <v>1.0900000000000001</v>
      </c>
      <c r="T244" s="4">
        <f t="shared" si="240"/>
        <v>9.000000000000008E-2</v>
      </c>
    </row>
    <row r="245" spans="1:22" x14ac:dyDescent="0.2">
      <c r="A245" s="25">
        <f t="shared" si="228"/>
        <v>237</v>
      </c>
      <c r="B245" s="19" t="s">
        <v>98</v>
      </c>
      <c r="C245" s="20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82"/>
    </row>
    <row r="246" spans="1:22" x14ac:dyDescent="0.2">
      <c r="A246" s="25">
        <f t="shared" si="228"/>
        <v>238</v>
      </c>
      <c r="D246" s="91" t="s">
        <v>46</v>
      </c>
      <c r="E246" s="102"/>
      <c r="F246" s="131"/>
      <c r="G246" s="103"/>
      <c r="H246" s="138">
        <v>9.83</v>
      </c>
      <c r="I246" s="103"/>
      <c r="J246" s="104"/>
      <c r="K246" s="104"/>
      <c r="L246" s="92">
        <f t="shared" si="230"/>
        <v>10.453341397570147</v>
      </c>
      <c r="M246" s="103"/>
      <c r="N246" s="103"/>
      <c r="O246" s="104"/>
      <c r="P246" s="104"/>
      <c r="Q246" s="105"/>
      <c r="R246" s="105"/>
      <c r="S246" s="82">
        <f>1+O$199</f>
        <v>1.0634121462431483</v>
      </c>
      <c r="T246" s="4">
        <f t="shared" ref="T246:T247" si="241">L246/H246-1</f>
        <v>6.3412146243148282E-2</v>
      </c>
    </row>
    <row r="247" spans="1:22" ht="13.5" thickBot="1" x14ac:dyDescent="0.25">
      <c r="A247" s="25">
        <f t="shared" si="228"/>
        <v>239</v>
      </c>
      <c r="D247" s="91" t="s">
        <v>45</v>
      </c>
      <c r="E247" s="102"/>
      <c r="F247" s="129"/>
      <c r="G247" s="103"/>
      <c r="H247" s="106">
        <v>5.7750000000000003E-2</v>
      </c>
      <c r="I247" s="103"/>
      <c r="J247" s="104"/>
      <c r="K247" s="104"/>
      <c r="L247" s="106">
        <f t="shared" si="230"/>
        <v>6.1412051445541814E-2</v>
      </c>
      <c r="M247" s="103"/>
      <c r="N247" s="103"/>
      <c r="O247" s="104"/>
      <c r="P247" s="104"/>
      <c r="Q247" s="105"/>
      <c r="R247" s="105"/>
      <c r="S247" s="82">
        <f>1+O$199</f>
        <v>1.0634121462431483</v>
      </c>
      <c r="T247" s="4">
        <f t="shared" si="241"/>
        <v>6.3412146243148282E-2</v>
      </c>
    </row>
    <row r="248" spans="1:22" x14ac:dyDescent="0.2">
      <c r="A248" s="25">
        <f t="shared" si="228"/>
        <v>240</v>
      </c>
      <c r="B248" s="19" t="s">
        <v>99</v>
      </c>
      <c r="C248" s="20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82"/>
    </row>
    <row r="249" spans="1:22" x14ac:dyDescent="0.2">
      <c r="A249" s="25">
        <f t="shared" si="228"/>
        <v>241</v>
      </c>
      <c r="D249" s="91" t="s">
        <v>16</v>
      </c>
      <c r="E249" s="102"/>
      <c r="F249" s="127"/>
      <c r="G249" s="103"/>
      <c r="H249" s="92">
        <v>3559.49</v>
      </c>
      <c r="I249" s="103"/>
      <c r="J249" s="104"/>
      <c r="K249" s="104"/>
      <c r="L249" s="92">
        <f t="shared" si="230"/>
        <v>3879.8441000000003</v>
      </c>
      <c r="M249" s="103"/>
      <c r="N249" s="103"/>
      <c r="O249" s="104"/>
      <c r="P249" s="104"/>
      <c r="Q249" s="105"/>
      <c r="R249" s="105"/>
      <c r="S249" s="82">
        <f>S242</f>
        <v>1.0900000000000001</v>
      </c>
      <c r="T249" s="4">
        <f t="shared" ref="T249:T251" si="242">L249/H249-1</f>
        <v>9.000000000000008E-2</v>
      </c>
      <c r="V249" s="2" t="s">
        <v>140</v>
      </c>
    </row>
    <row r="250" spans="1:22" x14ac:dyDescent="0.2">
      <c r="A250" s="25">
        <f t="shared" si="228"/>
        <v>242</v>
      </c>
      <c r="D250" s="91" t="s">
        <v>46</v>
      </c>
      <c r="E250" s="102"/>
      <c r="F250" s="131"/>
      <c r="G250" s="103"/>
      <c r="H250" s="138">
        <v>6.45</v>
      </c>
      <c r="I250" s="103"/>
      <c r="J250" s="104"/>
      <c r="K250" s="104"/>
      <c r="L250" s="92">
        <f t="shared" si="230"/>
        <v>7.0305000000000009</v>
      </c>
      <c r="M250" s="103"/>
      <c r="N250" s="103"/>
      <c r="O250" s="104"/>
      <c r="P250" s="104"/>
      <c r="Q250" s="105"/>
      <c r="R250" s="105"/>
      <c r="S250" s="82">
        <f>S249</f>
        <v>1.0900000000000001</v>
      </c>
      <c r="T250" s="4">
        <f t="shared" si="242"/>
        <v>9.000000000000008E-2</v>
      </c>
    </row>
    <row r="251" spans="1:22" ht="13.5" thickBot="1" x14ac:dyDescent="0.25">
      <c r="A251" s="25">
        <f t="shared" si="228"/>
        <v>243</v>
      </c>
      <c r="D251" s="91" t="s">
        <v>45</v>
      </c>
      <c r="E251" s="102"/>
      <c r="F251" s="129"/>
      <c r="G251" s="103"/>
      <c r="H251" s="106">
        <v>5.4629999999999998E-2</v>
      </c>
      <c r="I251" s="103"/>
      <c r="J251" s="104"/>
      <c r="K251" s="104"/>
      <c r="L251" s="106">
        <f t="shared" si="230"/>
        <v>5.9546700000000001E-2</v>
      </c>
      <c r="M251" s="103"/>
      <c r="N251" s="103"/>
      <c r="O251" s="104"/>
      <c r="P251" s="104"/>
      <c r="Q251" s="105"/>
      <c r="R251" s="105"/>
      <c r="S251" s="82">
        <f>S250</f>
        <v>1.0900000000000001</v>
      </c>
      <c r="T251" s="4">
        <f t="shared" si="242"/>
        <v>9.000000000000008E-2</v>
      </c>
    </row>
    <row r="252" spans="1:22" x14ac:dyDescent="0.2">
      <c r="A252" s="25">
        <f t="shared" si="228"/>
        <v>244</v>
      </c>
      <c r="B252" s="19" t="s">
        <v>100</v>
      </c>
      <c r="C252" s="20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82"/>
    </row>
    <row r="253" spans="1:22" x14ac:dyDescent="0.2">
      <c r="A253" s="25">
        <f t="shared" si="228"/>
        <v>245</v>
      </c>
      <c r="D253" s="91" t="s">
        <v>16</v>
      </c>
      <c r="E253" s="102"/>
      <c r="F253" s="127"/>
      <c r="G253" s="103"/>
      <c r="H253" s="92">
        <v>3559.49</v>
      </c>
      <c r="I253" s="103"/>
      <c r="J253" s="104"/>
      <c r="K253" s="104"/>
      <c r="L253" s="92">
        <f t="shared" si="230"/>
        <v>3879.8441000000003</v>
      </c>
      <c r="M253" s="103"/>
      <c r="N253" s="103"/>
      <c r="O253" s="104"/>
      <c r="P253" s="104"/>
      <c r="Q253" s="105"/>
      <c r="R253" s="105"/>
      <c r="S253" s="82">
        <f>S249</f>
        <v>1.0900000000000001</v>
      </c>
      <c r="T253" s="4">
        <f t="shared" ref="T253:T255" si="243">L253/H253-1</f>
        <v>9.000000000000008E-2</v>
      </c>
      <c r="V253" s="2" t="s">
        <v>140</v>
      </c>
    </row>
    <row r="254" spans="1:22" x14ac:dyDescent="0.2">
      <c r="A254" s="25">
        <f t="shared" si="228"/>
        <v>246</v>
      </c>
      <c r="D254" s="91" t="s">
        <v>46</v>
      </c>
      <c r="E254" s="102"/>
      <c r="F254" s="131"/>
      <c r="G254" s="103"/>
      <c r="H254" s="138">
        <v>6.45</v>
      </c>
      <c r="I254" s="103"/>
      <c r="J254" s="104"/>
      <c r="K254" s="104"/>
      <c r="L254" s="92">
        <f t="shared" si="230"/>
        <v>7.0305000000000009</v>
      </c>
      <c r="M254" s="103"/>
      <c r="N254" s="103"/>
      <c r="O254" s="104"/>
      <c r="P254" s="104"/>
      <c r="Q254" s="105"/>
      <c r="R254" s="105"/>
      <c r="S254" s="82">
        <f>S253</f>
        <v>1.0900000000000001</v>
      </c>
      <c r="T254" s="4">
        <f t="shared" si="243"/>
        <v>9.000000000000008E-2</v>
      </c>
    </row>
    <row r="255" spans="1:22" ht="13.5" thickBot="1" x14ac:dyDescent="0.25">
      <c r="A255" s="25">
        <f t="shared" si="228"/>
        <v>247</v>
      </c>
      <c r="D255" s="91" t="s">
        <v>45</v>
      </c>
      <c r="E255" s="102"/>
      <c r="F255" s="129"/>
      <c r="G255" s="103"/>
      <c r="H255" s="106">
        <v>5.4399999999999997E-2</v>
      </c>
      <c r="I255" s="103"/>
      <c r="J255" s="104"/>
      <c r="K255" s="104"/>
      <c r="L255" s="106">
        <f t="shared" si="230"/>
        <v>5.9296000000000001E-2</v>
      </c>
      <c r="M255" s="103"/>
      <c r="N255" s="103"/>
      <c r="O255" s="104"/>
      <c r="P255" s="104"/>
      <c r="Q255" s="105"/>
      <c r="R255" s="105"/>
      <c r="S255" s="82">
        <f>S254</f>
        <v>1.0900000000000001</v>
      </c>
      <c r="T255" s="4">
        <f t="shared" si="243"/>
        <v>9.000000000000008E-2</v>
      </c>
    </row>
    <row r="256" spans="1:22" x14ac:dyDescent="0.2">
      <c r="A256" s="25">
        <f t="shared" si="228"/>
        <v>248</v>
      </c>
      <c r="B256" s="19" t="s">
        <v>113</v>
      </c>
      <c r="C256" s="20">
        <v>15</v>
      </c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</row>
    <row r="257" spans="1:22" x14ac:dyDescent="0.2">
      <c r="A257" s="25">
        <f t="shared" si="228"/>
        <v>249</v>
      </c>
      <c r="C257" s="2"/>
      <c r="D257" s="91" t="s">
        <v>16</v>
      </c>
      <c r="E257" s="125"/>
      <c r="F257" s="127"/>
      <c r="G257" s="103"/>
      <c r="H257" s="92">
        <v>3559.45</v>
      </c>
      <c r="I257" s="103"/>
      <c r="J257" s="104"/>
      <c r="K257" s="104"/>
      <c r="L257" s="92">
        <f t="shared" si="230"/>
        <v>3884.7015085317266</v>
      </c>
      <c r="M257" s="103"/>
      <c r="N257" s="103"/>
      <c r="O257" s="104"/>
      <c r="P257" s="104"/>
      <c r="Q257" s="105"/>
      <c r="R257" s="105"/>
      <c r="S257" s="82">
        <f>S233</f>
        <v>1.0913769005132048</v>
      </c>
      <c r="T257" s="4">
        <f t="shared" ref="T257:T259" si="244">L257/H257-1</f>
        <v>9.1376900513204795E-2</v>
      </c>
      <c r="V257" s="2" t="s">
        <v>139</v>
      </c>
    </row>
    <row r="258" spans="1:22" x14ac:dyDescent="0.2">
      <c r="A258" s="25">
        <f t="shared" si="228"/>
        <v>250</v>
      </c>
      <c r="D258" s="91" t="s">
        <v>77</v>
      </c>
      <c r="E258" s="125"/>
      <c r="F258" s="127"/>
      <c r="G258" s="103"/>
      <c r="H258" s="92">
        <v>6.45</v>
      </c>
      <c r="I258" s="103"/>
      <c r="J258" s="104"/>
      <c r="K258" s="104"/>
      <c r="L258" s="92">
        <f t="shared" si="230"/>
        <v>7.0393810083101709</v>
      </c>
      <c r="M258" s="103"/>
      <c r="N258" s="103"/>
      <c r="O258" s="104"/>
      <c r="P258" s="104"/>
      <c r="Q258" s="105"/>
      <c r="R258" s="105"/>
      <c r="S258" s="82">
        <f>S257</f>
        <v>1.0913769005132048</v>
      </c>
      <c r="T258" s="4">
        <f t="shared" si="244"/>
        <v>9.1376900513204795E-2</v>
      </c>
    </row>
    <row r="259" spans="1:22" x14ac:dyDescent="0.2">
      <c r="A259" s="25">
        <f t="shared" si="228"/>
        <v>251</v>
      </c>
      <c r="D259" s="91" t="s">
        <v>78</v>
      </c>
      <c r="E259" s="102"/>
      <c r="F259" s="127"/>
      <c r="G259" s="103"/>
      <c r="H259" s="92">
        <v>9.34</v>
      </c>
      <c r="I259" s="103"/>
      <c r="J259" s="104"/>
      <c r="K259" s="104"/>
      <c r="L259" s="138">
        <f t="shared" si="230"/>
        <v>10.193460250793333</v>
      </c>
      <c r="M259" s="103"/>
      <c r="N259" s="103"/>
      <c r="O259" s="104"/>
      <c r="P259" s="104"/>
      <c r="Q259" s="105"/>
      <c r="R259" s="105"/>
      <c r="S259" s="82">
        <f>S258</f>
        <v>1.0913769005132048</v>
      </c>
      <c r="T259" s="4">
        <f t="shared" si="244"/>
        <v>9.1376900513204795E-2</v>
      </c>
    </row>
    <row r="260" spans="1:22" ht="13.5" thickBot="1" x14ac:dyDescent="0.25">
      <c r="A260" s="25">
        <f t="shared" si="228"/>
        <v>252</v>
      </c>
      <c r="B260" s="52"/>
      <c r="D260" s="91" t="s">
        <v>45</v>
      </c>
      <c r="E260" s="125"/>
      <c r="F260" s="128"/>
      <c r="H260" s="93">
        <v>5.6270000000000001E-2</v>
      </c>
      <c r="L260" s="106">
        <f t="shared" si="230"/>
        <v>6.1411778191878034E-2</v>
      </c>
      <c r="S260" s="82">
        <f>S259</f>
        <v>1.0913769005132048</v>
      </c>
      <c r="T260" s="4">
        <f t="shared" ref="T260" si="245">L260/H260-1</f>
        <v>9.1376900513204795E-2</v>
      </c>
    </row>
    <row r="261" spans="1:22" x14ac:dyDescent="0.2">
      <c r="A261" s="25">
        <f>A255+1</f>
        <v>248</v>
      </c>
      <c r="B261" s="19" t="s">
        <v>101</v>
      </c>
      <c r="C261" s="20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82"/>
    </row>
    <row r="262" spans="1:22" x14ac:dyDescent="0.2">
      <c r="A262" s="25">
        <f t="shared" si="228"/>
        <v>249</v>
      </c>
      <c r="D262" s="91" t="s">
        <v>16</v>
      </c>
      <c r="E262" s="102"/>
      <c r="F262" s="127"/>
      <c r="G262" s="103"/>
      <c r="H262" s="92">
        <v>5649.81</v>
      </c>
      <c r="I262" s="103"/>
      <c r="J262" s="104"/>
      <c r="K262" s="104"/>
      <c r="L262" s="92">
        <f t="shared" si="230"/>
        <v>6166.0721262885099</v>
      </c>
      <c r="M262" s="103"/>
      <c r="N262" s="103"/>
      <c r="O262" s="104"/>
      <c r="P262" s="104"/>
      <c r="Q262" s="105"/>
      <c r="R262" s="105"/>
      <c r="S262" s="82">
        <f>S257</f>
        <v>1.0913769005132048</v>
      </c>
      <c r="T262" s="4">
        <f t="shared" ref="T262:T265" si="246">L262/H262-1</f>
        <v>9.1376900513204795E-2</v>
      </c>
      <c r="V262" s="2" t="s">
        <v>139</v>
      </c>
    </row>
    <row r="263" spans="1:22" x14ac:dyDescent="0.2">
      <c r="A263" s="25">
        <f t="shared" si="228"/>
        <v>250</v>
      </c>
      <c r="D263" s="91" t="s">
        <v>77</v>
      </c>
      <c r="E263" s="102"/>
      <c r="F263" s="131"/>
      <c r="G263" s="103"/>
      <c r="H263" s="138">
        <v>6.45</v>
      </c>
      <c r="I263" s="103"/>
      <c r="J263" s="104"/>
      <c r="K263" s="104"/>
      <c r="L263" s="92">
        <f t="shared" si="230"/>
        <v>7.0393810083101709</v>
      </c>
      <c r="M263" s="103"/>
      <c r="N263" s="103"/>
      <c r="O263" s="104"/>
      <c r="P263" s="104"/>
      <c r="Q263" s="105"/>
      <c r="R263" s="105"/>
      <c r="S263" s="82">
        <f>S257</f>
        <v>1.0913769005132048</v>
      </c>
      <c r="T263" s="4">
        <f t="shared" si="246"/>
        <v>9.1376900513204795E-2</v>
      </c>
    </row>
    <row r="264" spans="1:22" x14ac:dyDescent="0.2">
      <c r="A264" s="25">
        <f t="shared" si="228"/>
        <v>251</v>
      </c>
      <c r="D264" s="91" t="s">
        <v>78</v>
      </c>
      <c r="E264" s="102"/>
      <c r="F264" s="129"/>
      <c r="G264" s="103"/>
      <c r="H264" s="138">
        <v>9.34</v>
      </c>
      <c r="I264" s="103"/>
      <c r="J264" s="104"/>
      <c r="K264" s="104"/>
      <c r="L264" s="92">
        <f t="shared" si="230"/>
        <v>10.193460250793333</v>
      </c>
      <c r="M264" s="103"/>
      <c r="N264" s="103"/>
      <c r="O264" s="104"/>
      <c r="P264" s="104"/>
      <c r="Q264" s="105"/>
      <c r="R264" s="105"/>
      <c r="S264" s="82">
        <f>S257</f>
        <v>1.0913769005132048</v>
      </c>
      <c r="T264" s="4">
        <f t="shared" si="246"/>
        <v>9.1376900513204795E-2</v>
      </c>
    </row>
    <row r="265" spans="1:22" ht="13.5" thickBot="1" x14ac:dyDescent="0.25">
      <c r="A265" s="25">
        <f t="shared" si="228"/>
        <v>252</v>
      </c>
      <c r="D265" s="91" t="s">
        <v>89</v>
      </c>
      <c r="E265" s="102"/>
      <c r="F265" s="129"/>
      <c r="G265" s="103"/>
      <c r="H265" s="106">
        <v>5.4050000000000001E-2</v>
      </c>
      <c r="I265" s="103"/>
      <c r="J265" s="104"/>
      <c r="K265" s="104"/>
      <c r="L265" s="106">
        <f t="shared" si="230"/>
        <v>5.8988921472738723E-2</v>
      </c>
      <c r="M265" s="103"/>
      <c r="N265" s="103"/>
      <c r="O265" s="104"/>
      <c r="P265" s="104"/>
      <c r="Q265" s="105"/>
      <c r="R265" s="105"/>
      <c r="S265" s="82">
        <f>S257</f>
        <v>1.0913769005132048</v>
      </c>
      <c r="T265" s="4">
        <f t="shared" si="246"/>
        <v>9.1376900513204795E-2</v>
      </c>
    </row>
    <row r="266" spans="1:22" x14ac:dyDescent="0.2">
      <c r="A266" s="25">
        <f t="shared" si="228"/>
        <v>253</v>
      </c>
      <c r="B266" s="19" t="s">
        <v>102</v>
      </c>
      <c r="C266" s="20"/>
      <c r="D266" s="101"/>
      <c r="E266" s="101"/>
      <c r="F266" s="126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82"/>
    </row>
    <row r="267" spans="1:22" x14ac:dyDescent="0.2">
      <c r="A267" s="25">
        <f t="shared" si="228"/>
        <v>254</v>
      </c>
      <c r="D267" s="91" t="s">
        <v>16</v>
      </c>
      <c r="E267" s="102"/>
      <c r="F267" s="127"/>
      <c r="G267" s="103"/>
      <c r="H267" s="92">
        <v>5649.81</v>
      </c>
      <c r="I267" s="103"/>
      <c r="J267" s="104"/>
      <c r="K267" s="104"/>
      <c r="L267" s="92">
        <f t="shared" ref="L267:L269" si="247">H267*S267</f>
        <v>6158.2929000000013</v>
      </c>
      <c r="M267" s="103"/>
      <c r="N267" s="103"/>
      <c r="O267" s="104"/>
      <c r="P267" s="104"/>
      <c r="Q267" s="105"/>
      <c r="R267" s="105"/>
      <c r="S267" s="82">
        <v>1.0900000000000001</v>
      </c>
      <c r="T267" s="4">
        <f t="shared" ref="T267:T272" si="248">L267/H267-1</f>
        <v>9.000000000000008E-2</v>
      </c>
      <c r="V267" s="2" t="s">
        <v>140</v>
      </c>
    </row>
    <row r="268" spans="1:22" x14ac:dyDescent="0.2">
      <c r="A268" s="25">
        <f t="shared" si="228"/>
        <v>255</v>
      </c>
      <c r="D268" s="91" t="s">
        <v>46</v>
      </c>
      <c r="E268" s="102"/>
      <c r="F268" s="131"/>
      <c r="G268" s="103"/>
      <c r="H268" s="138">
        <v>6.45</v>
      </c>
      <c r="I268" s="103"/>
      <c r="J268" s="104"/>
      <c r="K268" s="104"/>
      <c r="L268" s="92">
        <f t="shared" si="247"/>
        <v>7.0305000000000009</v>
      </c>
      <c r="M268" s="103"/>
      <c r="N268" s="103"/>
      <c r="O268" s="104"/>
      <c r="P268" s="104"/>
      <c r="Q268" s="105"/>
      <c r="R268" s="105"/>
      <c r="S268" s="82">
        <f>S267</f>
        <v>1.0900000000000001</v>
      </c>
      <c r="T268" s="4">
        <f t="shared" si="248"/>
        <v>9.000000000000008E-2</v>
      </c>
    </row>
    <row r="269" spans="1:22" ht="13.5" thickBot="1" x14ac:dyDescent="0.25">
      <c r="A269" s="25">
        <f t="shared" si="228"/>
        <v>256</v>
      </c>
      <c r="D269" s="91" t="s">
        <v>89</v>
      </c>
      <c r="E269" s="102"/>
      <c r="F269" s="129"/>
      <c r="G269" s="103"/>
      <c r="H269" s="106">
        <v>5.4050000000000001E-2</v>
      </c>
      <c r="I269" s="103"/>
      <c r="J269" s="104"/>
      <c r="K269" s="104"/>
      <c r="L269" s="106">
        <f t="shared" si="247"/>
        <v>5.8914500000000009E-2</v>
      </c>
      <c r="M269" s="103"/>
      <c r="N269" s="103"/>
      <c r="O269" s="104"/>
      <c r="P269" s="104"/>
      <c r="Q269" s="105"/>
      <c r="R269" s="105"/>
      <c r="S269" s="82">
        <f>S268</f>
        <v>1.0900000000000001</v>
      </c>
      <c r="T269" s="4">
        <f t="shared" si="248"/>
        <v>9.000000000000008E-2</v>
      </c>
    </row>
    <row r="270" spans="1:22" x14ac:dyDescent="0.2">
      <c r="A270" s="25">
        <f t="shared" si="228"/>
        <v>257</v>
      </c>
      <c r="B270" s="19" t="s">
        <v>116</v>
      </c>
      <c r="C270" s="20"/>
      <c r="D270" s="101"/>
      <c r="E270" s="101"/>
      <c r="F270" s="126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T270" s="4"/>
    </row>
    <row r="271" spans="1:22" x14ac:dyDescent="0.2">
      <c r="A271" s="25">
        <f t="shared" si="228"/>
        <v>258</v>
      </c>
      <c r="D271" s="91" t="s">
        <v>16</v>
      </c>
      <c r="E271" s="102"/>
      <c r="F271" s="127"/>
      <c r="G271" s="103"/>
      <c r="H271" s="92">
        <v>12.31</v>
      </c>
      <c r="I271" s="103"/>
      <c r="J271" s="104"/>
      <c r="K271" s="104"/>
      <c r="L271" s="92">
        <f t="shared" ref="L271:L272" si="249">H271*S271</f>
        <v>13.090603520253156</v>
      </c>
      <c r="M271" s="103"/>
      <c r="N271" s="103"/>
      <c r="O271" s="104"/>
      <c r="P271" s="104"/>
      <c r="Q271" s="105"/>
      <c r="R271" s="105"/>
      <c r="S271" s="82">
        <f t="shared" ref="S271:S272" si="250">1+O$199</f>
        <v>1.0634121462431483</v>
      </c>
      <c r="T271" s="4">
        <f t="shared" si="248"/>
        <v>6.3412146243148282E-2</v>
      </c>
    </row>
    <row r="272" spans="1:22" ht="13.5" thickBot="1" x14ac:dyDescent="0.25">
      <c r="A272" s="25">
        <f t="shared" si="228"/>
        <v>259</v>
      </c>
      <c r="D272" s="91" t="s">
        <v>45</v>
      </c>
      <c r="E272" s="102"/>
      <c r="F272" s="129"/>
      <c r="G272" s="103"/>
      <c r="H272" s="106">
        <v>9.5030000000000003E-2</v>
      </c>
      <c r="I272" s="103"/>
      <c r="J272" s="104"/>
      <c r="K272" s="104"/>
      <c r="L272" s="106">
        <f t="shared" si="249"/>
        <v>0.10105605625748638</v>
      </c>
      <c r="M272" s="103"/>
      <c r="N272" s="103"/>
      <c r="O272" s="104"/>
      <c r="P272" s="104"/>
      <c r="Q272" s="105"/>
      <c r="R272" s="105"/>
      <c r="S272" s="82">
        <f t="shared" si="250"/>
        <v>1.0634121462431483</v>
      </c>
      <c r="T272" s="4">
        <f t="shared" si="248"/>
        <v>6.3412146243148282E-2</v>
      </c>
    </row>
    <row r="273" spans="1:20" x14ac:dyDescent="0.2">
      <c r="A273" s="25">
        <f t="shared" si="228"/>
        <v>260</v>
      </c>
      <c r="B273" s="19" t="s">
        <v>117</v>
      </c>
      <c r="C273" s="20"/>
      <c r="D273" s="101"/>
      <c r="E273" s="101"/>
      <c r="F273" s="126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82"/>
      <c r="T273" s="4"/>
    </row>
    <row r="274" spans="1:20" ht="13.5" thickBot="1" x14ac:dyDescent="0.25">
      <c r="A274" s="25">
        <f t="shared" si="228"/>
        <v>261</v>
      </c>
      <c r="D274" s="91" t="s">
        <v>118</v>
      </c>
      <c r="E274" s="102"/>
      <c r="F274" s="127"/>
      <c r="G274" s="103"/>
      <c r="H274" s="92">
        <v>34.04</v>
      </c>
      <c r="I274" s="103"/>
      <c r="J274" s="104"/>
      <c r="K274" s="104"/>
      <c r="L274" s="92">
        <f t="shared" ref="L274" si="251">H274*S274</f>
        <v>36.198549458116766</v>
      </c>
      <c r="M274" s="103"/>
      <c r="N274" s="103"/>
      <c r="O274" s="104"/>
      <c r="P274" s="104"/>
      <c r="Q274" s="105"/>
      <c r="R274" s="105"/>
      <c r="S274" s="82">
        <f t="shared" ref="S274" si="252">1+O$199</f>
        <v>1.0634121462431483</v>
      </c>
      <c r="T274" s="4">
        <f t="shared" ref="T274" si="253">L274/H274-1</f>
        <v>6.3412146243148282E-2</v>
      </c>
    </row>
    <row r="275" spans="1:20" x14ac:dyDescent="0.2">
      <c r="A275" s="25"/>
      <c r="B275" s="19"/>
      <c r="C275" s="20"/>
      <c r="D275" s="101"/>
      <c r="E275" s="101"/>
      <c r="F275" s="126"/>
      <c r="G275" s="101"/>
      <c r="H275" s="126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</row>
    <row r="276" spans="1:20" x14ac:dyDescent="0.2">
      <c r="A276" s="25"/>
      <c r="F276" s="130"/>
      <c r="H276" s="130"/>
    </row>
    <row r="277" spans="1:20" x14ac:dyDescent="0.2">
      <c r="A277" s="25"/>
      <c r="E277" s="102"/>
      <c r="F277" s="131"/>
      <c r="G277" s="103"/>
      <c r="H277" s="136"/>
      <c r="I277" s="103"/>
      <c r="J277" s="104"/>
      <c r="K277" s="104"/>
      <c r="L277" s="92"/>
      <c r="M277" s="103"/>
      <c r="N277" s="103"/>
      <c r="O277" s="104"/>
      <c r="P277" s="104"/>
      <c r="Q277" s="105"/>
      <c r="R277" s="105"/>
    </row>
    <row r="278" spans="1:20" x14ac:dyDescent="0.2">
      <c r="G278" s="133" t="s">
        <v>114</v>
      </c>
      <c r="H278" s="91">
        <v>1.17E-2</v>
      </c>
      <c r="I278" s="91" t="s">
        <v>141</v>
      </c>
    </row>
    <row r="281" spans="1:20" x14ac:dyDescent="0.2">
      <c r="E281" s="74">
        <v>1227378324</v>
      </c>
    </row>
    <row r="282" spans="1:20" x14ac:dyDescent="0.2">
      <c r="E282" s="74">
        <f>E9+E21+E34+E46+E58+E70+E82+E98+E114+E126+E139+E151+E163</f>
        <v>1243414382</v>
      </c>
    </row>
    <row r="283" spans="1:20" x14ac:dyDescent="0.2">
      <c r="E283" s="74">
        <f>E282-E281</f>
        <v>16036058</v>
      </c>
    </row>
    <row r="284" spans="1:20" x14ac:dyDescent="0.2">
      <c r="E284" s="135">
        <f>E283/E281</f>
        <v>1.3065293468552407E-2</v>
      </c>
    </row>
  </sheetData>
  <phoneticPr fontId="7" type="noConversion"/>
  <printOptions horizontalCentered="1"/>
  <pageMargins left="0.7" right="0.7" top="0.75" bottom="0.75" header="0.3" footer="0.3"/>
  <pageSetup scale="53" fitToHeight="7" orientation="landscape" r:id="rId1"/>
  <headerFooter>
    <oddHeader>&amp;R&amp;"Arial,Bold"&amp;10Exhibit 4 
Page &amp;P of &amp;N</oddHeader>
  </headerFooter>
  <rowBreaks count="5" manualBreakCount="5">
    <brk id="43" max="17" man="1"/>
    <brk id="93" max="17" man="1"/>
    <brk id="135" max="17" man="1"/>
    <brk id="196" max="17" man="1"/>
    <brk id="247" max="17" man="1"/>
  </rowBreaks>
  <ignoredErrors>
    <ignoredError sqref="M10 N189:N198 N113:O148 O189:O240 N10:O107 N161:O181 N182:O184 N108:O10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I161"/>
  <sheetViews>
    <sheetView view="pageBreakPreview" topLeftCell="A130" zoomScaleNormal="85" zoomScaleSheetLayoutView="100" workbookViewId="0">
      <selection activeCell="F160" sqref="F160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9.28515625" style="11" customWidth="1"/>
    <col min="4" max="4" width="28.7109375" style="3" bestFit="1" customWidth="1"/>
    <col min="5" max="5" width="35.28515625" style="2" bestFit="1" customWidth="1"/>
    <col min="6" max="6" width="14.7109375" style="2" customWidth="1"/>
    <col min="7" max="7" width="12.5703125" style="2" customWidth="1"/>
    <col min="8" max="8" width="10.5703125" style="2" bestFit="1" customWidth="1"/>
    <col min="9" max="9" width="13.42578125" style="2" customWidth="1"/>
    <col min="10" max="16384" width="8.85546875" style="2"/>
  </cols>
  <sheetData>
    <row r="1" spans="1:9" x14ac:dyDescent="0.2">
      <c r="A1" s="1" t="str">
        <f>Summary!A1</f>
        <v>SALT RIVER ELECTRIC COOPERATIVE</v>
      </c>
    </row>
    <row r="2" spans="1:9" x14ac:dyDescent="0.2">
      <c r="A2" s="1" t="s">
        <v>107</v>
      </c>
    </row>
    <row r="4" spans="1:9" x14ac:dyDescent="0.2">
      <c r="C4" s="54" t="s">
        <v>57</v>
      </c>
      <c r="D4" s="83"/>
      <c r="E4" s="53" t="s">
        <v>2</v>
      </c>
      <c r="F4" s="57" t="s">
        <v>43</v>
      </c>
      <c r="G4" s="57" t="s">
        <v>44</v>
      </c>
      <c r="H4" s="57" t="s">
        <v>108</v>
      </c>
    </row>
    <row r="5" spans="1:9" x14ac:dyDescent="0.2">
      <c r="C5" s="11">
        <f>'Billing Detail'!C7</f>
        <v>1</v>
      </c>
      <c r="D5" s="84" t="str">
        <f>'Billing Detail'!B7</f>
        <v>Farm &amp; Home Service A-5</v>
      </c>
    </row>
    <row r="6" spans="1:9" x14ac:dyDescent="0.2">
      <c r="D6" s="84"/>
      <c r="E6" s="2" t="str">
        <f>'Billing Detail'!D8</f>
        <v>Customer Charge</v>
      </c>
      <c r="F6" s="55">
        <f>'Billing Detail'!H8</f>
        <v>9.1999999999999993</v>
      </c>
      <c r="G6" s="55">
        <f>'Billing Detail'!L8</f>
        <v>9.76</v>
      </c>
      <c r="H6" s="55">
        <f>G6-F6</f>
        <v>0.5600000000000005</v>
      </c>
      <c r="I6" s="4">
        <f>H6/F6</f>
        <v>6.0869565217391362E-2</v>
      </c>
    </row>
    <row r="7" spans="1:9" x14ac:dyDescent="0.2">
      <c r="D7" s="84"/>
      <c r="E7" s="2" t="str">
        <f>'Billing Detail'!D9</f>
        <v>Energy Charge per kWh</v>
      </c>
      <c r="F7" s="56">
        <f>'Billing Detail'!H9</f>
        <v>9.0190000000000006E-2</v>
      </c>
      <c r="G7" s="56">
        <f>'Billing Detail'!L9</f>
        <v>9.5680000000000001E-2</v>
      </c>
      <c r="H7" s="56">
        <f t="shared" ref="H7:H59" si="0">G7-F7</f>
        <v>5.4899999999999949E-3</v>
      </c>
      <c r="I7" s="4">
        <f t="shared" ref="I7:I59" si="1">H7/F7</f>
        <v>6.0871493513693253E-2</v>
      </c>
    </row>
    <row r="8" spans="1:9" x14ac:dyDescent="0.2">
      <c r="D8" s="84" t="s">
        <v>130</v>
      </c>
      <c r="F8" s="56"/>
      <c r="G8" s="56"/>
      <c r="H8" s="56"/>
      <c r="I8" s="4"/>
    </row>
    <row r="9" spans="1:9" x14ac:dyDescent="0.2">
      <c r="D9" s="84"/>
      <c r="E9" s="2" t="str">
        <f>'Billing Detail'!D13</f>
        <v>Prepay Charge per Day</v>
      </c>
      <c r="F9" s="55">
        <f>'Billing Detail'!F13</f>
        <v>0.17</v>
      </c>
      <c r="G9" s="55">
        <f>'Billing Detail'!L13</f>
        <v>0.17</v>
      </c>
      <c r="H9" s="55">
        <f>G9-F9</f>
        <v>0</v>
      </c>
      <c r="I9" s="4">
        <f>H9/F9</f>
        <v>0</v>
      </c>
    </row>
    <row r="10" spans="1:9" x14ac:dyDescent="0.2">
      <c r="C10" s="11">
        <f>'Billing Detail'!C19</f>
        <v>7</v>
      </c>
      <c r="D10" s="84" t="str">
        <f>'Billing Detail'!B19</f>
        <v>Large Power 500-3000 kW LLP2</v>
      </c>
      <c r="F10" s="56"/>
      <c r="G10" s="56"/>
      <c r="H10" s="56"/>
      <c r="I10" s="4"/>
    </row>
    <row r="11" spans="1:9" x14ac:dyDescent="0.2">
      <c r="D11" s="84"/>
      <c r="E11" s="2" t="str">
        <f>'Billing Detail'!D21</f>
        <v>Energy Charge per kWh</v>
      </c>
      <c r="F11" s="56">
        <f>'Billing Detail'!H21</f>
        <v>7.1559999999999999E-2</v>
      </c>
      <c r="G11" s="56">
        <f>'Billing Detail'!L21</f>
        <v>7.5910000000000005E-2</v>
      </c>
      <c r="H11" s="56">
        <f t="shared" si="0"/>
        <v>4.3500000000000066E-3</v>
      </c>
      <c r="I11" s="4">
        <f t="shared" si="1"/>
        <v>6.0788149804360071E-2</v>
      </c>
    </row>
    <row r="12" spans="1:9" x14ac:dyDescent="0.2">
      <c r="D12" s="84"/>
      <c r="E12" s="2" t="str">
        <f>'Billing Detail'!D22</f>
        <v>Demand Charge per kW</v>
      </c>
      <c r="F12" s="55">
        <f>'Billing Detail'!H22</f>
        <v>6.97</v>
      </c>
      <c r="G12" s="55">
        <f>'Billing Detail'!L22</f>
        <v>7.3939899999999996</v>
      </c>
      <c r="H12" s="55">
        <f t="shared" si="0"/>
        <v>0.42398999999999987</v>
      </c>
      <c r="I12" s="4">
        <f t="shared" si="1"/>
        <v>6.0830703012912463E-2</v>
      </c>
    </row>
    <row r="13" spans="1:9" x14ac:dyDescent="0.2">
      <c r="C13" s="11">
        <f>'Billing Detail'!C32</f>
        <v>8</v>
      </c>
      <c r="D13" s="84" t="str">
        <f>'Billing Detail'!B32</f>
        <v>Commercial &amp; Small Power B2</v>
      </c>
      <c r="F13" s="55"/>
      <c r="G13" s="55"/>
      <c r="H13" s="55"/>
      <c r="I13" s="4"/>
    </row>
    <row r="14" spans="1:9" x14ac:dyDescent="0.2">
      <c r="D14" s="84"/>
      <c r="E14" s="2" t="str">
        <f>'Billing Detail'!D33</f>
        <v>Customer Charge</v>
      </c>
      <c r="F14" s="55">
        <f>'Billing Detail'!H33</f>
        <v>12.37</v>
      </c>
      <c r="G14" s="55">
        <f>'Billing Detail'!L33</f>
        <v>13.12</v>
      </c>
      <c r="H14" s="55">
        <f t="shared" si="0"/>
        <v>0.75</v>
      </c>
      <c r="I14" s="4">
        <f t="shared" si="1"/>
        <v>6.0630557801131774E-2</v>
      </c>
    </row>
    <row r="15" spans="1:9" x14ac:dyDescent="0.2">
      <c r="D15" s="84"/>
      <c r="E15" s="2" t="str">
        <f>'Billing Detail'!D34</f>
        <v>Energy Charge per kWh</v>
      </c>
      <c r="F15" s="56">
        <f>'Billing Detail'!H34</f>
        <v>9.7059999999999994E-2</v>
      </c>
      <c r="G15" s="56">
        <f>'Billing Detail'!L34</f>
        <v>0.10296</v>
      </c>
      <c r="H15" s="56">
        <f t="shared" si="0"/>
        <v>5.9000000000000025E-3</v>
      </c>
      <c r="I15" s="4">
        <f t="shared" si="1"/>
        <v>6.0787141974036708E-2</v>
      </c>
    </row>
    <row r="16" spans="1:9" x14ac:dyDescent="0.2">
      <c r="C16" s="11">
        <f>'Billing Detail'!C44</f>
        <v>9</v>
      </c>
      <c r="D16" s="84" t="str">
        <f>'Billing Detail'!B44</f>
        <v>Large Power LLP-1</v>
      </c>
      <c r="F16" s="56"/>
      <c r="G16" s="56"/>
      <c r="H16" s="56"/>
      <c r="I16" s="4"/>
    </row>
    <row r="17" spans="3:9" x14ac:dyDescent="0.2">
      <c r="D17" s="84"/>
      <c r="E17" s="2" t="str">
        <f>'Billing Detail'!D45</f>
        <v>Demand Charge per kW</v>
      </c>
      <c r="F17" s="55">
        <f>'Billing Detail'!H45</f>
        <v>6.97</v>
      </c>
      <c r="G17" s="55">
        <f>'Billing Detail'!L45</f>
        <v>7.39</v>
      </c>
      <c r="H17" s="55">
        <f t="shared" si="0"/>
        <v>0.41999999999999993</v>
      </c>
      <c r="I17" s="4">
        <f t="shared" si="1"/>
        <v>6.0258249641319934E-2</v>
      </c>
    </row>
    <row r="18" spans="3:9" x14ac:dyDescent="0.2">
      <c r="D18" s="84"/>
      <c r="E18" s="2" t="str">
        <f>'Billing Detail'!D46</f>
        <v>Energy Charge per kWh</v>
      </c>
      <c r="F18" s="56">
        <f>'Billing Detail'!H46</f>
        <v>7.5520000000000004E-2</v>
      </c>
      <c r="G18" s="56">
        <f>'Billing Detail'!L46</f>
        <v>8.0110000000000001E-2</v>
      </c>
      <c r="H18" s="56">
        <f t="shared" si="0"/>
        <v>4.5899999999999969E-3</v>
      </c>
      <c r="I18" s="4">
        <f t="shared" si="1"/>
        <v>6.077860169491521E-2</v>
      </c>
    </row>
    <row r="19" spans="3:9" x14ac:dyDescent="0.2">
      <c r="C19" s="11">
        <f>'Billing Detail'!C56</f>
        <v>11</v>
      </c>
      <c r="D19" s="84" t="str">
        <f>'Billing Detail'!B56</f>
        <v>Large Power LLP-3</v>
      </c>
      <c r="F19" s="55"/>
      <c r="G19" s="55"/>
      <c r="H19" s="55"/>
      <c r="I19" s="4"/>
    </row>
    <row r="20" spans="3:9" x14ac:dyDescent="0.2">
      <c r="D20" s="84"/>
      <c r="E20" s="2" t="str">
        <f>'Billing Detail'!D57</f>
        <v>Demand Charge per kW</v>
      </c>
      <c r="F20" s="55">
        <f>'Billing Detail'!H57</f>
        <v>6.95</v>
      </c>
      <c r="G20" s="55">
        <f>'Billing Detail'!L57</f>
        <v>7.37</v>
      </c>
      <c r="H20" s="55">
        <f t="shared" si="0"/>
        <v>0.41999999999999993</v>
      </c>
      <c r="I20" s="4">
        <f t="shared" si="1"/>
        <v>6.0431654676258981E-2</v>
      </c>
    </row>
    <row r="21" spans="3:9" x14ac:dyDescent="0.2">
      <c r="D21" s="84"/>
      <c r="E21" s="2" t="str">
        <f>'Billing Detail'!D58</f>
        <v>Energy Charge per kWh</v>
      </c>
      <c r="F21" s="56">
        <f>'Billing Detail'!H58</f>
        <v>7.1480000000000002E-2</v>
      </c>
      <c r="G21" s="56">
        <f>'Billing Detail'!L58</f>
        <v>7.5829999999999995E-2</v>
      </c>
      <c r="H21" s="56">
        <f t="shared" si="0"/>
        <v>4.3499999999999928E-3</v>
      </c>
      <c r="I21" s="4">
        <f t="shared" si="1"/>
        <v>6.0856183547845451E-2</v>
      </c>
    </row>
    <row r="22" spans="3:9" x14ac:dyDescent="0.2">
      <c r="C22" s="11">
        <f>'Billing Detail'!C68</f>
        <v>13</v>
      </c>
      <c r="D22" s="84" t="str">
        <f>'Billing Detail'!B68</f>
        <v>Large Power LPR-2</v>
      </c>
      <c r="F22" s="56"/>
      <c r="G22" s="56"/>
      <c r="H22" s="56"/>
      <c r="I22" s="4"/>
    </row>
    <row r="23" spans="3:9" x14ac:dyDescent="0.2">
      <c r="D23" s="84"/>
      <c r="E23" s="2" t="str">
        <f>'Billing Detail'!D69</f>
        <v>Demand Charge per kW</v>
      </c>
      <c r="F23" s="55">
        <f>'Billing Detail'!H69</f>
        <v>9.83</v>
      </c>
      <c r="G23" s="55">
        <f>'Billing Detail'!L69</f>
        <v>10.43</v>
      </c>
      <c r="H23" s="55">
        <f t="shared" si="0"/>
        <v>0.59999999999999964</v>
      </c>
      <c r="I23" s="4">
        <f t="shared" si="1"/>
        <v>6.1037639877924682E-2</v>
      </c>
    </row>
    <row r="24" spans="3:9" x14ac:dyDescent="0.2">
      <c r="D24" s="84"/>
      <c r="E24" s="2" t="str">
        <f>'Billing Detail'!D70</f>
        <v>Energy Charge per kWh</v>
      </c>
      <c r="F24" s="56">
        <f>'Billing Detail'!H70</f>
        <v>5.7750000000000003E-2</v>
      </c>
      <c r="G24" s="56">
        <f>'Billing Detail'!L70</f>
        <v>6.1260000000000002E-2</v>
      </c>
      <c r="H24" s="56">
        <f t="shared" si="0"/>
        <v>3.5099999999999992E-3</v>
      </c>
      <c r="I24" s="4">
        <f t="shared" si="1"/>
        <v>6.0779220779220766E-2</v>
      </c>
    </row>
    <row r="25" spans="3:9" x14ac:dyDescent="0.2">
      <c r="C25" s="11">
        <f>'Billing Detail'!C80</f>
        <v>14</v>
      </c>
      <c r="D25" s="84" t="str">
        <f>'Billing Detail'!B80</f>
        <v>Large Power LLP-4-B1</v>
      </c>
      <c r="F25" s="55"/>
      <c r="G25" s="55"/>
      <c r="H25" s="55"/>
      <c r="I25" s="4"/>
    </row>
    <row r="26" spans="3:9" x14ac:dyDescent="0.2">
      <c r="D26" s="84"/>
      <c r="E26" s="2" t="str">
        <f>'Billing Detail'!D81</f>
        <v>Customer Charge</v>
      </c>
      <c r="F26" s="55">
        <f>'Billing Detail'!H81</f>
        <v>1854.38</v>
      </c>
      <c r="G26" s="55">
        <f>'Billing Detail'!L81</f>
        <v>2023.64</v>
      </c>
      <c r="H26" s="55">
        <f t="shared" si="0"/>
        <v>169.26</v>
      </c>
      <c r="I26" s="4">
        <f t="shared" si="1"/>
        <v>9.1275790291094588E-2</v>
      </c>
    </row>
    <row r="27" spans="3:9" x14ac:dyDescent="0.2">
      <c r="D27" s="84"/>
      <c r="E27" s="2" t="str">
        <f>'Billing Detail'!D82</f>
        <v>Energy Charge per kWh</v>
      </c>
      <c r="F27" s="56">
        <f>'Billing Detail'!H82</f>
        <v>6.055E-2</v>
      </c>
      <c r="G27" s="56">
        <f>'Billing Detail'!L82</f>
        <v>6.608E-2</v>
      </c>
      <c r="H27" s="56">
        <f t="shared" si="0"/>
        <v>5.5300000000000002E-3</v>
      </c>
      <c r="I27" s="4">
        <f t="shared" si="1"/>
        <v>9.1329479768786137E-2</v>
      </c>
    </row>
    <row r="28" spans="3:9" x14ac:dyDescent="0.2">
      <c r="D28" s="84"/>
      <c r="E28" s="2" t="str">
        <f>'Billing Detail'!D83</f>
        <v>Demand Charge Contract per kW</v>
      </c>
      <c r="F28" s="55">
        <f>'Billing Detail'!H83</f>
        <v>6.45</v>
      </c>
      <c r="G28" s="55">
        <f>'Billing Detail'!L83</f>
        <v>7.04</v>
      </c>
      <c r="H28" s="55">
        <f t="shared" si="0"/>
        <v>0.58999999999999986</v>
      </c>
      <c r="I28" s="4">
        <f t="shared" si="1"/>
        <v>9.1472868217054235E-2</v>
      </c>
    </row>
    <row r="29" spans="3:9" x14ac:dyDescent="0.2">
      <c r="D29" s="84"/>
      <c r="E29" s="2" t="str">
        <f>'Billing Detail'!D84</f>
        <v>Demand Charge Excess per kW</v>
      </c>
      <c r="F29" s="55">
        <f>'Billing Detail'!H84</f>
        <v>9.34</v>
      </c>
      <c r="G29" s="55">
        <f>'Billing Detail'!L84</f>
        <v>10.19</v>
      </c>
      <c r="H29" s="55">
        <f t="shared" si="0"/>
        <v>0.84999999999999964</v>
      </c>
      <c r="I29" s="4">
        <f t="shared" si="1"/>
        <v>9.1006423982869344E-2</v>
      </c>
    </row>
    <row r="30" spans="3:9" x14ac:dyDescent="0.2">
      <c r="C30" s="11">
        <f>'Billing Detail'!C94</f>
        <v>16</v>
      </c>
      <c r="D30" s="84" t="str">
        <f>'Billing Detail'!B94</f>
        <v>Large Power LPR-1-B2</v>
      </c>
      <c r="F30" s="55"/>
      <c r="G30" s="55"/>
      <c r="H30" s="55"/>
      <c r="I30" s="4"/>
    </row>
    <row r="31" spans="3:9" x14ac:dyDescent="0.2">
      <c r="D31" s="84"/>
      <c r="E31" s="2" t="str">
        <f>'Billing Detail'!D95</f>
        <v>Customer Charge</v>
      </c>
      <c r="F31" s="55">
        <f>'Billing Detail'!H95</f>
        <v>3559.45</v>
      </c>
      <c r="G31" s="55">
        <f>'Billing Detail'!L95</f>
        <v>3884.33</v>
      </c>
      <c r="H31" s="55">
        <f t="shared" si="0"/>
        <v>324.88000000000011</v>
      </c>
      <c r="I31" s="4">
        <f t="shared" si="1"/>
        <v>9.1272528059110292E-2</v>
      </c>
    </row>
    <row r="32" spans="3:9" x14ac:dyDescent="0.2">
      <c r="D32" s="84"/>
      <c r="E32" s="2" t="str">
        <f>'Billing Detail'!D96</f>
        <v>Demand Charge Contract per kW</v>
      </c>
      <c r="F32" s="55">
        <f>'Billing Detail'!H96</f>
        <v>6.45</v>
      </c>
      <c r="G32" s="55">
        <f>'Billing Detail'!L96</f>
        <v>7.04</v>
      </c>
      <c r="H32" s="55">
        <f t="shared" si="0"/>
        <v>0.58999999999999986</v>
      </c>
      <c r="I32" s="4">
        <f t="shared" si="1"/>
        <v>9.1472868217054235E-2</v>
      </c>
    </row>
    <row r="33" spans="3:9" x14ac:dyDescent="0.2">
      <c r="D33" s="84"/>
      <c r="E33" s="2" t="str">
        <f>'Billing Detail'!D97</f>
        <v>Demand Charge Excess per kW</v>
      </c>
      <c r="F33" s="55">
        <f>'Billing Detail'!H97</f>
        <v>9.34</v>
      </c>
      <c r="G33" s="55">
        <f>'Billing Detail'!L97</f>
        <v>10.19</v>
      </c>
      <c r="H33" s="55">
        <f t="shared" si="0"/>
        <v>0.84999999999999964</v>
      </c>
      <c r="I33" s="4">
        <f t="shared" si="1"/>
        <v>9.1006423982869344E-2</v>
      </c>
    </row>
    <row r="34" spans="3:9" x14ac:dyDescent="0.2">
      <c r="D34" s="84"/>
      <c r="E34" s="2" t="str">
        <f>'Billing Detail'!D98</f>
        <v>Energy Charge per kWh</v>
      </c>
      <c r="F34" s="56">
        <f>'Billing Detail'!H98</f>
        <v>5.4399999999999997E-2</v>
      </c>
      <c r="G34" s="56">
        <f>'Billing Detail'!L98</f>
        <v>5.9369999999999999E-2</v>
      </c>
      <c r="H34" s="56">
        <f t="shared" si="0"/>
        <v>4.9700000000000022E-3</v>
      </c>
      <c r="I34" s="4">
        <f t="shared" si="1"/>
        <v>9.1360294117647109E-2</v>
      </c>
    </row>
    <row r="35" spans="3:9" x14ac:dyDescent="0.2">
      <c r="C35" s="11">
        <f>'Billing Detail'!C108</f>
        <v>36</v>
      </c>
      <c r="D35" s="84" t="str">
        <f>'Billing Detail'!B108</f>
        <v>LPR-3</v>
      </c>
      <c r="E35" s="52"/>
      <c r="F35" s="55"/>
      <c r="G35" s="55"/>
      <c r="H35" s="55"/>
      <c r="I35" s="4"/>
    </row>
    <row r="36" spans="3:9" x14ac:dyDescent="0.2">
      <c r="D36" s="84"/>
      <c r="E36" s="2" t="str">
        <f>'Billing Detail'!D109</f>
        <v>Customer Charge 500-999 kW</v>
      </c>
      <c r="F36" s="55">
        <f>'Billing Detail'!H109</f>
        <v>1001.85</v>
      </c>
      <c r="G36" s="55">
        <f>'Billing Detail'!L109</f>
        <v>1062.79</v>
      </c>
      <c r="H36" s="55">
        <f t="shared" si="0"/>
        <v>60.939999999999941</v>
      </c>
      <c r="I36" s="4">
        <f t="shared" si="1"/>
        <v>6.0827469182013212E-2</v>
      </c>
    </row>
    <row r="37" spans="3:9" x14ac:dyDescent="0.2">
      <c r="D37" s="84"/>
      <c r="E37" s="2" t="str">
        <f>'Billing Detail'!D110</f>
        <v>Customer Charge 1000-2999 kW</v>
      </c>
      <c r="F37" s="55">
        <f>'Billing Detail'!H110</f>
        <v>1854.38</v>
      </c>
      <c r="G37" s="55">
        <f>'Billing Detail'!L110</f>
        <v>1967.18</v>
      </c>
      <c r="H37" s="55">
        <f t="shared" ref="H37:H41" si="2">G37-F37</f>
        <v>112.79999999999995</v>
      </c>
      <c r="I37" s="4">
        <f t="shared" ref="I37:I41" si="3">H37/F37</f>
        <v>6.0828956308847132E-2</v>
      </c>
    </row>
    <row r="38" spans="3:9" x14ac:dyDescent="0.2">
      <c r="D38" s="84"/>
      <c r="E38" s="2" t="str">
        <f>'Billing Detail'!D111</f>
        <v>Customer Charge 3000-9999 kW</v>
      </c>
      <c r="F38" s="55">
        <f>'Billing Detail'!H111</f>
        <v>3559.44</v>
      </c>
      <c r="G38" s="55">
        <f>'Billing Detail'!L111</f>
        <v>3775.97</v>
      </c>
      <c r="H38" s="55">
        <f t="shared" si="2"/>
        <v>216.52999999999975</v>
      </c>
      <c r="I38" s="4">
        <f t="shared" si="3"/>
        <v>6.0832602881352053E-2</v>
      </c>
    </row>
    <row r="39" spans="3:9" x14ac:dyDescent="0.2">
      <c r="D39" s="84"/>
      <c r="E39" s="2" t="str">
        <f>'Billing Detail'!D112</f>
        <v>Customer Charge 10000 kW +</v>
      </c>
      <c r="F39" s="55">
        <f>'Billing Detail'!H112</f>
        <v>5649.73</v>
      </c>
      <c r="G39" s="55">
        <f>'Billing Detail'!L112</f>
        <v>5993.41</v>
      </c>
      <c r="H39" s="55">
        <f t="shared" si="2"/>
        <v>343.68000000000029</v>
      </c>
      <c r="I39" s="4">
        <f t="shared" si="3"/>
        <v>6.0831225562991559E-2</v>
      </c>
    </row>
    <row r="40" spans="3:9" x14ac:dyDescent="0.2">
      <c r="D40" s="84"/>
      <c r="E40" s="2" t="str">
        <f>'Billing Detail'!D113</f>
        <v>Demand Charge per kW</v>
      </c>
      <c r="F40" s="55">
        <f>'Billing Detail'!H113</f>
        <v>9.83</v>
      </c>
      <c r="G40" s="55">
        <f>'Billing Detail'!L113</f>
        <v>10.43</v>
      </c>
      <c r="H40" s="55">
        <f t="shared" si="2"/>
        <v>0.59999999999999964</v>
      </c>
      <c r="I40" s="4">
        <f t="shared" si="3"/>
        <v>6.1037639877924682E-2</v>
      </c>
    </row>
    <row r="41" spans="3:9" x14ac:dyDescent="0.2">
      <c r="D41" s="84"/>
      <c r="E41" s="2" t="str">
        <f>'Billing Detail'!D114</f>
        <v>Energy Charge per kWh</v>
      </c>
      <c r="F41" s="56">
        <f>'Billing Detail'!H114</f>
        <v>5.7750000000000003E-2</v>
      </c>
      <c r="G41" s="56">
        <f>'Billing Detail'!L114</f>
        <v>6.1260000000000002E-2</v>
      </c>
      <c r="H41" s="56">
        <f t="shared" si="2"/>
        <v>3.5099999999999992E-3</v>
      </c>
      <c r="I41" s="4">
        <f t="shared" si="3"/>
        <v>6.0779220779220766E-2</v>
      </c>
    </row>
    <row r="42" spans="3:9" x14ac:dyDescent="0.2">
      <c r="C42" s="11" t="str">
        <f>'Billing Detail'!C173</f>
        <v>OL-LED</v>
      </c>
      <c r="D42" s="84" t="str">
        <f>'Billing Detail'!B173</f>
        <v>Outdoor Lighting Service OL &amp; LED</v>
      </c>
      <c r="F42" s="55"/>
      <c r="G42" s="55"/>
      <c r="H42" s="55"/>
      <c r="I42" s="4"/>
    </row>
    <row r="43" spans="3:9" x14ac:dyDescent="0.2">
      <c r="D43" s="11" t="str">
        <f>'Billing Detail'!C174</f>
        <v>OL</v>
      </c>
      <c r="E43" s="2" t="str">
        <f>'Billing Detail'!D174</f>
        <v>175 Watt Mercury Vapor</v>
      </c>
      <c r="F43" s="55">
        <f>'Billing Detail'!H174</f>
        <v>11.08</v>
      </c>
      <c r="G43" s="55">
        <f>'Billing Detail'!L174</f>
        <v>11.75</v>
      </c>
      <c r="H43" s="55">
        <f t="shared" si="0"/>
        <v>0.66999999999999993</v>
      </c>
      <c r="I43" s="4">
        <f t="shared" si="1"/>
        <v>6.0469314079422375E-2</v>
      </c>
    </row>
    <row r="44" spans="3:9" x14ac:dyDescent="0.2">
      <c r="D44" s="11" t="str">
        <f>'Billing Detail'!C175</f>
        <v>OL</v>
      </c>
      <c r="E44" s="2" t="str">
        <f>'Billing Detail'!D175</f>
        <v>100 HPS Sodium Vapor</v>
      </c>
      <c r="F44" s="55">
        <f>'Billing Detail'!H175</f>
        <v>10.5</v>
      </c>
      <c r="G44" s="55">
        <f>'Billing Detail'!L175</f>
        <v>11.14</v>
      </c>
      <c r="H44" s="55">
        <f t="shared" si="0"/>
        <v>0.64000000000000057</v>
      </c>
      <c r="I44" s="4">
        <f t="shared" si="1"/>
        <v>6.0952380952381008E-2</v>
      </c>
    </row>
    <row r="45" spans="3:9" x14ac:dyDescent="0.2">
      <c r="D45" s="11" t="str">
        <f>'Billing Detail'!C176</f>
        <v>OL</v>
      </c>
      <c r="E45" s="2" t="str">
        <f>'Billing Detail'!D176</f>
        <v>250 HPS Sodium Vapor</v>
      </c>
      <c r="F45" s="55">
        <f>'Billing Detail'!H176</f>
        <v>14.11</v>
      </c>
      <c r="G45" s="55">
        <f>'Billing Detail'!L176</f>
        <v>14.97</v>
      </c>
      <c r="H45" s="55">
        <f t="shared" si="0"/>
        <v>0.86000000000000121</v>
      </c>
      <c r="I45" s="4">
        <f t="shared" si="1"/>
        <v>6.0949681077250267E-2</v>
      </c>
    </row>
    <row r="46" spans="3:9" x14ac:dyDescent="0.2">
      <c r="D46" s="11" t="str">
        <f>'Billing Detail'!C177</f>
        <v>OL</v>
      </c>
      <c r="E46" s="2" t="str">
        <f>'Billing Detail'!D177</f>
        <v>400 HPS Sodium Vapor</v>
      </c>
      <c r="F46" s="55">
        <f>'Billing Detail'!H177</f>
        <v>18.899999999999999</v>
      </c>
      <c r="G46" s="55">
        <f>'Billing Detail'!L177</f>
        <v>20.05</v>
      </c>
      <c r="H46" s="55">
        <f t="shared" si="0"/>
        <v>1.1500000000000021</v>
      </c>
      <c r="I46" s="4">
        <f t="shared" si="1"/>
        <v>6.0846560846560961E-2</v>
      </c>
    </row>
    <row r="47" spans="3:9" x14ac:dyDescent="0.2">
      <c r="D47" s="11" t="str">
        <f>'Billing Detail'!C178</f>
        <v>OL</v>
      </c>
      <c r="E47" s="2" t="str">
        <f>'Billing Detail'!D178</f>
        <v>100 HPS Decorative UDG</v>
      </c>
      <c r="F47" s="55">
        <f>'Billing Detail'!H178</f>
        <v>11.64</v>
      </c>
      <c r="G47" s="55">
        <f>'Billing Detail'!L178</f>
        <v>12.35</v>
      </c>
      <c r="H47" s="55">
        <f t="shared" si="0"/>
        <v>0.70999999999999908</v>
      </c>
      <c r="I47" s="4">
        <f t="shared" si="1"/>
        <v>6.0996563573883077E-2</v>
      </c>
    </row>
    <row r="48" spans="3:9" x14ac:dyDescent="0.2">
      <c r="D48" s="11" t="str">
        <f>'Billing Detail'!C179</f>
        <v>OL</v>
      </c>
      <c r="E48" s="2" t="str">
        <f>'Billing Detail'!D179</f>
        <v>175 MV Decorative</v>
      </c>
      <c r="F48" s="55">
        <f>'Billing Detail'!H179</f>
        <v>18.809999999999999</v>
      </c>
      <c r="G48" s="55">
        <f>'Billing Detail'!L179</f>
        <v>19.95</v>
      </c>
      <c r="H48" s="55">
        <f t="shared" si="0"/>
        <v>1.1400000000000006</v>
      </c>
      <c r="I48" s="4">
        <f t="shared" si="1"/>
        <v>6.0606060606060642E-2</v>
      </c>
    </row>
    <row r="49" spans="4:9" x14ac:dyDescent="0.2">
      <c r="D49" s="11" t="str">
        <f>'Billing Detail'!C180</f>
        <v>OL</v>
      </c>
      <c r="E49" s="2" t="str">
        <f>'Billing Detail'!D180</f>
        <v>175 MV Decorative W/P</v>
      </c>
      <c r="F49" s="55">
        <f>'Billing Detail'!H180</f>
        <v>23.23</v>
      </c>
      <c r="G49" s="55">
        <f>'Billing Detail'!L180</f>
        <v>24.64</v>
      </c>
      <c r="H49" s="55">
        <f t="shared" si="0"/>
        <v>1.4100000000000001</v>
      </c>
      <c r="I49" s="4">
        <f t="shared" si="1"/>
        <v>6.0697374085234616E-2</v>
      </c>
    </row>
    <row r="50" spans="4:9" x14ac:dyDescent="0.2">
      <c r="D50" s="11" t="str">
        <f>'Billing Detail'!C181</f>
        <v>OL</v>
      </c>
      <c r="E50" s="2" t="str">
        <f>'Billing Detail'!D181</f>
        <v>175 MV Overhead Durastar</v>
      </c>
      <c r="F50" s="55">
        <f>'Billing Detail'!H181</f>
        <v>11.83</v>
      </c>
      <c r="G50" s="55">
        <f>'Billing Detail'!L181</f>
        <v>12.55</v>
      </c>
      <c r="H50" s="55">
        <f t="shared" si="0"/>
        <v>0.72000000000000064</v>
      </c>
      <c r="I50" s="4">
        <f t="shared" si="1"/>
        <v>6.0862214708368612E-2</v>
      </c>
    </row>
    <row r="51" spans="4:9" x14ac:dyDescent="0.2">
      <c r="D51" s="11" t="str">
        <f>'Billing Detail'!C182</f>
        <v>OL</v>
      </c>
      <c r="E51" s="2" t="str">
        <f>'Billing Detail'!D182</f>
        <v>100 Metal Halide (MH)</v>
      </c>
      <c r="F51" s="55">
        <f>'Billing Detail'!H182</f>
        <v>10.75</v>
      </c>
      <c r="G51" s="55">
        <f>'Billing Detail'!L182</f>
        <v>11.4</v>
      </c>
      <c r="H51" s="55">
        <f t="shared" si="0"/>
        <v>0.65000000000000036</v>
      </c>
      <c r="I51" s="4">
        <f t="shared" si="1"/>
        <v>6.0465116279069801E-2</v>
      </c>
    </row>
    <row r="52" spans="4:9" x14ac:dyDescent="0.2">
      <c r="D52" s="11" t="str">
        <f>'Billing Detail'!C183</f>
        <v>OL</v>
      </c>
      <c r="E52" s="2" t="str">
        <f>'Billing Detail'!D183</f>
        <v>100 URD Metal Halide w/o Pole</v>
      </c>
      <c r="F52" s="55">
        <f>'Billing Detail'!H183</f>
        <v>18.48</v>
      </c>
      <c r="G52" s="55">
        <f>'Billing Detail'!L183</f>
        <v>19.600000000000001</v>
      </c>
      <c r="H52" s="55">
        <f t="shared" si="0"/>
        <v>1.120000000000001</v>
      </c>
      <c r="I52" s="4">
        <f t="shared" si="1"/>
        <v>6.0606060606060656E-2</v>
      </c>
    </row>
    <row r="53" spans="4:9" x14ac:dyDescent="0.2">
      <c r="D53" s="11" t="str">
        <f>'Billing Detail'!C184</f>
        <v>OL</v>
      </c>
      <c r="E53" s="2" t="str">
        <f>'Billing Detail'!D184</f>
        <v>100 URD Metal Halide w Pole</v>
      </c>
      <c r="F53" s="55">
        <f>'Billing Detail'!H184</f>
        <v>22.9</v>
      </c>
      <c r="G53" s="55">
        <f>'Billing Detail'!L184</f>
        <v>24.29</v>
      </c>
      <c r="H53" s="55">
        <f t="shared" si="0"/>
        <v>1.3900000000000006</v>
      </c>
      <c r="I53" s="4">
        <f t="shared" si="1"/>
        <v>6.069868995633191E-2</v>
      </c>
    </row>
    <row r="54" spans="4:9" x14ac:dyDescent="0.2">
      <c r="D54" s="11" t="str">
        <f>'Billing Detail'!C185</f>
        <v>LED</v>
      </c>
      <c r="E54" s="2" t="str">
        <f>'Billing Detail'!D185</f>
        <v>LED Open Bottom</v>
      </c>
      <c r="F54" s="55">
        <f>'Billing Detail'!H185</f>
        <v>10.220000000000001</v>
      </c>
      <c r="G54" s="55">
        <f>'Billing Detail'!L185</f>
        <v>10.84</v>
      </c>
      <c r="H54" s="55">
        <f t="shared" ref="H54:H57" si="4">G54-F54</f>
        <v>0.61999999999999922</v>
      </c>
      <c r="I54" s="4">
        <f t="shared" ref="I54:I57" si="5">H54/F54</f>
        <v>6.0665362035224969E-2</v>
      </c>
    </row>
    <row r="55" spans="4:9" x14ac:dyDescent="0.2">
      <c r="D55" s="11" t="str">
        <f>'Billing Detail'!C186</f>
        <v>LED</v>
      </c>
      <c r="E55" s="2" t="str">
        <f>'Billing Detail'!D186</f>
        <v>LED Cobra Head</v>
      </c>
      <c r="F55" s="55">
        <f>'Billing Detail'!H186</f>
        <v>15.68</v>
      </c>
      <c r="G55" s="55">
        <f>'Billing Detail'!L186</f>
        <v>16.63</v>
      </c>
      <c r="H55" s="55">
        <f t="shared" si="4"/>
        <v>0.94999999999999929</v>
      </c>
      <c r="I55" s="4">
        <f t="shared" si="5"/>
        <v>6.0586734693877507E-2</v>
      </c>
    </row>
    <row r="56" spans="4:9" x14ac:dyDescent="0.2">
      <c r="D56" s="11" t="str">
        <f>'Billing Detail'!C187</f>
        <v>LED</v>
      </c>
      <c r="E56" s="2" t="str">
        <f>'Billing Detail'!D187</f>
        <v>LED Directional Flood</v>
      </c>
      <c r="F56" s="55">
        <f>'Billing Detail'!H187</f>
        <v>21.15</v>
      </c>
      <c r="G56" s="55">
        <f>'Billing Detail'!L187</f>
        <v>22.44</v>
      </c>
      <c r="H56" s="55">
        <f t="shared" si="4"/>
        <v>1.2900000000000027</v>
      </c>
      <c r="I56" s="4">
        <f t="shared" si="5"/>
        <v>6.0992907801418569E-2</v>
      </c>
    </row>
    <row r="57" spans="4:9" x14ac:dyDescent="0.2">
      <c r="D57" s="11" t="str">
        <f>'Billing Detail'!C188</f>
        <v>LED</v>
      </c>
      <c r="E57" s="2" t="str">
        <f>'Billing Detail'!D188</f>
        <v>LED Ornamental with Pole</v>
      </c>
      <c r="F57" s="55">
        <f>'Billing Detail'!H188</f>
        <v>28.86</v>
      </c>
      <c r="G57" s="55">
        <f>'Billing Detail'!L188</f>
        <v>30.62</v>
      </c>
      <c r="H57" s="55">
        <f t="shared" si="4"/>
        <v>1.7600000000000016</v>
      </c>
      <c r="I57" s="4">
        <f t="shared" si="5"/>
        <v>6.0984060984061041E-2</v>
      </c>
    </row>
    <row r="58" spans="4:9" x14ac:dyDescent="0.2">
      <c r="D58" s="84" t="str">
        <f>'Billing Detail'!B211</f>
        <v>Farm &amp; Home Service Taxable A-5T</v>
      </c>
      <c r="I58" s="4"/>
    </row>
    <row r="59" spans="4:9" x14ac:dyDescent="0.2">
      <c r="D59" s="84"/>
      <c r="E59" s="2" t="str">
        <f>'Billing Detail'!D212</f>
        <v>Customer Charge</v>
      </c>
      <c r="F59" s="55">
        <f>'Billing Detail'!H212</f>
        <v>9.1999999999999993</v>
      </c>
      <c r="G59" s="55">
        <f>'Billing Detail'!L212</f>
        <v>9.76</v>
      </c>
      <c r="H59" s="55">
        <f t="shared" si="0"/>
        <v>0.5600000000000005</v>
      </c>
      <c r="I59" s="4">
        <f t="shared" si="1"/>
        <v>6.0869565217391362E-2</v>
      </c>
    </row>
    <row r="60" spans="4:9" x14ac:dyDescent="0.2">
      <c r="D60" s="84"/>
      <c r="E60" s="2" t="str">
        <f>'Billing Detail'!D213</f>
        <v>Energy Charge per kWh</v>
      </c>
      <c r="F60" s="56">
        <f>'Billing Detail'!H213</f>
        <v>9.0190000000000006E-2</v>
      </c>
      <c r="G60" s="56">
        <f>'Billing Detail'!L213</f>
        <v>9.5680000000000001E-2</v>
      </c>
      <c r="H60" s="56">
        <f t="shared" ref="H60:H121" si="6">G60-F60</f>
        <v>5.4899999999999949E-3</v>
      </c>
      <c r="I60" s="4">
        <f t="shared" ref="I60:I121" si="7">H60/F60</f>
        <v>6.0871493513693253E-2</v>
      </c>
    </row>
    <row r="61" spans="4:9" x14ac:dyDescent="0.2">
      <c r="D61" s="84" t="str">
        <f>'Billing Detail'!B214</f>
        <v>Farm &amp; Home Service TOD Option A</v>
      </c>
      <c r="F61" s="55"/>
      <c r="G61" s="55"/>
      <c r="H61" s="55"/>
      <c r="I61" s="4"/>
    </row>
    <row r="62" spans="4:9" x14ac:dyDescent="0.2">
      <c r="D62" s="84"/>
      <c r="E62" s="2" t="str">
        <f>'Billing Detail'!D215</f>
        <v>Customer Charge</v>
      </c>
      <c r="F62" s="55">
        <f>'Billing Detail'!H215</f>
        <v>12.07</v>
      </c>
      <c r="G62" s="55">
        <f>'Billing Detail'!L215</f>
        <v>12.8353846051548</v>
      </c>
      <c r="H62" s="55">
        <f t="shared" si="6"/>
        <v>0.76538460515480011</v>
      </c>
      <c r="I62" s="4">
        <f t="shared" si="7"/>
        <v>6.341214624314831E-2</v>
      </c>
    </row>
    <row r="63" spans="4:9" x14ac:dyDescent="0.2">
      <c r="D63" s="84"/>
      <c r="E63" s="2" t="str">
        <f>'Billing Detail'!D216</f>
        <v>Energy Charge On Peak per kWh</v>
      </c>
      <c r="F63" s="56">
        <f>'Billing Detail'!H216</f>
        <v>0.11271</v>
      </c>
      <c r="G63" s="56">
        <f>'Billing Detail'!L216</f>
        <v>0.11985718300306525</v>
      </c>
      <c r="H63" s="56">
        <f t="shared" si="6"/>
        <v>7.1471830030652439E-3</v>
      </c>
      <c r="I63" s="4">
        <f t="shared" si="7"/>
        <v>6.3412146243148282E-2</v>
      </c>
    </row>
    <row r="64" spans="4:9" x14ac:dyDescent="0.2">
      <c r="D64" s="84"/>
      <c r="E64" s="2" t="str">
        <f>'Billing Detail'!D217</f>
        <v>Energy Charge Off Peak per kWh</v>
      </c>
      <c r="F64" s="56">
        <f>'Billing Detail'!H217</f>
        <v>6.608E-2</v>
      </c>
      <c r="G64" s="56">
        <f>'Billing Detail'!L217</f>
        <v>7.0270274623747242E-2</v>
      </c>
      <c r="H64" s="56">
        <f t="shared" si="6"/>
        <v>4.1902746237472421E-3</v>
      </c>
      <c r="I64" s="4">
        <f t="shared" si="7"/>
        <v>6.3412146243148337E-2</v>
      </c>
    </row>
    <row r="65" spans="4:9" x14ac:dyDescent="0.2">
      <c r="D65" s="84" t="str">
        <f>'Billing Detail'!B218</f>
        <v>Farm &amp; Home Service TOD Option B</v>
      </c>
      <c r="F65" s="55"/>
      <c r="G65" s="55"/>
      <c r="H65" s="55"/>
      <c r="I65" s="4"/>
    </row>
    <row r="66" spans="4:9" x14ac:dyDescent="0.2">
      <c r="D66" s="84"/>
      <c r="E66" s="2" t="str">
        <f>'Billing Detail'!D219</f>
        <v>Customer Charge</v>
      </c>
      <c r="F66" s="55">
        <f>'Billing Detail'!H219</f>
        <v>12.07</v>
      </c>
      <c r="G66" s="55">
        <f>'Billing Detail'!L219</f>
        <v>12.8353846051548</v>
      </c>
      <c r="H66" s="55">
        <f t="shared" si="6"/>
        <v>0.76538460515480011</v>
      </c>
      <c r="I66" s="4">
        <f t="shared" si="7"/>
        <v>6.341214624314831E-2</v>
      </c>
    </row>
    <row r="67" spans="4:9" x14ac:dyDescent="0.2">
      <c r="D67" s="84"/>
      <c r="E67" s="2" t="str">
        <f>'Billing Detail'!D220</f>
        <v>Energy Charge Winter On Peak per kWh</v>
      </c>
      <c r="F67" s="56">
        <f>'Billing Detail'!H220</f>
        <v>0.11271</v>
      </c>
      <c r="G67" s="56">
        <f>'Billing Detail'!L220</f>
        <v>0.11985718300306525</v>
      </c>
      <c r="H67" s="56">
        <f t="shared" si="6"/>
        <v>7.1471830030652439E-3</v>
      </c>
      <c r="I67" s="4">
        <f t="shared" si="7"/>
        <v>6.3412146243148282E-2</v>
      </c>
    </row>
    <row r="68" spans="4:9" x14ac:dyDescent="0.2">
      <c r="D68" s="84"/>
      <c r="E68" s="2" t="str">
        <f>'Billing Detail'!D221</f>
        <v>Energy Charge Winter Off Peak per kWh</v>
      </c>
      <c r="F68" s="56">
        <f>'Billing Detail'!H221</f>
        <v>6.608E-2</v>
      </c>
      <c r="G68" s="56">
        <f>'Billing Detail'!L221</f>
        <v>7.0270274623747242E-2</v>
      </c>
      <c r="H68" s="56">
        <f t="shared" si="6"/>
        <v>4.1902746237472421E-3</v>
      </c>
      <c r="I68" s="4">
        <f t="shared" si="7"/>
        <v>6.3412146243148337E-2</v>
      </c>
    </row>
    <row r="69" spans="4:9" x14ac:dyDescent="0.2">
      <c r="D69" s="84"/>
      <c r="E69" s="2" t="str">
        <f>'Billing Detail'!D222</f>
        <v>Energy Charge Summer All Hrs per kWh</v>
      </c>
      <c r="F69" s="56">
        <f>'Billing Detail'!H222</f>
        <v>9.0190000000000006E-2</v>
      </c>
      <c r="G69" s="56">
        <f>'Billing Detail'!L222</f>
        <v>9.5909141469669557E-2</v>
      </c>
      <c r="H69" s="56">
        <f t="shared" si="6"/>
        <v>5.7191414696695503E-3</v>
      </c>
      <c r="I69" s="4">
        <f t="shared" si="7"/>
        <v>6.3412146243148351E-2</v>
      </c>
    </row>
    <row r="70" spans="4:9" x14ac:dyDescent="0.2">
      <c r="D70" s="84" t="str">
        <f>'Billing Detail'!B223</f>
        <v>Farm &amp; Home Service Taxable TOD Option A</v>
      </c>
      <c r="F70" s="55"/>
      <c r="G70" s="55"/>
      <c r="H70" s="55"/>
      <c r="I70" s="4"/>
    </row>
    <row r="71" spans="4:9" x14ac:dyDescent="0.2">
      <c r="D71" s="84"/>
      <c r="E71" s="2" t="str">
        <f>'Billing Detail'!D224</f>
        <v>Customer Charge</v>
      </c>
      <c r="F71" s="55">
        <f>'Billing Detail'!H224</f>
        <v>12.07</v>
      </c>
      <c r="G71" s="55">
        <f>'Billing Detail'!L224</f>
        <v>12.8353846051548</v>
      </c>
      <c r="H71" s="55">
        <f t="shared" si="6"/>
        <v>0.76538460515480011</v>
      </c>
      <c r="I71" s="4">
        <f t="shared" si="7"/>
        <v>6.341214624314831E-2</v>
      </c>
    </row>
    <row r="72" spans="4:9" x14ac:dyDescent="0.2">
      <c r="D72" s="84"/>
      <c r="E72" s="2" t="str">
        <f>'Billing Detail'!D225</f>
        <v>Energy Charge On Peak per kWh</v>
      </c>
      <c r="F72" s="56">
        <f>'Billing Detail'!H225</f>
        <v>0.11271</v>
      </c>
      <c r="G72" s="56">
        <f>'Billing Detail'!L225</f>
        <v>0.11985718300306525</v>
      </c>
      <c r="H72" s="56">
        <f t="shared" si="6"/>
        <v>7.1471830030652439E-3</v>
      </c>
      <c r="I72" s="4">
        <f t="shared" si="7"/>
        <v>6.3412146243148282E-2</v>
      </c>
    </row>
    <row r="73" spans="4:9" x14ac:dyDescent="0.2">
      <c r="D73" s="84"/>
      <c r="E73" s="2" t="str">
        <f>'Billing Detail'!D226</f>
        <v>Energy Charge Off Peak per kWh</v>
      </c>
      <c r="F73" s="56">
        <f>'Billing Detail'!H226</f>
        <v>6.608E-2</v>
      </c>
      <c r="G73" s="56">
        <f>'Billing Detail'!L226</f>
        <v>7.0270274623747242E-2</v>
      </c>
      <c r="H73" s="56">
        <f t="shared" si="6"/>
        <v>4.1902746237472421E-3</v>
      </c>
      <c r="I73" s="4">
        <f t="shared" si="7"/>
        <v>6.3412146243148337E-2</v>
      </c>
    </row>
    <row r="74" spans="4:9" x14ac:dyDescent="0.2">
      <c r="D74" s="84" t="str">
        <f>'Billing Detail'!B227</f>
        <v>Farm &amp; Home Service Taxable TOD Option B</v>
      </c>
      <c r="F74" s="55"/>
      <c r="G74" s="55"/>
      <c r="H74" s="55"/>
      <c r="I74" s="4"/>
    </row>
    <row r="75" spans="4:9" x14ac:dyDescent="0.2">
      <c r="D75" s="84"/>
      <c r="E75" s="2" t="str">
        <f>'Billing Detail'!D228</f>
        <v>Customer Charge</v>
      </c>
      <c r="F75" s="55">
        <f>'Billing Detail'!H228</f>
        <v>12.07</v>
      </c>
      <c r="G75" s="55">
        <f>'Billing Detail'!L228</f>
        <v>12.8353846051548</v>
      </c>
      <c r="H75" s="55">
        <f t="shared" si="6"/>
        <v>0.76538460515480011</v>
      </c>
      <c r="I75" s="4">
        <f t="shared" si="7"/>
        <v>6.341214624314831E-2</v>
      </c>
    </row>
    <row r="76" spans="4:9" x14ac:dyDescent="0.2">
      <c r="D76" s="84"/>
      <c r="E76" s="2" t="str">
        <f>'Billing Detail'!D229</f>
        <v>Energy Charge Winter On Peak per kWh</v>
      </c>
      <c r="F76" s="56">
        <f>'Billing Detail'!H229</f>
        <v>0.11271</v>
      </c>
      <c r="G76" s="56">
        <f>'Billing Detail'!L229</f>
        <v>0.11985718300306525</v>
      </c>
      <c r="H76" s="56">
        <f t="shared" si="6"/>
        <v>7.1471830030652439E-3</v>
      </c>
      <c r="I76" s="4">
        <f t="shared" si="7"/>
        <v>6.3412146243148282E-2</v>
      </c>
    </row>
    <row r="77" spans="4:9" x14ac:dyDescent="0.2">
      <c r="D77" s="84"/>
      <c r="E77" s="2" t="str">
        <f>'Billing Detail'!D230</f>
        <v>Energy Charge Winter Off Peak per kWh</v>
      </c>
      <c r="F77" s="56">
        <f>'Billing Detail'!H230</f>
        <v>6.608E-2</v>
      </c>
      <c r="G77" s="56">
        <f>'Billing Detail'!L230</f>
        <v>7.0270274623747242E-2</v>
      </c>
      <c r="H77" s="56">
        <f t="shared" si="6"/>
        <v>4.1902746237472421E-3</v>
      </c>
      <c r="I77" s="4">
        <f t="shared" si="7"/>
        <v>6.3412146243148337E-2</v>
      </c>
    </row>
    <row r="78" spans="4:9" x14ac:dyDescent="0.2">
      <c r="D78" s="84"/>
      <c r="E78" s="2" t="str">
        <f>'Billing Detail'!D231</f>
        <v>Energy Charge Summer All Hrs per kWh</v>
      </c>
      <c r="F78" s="56">
        <f>'Billing Detail'!H231</f>
        <v>9.0190000000000006E-2</v>
      </c>
      <c r="G78" s="56">
        <f>'Billing Detail'!L231</f>
        <v>9.5909141469669557E-2</v>
      </c>
      <c r="H78" s="56">
        <f t="shared" si="6"/>
        <v>5.7191414696695503E-3</v>
      </c>
      <c r="I78" s="4">
        <f t="shared" si="7"/>
        <v>6.3412146243148351E-2</v>
      </c>
    </row>
    <row r="79" spans="4:9" x14ac:dyDescent="0.2">
      <c r="D79" s="84" t="str">
        <f>'Billing Detail'!B232</f>
        <v>Large Power LLP-3-B1</v>
      </c>
      <c r="F79" s="55"/>
      <c r="G79" s="55"/>
      <c r="H79" s="55"/>
      <c r="I79" s="4"/>
    </row>
    <row r="80" spans="4:9" x14ac:dyDescent="0.2">
      <c r="D80" s="84"/>
      <c r="E80" s="2" t="str">
        <f>'Billing Detail'!D233</f>
        <v>Customer Charge</v>
      </c>
      <c r="F80" s="55">
        <f>'Billing Detail'!H233</f>
        <v>1001.86</v>
      </c>
      <c r="G80" s="55">
        <f>'Billing Detail'!L233</f>
        <v>1093.4068615481594</v>
      </c>
      <c r="H80" s="55">
        <f t="shared" si="6"/>
        <v>91.546861548159427</v>
      </c>
      <c r="I80" s="4">
        <f t="shared" si="7"/>
        <v>9.1376900513204865E-2</v>
      </c>
    </row>
    <row r="81" spans="4:9" x14ac:dyDescent="0.2">
      <c r="D81" s="84"/>
      <c r="E81" s="2" t="str">
        <f>'Billing Detail'!D234</f>
        <v>Demand Charge Contract per kW</v>
      </c>
      <c r="F81" s="55">
        <f>'Billing Detail'!H234</f>
        <v>6.45</v>
      </c>
      <c r="G81" s="55">
        <f>'Billing Detail'!L234</f>
        <v>7.0393810083101709</v>
      </c>
      <c r="H81" s="55">
        <f t="shared" si="6"/>
        <v>0.58938100831017071</v>
      </c>
      <c r="I81" s="4">
        <f t="shared" si="7"/>
        <v>9.1376900513204753E-2</v>
      </c>
    </row>
    <row r="82" spans="4:9" x14ac:dyDescent="0.2">
      <c r="D82" s="84"/>
      <c r="E82" s="2" t="str">
        <f>'Billing Detail'!D235</f>
        <v>Demand Charge Excess per kW</v>
      </c>
      <c r="F82" s="55">
        <f>'Billing Detail'!H235</f>
        <v>9.34</v>
      </c>
      <c r="G82" s="55">
        <f>'Billing Detail'!L235</f>
        <v>10.193460250793333</v>
      </c>
      <c r="H82" s="55">
        <f t="shared" si="6"/>
        <v>0.85346025079333288</v>
      </c>
      <c r="I82" s="4">
        <f t="shared" si="7"/>
        <v>9.1376900513204809E-2</v>
      </c>
    </row>
    <row r="83" spans="4:9" x14ac:dyDescent="0.2">
      <c r="D83" s="84"/>
      <c r="E83" s="2" t="str">
        <f>'Billing Detail'!D236</f>
        <v>Energy Charge per kWh</v>
      </c>
      <c r="F83" s="56">
        <f>'Billing Detail'!H236</f>
        <v>6.404E-2</v>
      </c>
      <c r="G83" s="56">
        <f>'Billing Detail'!L236</f>
        <v>6.9891776708865636E-2</v>
      </c>
      <c r="H83" s="56">
        <f t="shared" si="6"/>
        <v>5.8517767088656358E-3</v>
      </c>
      <c r="I83" s="4">
        <f t="shared" si="7"/>
        <v>9.1376900513204809E-2</v>
      </c>
    </row>
    <row r="84" spans="4:9" x14ac:dyDescent="0.2">
      <c r="D84" s="84" t="str">
        <f>'Billing Detail'!B237</f>
        <v>Large Power LLP-3-C1</v>
      </c>
      <c r="F84" s="55"/>
      <c r="G84" s="55"/>
      <c r="H84" s="55"/>
      <c r="I84" s="4"/>
    </row>
    <row r="85" spans="4:9" x14ac:dyDescent="0.2">
      <c r="D85" s="84"/>
      <c r="E85" s="2" t="str">
        <f>'Billing Detail'!D238</f>
        <v>Customer Charge</v>
      </c>
      <c r="F85" s="55">
        <f>'Billing Detail'!H238</f>
        <v>1001.86</v>
      </c>
      <c r="G85" s="55">
        <f>'Billing Detail'!L238</f>
        <v>1092.0274000000002</v>
      </c>
      <c r="H85" s="55">
        <f t="shared" si="6"/>
        <v>90.167400000000157</v>
      </c>
      <c r="I85" s="4">
        <f t="shared" si="7"/>
        <v>9.0000000000000149E-2</v>
      </c>
    </row>
    <row r="86" spans="4:9" x14ac:dyDescent="0.2">
      <c r="D86" s="84"/>
      <c r="E86" s="2" t="str">
        <f>'Billing Detail'!D239</f>
        <v>Demand Charge per kW</v>
      </c>
      <c r="F86" s="55">
        <f>'Billing Detail'!H239</f>
        <v>6.45</v>
      </c>
      <c r="G86" s="55">
        <f>'Billing Detail'!L239</f>
        <v>7.0305000000000009</v>
      </c>
      <c r="H86" s="55">
        <f t="shared" si="6"/>
        <v>0.58050000000000068</v>
      </c>
      <c r="I86" s="4">
        <f t="shared" si="7"/>
        <v>9.0000000000000108E-2</v>
      </c>
    </row>
    <row r="87" spans="4:9" x14ac:dyDescent="0.2">
      <c r="D87" s="84"/>
      <c r="E87" s="2" t="str">
        <f>'Billing Detail'!D240</f>
        <v>Energy Charge per kWh</v>
      </c>
      <c r="F87" s="56">
        <f>'Billing Detail'!H240</f>
        <v>6.404E-2</v>
      </c>
      <c r="G87" s="56">
        <f>'Billing Detail'!L240</f>
        <v>6.9803600000000007E-2</v>
      </c>
      <c r="H87" s="56">
        <f t="shared" si="6"/>
        <v>5.7636000000000076E-3</v>
      </c>
      <c r="I87" s="4">
        <f t="shared" si="7"/>
        <v>9.0000000000000122E-2</v>
      </c>
    </row>
    <row r="88" spans="4:9" x14ac:dyDescent="0.2">
      <c r="D88" s="84" t="str">
        <f>'Billing Detail'!B241</f>
        <v>Large Power LLP-4-C1</v>
      </c>
      <c r="F88" s="55"/>
      <c r="G88" s="55"/>
      <c r="H88" s="55"/>
      <c r="I88" s="4"/>
    </row>
    <row r="89" spans="4:9" x14ac:dyDescent="0.2">
      <c r="D89" s="84"/>
      <c r="E89" s="2" t="str">
        <f>'Billing Detail'!D242</f>
        <v>Customer Charge</v>
      </c>
      <c r="F89" s="55">
        <f>'Billing Detail'!H242</f>
        <v>1854.41</v>
      </c>
      <c r="G89" s="55">
        <f>'Billing Detail'!L242</f>
        <v>2021.3069000000003</v>
      </c>
      <c r="H89" s="55">
        <f t="shared" si="6"/>
        <v>166.89690000000019</v>
      </c>
      <c r="I89" s="4">
        <f t="shared" si="7"/>
        <v>9.0000000000000094E-2</v>
      </c>
    </row>
    <row r="90" spans="4:9" x14ac:dyDescent="0.2">
      <c r="D90" s="84"/>
      <c r="E90" s="2" t="str">
        <f>'Billing Detail'!D243</f>
        <v>Demand Charge per kW</v>
      </c>
      <c r="F90" s="55">
        <f>'Billing Detail'!H243</f>
        <v>6.45</v>
      </c>
      <c r="G90" s="55">
        <f>'Billing Detail'!L243</f>
        <v>7.0305000000000009</v>
      </c>
      <c r="H90" s="55">
        <f t="shared" si="6"/>
        <v>0.58050000000000068</v>
      </c>
      <c r="I90" s="4">
        <f t="shared" si="7"/>
        <v>9.0000000000000108E-2</v>
      </c>
    </row>
    <row r="91" spans="4:9" x14ac:dyDescent="0.2">
      <c r="D91" s="84"/>
      <c r="E91" s="2" t="str">
        <f>'Billing Detail'!D244</f>
        <v>Energy Charge per kWh</v>
      </c>
      <c r="F91" s="56">
        <f>'Billing Detail'!H244</f>
        <v>6.055E-2</v>
      </c>
      <c r="G91" s="56">
        <f>'Billing Detail'!L244</f>
        <v>6.5999500000000003E-2</v>
      </c>
      <c r="H91" s="56">
        <f t="shared" si="6"/>
        <v>5.449500000000003E-3</v>
      </c>
      <c r="I91" s="4">
        <f t="shared" si="7"/>
        <v>9.0000000000000052E-2</v>
      </c>
    </row>
    <row r="92" spans="4:9" x14ac:dyDescent="0.2">
      <c r="D92" s="84" t="str">
        <f>'Billing Detail'!B245</f>
        <v>Large Power LPR-1</v>
      </c>
      <c r="F92" s="55"/>
      <c r="G92" s="55"/>
      <c r="H92" s="55"/>
      <c r="I92" s="4"/>
    </row>
    <row r="93" spans="4:9" x14ac:dyDescent="0.2">
      <c r="D93" s="84"/>
      <c r="E93" s="2" t="str">
        <f>'Billing Detail'!D246</f>
        <v>Demand Charge per kW</v>
      </c>
      <c r="F93" s="55">
        <f>'Billing Detail'!H246</f>
        <v>9.83</v>
      </c>
      <c r="G93" s="55">
        <f>'Billing Detail'!L246</f>
        <v>10.453341397570147</v>
      </c>
      <c r="H93" s="55">
        <f t="shared" si="6"/>
        <v>0.62334139757014739</v>
      </c>
      <c r="I93" s="4">
        <f t="shared" si="7"/>
        <v>6.3412146243148254E-2</v>
      </c>
    </row>
    <row r="94" spans="4:9" x14ac:dyDescent="0.2">
      <c r="D94" s="84"/>
      <c r="E94" s="2" t="str">
        <f>'Billing Detail'!D247</f>
        <v>Energy Charge per kWh</v>
      </c>
      <c r="F94" s="56">
        <f>'Billing Detail'!H247</f>
        <v>5.7750000000000003E-2</v>
      </c>
      <c r="G94" s="56">
        <f>'Billing Detail'!L247</f>
        <v>6.1412051445541814E-2</v>
      </c>
      <c r="H94" s="56">
        <f t="shared" si="6"/>
        <v>3.6620514455418113E-3</v>
      </c>
      <c r="I94" s="4">
        <f t="shared" si="7"/>
        <v>6.341214624314824E-2</v>
      </c>
    </row>
    <row r="95" spans="4:9" x14ac:dyDescent="0.2">
      <c r="D95" s="84" t="str">
        <f>'Billing Detail'!B248</f>
        <v>Large Power LPR-1-C1</v>
      </c>
      <c r="F95" s="55"/>
      <c r="G95" s="55"/>
      <c r="H95" s="55"/>
      <c r="I95" s="4"/>
    </row>
    <row r="96" spans="4:9" x14ac:dyDescent="0.2">
      <c r="D96" s="84"/>
      <c r="E96" s="2" t="str">
        <f>'Billing Detail'!D249</f>
        <v>Customer Charge</v>
      </c>
      <c r="F96" s="55">
        <f>'Billing Detail'!H249</f>
        <v>3559.49</v>
      </c>
      <c r="G96" s="55">
        <f>'Billing Detail'!L249</f>
        <v>3879.8441000000003</v>
      </c>
      <c r="H96" s="55">
        <f t="shared" si="6"/>
        <v>320.35410000000047</v>
      </c>
      <c r="I96" s="4">
        <f t="shared" si="7"/>
        <v>9.0000000000000135E-2</v>
      </c>
    </row>
    <row r="97" spans="4:9" x14ac:dyDescent="0.2">
      <c r="D97" s="84"/>
      <c r="E97" s="2" t="str">
        <f>'Billing Detail'!D250</f>
        <v>Demand Charge per kW</v>
      </c>
      <c r="F97" s="55">
        <f>'Billing Detail'!H250</f>
        <v>6.45</v>
      </c>
      <c r="G97" s="55">
        <f>'Billing Detail'!L250</f>
        <v>7.0305000000000009</v>
      </c>
      <c r="H97" s="55">
        <f t="shared" si="6"/>
        <v>0.58050000000000068</v>
      </c>
      <c r="I97" s="4">
        <f t="shared" si="7"/>
        <v>9.0000000000000108E-2</v>
      </c>
    </row>
    <row r="98" spans="4:9" x14ac:dyDescent="0.2">
      <c r="D98" s="84"/>
      <c r="E98" s="2" t="str">
        <f>'Billing Detail'!D251</f>
        <v>Energy Charge per kWh</v>
      </c>
      <c r="F98" s="56">
        <f>'Billing Detail'!H251</f>
        <v>5.4629999999999998E-2</v>
      </c>
      <c r="G98" s="56">
        <f>'Billing Detail'!L251</f>
        <v>5.9546700000000001E-2</v>
      </c>
      <c r="H98" s="56">
        <f t="shared" si="6"/>
        <v>4.916700000000003E-3</v>
      </c>
      <c r="I98" s="4">
        <f t="shared" si="7"/>
        <v>9.0000000000000052E-2</v>
      </c>
    </row>
    <row r="99" spans="4:9" x14ac:dyDescent="0.2">
      <c r="D99" s="84" t="str">
        <f>'Billing Detail'!B252</f>
        <v>Large Power LPR-1-C2</v>
      </c>
      <c r="F99" s="55"/>
      <c r="G99" s="55"/>
      <c r="H99" s="55"/>
      <c r="I99" s="4"/>
    </row>
    <row r="100" spans="4:9" x14ac:dyDescent="0.2">
      <c r="D100" s="84"/>
      <c r="E100" s="2" t="str">
        <f>'Billing Detail'!D253</f>
        <v>Customer Charge</v>
      </c>
      <c r="F100" s="55">
        <f>'Billing Detail'!H253</f>
        <v>3559.49</v>
      </c>
      <c r="G100" s="55">
        <f>'Billing Detail'!L253</f>
        <v>3879.8441000000003</v>
      </c>
      <c r="H100" s="55">
        <f t="shared" si="6"/>
        <v>320.35410000000047</v>
      </c>
      <c r="I100" s="4">
        <f t="shared" si="7"/>
        <v>9.0000000000000135E-2</v>
      </c>
    </row>
    <row r="101" spans="4:9" x14ac:dyDescent="0.2">
      <c r="D101" s="84"/>
      <c r="E101" s="2" t="str">
        <f>'Billing Detail'!D254</f>
        <v>Demand Charge per kW</v>
      </c>
      <c r="F101" s="55">
        <f>'Billing Detail'!H254</f>
        <v>6.45</v>
      </c>
      <c r="G101" s="55">
        <f>'Billing Detail'!L254</f>
        <v>7.0305000000000009</v>
      </c>
      <c r="H101" s="55">
        <f t="shared" si="6"/>
        <v>0.58050000000000068</v>
      </c>
      <c r="I101" s="4">
        <f t="shared" si="7"/>
        <v>9.0000000000000108E-2</v>
      </c>
    </row>
    <row r="102" spans="4:9" x14ac:dyDescent="0.2">
      <c r="D102" s="84"/>
      <c r="E102" s="2" t="str">
        <f>'Billing Detail'!D255</f>
        <v>Energy Charge per kWh</v>
      </c>
      <c r="F102" s="56">
        <f>'Billing Detail'!H255</f>
        <v>5.4399999999999997E-2</v>
      </c>
      <c r="G102" s="56">
        <f>'Billing Detail'!L255</f>
        <v>5.9296000000000001E-2</v>
      </c>
      <c r="H102" s="56">
        <f t="shared" si="6"/>
        <v>4.8960000000000045E-3</v>
      </c>
      <c r="I102" s="4">
        <f t="shared" si="7"/>
        <v>9.0000000000000094E-2</v>
      </c>
    </row>
    <row r="103" spans="4:9" x14ac:dyDescent="0.2">
      <c r="D103" s="84" t="str">
        <f>'Billing Detail'!B256</f>
        <v>Large Power LPR-1-B1</v>
      </c>
      <c r="F103" s="55"/>
      <c r="G103" s="55"/>
      <c r="H103" s="55"/>
      <c r="I103" s="4"/>
    </row>
    <row r="104" spans="4:9" x14ac:dyDescent="0.2">
      <c r="D104" s="84"/>
      <c r="E104" s="2" t="str">
        <f>'Billing Detail'!D257</f>
        <v>Customer Charge</v>
      </c>
      <c r="F104" s="55">
        <f>'Billing Detail'!H257</f>
        <v>3559.45</v>
      </c>
      <c r="G104" s="55">
        <f>'Billing Detail'!L257</f>
        <v>3884.7015085317266</v>
      </c>
      <c r="H104" s="55">
        <f t="shared" si="6"/>
        <v>325.25150853172681</v>
      </c>
      <c r="I104" s="4">
        <f t="shared" si="7"/>
        <v>9.1376900513204795E-2</v>
      </c>
    </row>
    <row r="105" spans="4:9" x14ac:dyDescent="0.2">
      <c r="D105" s="84"/>
      <c r="E105" s="2" t="str">
        <f>'Billing Detail'!D258</f>
        <v>Demand Charge Contract per kW</v>
      </c>
      <c r="F105" s="55">
        <f>'Billing Detail'!H258</f>
        <v>6.45</v>
      </c>
      <c r="G105" s="55">
        <f>'Billing Detail'!L258</f>
        <v>7.0393810083101709</v>
      </c>
      <c r="H105" s="55">
        <f t="shared" si="6"/>
        <v>0.58938100831017071</v>
      </c>
      <c r="I105" s="4">
        <f t="shared" si="7"/>
        <v>9.1376900513204753E-2</v>
      </c>
    </row>
    <row r="106" spans="4:9" x14ac:dyDescent="0.2">
      <c r="D106" s="84"/>
      <c r="E106" s="2" t="str">
        <f>'Billing Detail'!D259</f>
        <v>Demand Charge Excess per kW</v>
      </c>
      <c r="F106" s="55">
        <f>'Billing Detail'!H259</f>
        <v>9.34</v>
      </c>
      <c r="G106" s="55">
        <f>'Billing Detail'!L259</f>
        <v>10.193460250793333</v>
      </c>
      <c r="H106" s="55">
        <f t="shared" si="6"/>
        <v>0.85346025079333288</v>
      </c>
      <c r="I106" s="4">
        <f t="shared" si="7"/>
        <v>9.1376900513204809E-2</v>
      </c>
    </row>
    <row r="107" spans="4:9" x14ac:dyDescent="0.2">
      <c r="D107" s="84"/>
      <c r="E107" s="2" t="str">
        <f>'Billing Detail'!D260</f>
        <v>Energy Charge per kWh</v>
      </c>
      <c r="F107" s="56">
        <f>'Billing Detail'!H260</f>
        <v>5.6270000000000001E-2</v>
      </c>
      <c r="G107" s="56">
        <f>'Billing Detail'!L260</f>
        <v>6.1411778191878034E-2</v>
      </c>
      <c r="H107" s="56">
        <f t="shared" si="6"/>
        <v>5.1417781918780339E-3</v>
      </c>
      <c r="I107" s="4">
        <f t="shared" si="7"/>
        <v>9.1376900513204795E-2</v>
      </c>
    </row>
    <row r="108" spans="4:9" x14ac:dyDescent="0.2">
      <c r="D108" s="84" t="str">
        <f>'Billing Detail'!B261</f>
        <v>Large Power LPR-1-B3</v>
      </c>
      <c r="F108" s="55"/>
      <c r="G108" s="55"/>
      <c r="H108" s="55"/>
      <c r="I108" s="4"/>
    </row>
    <row r="109" spans="4:9" x14ac:dyDescent="0.2">
      <c r="D109" s="84"/>
      <c r="E109" s="2" t="str">
        <f>'Billing Detail'!D262</f>
        <v>Customer Charge</v>
      </c>
      <c r="F109" s="55">
        <f>'Billing Detail'!H262</f>
        <v>5649.81</v>
      </c>
      <c r="G109" s="55">
        <f>'Billing Detail'!L262</f>
        <v>6166.0721262885099</v>
      </c>
      <c r="H109" s="55">
        <f t="shared" si="6"/>
        <v>516.26212628850953</v>
      </c>
      <c r="I109" s="4">
        <f t="shared" si="7"/>
        <v>9.1376900513204781E-2</v>
      </c>
    </row>
    <row r="110" spans="4:9" x14ac:dyDescent="0.2">
      <c r="D110" s="84"/>
      <c r="E110" s="2" t="str">
        <f>'Billing Detail'!D263</f>
        <v>Demand Charge Contract per kW</v>
      </c>
      <c r="F110" s="55">
        <f>'Billing Detail'!H263</f>
        <v>6.45</v>
      </c>
      <c r="G110" s="55">
        <f>'Billing Detail'!L263</f>
        <v>7.0393810083101709</v>
      </c>
      <c r="H110" s="55">
        <f t="shared" si="6"/>
        <v>0.58938100831017071</v>
      </c>
      <c r="I110" s="4">
        <f t="shared" si="7"/>
        <v>9.1376900513204753E-2</v>
      </c>
    </row>
    <row r="111" spans="4:9" x14ac:dyDescent="0.2">
      <c r="D111" s="84"/>
      <c r="E111" s="2" t="str">
        <f>'Billing Detail'!D264</f>
        <v>Demand Charge Excess per kW</v>
      </c>
      <c r="F111" s="55">
        <f>'Billing Detail'!H264</f>
        <v>9.34</v>
      </c>
      <c r="G111" s="55">
        <f>'Billing Detail'!L264</f>
        <v>10.193460250793333</v>
      </c>
      <c r="H111" s="55">
        <f t="shared" si="6"/>
        <v>0.85346025079333288</v>
      </c>
      <c r="I111" s="4">
        <f t="shared" si="7"/>
        <v>9.1376900513204809E-2</v>
      </c>
    </row>
    <row r="112" spans="4:9" x14ac:dyDescent="0.2">
      <c r="D112" s="84"/>
      <c r="E112" s="2" t="str">
        <f>'Billing Detail'!D265</f>
        <v>Energy Charge Off Peak per kWh</v>
      </c>
      <c r="F112" s="56">
        <f>'Billing Detail'!H265</f>
        <v>5.4050000000000001E-2</v>
      </c>
      <c r="G112" s="56">
        <f>'Billing Detail'!L265</f>
        <v>5.8988921472738723E-2</v>
      </c>
      <c r="H112" s="56">
        <f t="shared" si="6"/>
        <v>4.9389214727387221E-3</v>
      </c>
      <c r="I112" s="4">
        <f t="shared" si="7"/>
        <v>9.1376900513204851E-2</v>
      </c>
    </row>
    <row r="113" spans="3:9" x14ac:dyDescent="0.2">
      <c r="D113" s="84" t="str">
        <f>'Billing Detail'!B266</f>
        <v>Large Power LPR-1-C3</v>
      </c>
      <c r="F113" s="55"/>
      <c r="G113" s="55"/>
      <c r="H113" s="55"/>
      <c r="I113" s="4"/>
    </row>
    <row r="114" spans="3:9" x14ac:dyDescent="0.2">
      <c r="D114" s="84"/>
      <c r="E114" s="2" t="str">
        <f>'Billing Detail'!D267</f>
        <v>Customer Charge</v>
      </c>
      <c r="F114" s="55">
        <f>'Billing Detail'!H267</f>
        <v>5649.81</v>
      </c>
      <c r="G114" s="55">
        <f>'Billing Detail'!L267</f>
        <v>6158.2929000000013</v>
      </c>
      <c r="H114" s="55">
        <f t="shared" si="6"/>
        <v>508.48290000000088</v>
      </c>
      <c r="I114" s="4">
        <f t="shared" si="7"/>
        <v>9.0000000000000149E-2</v>
      </c>
    </row>
    <row r="115" spans="3:9" x14ac:dyDescent="0.2">
      <c r="D115" s="84"/>
      <c r="E115" s="2" t="str">
        <f>'Billing Detail'!D268</f>
        <v>Demand Charge per kW</v>
      </c>
      <c r="F115" s="55">
        <f>'Billing Detail'!H268</f>
        <v>6.45</v>
      </c>
      <c r="G115" s="55">
        <f>'Billing Detail'!L268</f>
        <v>7.0305000000000009</v>
      </c>
      <c r="H115" s="55">
        <f t="shared" si="6"/>
        <v>0.58050000000000068</v>
      </c>
      <c r="I115" s="4">
        <f t="shared" si="7"/>
        <v>9.0000000000000108E-2</v>
      </c>
    </row>
    <row r="116" spans="3:9" x14ac:dyDescent="0.2">
      <c r="D116" s="84"/>
      <c r="E116" s="2" t="str">
        <f>'Billing Detail'!D269</f>
        <v>Energy Charge Off Peak per kWh</v>
      </c>
      <c r="F116" s="56">
        <f>'Billing Detail'!H269</f>
        <v>5.4050000000000001E-2</v>
      </c>
      <c r="G116" s="56">
        <f>'Billing Detail'!L269</f>
        <v>5.8914500000000009E-2</v>
      </c>
      <c r="H116" s="56">
        <f t="shared" si="6"/>
        <v>4.8645000000000077E-3</v>
      </c>
      <c r="I116" s="4">
        <f t="shared" si="7"/>
        <v>9.0000000000000135E-2</v>
      </c>
    </row>
    <row r="117" spans="3:9" x14ac:dyDescent="0.2">
      <c r="D117" s="84" t="str">
        <f>'Billing Detail'!B270</f>
        <v>Street Lighting Service OL-1</v>
      </c>
      <c r="F117" s="55"/>
      <c r="G117" s="55"/>
      <c r="H117" s="55"/>
      <c r="I117" s="4"/>
    </row>
    <row r="118" spans="3:9" x14ac:dyDescent="0.2">
      <c r="D118" s="84"/>
      <c r="E118" s="2" t="str">
        <f>'Billing Detail'!D271</f>
        <v>Customer Charge</v>
      </c>
      <c r="F118" s="55">
        <f>'Billing Detail'!H271</f>
        <v>12.31</v>
      </c>
      <c r="G118" s="55">
        <f>'Billing Detail'!L271</f>
        <v>13.090603520253156</v>
      </c>
      <c r="H118" s="55">
        <f t="shared" si="6"/>
        <v>0.78060352025315538</v>
      </c>
      <c r="I118" s="4">
        <f t="shared" si="7"/>
        <v>6.3412146243148282E-2</v>
      </c>
    </row>
    <row r="119" spans="3:9" x14ac:dyDescent="0.2">
      <c r="D119" s="84"/>
      <c r="E119" s="2" t="str">
        <f>'Billing Detail'!D272</f>
        <v>Energy Charge per kWh</v>
      </c>
      <c r="F119" s="56">
        <f>'Billing Detail'!H272</f>
        <v>9.5030000000000003E-2</v>
      </c>
      <c r="G119" s="56">
        <f>'Billing Detail'!L272</f>
        <v>0.10105605625748638</v>
      </c>
      <c r="H119" s="56">
        <f t="shared" si="6"/>
        <v>6.0260562574863813E-3</v>
      </c>
      <c r="I119" s="4">
        <f t="shared" si="7"/>
        <v>6.3412146243148282E-2</v>
      </c>
    </row>
    <row r="120" spans="3:9" x14ac:dyDescent="0.2">
      <c r="D120" s="84" t="str">
        <f>'Billing Detail'!B273</f>
        <v>Commercial Lighting Service CL</v>
      </c>
      <c r="F120" s="55"/>
      <c r="G120" s="55"/>
      <c r="H120" s="55"/>
      <c r="I120" s="4"/>
    </row>
    <row r="121" spans="3:9" x14ac:dyDescent="0.2">
      <c r="D121" s="84"/>
      <c r="E121" s="2" t="str">
        <f>'Billing Detail'!D274</f>
        <v xml:space="preserve">High Pressure Sodium 400W </v>
      </c>
      <c r="F121" s="55">
        <f>'Billing Detail'!H274</f>
        <v>34.04</v>
      </c>
      <c r="G121" s="55">
        <f>'Billing Detail'!L274</f>
        <v>36.198549458116766</v>
      </c>
      <c r="H121" s="55">
        <f t="shared" si="6"/>
        <v>2.1585494581167666</v>
      </c>
      <c r="I121" s="4">
        <f t="shared" si="7"/>
        <v>6.3412146243148254E-2</v>
      </c>
    </row>
    <row r="122" spans="3:9" x14ac:dyDescent="0.2">
      <c r="D122" s="84"/>
      <c r="F122" s="55"/>
      <c r="G122" s="55"/>
      <c r="H122" s="55"/>
      <c r="I122" s="4"/>
    </row>
    <row r="123" spans="3:9" x14ac:dyDescent="0.2">
      <c r="D123" s="84"/>
      <c r="F123" s="55"/>
      <c r="G123" s="55"/>
      <c r="H123" s="55"/>
      <c r="I123" s="4"/>
    </row>
    <row r="124" spans="3:9" x14ac:dyDescent="0.2">
      <c r="D124" s="84"/>
      <c r="F124" s="55"/>
      <c r="G124" s="55"/>
      <c r="H124" s="55"/>
      <c r="I124" s="4"/>
    </row>
    <row r="125" spans="3:9" ht="41.45" customHeight="1" x14ac:dyDescent="0.2">
      <c r="C125" s="149" t="s">
        <v>48</v>
      </c>
      <c r="D125" s="149"/>
      <c r="E125" s="149"/>
      <c r="F125" s="149"/>
      <c r="G125" s="149"/>
    </row>
    <row r="126" spans="3:9" x14ac:dyDescent="0.2">
      <c r="F126" s="150" t="s">
        <v>49</v>
      </c>
      <c r="G126" s="150"/>
    </row>
    <row r="127" spans="3:9" x14ac:dyDescent="0.2">
      <c r="C127" s="85" t="s">
        <v>50</v>
      </c>
      <c r="D127" s="85"/>
      <c r="E127" s="63"/>
      <c r="F127" s="64" t="s">
        <v>51</v>
      </c>
      <c r="G127" s="64" t="s">
        <v>52</v>
      </c>
    </row>
    <row r="128" spans="3:9" x14ac:dyDescent="0.2">
      <c r="C128" s="73">
        <f>Summary!C8</f>
        <v>1</v>
      </c>
      <c r="D128" s="3" t="str">
        <f>Summary!B8</f>
        <v>Farm &amp; Home Service A-5</v>
      </c>
      <c r="F128" s="65">
        <f>Summary!L8</f>
        <v>4293617.8484099964</v>
      </c>
      <c r="G128" s="66">
        <f>Summary!N8</f>
        <v>5.3630991309571434E-2</v>
      </c>
    </row>
    <row r="129" spans="3:8" x14ac:dyDescent="0.2">
      <c r="C129" s="73">
        <f>Summary!C9</f>
        <v>7</v>
      </c>
      <c r="D129" s="3" t="str">
        <f>Summary!B9</f>
        <v>Large Power 500-3000 kW LLP2</v>
      </c>
      <c r="F129" s="65">
        <f>Summary!L9</f>
        <v>545822.48751060083</v>
      </c>
      <c r="G129" s="66">
        <f>Summary!N9</f>
        <v>4.3765128369105989E-2</v>
      </c>
      <c r="H129" s="1"/>
    </row>
    <row r="130" spans="3:8" x14ac:dyDescent="0.2">
      <c r="C130" s="73">
        <f>Summary!C10</f>
        <v>8</v>
      </c>
      <c r="D130" s="3" t="str">
        <f>Summary!B10</f>
        <v>Commercial &amp; Small Power B2</v>
      </c>
      <c r="F130" s="65">
        <f>Summary!L10</f>
        <v>539678.19010000117</v>
      </c>
      <c r="G130" s="66">
        <f>Summary!N10</f>
        <v>5.3474903429873114E-2</v>
      </c>
      <c r="H130" s="1"/>
    </row>
    <row r="131" spans="3:8" x14ac:dyDescent="0.2">
      <c r="C131" s="73">
        <f>Summary!C11</f>
        <v>9</v>
      </c>
      <c r="D131" s="3" t="str">
        <f>Summary!B11</f>
        <v>Large Power LLP-1</v>
      </c>
      <c r="F131" s="65">
        <f>Summary!L11</f>
        <v>326459.75960999983</v>
      </c>
      <c r="G131" s="66">
        <f>Summary!N11</f>
        <v>5.3682181429844385E-2</v>
      </c>
      <c r="H131" s="1"/>
    </row>
    <row r="132" spans="3:8" x14ac:dyDescent="0.2">
      <c r="C132" s="73">
        <f>Summary!C12</f>
        <v>11</v>
      </c>
      <c r="D132" s="3" t="str">
        <f>Summary!B12</f>
        <v>Large Power LLP-3</v>
      </c>
      <c r="F132" s="65">
        <f>Summary!L12</f>
        <v>459786.15689999936</v>
      </c>
      <c r="G132" s="66">
        <f>Summary!N12</f>
        <v>5.4396486569964708E-2</v>
      </c>
      <c r="H132" s="1"/>
    </row>
    <row r="133" spans="3:8" x14ac:dyDescent="0.2">
      <c r="C133" s="73">
        <f>Summary!C13</f>
        <v>13</v>
      </c>
      <c r="D133" s="3" t="str">
        <f>Summary!B13</f>
        <v>Large Power LPR-2</v>
      </c>
      <c r="F133" s="65">
        <f>Summary!L13</f>
        <v>63572.336999999941</v>
      </c>
      <c r="G133" s="66">
        <f>Summary!N13</f>
        <v>5.4324366254877084E-2</v>
      </c>
      <c r="H133" s="1"/>
    </row>
    <row r="134" spans="3:8" x14ac:dyDescent="0.2">
      <c r="C134" s="73">
        <f>Summary!C22</f>
        <v>14</v>
      </c>
      <c r="D134" s="3" t="str">
        <f>Summary!B22</f>
        <v>Large Power LLP-4-B1</v>
      </c>
      <c r="F134" s="65">
        <f>Summary!L22</f>
        <v>340688.17407000018</v>
      </c>
      <c r="G134" s="66">
        <f>Summary!N22</f>
        <v>8.0833456414362695E-2</v>
      </c>
      <c r="H134" s="1"/>
    </row>
    <row r="135" spans="3:8" x14ac:dyDescent="0.2">
      <c r="C135" s="73">
        <f>Summary!C23</f>
        <v>16</v>
      </c>
      <c r="D135" s="3" t="str">
        <f>Summary!B23</f>
        <v>Large Power LPR-1-B2</v>
      </c>
      <c r="F135" s="65">
        <f>Summary!L23</f>
        <v>560450.32720000006</v>
      </c>
      <c r="G135" s="66">
        <f>Summary!N23</f>
        <v>8.0938685300916968E-2</v>
      </c>
      <c r="H135" s="1"/>
    </row>
    <row r="136" spans="3:8" x14ac:dyDescent="0.2">
      <c r="C136" s="73">
        <f>Summary!C14</f>
        <v>36</v>
      </c>
      <c r="D136" s="3" t="str">
        <f>Summary!B14</f>
        <v>LPR-3</v>
      </c>
      <c r="F136" s="65">
        <f>Summary!L14</f>
        <v>68370.777029999968</v>
      </c>
      <c r="G136" s="66">
        <f>Summary!N14</f>
        <v>5.4005673655239797E-2</v>
      </c>
      <c r="H136" s="1"/>
    </row>
    <row r="137" spans="3:8" x14ac:dyDescent="0.2">
      <c r="C137" s="73">
        <f>Summary!C15</f>
        <v>41</v>
      </c>
      <c r="D137" s="3" t="str">
        <f>Summary!B15</f>
        <v>Net Metering</v>
      </c>
      <c r="F137" s="65">
        <f>Summary!L15</f>
        <v>19847.86705999999</v>
      </c>
      <c r="G137" s="66">
        <f>Summary!N15</f>
        <v>5.8358587621154583E-2</v>
      </c>
      <c r="H137" s="1"/>
    </row>
    <row r="138" spans="3:8" x14ac:dyDescent="0.2">
      <c r="C138" s="73">
        <f>Summary!C16</f>
        <v>43</v>
      </c>
      <c r="D138" s="3" t="str">
        <f>Summary!B16</f>
        <v>Net Metering LLP-1 Large Power</v>
      </c>
      <c r="F138" s="65">
        <f>Summary!L16</f>
        <v>6094.1231999999982</v>
      </c>
      <c r="G138" s="66">
        <f>Summary!N16</f>
        <v>5.3842112242133096E-2</v>
      </c>
      <c r="H138" s="1"/>
    </row>
    <row r="139" spans="3:8" x14ac:dyDescent="0.2">
      <c r="C139" s="73">
        <f>Summary!C17</f>
        <v>45</v>
      </c>
      <c r="D139" s="3" t="str">
        <f>Summary!B17</f>
        <v>Net Metering B2 Commercial</v>
      </c>
      <c r="F139" s="65">
        <f>Summary!L17</f>
        <v>541.36230000000069</v>
      </c>
      <c r="G139" s="66">
        <f>Summary!N17</f>
        <v>5.7529761514604767E-2</v>
      </c>
      <c r="H139" s="1"/>
    </row>
    <row r="140" spans="3:8" x14ac:dyDescent="0.2">
      <c r="C140" s="73">
        <f>Summary!C18</f>
        <v>51</v>
      </c>
      <c r="D140" s="3" t="str">
        <f>Summary!B18</f>
        <v>Prepaid Metering</v>
      </c>
      <c r="F140" s="65">
        <f>Summary!L18</f>
        <v>145739.01196000003</v>
      </c>
      <c r="G140" s="66">
        <f>Summary!N18</f>
        <v>5.3493794963333223E-2</v>
      </c>
      <c r="H140" s="1"/>
    </row>
    <row r="141" spans="3:8" x14ac:dyDescent="0.2">
      <c r="C141" s="73">
        <f>Summary!C19</f>
        <v>6</v>
      </c>
      <c r="D141" s="3" t="str">
        <f>Summary!B19</f>
        <v>Outdoor Lighting Service OL &amp; LED</v>
      </c>
      <c r="F141" s="65">
        <f>Summary!L19</f>
        <v>47332.030000000144</v>
      </c>
      <c r="G141" s="66">
        <f>Summary!N19</f>
        <v>5.7204152792616023E-2</v>
      </c>
      <c r="H141" s="1"/>
    </row>
    <row r="142" spans="3:8" x14ac:dyDescent="0.2">
      <c r="C142" s="75" t="s">
        <v>53</v>
      </c>
      <c r="D142" s="86"/>
      <c r="E142" s="32"/>
      <c r="F142" s="67">
        <f>Summary!L35</f>
        <v>7418000.4523505867</v>
      </c>
      <c r="G142" s="68">
        <f>Summary!N35</f>
        <v>5.50517299730044E-2</v>
      </c>
    </row>
    <row r="143" spans="3:8" x14ac:dyDescent="0.2">
      <c r="C143" s="73"/>
      <c r="F143" s="69"/>
      <c r="G143" s="70"/>
    </row>
    <row r="145" spans="3:8" ht="40.15" customHeight="1" x14ac:dyDescent="0.2">
      <c r="C145" s="149" t="s">
        <v>54</v>
      </c>
      <c r="D145" s="149"/>
      <c r="E145" s="149"/>
      <c r="F145" s="149"/>
      <c r="G145" s="149"/>
      <c r="H145" s="149"/>
    </row>
    <row r="146" spans="3:8" x14ac:dyDescent="0.2">
      <c r="E146" s="71" t="s">
        <v>17</v>
      </c>
      <c r="F146" s="150" t="s">
        <v>49</v>
      </c>
      <c r="G146" s="150"/>
    </row>
    <row r="147" spans="3:8" x14ac:dyDescent="0.2">
      <c r="C147" s="85" t="s">
        <v>50</v>
      </c>
      <c r="D147" s="87"/>
      <c r="E147" s="72" t="s">
        <v>55</v>
      </c>
      <c r="F147" s="64" t="s">
        <v>51</v>
      </c>
      <c r="G147" s="64" t="s">
        <v>52</v>
      </c>
    </row>
    <row r="148" spans="3:8" x14ac:dyDescent="0.2">
      <c r="C148" s="11">
        <f>Summary!C8</f>
        <v>1</v>
      </c>
      <c r="D148" s="81" t="str">
        <f>Summary!B8</f>
        <v>Farm &amp; Home Service A-5</v>
      </c>
      <c r="E148" s="74">
        <f>'Billing Detail'!E17</f>
        <v>1142.7952419152032</v>
      </c>
      <c r="F148" s="55">
        <f>'Billing Detail'!N17</f>
        <v>6.8339458781144486</v>
      </c>
      <c r="G148" s="4">
        <f>Summary!N8</f>
        <v>5.3630991309571434E-2</v>
      </c>
    </row>
    <row r="149" spans="3:8" x14ac:dyDescent="0.2">
      <c r="C149" s="11">
        <f>Summary!C9</f>
        <v>7</v>
      </c>
      <c r="D149" s="81" t="str">
        <f>Summary!B9</f>
        <v>Large Power 500-3000 kW LLP2</v>
      </c>
      <c r="E149" s="74">
        <f>'Billing Detail'!E30</f>
        <v>110681.84174778761</v>
      </c>
      <c r="F149" s="55">
        <f>'Billing Detail'!N30</f>
        <v>603.78593751172775</v>
      </c>
      <c r="G149" s="4">
        <f>Summary!N9</f>
        <v>4.3765128369105989E-2</v>
      </c>
    </row>
    <row r="150" spans="3:8" x14ac:dyDescent="0.2">
      <c r="C150" s="11">
        <f>Summary!C10</f>
        <v>8</v>
      </c>
      <c r="D150" s="81" t="str">
        <f>Summary!B10</f>
        <v>Commercial &amp; Small Power B2</v>
      </c>
      <c r="E150" s="74">
        <f>'Billing Detail'!E42</f>
        <v>2371.334817404605</v>
      </c>
      <c r="F150" s="55">
        <f>'Billing Detail'!N42</f>
        <v>14.740875422687168</v>
      </c>
      <c r="G150" s="4">
        <f>Summary!N10</f>
        <v>5.3474903429873114E-2</v>
      </c>
    </row>
    <row r="151" spans="3:8" x14ac:dyDescent="0.2">
      <c r="C151" s="11">
        <f>Summary!C11</f>
        <v>9</v>
      </c>
      <c r="D151" s="81" t="str">
        <f>Summary!B11</f>
        <v>Large Power LLP-1</v>
      </c>
      <c r="E151" s="74">
        <f>'Billing Detail'!E54</f>
        <v>29232.674515960229</v>
      </c>
      <c r="F151" s="55">
        <f>'Billing Detail'!N54</f>
        <v>170.83189932496089</v>
      </c>
      <c r="G151" s="4">
        <f>Summary!N11</f>
        <v>5.3682181429844385E-2</v>
      </c>
    </row>
    <row r="152" spans="3:8" x14ac:dyDescent="0.2">
      <c r="C152" s="11">
        <f>Summary!C12</f>
        <v>11</v>
      </c>
      <c r="D152" s="81" t="str">
        <f>Summary!B12</f>
        <v>Large Power LLP-3</v>
      </c>
      <c r="E152" s="74">
        <f>'Billing Detail'!E66</f>
        <v>331548.59459459462</v>
      </c>
      <c r="F152" s="55">
        <f>'Billing Detail'!N66</f>
        <v>1775.2361270270194</v>
      </c>
      <c r="G152" s="4">
        <f>Summary!N12</f>
        <v>5.4396486569964708E-2</v>
      </c>
    </row>
    <row r="153" spans="3:8" x14ac:dyDescent="0.2">
      <c r="C153" s="11">
        <f>Summary!C13</f>
        <v>13</v>
      </c>
      <c r="D153" s="81" t="str">
        <f>Summary!B13</f>
        <v>Large Power LPR-2</v>
      </c>
      <c r="E153" s="74">
        <f>'Billing Detail'!E78</f>
        <v>280741.66666666669</v>
      </c>
      <c r="F153" s="55">
        <f>'Billing Detail'!N78</f>
        <v>1765.8982499999984</v>
      </c>
      <c r="G153" s="4">
        <f>Summary!N13</f>
        <v>5.4324366254877084E-2</v>
      </c>
    </row>
    <row r="154" spans="3:8" x14ac:dyDescent="0.2">
      <c r="C154" s="11">
        <f>Summary!C22</f>
        <v>14</v>
      </c>
      <c r="D154" s="81" t="str">
        <f>Summary!B22</f>
        <v>Large Power LLP-4-B1</v>
      </c>
      <c r="E154" s="74">
        <f>'Billing Detail'!E92</f>
        <v>1057944.1458333333</v>
      </c>
      <c r="F154" s="55">
        <f>'Billing Detail'!N92</f>
        <v>7097.6702931250038</v>
      </c>
      <c r="G154" s="4">
        <f>Summary!N22</f>
        <v>8.0833456414362695E-2</v>
      </c>
    </row>
    <row r="155" spans="3:8" x14ac:dyDescent="0.2">
      <c r="C155" s="11">
        <f>Summary!C23</f>
        <v>16</v>
      </c>
      <c r="D155" s="81" t="str">
        <f>Summary!B23</f>
        <v>Large Power LPR-1-B2</v>
      </c>
      <c r="E155" s="74">
        <f>'Billing Detail'!E106</f>
        <v>3888323.3333333335</v>
      </c>
      <c r="F155" s="55">
        <f>'Billing Detail'!N106</f>
        <v>23352.096966666635</v>
      </c>
      <c r="G155" s="4">
        <f>Summary!N23</f>
        <v>8.0938685300916968E-2</v>
      </c>
    </row>
    <row r="156" spans="3:8" x14ac:dyDescent="0.2">
      <c r="C156" s="11">
        <f>Summary!C14</f>
        <v>36</v>
      </c>
      <c r="D156" s="81" t="str">
        <f>Summary!B14</f>
        <v>LPR-3</v>
      </c>
      <c r="E156" s="74">
        <f>'Billing Detail'!E122</f>
        <v>1154679.4166666667</v>
      </c>
      <c r="F156" s="55">
        <f>'Billing Detail'!N122</f>
        <v>5697.5647524999804</v>
      </c>
      <c r="G156" s="4">
        <f>Summary!N14</f>
        <v>5.4005673655239797E-2</v>
      </c>
    </row>
    <row r="157" spans="3:8" x14ac:dyDescent="0.2">
      <c r="C157" s="11">
        <f>Summary!C15</f>
        <v>41</v>
      </c>
      <c r="D157" s="81" t="str">
        <f>Summary!B15</f>
        <v>Net Metering</v>
      </c>
      <c r="E157" s="74">
        <f>'Billing Detail'!E134</f>
        <v>1172.7764456981665</v>
      </c>
      <c r="F157" s="55">
        <f>'Billing Detail'!N134</f>
        <v>6.9985426868829137</v>
      </c>
      <c r="G157" s="4">
        <f>Summary!N15</f>
        <v>5.8358587621154583E-2</v>
      </c>
    </row>
    <row r="158" spans="3:8" x14ac:dyDescent="0.2">
      <c r="C158" s="11">
        <f>Summary!C16</f>
        <v>43</v>
      </c>
      <c r="D158" s="81" t="str">
        <f>Summary!B16</f>
        <v>Net Metering LLP-1 Large Power</v>
      </c>
      <c r="E158" s="74">
        <f>'Billing Detail'!E147</f>
        <v>89300</v>
      </c>
      <c r="F158" s="55">
        <f>'Billing Detail'!N147</f>
        <v>507.84360000000015</v>
      </c>
      <c r="G158" s="4">
        <f>Summary!N16</f>
        <v>5.3842112242133096E-2</v>
      </c>
    </row>
    <row r="159" spans="3:8" x14ac:dyDescent="0.2">
      <c r="C159" s="11">
        <f>Summary!C17</f>
        <v>45</v>
      </c>
      <c r="D159" s="81" t="str">
        <f>Summary!B17</f>
        <v>Net Metering B2 Commercial</v>
      </c>
      <c r="E159" s="74">
        <f>'Billing Detail'!E159</f>
        <v>3149.8928571428573</v>
      </c>
      <c r="F159" s="55">
        <f>'Billing Detail'!N159</f>
        <v>19.334367857142865</v>
      </c>
      <c r="G159" s="134">
        <f>'Billing Detail'!O159</f>
        <v>5.7529761514604712E-2</v>
      </c>
    </row>
    <row r="160" spans="3:8" x14ac:dyDescent="0.2">
      <c r="C160" s="11">
        <f>Summary!C18</f>
        <v>51</v>
      </c>
      <c r="D160" s="81" t="str">
        <f>Summary!B18</f>
        <v>Prepaid Metering</v>
      </c>
      <c r="E160" s="74">
        <f>'Billing Detail'!E171</f>
        <v>1238.9878763386544</v>
      </c>
      <c r="F160" s="55">
        <f>'Billing Detail'!N171</f>
        <v>7.3620434410991891</v>
      </c>
      <c r="G160" s="4">
        <f>Summary!N18</f>
        <v>5.3493794963333223E-2</v>
      </c>
    </row>
    <row r="161" spans="3:7" x14ac:dyDescent="0.2">
      <c r="C161" s="11">
        <f>Summary!C19</f>
        <v>6</v>
      </c>
      <c r="D161" s="81" t="str">
        <f>Summary!B19</f>
        <v>Outdoor Lighting Service OL &amp; LED</v>
      </c>
      <c r="E161" s="77" t="s">
        <v>56</v>
      </c>
      <c r="F161" s="76" t="s">
        <v>56</v>
      </c>
      <c r="G161" s="4">
        <f>Summary!N19</f>
        <v>5.7204152792616023E-2</v>
      </c>
    </row>
  </sheetData>
  <mergeCells count="4">
    <mergeCell ref="C125:G125"/>
    <mergeCell ref="F126:G126"/>
    <mergeCell ref="C145:H145"/>
    <mergeCell ref="F146:G146"/>
  </mergeCells>
  <printOptions horizontalCentered="1"/>
  <pageMargins left="0.7" right="0.7" top="0.75" bottom="0.75" header="0.3" footer="0.3"/>
  <pageSetup paperSize="9" scale="84" fitToHeight="2" orientation="portrait" r:id="rId1"/>
  <headerFooter>
    <oddHeader>&amp;R&amp;"Arial,Bold"&amp;10Exhibit 3
Page &amp;P of &amp;N</oddHeader>
  </headerFooter>
  <rowBreaks count="1" manualBreakCount="1">
    <brk id="60" max="6" man="1"/>
  </rowBreaks>
  <colBreaks count="1" manualBreakCount="1">
    <brk id="7" max="1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2025-07-30T13:03:33Z</cp:lastPrinted>
  <dcterms:created xsi:type="dcterms:W3CDTF">2021-02-09T02:13:44Z</dcterms:created>
  <dcterms:modified xsi:type="dcterms:W3CDTF">2025-09-12T23:58:48Z</dcterms:modified>
</cp:coreProperties>
</file>