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Licking Valley/Analysis/"/>
    </mc:Choice>
  </mc:AlternateContent>
  <xr:revisionPtr revIDLastSave="21" documentId="8_{3D5569FB-11B8-4D2C-B2AC-55D864451D18}" xr6:coauthVersionLast="47" xr6:coauthVersionMax="47" xr10:uidLastSave="{57D2A411-A632-41A2-B43D-16A0125D7800}"/>
  <bookViews>
    <workbookView xWindow="-120" yWindow="-120" windowWidth="29040" windowHeight="15720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Detail'!$A$1:$R$109</definedName>
    <definedName name="_xlnm.Print_Area" localSheetId="2">'Notice Table'!$A$1:$G$40</definedName>
    <definedName name="_xlnm.Print_Area" localSheetId="0">Summary!$A$1:$O$31</definedName>
    <definedName name="_xlnm.Print_Titles" localSheetId="1">'Billing Detail'!$1:$5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3" l="1"/>
  <c r="I38" i="3" s="1"/>
  <c r="H39" i="3"/>
  <c r="I39" i="3"/>
  <c r="H40" i="3"/>
  <c r="I40" i="3"/>
  <c r="E39" i="3"/>
  <c r="F39" i="3"/>
  <c r="G39" i="3"/>
  <c r="E40" i="3"/>
  <c r="F40" i="3"/>
  <c r="G40" i="3"/>
  <c r="G38" i="3"/>
  <c r="F38" i="3"/>
  <c r="E38" i="3"/>
  <c r="D37" i="3"/>
  <c r="A61" i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L107" i="1"/>
  <c r="L106" i="1"/>
  <c r="L105" i="1"/>
  <c r="E119" i="1"/>
  <c r="L4" i="2" l="1"/>
  <c r="A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H21" i="1" l="1"/>
  <c r="H9" i="1"/>
  <c r="E112" i="1"/>
  <c r="E114" i="1" s="1"/>
  <c r="E115" i="1" s="1"/>
  <c r="L29" i="2"/>
  <c r="L59" i="1"/>
  <c r="M61" i="1"/>
  <c r="I61" i="1"/>
  <c r="G61" i="1"/>
  <c r="N61" i="1" l="1"/>
  <c r="O61" i="1" l="1"/>
  <c r="I17" i="2" l="1"/>
  <c r="G17" i="2"/>
  <c r="N95" i="1" l="1"/>
  <c r="G92" i="1"/>
  <c r="G93" i="1"/>
  <c r="G94" i="1"/>
  <c r="G95" i="1"/>
  <c r="F35" i="3"/>
  <c r="F36" i="3"/>
  <c r="F34" i="3"/>
  <c r="E35" i="3"/>
  <c r="E36" i="3"/>
  <c r="E34" i="3"/>
  <c r="D33" i="3"/>
  <c r="C33" i="3"/>
  <c r="F21" i="3"/>
  <c r="F22" i="3"/>
  <c r="F20" i="3"/>
  <c r="E21" i="3"/>
  <c r="E22" i="3"/>
  <c r="E20" i="3"/>
  <c r="D19" i="3"/>
  <c r="C19" i="3"/>
  <c r="I82" i="1"/>
  <c r="I85" i="1"/>
  <c r="I84" i="1"/>
  <c r="I83" i="1"/>
  <c r="I63" i="1"/>
  <c r="I49" i="1"/>
  <c r="I36" i="1"/>
  <c r="I23" i="1"/>
  <c r="I11" i="1"/>
  <c r="C17" i="2"/>
  <c r="C61" i="3" s="1"/>
  <c r="B17" i="2"/>
  <c r="D49" i="3" s="1"/>
  <c r="E69" i="1"/>
  <c r="E61" i="3" s="1"/>
  <c r="G67" i="1"/>
  <c r="I66" i="1"/>
  <c r="M66" i="1" s="1"/>
  <c r="I65" i="1"/>
  <c r="M65" i="1" s="1"/>
  <c r="I64" i="1"/>
  <c r="I60" i="1"/>
  <c r="G60" i="1"/>
  <c r="I59" i="1"/>
  <c r="G59" i="1"/>
  <c r="I58" i="1"/>
  <c r="G58" i="1"/>
  <c r="G62" i="1" l="1"/>
  <c r="D17" i="2" s="1"/>
  <c r="I62" i="1"/>
  <c r="J61" i="1" s="1"/>
  <c r="I92" i="1"/>
  <c r="N65" i="1"/>
  <c r="M63" i="1"/>
  <c r="M64" i="1"/>
  <c r="D61" i="3"/>
  <c r="C49" i="3"/>
  <c r="I67" i="1"/>
  <c r="M67" i="1" l="1"/>
  <c r="N63" i="1"/>
  <c r="N64" i="1"/>
  <c r="E17" i="2"/>
  <c r="J60" i="1"/>
  <c r="J58" i="1"/>
  <c r="J59" i="1"/>
  <c r="G68" i="1"/>
  <c r="G69" i="1" s="1"/>
  <c r="N67" i="1"/>
  <c r="I68" i="1"/>
  <c r="I69" i="1" s="1"/>
  <c r="J62" i="1" l="1"/>
  <c r="O67" i="1"/>
  <c r="E17" i="3"/>
  <c r="F17" i="3"/>
  <c r="E18" i="3"/>
  <c r="F18" i="3"/>
  <c r="F16" i="3"/>
  <c r="E16" i="3"/>
  <c r="I46" i="1"/>
  <c r="G46" i="1"/>
  <c r="E55" i="1" l="1"/>
  <c r="E60" i="3" s="1"/>
  <c r="E42" i="1"/>
  <c r="E59" i="3" s="1"/>
  <c r="E29" i="1"/>
  <c r="E58" i="3" s="1"/>
  <c r="E17" i="1" l="1"/>
  <c r="E57" i="3" s="1"/>
  <c r="E25" i="3" l="1"/>
  <c r="F25" i="3"/>
  <c r="E26" i="3"/>
  <c r="F26" i="3"/>
  <c r="E27" i="3"/>
  <c r="F27" i="3"/>
  <c r="E28" i="3"/>
  <c r="F28" i="3"/>
  <c r="E29" i="3"/>
  <c r="F29" i="3"/>
  <c r="E30" i="3"/>
  <c r="F30" i="3"/>
  <c r="E31" i="3"/>
  <c r="F31" i="3"/>
  <c r="E32" i="3"/>
  <c r="F32" i="3"/>
  <c r="F24" i="3"/>
  <c r="E24" i="3"/>
  <c r="C23" i="3"/>
  <c r="D23" i="3"/>
  <c r="C15" i="3"/>
  <c r="D15" i="3"/>
  <c r="E13" i="3"/>
  <c r="F13" i="3"/>
  <c r="E14" i="3"/>
  <c r="F14" i="3"/>
  <c r="F12" i="3"/>
  <c r="E12" i="3"/>
  <c r="C11" i="3"/>
  <c r="D11" i="3"/>
  <c r="E10" i="3"/>
  <c r="F9" i="3"/>
  <c r="E9" i="3"/>
  <c r="C8" i="3"/>
  <c r="D8" i="3"/>
  <c r="E7" i="3"/>
  <c r="F7" i="3"/>
  <c r="F6" i="3"/>
  <c r="E6" i="3"/>
  <c r="C5" i="3"/>
  <c r="D5" i="3"/>
  <c r="F10" i="3" l="1"/>
  <c r="A1" i="3" l="1"/>
  <c r="C13" i="2" l="1"/>
  <c r="C60" i="3" l="1"/>
  <c r="C48" i="3"/>
  <c r="I21" i="1"/>
  <c r="G21" i="1"/>
  <c r="I47" i="1" l="1"/>
  <c r="G47" i="1"/>
  <c r="I33" i="1"/>
  <c r="G33" i="1"/>
  <c r="A8" i="1" l="1"/>
  <c r="I52" i="1" l="1"/>
  <c r="M52" i="1" s="1"/>
  <c r="I51" i="1"/>
  <c r="M51" i="1" s="1"/>
  <c r="I50" i="1"/>
  <c r="M50" i="1" s="1"/>
  <c r="I39" i="1"/>
  <c r="M39" i="1" s="1"/>
  <c r="I37" i="1"/>
  <c r="I26" i="1"/>
  <c r="M26" i="1" s="1"/>
  <c r="I25" i="1"/>
  <c r="M25" i="1" s="1"/>
  <c r="I24" i="1"/>
  <c r="M24" i="1" s="1"/>
  <c r="I14" i="1"/>
  <c r="I13" i="1"/>
  <c r="I12" i="1"/>
  <c r="B25" i="2"/>
  <c r="I93" i="1" l="1"/>
  <c r="I95" i="1"/>
  <c r="E25" i="2"/>
  <c r="M13" i="1"/>
  <c r="M12" i="1"/>
  <c r="M14" i="1"/>
  <c r="M95" i="1" s="1"/>
  <c r="I27" i="1"/>
  <c r="I53" i="1"/>
  <c r="M37" i="1"/>
  <c r="G40" i="1"/>
  <c r="I38" i="1"/>
  <c r="I94" i="1" s="1"/>
  <c r="G15" i="1"/>
  <c r="D25" i="2"/>
  <c r="G53" i="1"/>
  <c r="G27" i="1"/>
  <c r="M38" i="1" l="1"/>
  <c r="J25" i="2"/>
  <c r="I15" i="1"/>
  <c r="I40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E24" i="2" l="1"/>
  <c r="E23" i="2"/>
  <c r="D24" i="2"/>
  <c r="D23" i="2"/>
  <c r="C12" i="2"/>
  <c r="C14" i="2"/>
  <c r="B14" i="2"/>
  <c r="B13" i="2"/>
  <c r="B12" i="2"/>
  <c r="C11" i="2"/>
  <c r="C10" i="2"/>
  <c r="B11" i="2"/>
  <c r="B10" i="2"/>
  <c r="N51" i="1"/>
  <c r="N50" i="1"/>
  <c r="M49" i="1"/>
  <c r="I45" i="1"/>
  <c r="G45" i="1"/>
  <c r="N25" i="1"/>
  <c r="N24" i="1"/>
  <c r="M23" i="1"/>
  <c r="I20" i="1"/>
  <c r="G20" i="1"/>
  <c r="N37" i="1"/>
  <c r="M36" i="1"/>
  <c r="I34" i="1"/>
  <c r="G34" i="1"/>
  <c r="I32" i="1"/>
  <c r="G32" i="1"/>
  <c r="D50" i="3" l="1"/>
  <c r="D62" i="3"/>
  <c r="C50" i="3"/>
  <c r="C62" i="3"/>
  <c r="C59" i="3"/>
  <c r="C47" i="3"/>
  <c r="C58" i="3"/>
  <c r="C46" i="3"/>
  <c r="C57" i="3"/>
  <c r="C45" i="3"/>
  <c r="D59" i="3"/>
  <c r="D47" i="3"/>
  <c r="D60" i="3"/>
  <c r="D48" i="3"/>
  <c r="D46" i="3"/>
  <c r="D58" i="3"/>
  <c r="D45" i="3"/>
  <c r="D57" i="3"/>
  <c r="N23" i="1"/>
  <c r="M27" i="1"/>
  <c r="N49" i="1"/>
  <c r="M53" i="1"/>
  <c r="N36" i="1"/>
  <c r="M40" i="1"/>
  <c r="N40" i="1" s="1"/>
  <c r="O40" i="1" s="1"/>
  <c r="E22" i="2"/>
  <c r="E26" i="2" s="1"/>
  <c r="G48" i="1"/>
  <c r="D13" i="2" s="1"/>
  <c r="D22" i="2"/>
  <c r="D26" i="2" s="1"/>
  <c r="G22" i="1"/>
  <c r="D11" i="2" s="1"/>
  <c r="I48" i="1"/>
  <c r="J46" i="1" s="1"/>
  <c r="I22" i="1"/>
  <c r="G35" i="1"/>
  <c r="N38" i="1"/>
  <c r="I35" i="1"/>
  <c r="J34" i="1" s="1"/>
  <c r="G72" i="1"/>
  <c r="I72" i="1"/>
  <c r="G86" i="1"/>
  <c r="G96" i="1" s="1"/>
  <c r="M84" i="1"/>
  <c r="M94" i="1" s="1"/>
  <c r="M83" i="1"/>
  <c r="M93" i="1" s="1"/>
  <c r="M82" i="1"/>
  <c r="B23" i="2"/>
  <c r="B24" i="2"/>
  <c r="B22" i="2"/>
  <c r="M11" i="1"/>
  <c r="I9" i="1"/>
  <c r="I8" i="1"/>
  <c r="G9" i="1"/>
  <c r="G8" i="1"/>
  <c r="A2" i="1"/>
  <c r="A1" i="1"/>
  <c r="M92" i="1" l="1"/>
  <c r="M15" i="1"/>
  <c r="N82" i="1"/>
  <c r="J21" i="1"/>
  <c r="E13" i="2"/>
  <c r="J47" i="1"/>
  <c r="N83" i="1"/>
  <c r="N84" i="1"/>
  <c r="J24" i="2"/>
  <c r="J33" i="1"/>
  <c r="J45" i="1"/>
  <c r="J32" i="1"/>
  <c r="J20" i="1"/>
  <c r="G54" i="1"/>
  <c r="G55" i="1" s="1"/>
  <c r="G28" i="1"/>
  <c r="G29" i="1" s="1"/>
  <c r="N12" i="1"/>
  <c r="N93" i="1" s="1"/>
  <c r="J23" i="2"/>
  <c r="N13" i="1"/>
  <c r="G41" i="1"/>
  <c r="G42" i="1" s="1"/>
  <c r="D12" i="2"/>
  <c r="I54" i="1"/>
  <c r="I55" i="1" s="1"/>
  <c r="I41" i="1"/>
  <c r="I42" i="1" s="1"/>
  <c r="E12" i="2"/>
  <c r="I28" i="1"/>
  <c r="I29" i="1" s="1"/>
  <c r="E11" i="2"/>
  <c r="N53" i="1"/>
  <c r="O53" i="1" s="1"/>
  <c r="N27" i="1"/>
  <c r="O27" i="1" s="1"/>
  <c r="G10" i="1"/>
  <c r="I10" i="1"/>
  <c r="I86" i="1"/>
  <c r="I96" i="1" s="1"/>
  <c r="I81" i="1"/>
  <c r="G81" i="1"/>
  <c r="N11" i="1"/>
  <c r="I91" i="1" l="1"/>
  <c r="I97" i="1" s="1"/>
  <c r="N92" i="1"/>
  <c r="G91" i="1"/>
  <c r="G97" i="1" s="1"/>
  <c r="G112" i="1" s="1"/>
  <c r="G114" i="1" s="1"/>
  <c r="G115" i="1" s="1"/>
  <c r="N94" i="1"/>
  <c r="G13" i="2"/>
  <c r="G11" i="2"/>
  <c r="G12" i="2"/>
  <c r="D14" i="2"/>
  <c r="J48" i="1"/>
  <c r="J22" i="2"/>
  <c r="J26" i="2" s="1"/>
  <c r="J35" i="1"/>
  <c r="E14" i="2"/>
  <c r="J22" i="1"/>
  <c r="J78" i="1"/>
  <c r="J79" i="1"/>
  <c r="J76" i="1"/>
  <c r="J77" i="1"/>
  <c r="J80" i="1"/>
  <c r="J75" i="1"/>
  <c r="J74" i="1"/>
  <c r="J73" i="1"/>
  <c r="J9" i="1"/>
  <c r="J8" i="1"/>
  <c r="G87" i="1"/>
  <c r="E10" i="2"/>
  <c r="G16" i="1"/>
  <c r="D10" i="2"/>
  <c r="J72" i="1"/>
  <c r="I87" i="1"/>
  <c r="M86" i="1"/>
  <c r="M96" i="1" s="1"/>
  <c r="I16" i="1"/>
  <c r="I17" i="1" s="1"/>
  <c r="N15" i="1"/>
  <c r="G14" i="2" l="1"/>
  <c r="G10" i="2"/>
  <c r="D15" i="2"/>
  <c r="E15" i="2"/>
  <c r="E19" i="2" s="1"/>
  <c r="G17" i="1"/>
  <c r="J81" i="1"/>
  <c r="N86" i="1"/>
  <c r="O86" i="1" s="1"/>
  <c r="J10" i="1"/>
  <c r="D19" i="2" l="1"/>
  <c r="D28" i="2" s="1"/>
  <c r="D30" i="2" s="1"/>
  <c r="D31" i="2" s="1"/>
  <c r="N96" i="1"/>
  <c r="G15" i="2"/>
  <c r="G19" i="2" s="1"/>
  <c r="F10" i="2"/>
  <c r="F13" i="2"/>
  <c r="F11" i="2"/>
  <c r="F14" i="2"/>
  <c r="F15" i="2"/>
  <c r="F12" i="2"/>
  <c r="K62" i="1" l="1"/>
  <c r="S62" i="1" s="1"/>
  <c r="H10" i="2"/>
  <c r="I10" i="2" s="1"/>
  <c r="K10" i="1" s="1"/>
  <c r="H11" i="2"/>
  <c r="I11" i="2" s="1"/>
  <c r="K22" i="1" s="1"/>
  <c r="H12" i="2"/>
  <c r="I12" i="2" s="1"/>
  <c r="K35" i="1" s="1"/>
  <c r="H13" i="2"/>
  <c r="I13" i="2" s="1"/>
  <c r="K48" i="1" s="1"/>
  <c r="H14" i="2"/>
  <c r="I14" i="2" s="1"/>
  <c r="K81" i="1" s="1"/>
  <c r="E28" i="2"/>
  <c r="S22" i="1" l="1"/>
  <c r="S81" i="1"/>
  <c r="S35" i="1"/>
  <c r="S10" i="1"/>
  <c r="L9" i="1" s="1"/>
  <c r="G7" i="3" s="1"/>
  <c r="S48" i="1"/>
  <c r="I15" i="2"/>
  <c r="I19" i="2" s="1"/>
  <c r="H7" i="3" l="1"/>
  <c r="I7" i="3" s="1"/>
  <c r="M58" i="1"/>
  <c r="G20" i="3"/>
  <c r="L101" i="1"/>
  <c r="G34" i="3" s="1"/>
  <c r="S102" i="1"/>
  <c r="M60" i="1"/>
  <c r="G22" i="3"/>
  <c r="T60" i="1"/>
  <c r="M59" i="1"/>
  <c r="G21" i="3"/>
  <c r="T59" i="1"/>
  <c r="L47" i="1"/>
  <c r="G18" i="3" s="1"/>
  <c r="L46" i="1"/>
  <c r="G17" i="3" s="1"/>
  <c r="L45" i="1"/>
  <c r="G16" i="3" s="1"/>
  <c r="L32" i="1"/>
  <c r="G12" i="3" s="1"/>
  <c r="L34" i="1"/>
  <c r="G14" i="3" s="1"/>
  <c r="L21" i="1"/>
  <c r="G10" i="3" s="1"/>
  <c r="L20" i="1"/>
  <c r="L76" i="1"/>
  <c r="G28" i="3" s="1"/>
  <c r="L79" i="1"/>
  <c r="G31" i="3" s="1"/>
  <c r="L80" i="1"/>
  <c r="G32" i="3" s="1"/>
  <c r="L8" i="1"/>
  <c r="L33" i="1"/>
  <c r="G13" i="3" s="1"/>
  <c r="L75" i="1"/>
  <c r="G27" i="3" s="1"/>
  <c r="L77" i="1"/>
  <c r="G29" i="3" s="1"/>
  <c r="L74" i="1"/>
  <c r="G26" i="3" s="1"/>
  <c r="L78" i="1"/>
  <c r="G30" i="3" s="1"/>
  <c r="L72" i="1"/>
  <c r="G24" i="3" s="1"/>
  <c r="L73" i="1"/>
  <c r="G25" i="3" s="1"/>
  <c r="M9" i="1"/>
  <c r="N9" i="1" s="1"/>
  <c r="O9" i="1" s="1"/>
  <c r="T9" i="1"/>
  <c r="H21" i="3" l="1"/>
  <c r="I21" i="3" s="1"/>
  <c r="H22" i="3"/>
  <c r="I22" i="3" s="1"/>
  <c r="H20" i="3"/>
  <c r="I20" i="3" s="1"/>
  <c r="H12" i="3"/>
  <c r="I12" i="3" s="1"/>
  <c r="H25" i="3"/>
  <c r="I25" i="3" s="1"/>
  <c r="H18" i="3"/>
  <c r="I18" i="3" s="1"/>
  <c r="H31" i="3"/>
  <c r="I31" i="3" s="1"/>
  <c r="H16" i="3"/>
  <c r="I16" i="3" s="1"/>
  <c r="H24" i="3"/>
  <c r="I24" i="3" s="1"/>
  <c r="H34" i="3"/>
  <c r="I34" i="3" s="1"/>
  <c r="H26" i="3"/>
  <c r="I26" i="3" s="1"/>
  <c r="H17" i="3"/>
  <c r="I17" i="3" s="1"/>
  <c r="H28" i="3"/>
  <c r="I28" i="3" s="1"/>
  <c r="H10" i="3"/>
  <c r="I10" i="3" s="1"/>
  <c r="H13" i="3"/>
  <c r="I13" i="3" s="1"/>
  <c r="H32" i="3"/>
  <c r="I32" i="3" s="1"/>
  <c r="H30" i="3"/>
  <c r="I30" i="3" s="1"/>
  <c r="H29" i="3"/>
  <c r="I29" i="3" s="1"/>
  <c r="H27" i="3"/>
  <c r="I27" i="3" s="1"/>
  <c r="H14" i="3"/>
  <c r="I14" i="3" s="1"/>
  <c r="M62" i="1"/>
  <c r="P59" i="1" s="1"/>
  <c r="N58" i="1"/>
  <c r="N59" i="1"/>
  <c r="N60" i="1"/>
  <c r="O60" i="1" s="1"/>
  <c r="L102" i="1"/>
  <c r="S103" i="1"/>
  <c r="L103" i="1" s="1"/>
  <c r="T32" i="1"/>
  <c r="M32" i="1"/>
  <c r="N32" i="1" s="1"/>
  <c r="O32" i="1" s="1"/>
  <c r="G6" i="3"/>
  <c r="M76" i="1"/>
  <c r="N76" i="1" s="1"/>
  <c r="O76" i="1" s="1"/>
  <c r="T76" i="1"/>
  <c r="M79" i="1"/>
  <c r="N79" i="1" s="1"/>
  <c r="O79" i="1" s="1"/>
  <c r="T79" i="1"/>
  <c r="T80" i="1"/>
  <c r="T77" i="1"/>
  <c r="M8" i="1"/>
  <c r="N8" i="1" s="1"/>
  <c r="N10" i="1" s="1"/>
  <c r="T33" i="1"/>
  <c r="M45" i="1"/>
  <c r="N45" i="1" s="1"/>
  <c r="M80" i="1"/>
  <c r="N80" i="1" s="1"/>
  <c r="O80" i="1" s="1"/>
  <c r="M75" i="1"/>
  <c r="N75" i="1" s="1"/>
  <c r="O75" i="1" s="1"/>
  <c r="M34" i="1"/>
  <c r="N34" i="1" s="1"/>
  <c r="O34" i="1" s="1"/>
  <c r="M78" i="1"/>
  <c r="N78" i="1" s="1"/>
  <c r="O78" i="1" s="1"/>
  <c r="M33" i="1"/>
  <c r="N33" i="1" s="1"/>
  <c r="O33" i="1" s="1"/>
  <c r="T34" i="1"/>
  <c r="T78" i="1"/>
  <c r="T75" i="1"/>
  <c r="M77" i="1"/>
  <c r="N77" i="1" s="1"/>
  <c r="O77" i="1" s="1"/>
  <c r="T8" i="1"/>
  <c r="G9" i="3"/>
  <c r="T74" i="1"/>
  <c r="M74" i="1"/>
  <c r="N74" i="1" s="1"/>
  <c r="O74" i="1" s="1"/>
  <c r="M72" i="1"/>
  <c r="N72" i="1" s="1"/>
  <c r="O72" i="1" s="1"/>
  <c r="T72" i="1"/>
  <c r="M73" i="1"/>
  <c r="N73" i="1" s="1"/>
  <c r="O73" i="1" s="1"/>
  <c r="T73" i="1"/>
  <c r="T47" i="1"/>
  <c r="M47" i="1"/>
  <c r="H9" i="3" l="1"/>
  <c r="I9" i="3" s="1"/>
  <c r="H6" i="3"/>
  <c r="I6" i="3" s="1"/>
  <c r="O59" i="1"/>
  <c r="N62" i="1"/>
  <c r="P58" i="1"/>
  <c r="P60" i="1"/>
  <c r="P61" i="1"/>
  <c r="Q61" i="1" s="1"/>
  <c r="G36" i="3"/>
  <c r="T103" i="1"/>
  <c r="O58" i="1"/>
  <c r="T102" i="1"/>
  <c r="G35" i="3"/>
  <c r="R62" i="1"/>
  <c r="M68" i="1"/>
  <c r="J17" i="2"/>
  <c r="M46" i="1"/>
  <c r="M48" i="1" s="1"/>
  <c r="T46" i="1"/>
  <c r="O8" i="1"/>
  <c r="M35" i="1"/>
  <c r="R35" i="1" s="1"/>
  <c r="N35" i="1"/>
  <c r="O35" i="1" s="1"/>
  <c r="M10" i="1"/>
  <c r="M81" i="1"/>
  <c r="N81" i="1"/>
  <c r="O81" i="1" s="1"/>
  <c r="O45" i="1"/>
  <c r="N47" i="1"/>
  <c r="O47" i="1" s="1"/>
  <c r="O10" i="1"/>
  <c r="H35" i="3" l="1"/>
  <c r="I35" i="3" s="1"/>
  <c r="H36" i="3"/>
  <c r="I36" i="3" s="1"/>
  <c r="P62" i="1"/>
  <c r="O17" i="2"/>
  <c r="Q60" i="1"/>
  <c r="Q59" i="1"/>
  <c r="O62" i="1"/>
  <c r="L17" i="2"/>
  <c r="M69" i="1"/>
  <c r="N69" i="1" s="1"/>
  <c r="O69" i="1" s="1"/>
  <c r="N68" i="1"/>
  <c r="P45" i="1"/>
  <c r="Q45" i="1" s="1"/>
  <c r="P8" i="1"/>
  <c r="Q8" i="1" s="1"/>
  <c r="N46" i="1"/>
  <c r="O46" i="1" s="1"/>
  <c r="P46" i="1"/>
  <c r="Q46" i="1" s="1"/>
  <c r="P9" i="1"/>
  <c r="Q9" i="1" s="1"/>
  <c r="J10" i="2"/>
  <c r="O10" i="2" s="1"/>
  <c r="P34" i="1"/>
  <c r="Q34" i="1" s="1"/>
  <c r="P33" i="1"/>
  <c r="Q33" i="1" s="1"/>
  <c r="P32" i="1"/>
  <c r="Q32" i="1" s="1"/>
  <c r="M41" i="1"/>
  <c r="M42" i="1" s="1"/>
  <c r="N42" i="1" s="1"/>
  <c r="O42" i="1" s="1"/>
  <c r="J12" i="2"/>
  <c r="O12" i="2" s="1"/>
  <c r="P80" i="1"/>
  <c r="Q80" i="1" s="1"/>
  <c r="J14" i="2"/>
  <c r="L14" i="2" s="1"/>
  <c r="F50" i="3" s="1"/>
  <c r="P75" i="1"/>
  <c r="Q75" i="1" s="1"/>
  <c r="R10" i="1"/>
  <c r="M16" i="1"/>
  <c r="M17" i="1" s="1"/>
  <c r="N17" i="1" s="1"/>
  <c r="O17" i="1" s="1"/>
  <c r="P77" i="1"/>
  <c r="Q77" i="1" s="1"/>
  <c r="P74" i="1"/>
  <c r="Q74" i="1" s="1"/>
  <c r="P73" i="1"/>
  <c r="Q73" i="1" s="1"/>
  <c r="P76" i="1"/>
  <c r="Q76" i="1" s="1"/>
  <c r="P72" i="1"/>
  <c r="Q72" i="1" s="1"/>
  <c r="M87" i="1"/>
  <c r="N87" i="1" s="1"/>
  <c r="O87" i="1" s="1"/>
  <c r="N14" i="2" s="1"/>
  <c r="P78" i="1"/>
  <c r="Q78" i="1" s="1"/>
  <c r="R81" i="1"/>
  <c r="P79" i="1"/>
  <c r="Q79" i="1" s="1"/>
  <c r="J13" i="2"/>
  <c r="O13" i="2" s="1"/>
  <c r="M54" i="1"/>
  <c r="M55" i="1" s="1"/>
  <c r="N55" i="1" s="1"/>
  <c r="P47" i="1"/>
  <c r="Q47" i="1" s="1"/>
  <c r="R48" i="1"/>
  <c r="L10" i="2"/>
  <c r="L12" i="2"/>
  <c r="O68" i="1" l="1"/>
  <c r="N17" i="2" s="1"/>
  <c r="F61" i="3"/>
  <c r="M17" i="2"/>
  <c r="F49" i="3"/>
  <c r="Q58" i="1"/>
  <c r="Q62" i="1"/>
  <c r="N48" i="1"/>
  <c r="O48" i="1" s="1"/>
  <c r="N41" i="1"/>
  <c r="O41" i="1" s="1"/>
  <c r="N12" i="2" s="1"/>
  <c r="P10" i="1"/>
  <c r="Q10" i="1" s="1"/>
  <c r="M14" i="2"/>
  <c r="O14" i="2"/>
  <c r="P35" i="1"/>
  <c r="Q35" i="1" s="1"/>
  <c r="N16" i="1"/>
  <c r="O16" i="1" s="1"/>
  <c r="N10" i="2" s="1"/>
  <c r="F57" i="3"/>
  <c r="F59" i="3"/>
  <c r="P81" i="1"/>
  <c r="Q81" i="1" s="1"/>
  <c r="P48" i="1"/>
  <c r="Q48" i="1" s="1"/>
  <c r="O55" i="1"/>
  <c r="F60" i="3"/>
  <c r="N54" i="1"/>
  <c r="O54" i="1" s="1"/>
  <c r="N13" i="2" s="1"/>
  <c r="M12" i="2"/>
  <c r="F47" i="3"/>
  <c r="M10" i="2"/>
  <c r="F45" i="3"/>
  <c r="G50" i="3"/>
  <c r="G62" i="3"/>
  <c r="G61" i="3" l="1"/>
  <c r="G49" i="3"/>
  <c r="L13" i="2"/>
  <c r="M13" i="2" s="1"/>
  <c r="G59" i="3"/>
  <c r="G47" i="3"/>
  <c r="G60" i="3"/>
  <c r="G48" i="3"/>
  <c r="G45" i="3"/>
  <c r="G57" i="3"/>
  <c r="M20" i="1"/>
  <c r="M21" i="1"/>
  <c r="F48" i="3" l="1"/>
  <c r="T21" i="1"/>
  <c r="N20" i="1"/>
  <c r="N21" i="1"/>
  <c r="O21" i="1" s="1"/>
  <c r="O20" i="1" l="1"/>
  <c r="N22" i="1"/>
  <c r="N91" i="1" s="1"/>
  <c r="N97" i="1" s="1"/>
  <c r="M22" i="1"/>
  <c r="M91" i="1" s="1"/>
  <c r="M97" i="1" s="1"/>
  <c r="J11" i="2" l="1"/>
  <c r="O11" i="2" s="1"/>
  <c r="M28" i="1"/>
  <c r="M29" i="1" s="1"/>
  <c r="R22" i="1"/>
  <c r="P21" i="1"/>
  <c r="Q21" i="1" s="1"/>
  <c r="P20" i="1"/>
  <c r="Q20" i="1" s="1"/>
  <c r="N29" i="1" l="1"/>
  <c r="J15" i="2"/>
  <c r="L11" i="2"/>
  <c r="O22" i="1"/>
  <c r="P22" i="1"/>
  <c r="Q22" i="1" s="1"/>
  <c r="N28" i="1"/>
  <c r="O91" i="1"/>
  <c r="K17" i="2" l="1"/>
  <c r="J19" i="2"/>
  <c r="J28" i="2" s="1"/>
  <c r="L28" i="2" s="1"/>
  <c r="F51" i="3" s="1"/>
  <c r="O29" i="1"/>
  <c r="F58" i="3"/>
  <c r="O28" i="1"/>
  <c r="N11" i="2" s="1"/>
  <c r="M11" i="2"/>
  <c r="F46" i="3"/>
  <c r="O15" i="2"/>
  <c r="O19" i="2" s="1"/>
  <c r="K11" i="2"/>
  <c r="K12" i="2"/>
  <c r="K14" i="2"/>
  <c r="K15" i="2"/>
  <c r="K13" i="2"/>
  <c r="K10" i="2"/>
  <c r="L15" i="2"/>
  <c r="L19" i="2" s="1"/>
  <c r="M19" i="2" s="1"/>
  <c r="O97" i="1"/>
  <c r="G58" i="3" l="1"/>
  <c r="G46" i="3"/>
  <c r="M15" i="2"/>
  <c r="L30" i="2"/>
  <c r="L31" i="2" s="1"/>
  <c r="N28" i="2"/>
  <c r="G5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tc={C0F524F0-3D20-43EB-B005-6363B07FE90F}</author>
  </authors>
  <commentList>
    <comment ref="L59" authorId="0" shapeId="0" xr:uid="{C0F524F0-3D20-43EB-B005-6363B07FE90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Proposed Rate = whatever increase is needed to reach wholesale allocated revenue. </t>
      </text>
    </comment>
  </commentList>
</comments>
</file>

<file path=xl/sharedStrings.xml><?xml version="1.0" encoding="utf-8"?>
<sst xmlns="http://schemas.openxmlformats.org/spreadsheetml/2006/main" count="173" uniqueCount="99">
  <si>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</si>
  <si>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</si>
  <si>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</si>
  <si>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</si>
  <si>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</si>
  <si>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</si>
  <si>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</si>
  <si>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</si>
  <si>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</si>
  <si>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</si>
  <si>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</si>
  <si>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</si>
  <si>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</si>
  <si>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</si>
  <si>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</si>
  <si>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</si>
  <si>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</si>
  <si>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</si>
  <si>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</si>
  <si>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</si>
  <si>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</si>
  <si>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</si>
  <si>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</si>
  <si>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</si>
  <si>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</si>
  <si>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</si>
  <si>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</si>
  <si>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</si>
  <si>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</si>
  <si>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</si>
  <si>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Lighting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</si>
  <si>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</si>
  <si>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</si>
  <si>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</si>
  <si>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</si>
  <si>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</si>
  <si>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</si>
  <si>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</si>
  <si>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</si>
  <si>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 xml:space="preserve">    Other</t>
  </si>
  <si>
    <t>TOTAL Base Rates</t>
  </si>
  <si>
    <t>SubTotal Base Rates</t>
  </si>
  <si>
    <t>Base %</t>
  </si>
  <si>
    <t>Total %</t>
  </si>
  <si>
    <t>Base Rate Increase</t>
  </si>
  <si>
    <t>Present</t>
  </si>
  <si>
    <t>Proposed</t>
  </si>
  <si>
    <t>Energy Charge per kWh</t>
  </si>
  <si>
    <t>Demand Charge per kW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</si>
  <si>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</si>
  <si>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</si>
  <si>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</si>
  <si>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</si>
  <si>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</si>
  <si>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</si>
  <si>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</si>
  <si>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</si>
  <si>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</si>
  <si>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</si>
  <si>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</t>
  </si>
  <si>
    <t>A</t>
  </si>
  <si>
    <t>B</t>
  </si>
  <si>
    <t>LICKING VALLEY RECC</t>
  </si>
  <si>
    <t>Schedule B - Commercial and Small Power Service</t>
  </si>
  <si>
    <t>LPR</t>
  </si>
  <si>
    <t xml:space="preserve">Large Power Rate </t>
  </si>
  <si>
    <t xml:space="preserve">LP </t>
  </si>
  <si>
    <t>Large Power Service</t>
  </si>
  <si>
    <t>25ft Wood Pole</t>
  </si>
  <si>
    <t>30ft Wood Pole</t>
  </si>
  <si>
    <t>175 Watt MV</t>
  </si>
  <si>
    <t>100 Watt Metal Halide</t>
  </si>
  <si>
    <t>250 Watt Metal Halide</t>
  </si>
  <si>
    <t>400 Watt Metal Halide</t>
  </si>
  <si>
    <t>68 Watt LED</t>
  </si>
  <si>
    <t>108 Watt LED</t>
  </si>
  <si>
    <t>202 Watt LED</t>
  </si>
  <si>
    <t>SL</t>
  </si>
  <si>
    <t>Present &amp; Proposed Rates</t>
  </si>
  <si>
    <t>Schedule A - Residential, Farm, Hall &amp; Church Service</t>
  </si>
  <si>
    <t>Var</t>
  </si>
  <si>
    <t>2023 Rate</t>
  </si>
  <si>
    <t xml:space="preserve">          2023 Revenue</t>
  </si>
  <si>
    <t>FAC Roll-In &gt;</t>
  </si>
  <si>
    <t>LPG</t>
  </si>
  <si>
    <t>LPC</t>
  </si>
  <si>
    <t>Large Power Rate 2500-9999 KW</t>
  </si>
  <si>
    <t>VACANT RATE CLASSES</t>
  </si>
  <si>
    <t xml:space="preserve">Total Rate G Revenue Increase Allocated by East Kentucky Power Cooperative:   </t>
  </si>
  <si>
    <t xml:space="preserve">Remaining Revenue Increase Allocated by East Kentucky Power Cooperative:   </t>
  </si>
  <si>
    <t>Demand Interruptible per kW</t>
  </si>
  <si>
    <t>KWH</t>
  </si>
  <si>
    <t>REV</t>
  </si>
  <si>
    <t>2023 Revenue</t>
  </si>
  <si>
    <t>FAC Roll In</t>
  </si>
  <si>
    <t>Interruptible Service</t>
  </si>
  <si>
    <t>Demand Credit per kW - 200 Hrs</t>
  </si>
  <si>
    <t>Demand Credit per kW - 300 Hrs</t>
  </si>
  <si>
    <t>Demand Credit per kW - 400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</si>
</sst>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_(* #,##0.00000_);_(* \(#,##0.00000\);_(* &quot;-&quot;??_);_(@_)"/>
    <numFmt numFmtId="168" formatCode="_(* #,##0.000000_);_(* \(#,##0.000000\);_(* &quot;-&quot;??_);_(@_)"/>
    <numFmt numFmtId="169" formatCode="0.00000%"/>
    <numFmt numFmtId="170" formatCode="_(* #,##0.0000_);_(* \(#,##0.0000\);_(* &quot;-&quot;??_);_(@_)"/>
    <numFmt numFmtId="171" formatCode="_(&quot;$&quot;* #,##0.00000_);_(&quot;$&quot;* \(#,##0.00000\);_(&quot;$&quot;* &quot;-&quot;??_);_(@_)"/>
    <numFmt numFmtId="172" formatCode="_(&quot;$&quot;* #,##0.000000_);_(&quot;$&quot;* \(#,##0.000000\);_(&quot;$&quot;* &quot;-&quot;??_);_(@_)"/>
    <numFmt numFmtId="173" formatCode="&quot;$&quot;#,##0"/>
    <numFmt numFmtId="174" formatCode="_(&quot;$&quot;* #,##0.0000000_);_(&quot;$&quot;* \(#,##0.0000000\);_(&quot;$&quot;* &quot;-&quot;??_);_(@_)"/>
    <numFmt numFmtId="175" formatCode="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  <font>
      <i/>
      <sz val="10"/>
      <color rgb="FF0000FF"/>
      <name val="Arial"/>
      <family val="2"/>
    </font>
    <font>
      <b/>
      <sz val="10"/>
      <color rgb="FF0000FF"/>
      <name val="Arial"/>
      <family val="2"/>
    </font>
    <font>
      <i/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0" fontId="3" fillId="0" borderId="5" xfId="0" applyFont="1" applyBorder="1" applyAlignment="1">
      <alignment vertical="center"/>
    </xf>
    <xf numFmtId="165" fontId="7" fillId="0" borderId="5" xfId="2" applyNumberFormat="1" applyFont="1" applyFill="1" applyBorder="1" applyAlignment="1">
      <alignment vertic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right"/>
    </xf>
    <xf numFmtId="165" fontId="7" fillId="0" borderId="0" xfId="0" applyNumberFormat="1" applyFont="1"/>
    <xf numFmtId="165" fontId="7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8" fontId="3" fillId="0" borderId="0" xfId="1" applyNumberFormat="1" applyFont="1"/>
    <xf numFmtId="0" fontId="6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165" fontId="4" fillId="0" borderId="0" xfId="2" applyNumberFormat="1" applyFont="1" applyAlignment="1"/>
    <xf numFmtId="165" fontId="3" fillId="0" borderId="0" xfId="0" applyNumberFormat="1" applyFo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165" fontId="3" fillId="0" borderId="5" xfId="2" applyNumberFormat="1" applyFont="1" applyBorder="1" applyAlignment="1"/>
    <xf numFmtId="164" fontId="3" fillId="2" borderId="0" xfId="1" applyNumberFormat="1" applyFont="1" applyFill="1" applyAlignment="1"/>
    <xf numFmtId="0" fontId="3" fillId="2" borderId="0" xfId="0" applyFont="1" applyFill="1"/>
    <xf numFmtId="165" fontId="3" fillId="2" borderId="0" xfId="2" applyNumberFormat="1" applyFont="1" applyFill="1" applyAlignment="1"/>
    <xf numFmtId="0" fontId="3" fillId="2" borderId="2" xfId="0" applyFont="1" applyFill="1" applyBorder="1"/>
    <xf numFmtId="165" fontId="3" fillId="2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2" borderId="4" xfId="0" applyFont="1" applyFill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1" fontId="3" fillId="0" borderId="0" xfId="2" applyNumberFormat="1" applyFont="1"/>
    <xf numFmtId="0" fontId="2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0" fontId="3" fillId="0" borderId="0" xfId="1" applyNumberFormat="1" applyFont="1" applyAlignment="1">
      <alignment vertical="center"/>
    </xf>
    <xf numFmtId="172" fontId="3" fillId="0" borderId="0" xfId="2" applyNumberFormat="1" applyFont="1"/>
    <xf numFmtId="0" fontId="9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73" fontId="3" fillId="0" borderId="2" xfId="0" applyNumberFormat="1" applyFont="1" applyBorder="1"/>
    <xf numFmtId="10" fontId="3" fillId="0" borderId="2" xfId="3" applyNumberFormat="1" applyFont="1" applyBorder="1"/>
    <xf numFmtId="173" fontId="3" fillId="0" borderId="0" xfId="0" applyNumberFormat="1" applyFont="1"/>
    <xf numFmtId="10" fontId="3" fillId="0" borderId="0" xfId="3" applyNumberFormat="1" applyFont="1" applyBorder="1"/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4" fontId="7" fillId="0" borderId="0" xfId="1" applyNumberFormat="1" applyFont="1" applyAlignment="1">
      <alignment horizontal="right"/>
    </xf>
    <xf numFmtId="0" fontId="10" fillId="0" borderId="0" xfId="0" applyFont="1"/>
    <xf numFmtId="0" fontId="7" fillId="0" borderId="2" xfId="0" applyFont="1" applyBorder="1" applyAlignment="1">
      <alignment horizontal="center"/>
    </xf>
    <xf numFmtId="44" fontId="3" fillId="0" borderId="0" xfId="2" applyFont="1" applyAlignment="1">
      <alignment horizontal="right"/>
    </xf>
    <xf numFmtId="164" fontId="3" fillId="0" borderId="0" xfId="1" applyNumberFormat="1" applyFont="1" applyAlignment="1">
      <alignment horizontal="right"/>
    </xf>
    <xf numFmtId="10" fontId="3" fillId="0" borderId="5" xfId="3" applyNumberFormat="1" applyFont="1" applyBorder="1" applyAlignment="1"/>
    <xf numFmtId="0" fontId="7" fillId="0" borderId="0" xfId="0" applyFont="1" applyAlignment="1">
      <alignment horizontal="left"/>
    </xf>
    <xf numFmtId="168" fontId="3" fillId="0" borderId="0" xfId="0" applyNumberFormat="1" applyFont="1"/>
    <xf numFmtId="0" fontId="7" fillId="0" borderId="0" xfId="0" applyFont="1"/>
    <xf numFmtId="43" fontId="7" fillId="0" borderId="0" xfId="1" applyFont="1" applyFill="1"/>
    <xf numFmtId="168" fontId="7" fillId="0" borderId="0" xfId="1" applyNumberFormat="1" applyFont="1" applyFill="1"/>
    <xf numFmtId="0" fontId="9" fillId="0" borderId="0" xfId="0" applyFont="1" applyAlignment="1">
      <alignment horizontal="right"/>
    </xf>
    <xf numFmtId="0" fontId="9" fillId="0" borderId="4" xfId="0" applyFont="1" applyBorder="1" applyAlignment="1">
      <alignment horizontal="right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center" wrapText="1"/>
    </xf>
    <xf numFmtId="0" fontId="7" fillId="0" borderId="6" xfId="0" applyFont="1" applyBorder="1"/>
    <xf numFmtId="165" fontId="7" fillId="0" borderId="0" xfId="2" applyNumberFormat="1" applyFont="1" applyFill="1"/>
    <xf numFmtId="10" fontId="7" fillId="0" borderId="0" xfId="3" applyNumberFormat="1" applyFont="1" applyFill="1"/>
    <xf numFmtId="10" fontId="7" fillId="0" borderId="0" xfId="0" applyNumberFormat="1" applyFont="1"/>
    <xf numFmtId="0" fontId="7" fillId="0" borderId="5" xfId="0" applyFont="1" applyBorder="1" applyAlignment="1">
      <alignment vertical="center"/>
    </xf>
    <xf numFmtId="10" fontId="7" fillId="0" borderId="5" xfId="3" applyNumberFormat="1" applyFont="1" applyFill="1" applyBorder="1" applyAlignment="1">
      <alignment vertical="center"/>
    </xf>
    <xf numFmtId="165" fontId="7" fillId="0" borderId="5" xfId="3" applyNumberFormat="1" applyFont="1" applyFill="1" applyBorder="1" applyAlignment="1">
      <alignment vertical="center"/>
    </xf>
    <xf numFmtId="44" fontId="7" fillId="0" borderId="5" xfId="2" applyFont="1" applyFill="1" applyBorder="1" applyAlignment="1">
      <alignment vertical="center"/>
    </xf>
    <xf numFmtId="169" fontId="7" fillId="0" borderId="0" xfId="3" applyNumberFormat="1" applyFont="1" applyFill="1"/>
    <xf numFmtId="0" fontId="7" fillId="0" borderId="5" xfId="0" applyFont="1" applyBorder="1"/>
    <xf numFmtId="165" fontId="7" fillId="0" borderId="5" xfId="2" applyNumberFormat="1" applyFont="1" applyFill="1" applyBorder="1"/>
    <xf numFmtId="43" fontId="7" fillId="0" borderId="5" xfId="1" applyFont="1" applyFill="1" applyBorder="1"/>
    <xf numFmtId="0" fontId="7" fillId="0" borderId="3" xfId="0" applyFont="1" applyBorder="1" applyAlignment="1">
      <alignment vertical="center"/>
    </xf>
    <xf numFmtId="165" fontId="7" fillId="0" borderId="3" xfId="2" applyNumberFormat="1" applyFont="1" applyFill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10" fontId="7" fillId="0" borderId="3" xfId="3" applyNumberFormat="1" applyFont="1" applyFill="1" applyBorder="1" applyAlignment="1">
      <alignment vertical="center"/>
    </xf>
    <xf numFmtId="44" fontId="7" fillId="0" borderId="0" xfId="0" applyNumberFormat="1" applyFont="1"/>
    <xf numFmtId="165" fontId="7" fillId="0" borderId="5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5" fontId="7" fillId="0" borderId="5" xfId="0" applyNumberFormat="1" applyFont="1" applyBorder="1"/>
    <xf numFmtId="0" fontId="4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44" fontId="7" fillId="0" borderId="0" xfId="2" applyFont="1"/>
    <xf numFmtId="43" fontId="4" fillId="0" borderId="0" xfId="1" applyFont="1" applyFill="1"/>
    <xf numFmtId="168" fontId="4" fillId="0" borderId="0" xfId="1" applyNumberFormat="1" applyFont="1" applyFill="1"/>
    <xf numFmtId="0" fontId="7" fillId="0" borderId="0" xfId="0" applyFont="1" applyAlignment="1">
      <alignment horizontal="right"/>
    </xf>
    <xf numFmtId="0" fontId="12" fillId="0" borderId="4" xfId="0" applyFont="1" applyBorder="1" applyAlignment="1">
      <alignment horizontal="right" wrapText="1"/>
    </xf>
    <xf numFmtId="165" fontId="4" fillId="0" borderId="0" xfId="2" applyNumberFormat="1" applyFont="1" applyFill="1"/>
    <xf numFmtId="167" fontId="4" fillId="0" borderId="0" xfId="1" applyNumberFormat="1" applyFont="1" applyFill="1"/>
    <xf numFmtId="0" fontId="7" fillId="3" borderId="0" xfId="0" applyFont="1" applyFill="1"/>
    <xf numFmtId="0" fontId="13" fillId="0" borderId="5" xfId="0" applyFont="1" applyBorder="1" applyAlignment="1">
      <alignment vertical="center"/>
    </xf>
    <xf numFmtId="170" fontId="3" fillId="0" borderId="0" xfId="0" applyNumberFormat="1" applyFont="1"/>
    <xf numFmtId="44" fontId="3" fillId="0" borderId="0" xfId="2" applyFont="1" applyFill="1"/>
    <xf numFmtId="172" fontId="3" fillId="0" borderId="0" xfId="2" applyNumberFormat="1" applyFont="1" applyFill="1"/>
    <xf numFmtId="6" fontId="7" fillId="0" borderId="1" xfId="0" applyNumberFormat="1" applyFont="1" applyBorder="1"/>
    <xf numFmtId="166" fontId="3" fillId="0" borderId="0" xfId="0" applyNumberFormat="1" applyFont="1" applyAlignment="1">
      <alignment vertical="center"/>
    </xf>
    <xf numFmtId="164" fontId="3" fillId="0" borderId="0" xfId="1" applyNumberFormat="1" applyFont="1" applyFill="1"/>
    <xf numFmtId="170" fontId="14" fillId="0" borderId="0" xfId="0" applyNumberFormat="1" applyFont="1"/>
    <xf numFmtId="10" fontId="7" fillId="0" borderId="0" xfId="3" applyNumberFormat="1" applyFont="1"/>
    <xf numFmtId="164" fontId="7" fillId="0" borderId="0" xfId="0" applyNumberFormat="1" applyFont="1"/>
    <xf numFmtId="0" fontId="9" fillId="0" borderId="0" xfId="0" applyFont="1" applyAlignment="1">
      <alignment vertical="top" wrapText="1"/>
    </xf>
    <xf numFmtId="174" fontId="3" fillId="0" borderId="0" xfId="0" applyNumberFormat="1" applyFont="1"/>
    <xf numFmtId="43" fontId="4" fillId="0" borderId="0" xfId="1" applyFont="1" applyFill="1" applyAlignment="1">
      <alignment horizontal="center"/>
    </xf>
    <xf numFmtId="0" fontId="4" fillId="0" borderId="0" xfId="0" applyFont="1" applyAlignment="1">
      <alignment horizontal="center"/>
    </xf>
    <xf numFmtId="164" fontId="7" fillId="0" borderId="0" xfId="1" applyNumberFormat="1" applyFont="1" applyFill="1"/>
    <xf numFmtId="166" fontId="7" fillId="0" borderId="0" xfId="0" applyNumberFormat="1" applyFont="1"/>
    <xf numFmtId="10" fontId="7" fillId="0" borderId="5" xfId="0" applyNumberFormat="1" applyFont="1" applyBorder="1" applyAlignment="1">
      <alignment vertical="center"/>
    </xf>
    <xf numFmtId="6" fontId="4" fillId="4" borderId="1" xfId="0" applyNumberFormat="1" applyFont="1" applyFill="1" applyBorder="1"/>
    <xf numFmtId="0" fontId="9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75" fontId="7" fillId="0" borderId="0" xfId="0" applyNumberFormat="1" applyFont="1"/>
    <xf numFmtId="43" fontId="3" fillId="0" borderId="0" xfId="1" applyFont="1"/>
    <xf numFmtId="165" fontId="7" fillId="0" borderId="0" xfId="2" applyNumberFormat="1" applyFont="1"/>
    <xf numFmtId="171" fontId="4" fillId="0" borderId="0" xfId="2" applyNumberFormat="1" applyFont="1"/>
    <xf numFmtId="43" fontId="7" fillId="0" borderId="0" xfId="1" applyFont="1"/>
    <xf numFmtId="43" fontId="4" fillId="0" borderId="0" xfId="1" applyFont="1"/>
    <xf numFmtId="0" fontId="10" fillId="0" borderId="0" xfId="0" applyFont="1" applyAlignment="1">
      <alignment horizontal="left"/>
    </xf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EFF6EA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hn Wolfram" id="{1490529E-9391-4015-BDEA-3BFBECC41F8C}" userId="2ac385686f0d07d2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59" dT="2025-06-02T20:37:51.31" personId="{1490529E-9391-4015-BDEA-3BFBECC41F8C}" id="{C0F524F0-3D20-43EB-B005-6363B07FE90F}">
    <text xml:space="preserve">Proposed Rate = whatever increase is needed to reach wholesale allocated revenue.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V32"/>
  <sheetViews>
    <sheetView tabSelected="1" view="pageBreakPreview" zoomScaleNormal="100" zoomScaleSheetLayoutView="100" workbookViewId="0">
      <selection activeCell="L26" sqref="L26"/>
    </sheetView>
  </sheetViews>
  <sheetFormatPr defaultColWidth="8.85546875" defaultRowHeight="12.75" x14ac:dyDescent="0.2"/>
  <cols>
    <col min="1" max="1" width="6.85546875" style="2" customWidth="1"/>
    <col min="2" max="2" width="49" style="2" bestFit="1" customWidth="1"/>
    <col min="3" max="3" width="5.85546875" style="12" bestFit="1" customWidth="1"/>
    <col min="4" max="4" width="13.7109375" style="2" hidden="1" customWidth="1"/>
    <col min="5" max="5" width="12.7109375" style="2" bestFit="1" customWidth="1"/>
    <col min="6" max="6" width="8.5703125" style="2" bestFit="1" customWidth="1"/>
    <col min="7" max="7" width="12.7109375" style="2" bestFit="1" customWidth="1"/>
    <col min="8" max="8" width="10.42578125" style="2" bestFit="1" customWidth="1"/>
    <col min="9" max="9" width="12.7109375" style="2" customWidth="1"/>
    <col min="10" max="10" width="12.7109375" style="2" bestFit="1" customWidth="1"/>
    <col min="11" max="11" width="11.7109375" style="2" customWidth="1"/>
    <col min="12" max="12" width="13" style="2" customWidth="1"/>
    <col min="13" max="14" width="7.7109375" style="2" bestFit="1" customWidth="1"/>
    <col min="15" max="15" width="10" style="2" bestFit="1" customWidth="1"/>
    <col min="16" max="16" width="29.28515625" style="2" customWidth="1"/>
    <col min="17" max="17" width="9" style="2" bestFit="1" customWidth="1"/>
    <col min="18" max="18" width="14.5703125" style="2" customWidth="1"/>
    <col min="19" max="19" width="9" style="2" customWidth="1"/>
    <col min="20" max="20" width="14.7109375" style="2" customWidth="1"/>
    <col min="21" max="21" width="10" style="2" customWidth="1"/>
    <col min="22" max="16384" width="8.85546875" style="2"/>
  </cols>
  <sheetData>
    <row r="1" spans="1:22" x14ac:dyDescent="0.2">
      <c r="A1" s="1" t="s">
        <v>62</v>
      </c>
      <c r="O1" s="115"/>
    </row>
    <row r="2" spans="1:22" x14ac:dyDescent="0.2">
      <c r="A2" s="1" t="s">
        <v>0</v>
      </c>
    </row>
    <row r="3" spans="1:22" x14ac:dyDescent="0.2">
      <c r="A3" s="1"/>
    </row>
    <row r="4" spans="1:22" x14ac:dyDescent="0.2">
      <c r="A4" s="1"/>
      <c r="K4" s="23" t="s">
        <v>36</v>
      </c>
      <c r="L4" s="129">
        <f>L6+L5</f>
        <v>1075805.5121970042</v>
      </c>
    </row>
    <row r="5" spans="1:22" x14ac:dyDescent="0.2">
      <c r="A5" s="1"/>
      <c r="K5" s="23" t="s">
        <v>88</v>
      </c>
      <c r="L5" s="142">
        <v>78579.538326000329</v>
      </c>
    </row>
    <row r="6" spans="1:22" x14ac:dyDescent="0.2">
      <c r="A6" s="1"/>
      <c r="K6" s="23" t="s">
        <v>89</v>
      </c>
      <c r="L6" s="142">
        <v>997225.97387100384</v>
      </c>
      <c r="M6" s="4"/>
    </row>
    <row r="7" spans="1:22" x14ac:dyDescent="0.2">
      <c r="M7" s="4"/>
      <c r="N7" s="4"/>
    </row>
    <row r="8" spans="1:22" s="9" customFormat="1" ht="31.9" customHeight="1" x14ac:dyDescent="0.2">
      <c r="A8" s="7" t="s">
        <v>1</v>
      </c>
      <c r="B8" s="7" t="s">
        <v>2</v>
      </c>
      <c r="C8" s="8" t="s">
        <v>11</v>
      </c>
      <c r="D8" s="10" t="s">
        <v>93</v>
      </c>
      <c r="E8" s="10" t="s">
        <v>3</v>
      </c>
      <c r="F8" s="10" t="s">
        <v>20</v>
      </c>
      <c r="G8" s="10" t="s">
        <v>31</v>
      </c>
      <c r="H8" s="10" t="s">
        <v>32</v>
      </c>
      <c r="I8" s="10" t="s">
        <v>33</v>
      </c>
      <c r="J8" s="10" t="s">
        <v>4</v>
      </c>
      <c r="K8" s="10" t="s">
        <v>22</v>
      </c>
      <c r="L8" s="10" t="s">
        <v>44</v>
      </c>
      <c r="M8" s="8" t="s">
        <v>42</v>
      </c>
      <c r="N8" s="8" t="s">
        <v>43</v>
      </c>
      <c r="O8" s="10" t="s">
        <v>35</v>
      </c>
      <c r="Q8" s="2"/>
      <c r="R8" s="2"/>
      <c r="S8" s="2"/>
      <c r="T8" s="2"/>
      <c r="U8" s="2"/>
      <c r="V8" s="2"/>
    </row>
    <row r="9" spans="1:22" x14ac:dyDescent="0.2">
      <c r="A9" s="3">
        <v>1</v>
      </c>
      <c r="B9" s="30" t="s">
        <v>5</v>
      </c>
      <c r="C9" s="60"/>
      <c r="D9" s="30"/>
      <c r="E9" s="31"/>
      <c r="F9" s="32"/>
      <c r="G9" s="32"/>
      <c r="H9" s="9"/>
      <c r="I9" s="9"/>
      <c r="J9" s="31"/>
      <c r="K9" s="32"/>
      <c r="L9" s="31"/>
      <c r="M9" s="33"/>
      <c r="N9" s="33"/>
    </row>
    <row r="10" spans="1:22" x14ac:dyDescent="0.2">
      <c r="A10" s="3">
        <f>A9+1</f>
        <v>2</v>
      </c>
      <c r="B10" s="2" t="str">
        <f>'Billing Detail'!B7</f>
        <v>Schedule A - Residential, Farm, Hall &amp; Church Service</v>
      </c>
      <c r="C10" s="12" t="str">
        <f>'Billing Detail'!C7</f>
        <v>A</v>
      </c>
      <c r="D10" s="34">
        <f>'Billing Detail'!G10</f>
        <v>20175778.642333999</v>
      </c>
      <c r="E10" s="34">
        <f>'Billing Detail'!I10</f>
        <v>24866380.022148002</v>
      </c>
      <c r="F10" s="33">
        <f t="shared" ref="F10:F15" si="0">E10/E$15</f>
        <v>0.78785038819739983</v>
      </c>
      <c r="G10" s="34">
        <f>E10</f>
        <v>24866380.022148002</v>
      </c>
      <c r="H10" s="33">
        <f>G10/G$15</f>
        <v>0.78785038819739983</v>
      </c>
      <c r="I10" s="34">
        <f t="shared" ref="I10:I14" si="1">ROUND(L$6*H10,2)</f>
        <v>785664.87</v>
      </c>
      <c r="J10" s="34">
        <f>'Billing Detail'!M10</f>
        <v>25652277.372917999</v>
      </c>
      <c r="K10" s="33">
        <f t="shared" ref="K10:K15" si="2">J10/J$15</f>
        <v>0.78785727117570858</v>
      </c>
      <c r="L10" s="34">
        <f>'Billing Detail'!N10</f>
        <v>785897.35076999571</v>
      </c>
      <c r="M10" s="33">
        <f>IF(E10=0,0,L10/E10)</f>
        <v>3.1604815420258683E-2</v>
      </c>
      <c r="N10" s="33">
        <f>'Billing Detail'!O16</f>
        <v>2.8850629661189127E-2</v>
      </c>
      <c r="O10" s="36">
        <f>J10-I10-E10</f>
        <v>232.48076999559999</v>
      </c>
    </row>
    <row r="11" spans="1:22" x14ac:dyDescent="0.2">
      <c r="A11" s="3">
        <f t="shared" ref="A11:A31" si="3">A10+1</f>
        <v>3</v>
      </c>
      <c r="B11" s="2" t="str">
        <f>'Billing Detail'!B19</f>
        <v>Schedule B - Commercial and Small Power Service</v>
      </c>
      <c r="C11" s="12" t="str">
        <f>'Billing Detail'!C19</f>
        <v>B</v>
      </c>
      <c r="D11" s="34">
        <f>'Billing Detail'!G22</f>
        <v>1078139.5035280001</v>
      </c>
      <c r="E11" s="34">
        <f>'Billing Detail'!I22</f>
        <v>1216669.774896</v>
      </c>
      <c r="F11" s="33">
        <f t="shared" si="0"/>
        <v>3.8548182469908827E-2</v>
      </c>
      <c r="G11" s="34">
        <f t="shared" ref="G11:G14" si="4">E11</f>
        <v>1216669.774896</v>
      </c>
      <c r="H11" s="33">
        <f>G11/G$15</f>
        <v>3.8548182469908827E-2</v>
      </c>
      <c r="I11" s="34">
        <f t="shared" si="1"/>
        <v>38441.25</v>
      </c>
      <c r="J11" s="34">
        <f>'Billing Detail'!M22</f>
        <v>1255098.0755119999</v>
      </c>
      <c r="K11" s="33">
        <f t="shared" si="2"/>
        <v>3.8547772209679851E-2</v>
      </c>
      <c r="L11" s="34">
        <f>'Billing Detail'!N22</f>
        <v>38428.300616000022</v>
      </c>
      <c r="M11" s="33">
        <f t="shared" ref="M11:M14" si="5">IF(E11=0,0,L11/E11)</f>
        <v>3.1584823925855182E-2</v>
      </c>
      <c r="N11" s="33">
        <f>'Billing Detail'!O28</f>
        <v>2.8637835022394257E-2</v>
      </c>
      <c r="O11" s="36">
        <f t="shared" ref="O11:O15" si="6">J11-I11-E11</f>
        <v>-12.949384000152349</v>
      </c>
    </row>
    <row r="12" spans="1:22" x14ac:dyDescent="0.2">
      <c r="A12" s="3">
        <f t="shared" si="3"/>
        <v>4</v>
      </c>
      <c r="B12" s="2" t="str">
        <f>'Billing Detail'!B31</f>
        <v>Large Power Service</v>
      </c>
      <c r="C12" s="12" t="str">
        <f>'Billing Detail'!C31</f>
        <v xml:space="preserve">LP </v>
      </c>
      <c r="D12" s="34">
        <f>'Billing Detail'!G35</f>
        <v>3202369.2593080001</v>
      </c>
      <c r="E12" s="34">
        <f>'Billing Detail'!I35</f>
        <v>3580586.1736380002</v>
      </c>
      <c r="F12" s="33">
        <f t="shared" si="0"/>
        <v>0.11344498895144212</v>
      </c>
      <c r="G12" s="34">
        <f t="shared" si="4"/>
        <v>3580586.1736380002</v>
      </c>
      <c r="H12" s="33">
        <f>G12/G$15</f>
        <v>0.11344498895144212</v>
      </c>
      <c r="I12" s="34">
        <f t="shared" si="1"/>
        <v>113130.29</v>
      </c>
      <c r="J12" s="34">
        <f>'Billing Detail'!M35</f>
        <v>3693725.8563749995</v>
      </c>
      <c r="K12" s="33">
        <f t="shared" si="2"/>
        <v>0.11344524041156238</v>
      </c>
      <c r="L12" s="34">
        <f>'Billing Detail'!N35</f>
        <v>113139.68273699976</v>
      </c>
      <c r="M12" s="33">
        <f t="shared" si="5"/>
        <v>3.1598089600520886E-2</v>
      </c>
      <c r="N12" s="33">
        <f>'Billing Detail'!O41</f>
        <v>2.8655807431833619E-2</v>
      </c>
      <c r="O12" s="36">
        <f t="shared" si="6"/>
        <v>9.3927369993180037</v>
      </c>
    </row>
    <row r="13" spans="1:22" x14ac:dyDescent="0.2">
      <c r="A13" s="3">
        <f t="shared" si="3"/>
        <v>5</v>
      </c>
      <c r="B13" s="2" t="str">
        <f>'Billing Detail'!B44</f>
        <v xml:space="preserve">Large Power Rate </v>
      </c>
      <c r="C13" s="12" t="str">
        <f>'Billing Detail'!C44</f>
        <v>LPR</v>
      </c>
      <c r="D13" s="34">
        <f>'Billing Detail'!G48</f>
        <v>750614.311736</v>
      </c>
      <c r="E13" s="34">
        <f>'Billing Detail'!I48</f>
        <v>875914.97801599989</v>
      </c>
      <c r="F13" s="33">
        <f t="shared" si="0"/>
        <v>2.7751926691507681E-2</v>
      </c>
      <c r="G13" s="34">
        <f t="shared" si="4"/>
        <v>875914.97801599989</v>
      </c>
      <c r="H13" s="33">
        <f>G13/G$15</f>
        <v>2.7751926691507681E-2</v>
      </c>
      <c r="I13" s="34">
        <f t="shared" si="1"/>
        <v>27674.94</v>
      </c>
      <c r="J13" s="34">
        <f>'Billing Detail'!M48</f>
        <v>903682.50200800004</v>
      </c>
      <c r="K13" s="33">
        <f t="shared" si="2"/>
        <v>2.7754761095516382E-2</v>
      </c>
      <c r="L13" s="34">
        <f>'Billing Detail'!N48</f>
        <v>27767.523992000093</v>
      </c>
      <c r="M13" s="33">
        <f t="shared" si="5"/>
        <v>3.1701163570573031E-2</v>
      </c>
      <c r="N13" s="33">
        <f>'Billing Detail'!O54</f>
        <v>2.9858302934092161E-2</v>
      </c>
      <c r="O13" s="36">
        <f t="shared" si="6"/>
        <v>92.58399200020358</v>
      </c>
    </row>
    <row r="14" spans="1:22" x14ac:dyDescent="0.2">
      <c r="A14" s="3">
        <f t="shared" si="3"/>
        <v>6</v>
      </c>
      <c r="B14" s="2" t="str">
        <f>'Billing Detail'!B71</f>
        <v>Lighting</v>
      </c>
      <c r="C14" s="12" t="str">
        <f>'Billing Detail'!C71</f>
        <v>SL</v>
      </c>
      <c r="D14" s="34">
        <f>'Billing Detail'!G81</f>
        <v>1021745.1379999999</v>
      </c>
      <c r="E14" s="34">
        <f>'Billing Detail'!I81</f>
        <v>1022761.382</v>
      </c>
      <c r="F14" s="33">
        <f t="shared" si="0"/>
        <v>3.2404513689741489E-2</v>
      </c>
      <c r="G14" s="34">
        <f t="shared" si="4"/>
        <v>1022761.382</v>
      </c>
      <c r="H14" s="33">
        <f>G14/G$15</f>
        <v>3.2404513689741489E-2</v>
      </c>
      <c r="I14" s="34">
        <f t="shared" si="1"/>
        <v>32314.62</v>
      </c>
      <c r="J14" s="34">
        <f>'Billing Detail'!M81</f>
        <v>1054765.1259999999</v>
      </c>
      <c r="K14" s="33">
        <f t="shared" si="2"/>
        <v>3.2394955107532972E-2</v>
      </c>
      <c r="L14" s="34">
        <f t="shared" ref="L14:L15" si="7">J14-E14</f>
        <v>32003.743999999948</v>
      </c>
      <c r="M14" s="33">
        <f t="shared" si="5"/>
        <v>3.12915060768299E-2</v>
      </c>
      <c r="N14" s="33">
        <f>'Billing Detail'!O87</f>
        <v>3.1203221766569079E-2</v>
      </c>
      <c r="O14" s="36">
        <f t="shared" si="6"/>
        <v>-310.8760000000475</v>
      </c>
    </row>
    <row r="15" spans="1:22" ht="16.149999999999999" customHeight="1" x14ac:dyDescent="0.2">
      <c r="A15" s="3">
        <f t="shared" si="3"/>
        <v>7</v>
      </c>
      <c r="B15" s="37" t="s">
        <v>41</v>
      </c>
      <c r="C15" s="61"/>
      <c r="D15" s="38">
        <f>SUM(D10:D14)</f>
        <v>26228646.854905996</v>
      </c>
      <c r="E15" s="38">
        <f>SUM(E10:E14)</f>
        <v>31562312.330698002</v>
      </c>
      <c r="F15" s="39">
        <f t="shared" si="0"/>
        <v>1</v>
      </c>
      <c r="G15" s="38">
        <f>SUM(G10:G14)</f>
        <v>31562312.330698002</v>
      </c>
      <c r="H15" s="39">
        <v>1</v>
      </c>
      <c r="I15" s="38">
        <f>SUM(I10:I14)</f>
        <v>997225.97</v>
      </c>
      <c r="J15" s="38">
        <f>SUM(J10:J14)</f>
        <v>32559548.932812992</v>
      </c>
      <c r="K15" s="39">
        <f t="shared" si="2"/>
        <v>1</v>
      </c>
      <c r="L15" s="38">
        <f t="shared" si="7"/>
        <v>997236.60211499035</v>
      </c>
      <c r="M15" s="39">
        <f t="shared" ref="M15" si="8">L15/E15</f>
        <v>3.1595802983834687E-2</v>
      </c>
      <c r="N15" s="39"/>
      <c r="O15" s="40">
        <f t="shared" si="6"/>
        <v>10.632114991545677</v>
      </c>
    </row>
    <row r="16" spans="1:22" ht="16.149999999999999" customHeight="1" x14ac:dyDescent="0.2">
      <c r="A16" s="3">
        <f t="shared" si="3"/>
        <v>8</v>
      </c>
      <c r="D16" s="41"/>
      <c r="E16" s="41"/>
      <c r="F16" s="42"/>
      <c r="G16" s="41"/>
      <c r="H16" s="42"/>
      <c r="I16" s="41"/>
      <c r="J16" s="41"/>
      <c r="K16" s="42"/>
      <c r="L16" s="41"/>
      <c r="M16" s="42"/>
      <c r="N16" s="42"/>
      <c r="O16" s="36"/>
    </row>
    <row r="17" spans="1:19" x14ac:dyDescent="0.2">
      <c r="A17" s="3">
        <f t="shared" si="3"/>
        <v>9</v>
      </c>
      <c r="B17" s="2" t="str">
        <f>'Billing Detail'!B57</f>
        <v xml:space="preserve">Large Power Rate </v>
      </c>
      <c r="C17" s="12" t="str">
        <f>'Billing Detail'!C57</f>
        <v>LPG</v>
      </c>
      <c r="D17" s="34">
        <f>'Billing Detail'!G62</f>
        <v>1379621.12</v>
      </c>
      <c r="E17" s="34">
        <f>'Billing Detail'!I62</f>
        <v>1755341.96</v>
      </c>
      <c r="F17" s="33">
        <v>1</v>
      </c>
      <c r="G17" s="34">
        <f>L5</f>
        <v>78579.538326000329</v>
      </c>
      <c r="H17" s="33">
        <v>1</v>
      </c>
      <c r="I17" s="34">
        <f>ROUND(L$5*H17,2)</f>
        <v>78579.539999999994</v>
      </c>
      <c r="J17" s="34">
        <f>'Billing Detail'!M62</f>
        <v>1833921.5</v>
      </c>
      <c r="K17" s="33">
        <f>J17/J$15</f>
        <v>5.6325150688798495E-2</v>
      </c>
      <c r="L17" s="34">
        <f>'Billing Detail'!N62</f>
        <v>78579.540000000212</v>
      </c>
      <c r="M17" s="33">
        <f>IF(E17=0,0,L17/E17)</f>
        <v>4.476594406710372E-2</v>
      </c>
      <c r="N17" s="33">
        <f>'Billing Detail'!O68</f>
        <v>4.741509926202174E-2</v>
      </c>
      <c r="O17" s="36">
        <f>J17-I17-E17</f>
        <v>0</v>
      </c>
    </row>
    <row r="18" spans="1:19" ht="16.149999999999999" customHeight="1" x14ac:dyDescent="0.2">
      <c r="A18" s="3">
        <f t="shared" si="3"/>
        <v>10</v>
      </c>
      <c r="D18" s="41"/>
      <c r="E18" s="41"/>
      <c r="F18" s="42"/>
      <c r="G18" s="41"/>
      <c r="H18" s="42"/>
      <c r="I18" s="41"/>
      <c r="J18" s="41"/>
      <c r="K18" s="42"/>
      <c r="L18" s="41"/>
      <c r="M18" s="42"/>
      <c r="N18" s="42"/>
      <c r="O18" s="36"/>
    </row>
    <row r="19" spans="1:19" ht="16.149999999999999" customHeight="1" x14ac:dyDescent="0.2">
      <c r="A19" s="3">
        <f t="shared" si="3"/>
        <v>11</v>
      </c>
      <c r="B19" s="11" t="s">
        <v>40</v>
      </c>
      <c r="C19" s="62"/>
      <c r="D19" s="43">
        <f>D17+D15</f>
        <v>27608267.974905998</v>
      </c>
      <c r="E19" s="43">
        <f>E17+E15</f>
        <v>33317654.290698003</v>
      </c>
      <c r="F19" s="84"/>
      <c r="G19" s="43">
        <f>G17+G15</f>
        <v>31640891.869024001</v>
      </c>
      <c r="H19" s="84"/>
      <c r="I19" s="43">
        <f>I17+I15</f>
        <v>1075805.51</v>
      </c>
      <c r="J19" s="43">
        <f>J17+J15</f>
        <v>34393470.432812989</v>
      </c>
      <c r="K19" s="84"/>
      <c r="L19" s="43">
        <f>L17+L15</f>
        <v>1075816.1421149906</v>
      </c>
      <c r="M19" s="84">
        <f t="shared" ref="M19" si="9">IF(E19=0,0,L19/E19)</f>
        <v>3.2289672397955972E-2</v>
      </c>
      <c r="N19" s="43"/>
      <c r="O19" s="43">
        <f>O17+O15</f>
        <v>10.632114991545677</v>
      </c>
    </row>
    <row r="20" spans="1:19" ht="12.6" customHeight="1" x14ac:dyDescent="0.2">
      <c r="A20" s="3">
        <f t="shared" si="3"/>
        <v>12</v>
      </c>
      <c r="S20" s="34"/>
    </row>
    <row r="21" spans="1:19" x14ac:dyDescent="0.2">
      <c r="A21" s="3">
        <f t="shared" si="3"/>
        <v>13</v>
      </c>
      <c r="B21" s="30" t="s">
        <v>7</v>
      </c>
      <c r="C21" s="60"/>
      <c r="D21" s="30"/>
    </row>
    <row r="22" spans="1:19" x14ac:dyDescent="0.2">
      <c r="A22" s="3">
        <f t="shared" si="3"/>
        <v>14</v>
      </c>
      <c r="B22" s="2" t="str">
        <f>'Billing Detail'!D11</f>
        <v xml:space="preserve">    FAC</v>
      </c>
      <c r="D22" s="34">
        <f>'Billing Detail'!G92</f>
        <v>2996611.0799999996</v>
      </c>
      <c r="E22" s="34">
        <f>'Billing Detail'!I92</f>
        <v>-122851.72784999995</v>
      </c>
      <c r="F22" s="44"/>
      <c r="G22" s="45"/>
      <c r="H22" s="45"/>
      <c r="I22" s="45"/>
      <c r="J22" s="34">
        <f>'Billing Detail'!M92</f>
        <v>-122851.72784999995</v>
      </c>
      <c r="K22" s="46"/>
      <c r="L22" s="46"/>
      <c r="M22" s="45"/>
      <c r="N22" s="45"/>
    </row>
    <row r="23" spans="1:19" x14ac:dyDescent="0.2">
      <c r="A23" s="3">
        <f t="shared" si="3"/>
        <v>15</v>
      </c>
      <c r="B23" s="2" t="str">
        <f>'Billing Detail'!D12</f>
        <v xml:space="preserve">    ES</v>
      </c>
      <c r="D23" s="34">
        <f>'Billing Detail'!G93</f>
        <v>3233287.4599999995</v>
      </c>
      <c r="E23" s="34">
        <f>'Billing Detail'!I93</f>
        <v>3233287.4599999995</v>
      </c>
      <c r="F23" s="45"/>
      <c r="G23" s="45"/>
      <c r="H23" s="45"/>
      <c r="I23" s="45"/>
      <c r="J23" s="34">
        <f>'Billing Detail'!M93</f>
        <v>3233287.4599999995</v>
      </c>
      <c r="K23" s="46"/>
      <c r="L23" s="46"/>
      <c r="M23" s="45"/>
      <c r="N23" s="45"/>
    </row>
    <row r="24" spans="1:19" x14ac:dyDescent="0.2">
      <c r="A24" s="3">
        <f t="shared" si="3"/>
        <v>16</v>
      </c>
      <c r="B24" s="2" t="str">
        <f>'Billing Detail'!D13</f>
        <v xml:space="preserve">    Misc Adj</v>
      </c>
      <c r="D24" s="34">
        <f>'Billing Detail'!G94</f>
        <v>-284874.68</v>
      </c>
      <c r="E24" s="34">
        <f>'Billing Detail'!I94</f>
        <v>-284874.68</v>
      </c>
      <c r="F24" s="45"/>
      <c r="G24" s="45"/>
      <c r="H24" s="45"/>
      <c r="I24" s="45"/>
      <c r="J24" s="34">
        <f>'Billing Detail'!M94</f>
        <v>-284874.68</v>
      </c>
      <c r="K24" s="46"/>
      <c r="L24" s="46"/>
      <c r="M24" s="45"/>
      <c r="N24" s="45"/>
    </row>
    <row r="25" spans="1:19" x14ac:dyDescent="0.2">
      <c r="A25" s="3">
        <f t="shared" si="3"/>
        <v>17</v>
      </c>
      <c r="B25" s="2" t="str">
        <f>'Billing Detail'!D14</f>
        <v xml:space="preserve">    Other</v>
      </c>
      <c r="D25" s="34">
        <f>'Billing Detail'!G95</f>
        <v>0</v>
      </c>
      <c r="E25" s="34">
        <f>'Billing Detail'!I95</f>
        <v>0</v>
      </c>
      <c r="F25" s="45"/>
      <c r="G25" s="45"/>
      <c r="H25" s="45"/>
      <c r="I25" s="45"/>
      <c r="J25" s="34">
        <f>'Billing Detail'!M95</f>
        <v>0</v>
      </c>
      <c r="K25" s="46"/>
      <c r="L25" s="46"/>
      <c r="M25" s="45"/>
      <c r="N25" s="54"/>
    </row>
    <row r="26" spans="1:19" x14ac:dyDescent="0.2">
      <c r="A26" s="3">
        <f t="shared" si="3"/>
        <v>18</v>
      </c>
      <c r="B26" s="37" t="s">
        <v>8</v>
      </c>
      <c r="C26" s="61"/>
      <c r="D26" s="38">
        <f>SUM(D22:D25)</f>
        <v>5945023.8599999994</v>
      </c>
      <c r="E26" s="38">
        <f>SUM(E22:E25)</f>
        <v>2825561.0521499994</v>
      </c>
      <c r="F26" s="47"/>
      <c r="G26" s="47"/>
      <c r="H26" s="47"/>
      <c r="I26" s="47"/>
      <c r="J26" s="38">
        <f>SUM(J22:J25)</f>
        <v>2825561.0521499994</v>
      </c>
      <c r="K26" s="48"/>
      <c r="L26" s="48"/>
      <c r="M26" s="47"/>
      <c r="N26" s="45"/>
    </row>
    <row r="27" spans="1:19" x14ac:dyDescent="0.2">
      <c r="A27" s="3">
        <f t="shared" si="3"/>
        <v>19</v>
      </c>
    </row>
    <row r="28" spans="1:19" ht="18" customHeight="1" thickBot="1" x14ac:dyDescent="0.25">
      <c r="A28" s="3">
        <f t="shared" si="3"/>
        <v>20</v>
      </c>
      <c r="B28" s="49" t="s">
        <v>9</v>
      </c>
      <c r="C28" s="63"/>
      <c r="D28" s="50">
        <f>D19+D26</f>
        <v>33553291.834905997</v>
      </c>
      <c r="E28" s="50">
        <f>E19+E26</f>
        <v>36143215.342848003</v>
      </c>
      <c r="F28" s="51"/>
      <c r="G28" s="51"/>
      <c r="H28" s="51"/>
      <c r="I28" s="51"/>
      <c r="J28" s="50">
        <f>J19+J26</f>
        <v>37219031.484962985</v>
      </c>
      <c r="K28" s="52"/>
      <c r="L28" s="51">
        <f t="shared" ref="L28" si="10">J28-E28</f>
        <v>1075816.142114982</v>
      </c>
      <c r="M28" s="49"/>
      <c r="N28" s="53">
        <f>L28/E28</f>
        <v>2.976536901628659E-2</v>
      </c>
    </row>
    <row r="29" spans="1:19" ht="18" customHeight="1" thickTop="1" x14ac:dyDescent="0.2">
      <c r="A29" s="3">
        <f t="shared" si="3"/>
        <v>21</v>
      </c>
      <c r="B29" s="2" t="s">
        <v>10</v>
      </c>
      <c r="D29" s="35">
        <v>33071853</v>
      </c>
      <c r="L29" s="41">
        <f>L4</f>
        <v>1075805.5121970042</v>
      </c>
    </row>
    <row r="30" spans="1:19" ht="15" customHeight="1" x14ac:dyDescent="0.2">
      <c r="A30" s="3">
        <f t="shared" si="3"/>
        <v>22</v>
      </c>
      <c r="B30" s="37" t="s">
        <v>37</v>
      </c>
      <c r="C30" s="61"/>
      <c r="D30" s="38">
        <f>D28-D29</f>
        <v>481438.83490599692</v>
      </c>
      <c r="E30" s="37"/>
      <c r="F30" s="37"/>
      <c r="G30" s="37"/>
      <c r="H30" s="37"/>
      <c r="I30" s="37"/>
      <c r="J30" s="37"/>
      <c r="K30" s="37"/>
      <c r="L30" s="38">
        <f>L28-L29</f>
        <v>10.629917977843434</v>
      </c>
    </row>
    <row r="31" spans="1:19" ht="15" customHeight="1" x14ac:dyDescent="0.2">
      <c r="A31" s="3">
        <f t="shared" si="3"/>
        <v>23</v>
      </c>
      <c r="B31" s="2" t="s">
        <v>37</v>
      </c>
      <c r="D31" s="33">
        <f>D30/D29</f>
        <v>1.4557358939216286E-2</v>
      </c>
      <c r="L31" s="33">
        <f>L30/L29</f>
        <v>9.8808919059496852E-6</v>
      </c>
    </row>
    <row r="32" spans="1:19" x14ac:dyDescent="0.2">
      <c r="A32" s="3"/>
    </row>
  </sheetData>
  <printOptions horizontalCentered="1"/>
  <pageMargins left="0.7" right="0.7" top="0.75" bottom="0.75" header="0.3" footer="0.3"/>
  <pageSetup scale="67" orientation="landscape" r:id="rId1"/>
  <headerFooter>
    <oddHeader>&amp;R&amp;"Arial,Bold"&amp;10Exhibit 4
Page &amp;P of &amp;N</oddHeader>
  </headerFooter>
  <ignoredErrors>
    <ignoredError sqref="J15 F15 J10:J13 G10:G13 G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Y141"/>
  <sheetViews>
    <sheetView view="pageBreakPreview" zoomScale="85" zoomScaleNormal="75" zoomScaleSheetLayoutView="85" workbookViewId="0">
      <pane xSplit="4" ySplit="5" topLeftCell="E79" activePane="bottomRight" state="frozen"/>
      <selection activeCell="A11" sqref="A11"/>
      <selection pane="topRight" activeCell="A11" sqref="A11"/>
      <selection pane="bottomLeft" activeCell="A11" sqref="A11"/>
      <selection pane="bottomRight" activeCell="S102" sqref="S102"/>
    </sheetView>
  </sheetViews>
  <sheetFormatPr defaultColWidth="8.85546875" defaultRowHeight="12.75" x14ac:dyDescent="0.2"/>
  <cols>
    <col min="1" max="1" width="7.42578125" style="5" customWidth="1"/>
    <col min="2" max="2" width="45.5703125" style="2" customWidth="1"/>
    <col min="3" max="3" width="6.7109375" style="12" customWidth="1"/>
    <col min="4" max="4" width="22.28515625" style="2" bestFit="1" customWidth="1"/>
    <col min="5" max="5" width="12.7109375" style="87" customWidth="1"/>
    <col min="6" max="6" width="11.140625" style="87" customWidth="1"/>
    <col min="7" max="7" width="21.42578125" style="87" customWidth="1"/>
    <col min="8" max="8" width="12.140625" style="87" bestFit="1" customWidth="1"/>
    <col min="9" max="9" width="14.85546875" style="87" bestFit="1" customWidth="1"/>
    <col min="10" max="10" width="13.140625" style="87" bestFit="1" customWidth="1"/>
    <col min="11" max="11" width="12.5703125" style="87" bestFit="1" customWidth="1"/>
    <col min="12" max="12" width="10" style="87" customWidth="1"/>
    <col min="13" max="13" width="12.5703125" style="87" bestFit="1" customWidth="1"/>
    <col min="14" max="14" width="11.5703125" style="87" bestFit="1" customWidth="1"/>
    <col min="15" max="15" width="7.42578125" style="87" bestFit="1" customWidth="1"/>
    <col min="16" max="16" width="10" style="87" bestFit="1" customWidth="1"/>
    <col min="17" max="17" width="9.5703125" style="87" bestFit="1" customWidth="1"/>
    <col min="18" max="18" width="9.7109375" style="87" bestFit="1" customWidth="1"/>
    <col min="19" max="19" width="12.85546875" style="2" bestFit="1" customWidth="1"/>
    <col min="20" max="20" width="14.140625" style="2" customWidth="1"/>
    <col min="21" max="21" width="8.85546875" style="2"/>
    <col min="22" max="22" width="9.28515625" style="2" bestFit="1" customWidth="1"/>
    <col min="23" max="23" width="15.28515625" style="2" customWidth="1"/>
    <col min="24" max="24" width="11.7109375" style="2" customWidth="1"/>
    <col min="25" max="16384" width="8.85546875" style="2"/>
  </cols>
  <sheetData>
    <row r="1" spans="1:23" x14ac:dyDescent="0.2">
      <c r="A1" s="26" t="str">
        <f>Summary!A1</f>
        <v>LICKING VALLEY RECC</v>
      </c>
      <c r="F1" s="88"/>
      <c r="R1" s="115"/>
    </row>
    <row r="2" spans="1:23" ht="14.45" customHeight="1" x14ac:dyDescent="0.2">
      <c r="A2" s="26" t="str">
        <f>Summary!A2</f>
        <v>Billing Analysis for Pass-Through Rate Increase</v>
      </c>
      <c r="F2" s="89"/>
      <c r="G2" s="89"/>
      <c r="H2" s="137"/>
      <c r="P2" s="90"/>
    </row>
    <row r="3" spans="1:23" x14ac:dyDescent="0.2">
      <c r="H3" s="138"/>
    </row>
    <row r="5" spans="1:23" ht="38.450000000000003" customHeight="1" x14ac:dyDescent="0.2">
      <c r="A5" s="14" t="s">
        <v>1</v>
      </c>
      <c r="B5" s="14" t="s">
        <v>12</v>
      </c>
      <c r="C5" s="8" t="s">
        <v>11</v>
      </c>
      <c r="D5" s="14" t="s">
        <v>13</v>
      </c>
      <c r="E5" s="91" t="s">
        <v>14</v>
      </c>
      <c r="F5" s="121" t="s">
        <v>81</v>
      </c>
      <c r="G5" s="91" t="s">
        <v>82</v>
      </c>
      <c r="H5" s="91" t="s">
        <v>23</v>
      </c>
      <c r="I5" s="91" t="s">
        <v>24</v>
      </c>
      <c r="J5" s="91" t="s">
        <v>49</v>
      </c>
      <c r="K5" s="91" t="s">
        <v>10</v>
      </c>
      <c r="L5" s="91" t="s">
        <v>21</v>
      </c>
      <c r="M5" s="91" t="s">
        <v>4</v>
      </c>
      <c r="N5" s="91" t="s">
        <v>15</v>
      </c>
      <c r="O5" s="92" t="s">
        <v>16</v>
      </c>
      <c r="P5" s="91" t="s">
        <v>22</v>
      </c>
      <c r="Q5" s="91" t="s">
        <v>25</v>
      </c>
      <c r="R5" s="91" t="s">
        <v>38</v>
      </c>
      <c r="T5" s="10" t="s">
        <v>34</v>
      </c>
    </row>
    <row r="6" spans="1:23" ht="30.6" customHeight="1" thickBot="1" x14ac:dyDescent="0.25">
      <c r="A6" s="27"/>
      <c r="B6" s="19"/>
      <c r="C6" s="20"/>
      <c r="D6" s="19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P6" s="93"/>
      <c r="Q6" s="93"/>
      <c r="R6" s="93"/>
    </row>
    <row r="7" spans="1:23" x14ac:dyDescent="0.2">
      <c r="A7" s="28">
        <v>1</v>
      </c>
      <c r="B7" s="21" t="s">
        <v>79</v>
      </c>
      <c r="C7" s="22" t="s">
        <v>60</v>
      </c>
      <c r="D7" s="21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3" x14ac:dyDescent="0.2">
      <c r="A8" s="28">
        <f>A7+1</f>
        <v>2</v>
      </c>
      <c r="C8" s="2"/>
      <c r="D8" s="2" t="s">
        <v>17</v>
      </c>
      <c r="E8" s="139">
        <v>198590</v>
      </c>
      <c r="F8" s="118">
        <v>16.5</v>
      </c>
      <c r="G8" s="96">
        <f>F8*E8</f>
        <v>3276735</v>
      </c>
      <c r="H8" s="88">
        <v>27.5</v>
      </c>
      <c r="I8" s="96">
        <f>H8*E8</f>
        <v>5461225</v>
      </c>
      <c r="J8" s="97">
        <f>I8/I10</f>
        <v>0.21962283996045234</v>
      </c>
      <c r="K8" s="97"/>
      <c r="L8" s="88">
        <f>ROUND(H8*S10,2)</f>
        <v>28.37</v>
      </c>
      <c r="M8" s="96">
        <f>L8*E8</f>
        <v>5633998.2999999998</v>
      </c>
      <c r="N8" s="96">
        <f t="shared" ref="N8:N13" si="0">M8-I8</f>
        <v>172773.29999999981</v>
      </c>
      <c r="O8" s="97">
        <f>IF(I8=0,0,N8/I8)</f>
        <v>3.1636363636363601E-2</v>
      </c>
      <c r="P8" s="97">
        <f>M8/M10</f>
        <v>0.21962955639751533</v>
      </c>
      <c r="Q8" s="98">
        <f>P8-J8</f>
        <v>6.7164370629868575E-6</v>
      </c>
      <c r="R8" s="98"/>
      <c r="T8" s="4">
        <f>L8/H8-1</f>
        <v>3.1636363636363685E-2</v>
      </c>
    </row>
    <row r="9" spans="1:23" x14ac:dyDescent="0.2">
      <c r="A9" s="28">
        <f t="shared" ref="A9:A72" si="1">A8+1</f>
        <v>3</v>
      </c>
      <c r="B9" s="29"/>
      <c r="D9" s="2" t="s">
        <v>47</v>
      </c>
      <c r="E9" s="139">
        <v>176947778</v>
      </c>
      <c r="F9" s="119">
        <v>9.5503000000000005E-2</v>
      </c>
      <c r="G9" s="96">
        <f t="shared" ref="G9" si="2">F9*E9</f>
        <v>16899043.642333999</v>
      </c>
      <c r="H9" s="89">
        <f>0.097656+0.01201</f>
        <v>0.10966600000000001</v>
      </c>
      <c r="I9" s="96">
        <f t="shared" ref="I9" si="3">H9*E9</f>
        <v>19405155.022148002</v>
      </c>
      <c r="J9" s="97">
        <f>I9/I10</f>
        <v>0.78037716003954771</v>
      </c>
      <c r="K9" s="97"/>
      <c r="L9" s="140">
        <f>ROUND(H9*S10,6)</f>
        <v>0.113131</v>
      </c>
      <c r="M9" s="96">
        <f t="shared" ref="M9" si="4">L9*E9</f>
        <v>20018279.072917998</v>
      </c>
      <c r="N9" s="96">
        <f t="shared" si="0"/>
        <v>613124.0507699959</v>
      </c>
      <c r="O9" s="97">
        <f t="shared" ref="O9" si="5">IF(I9=0,0,N9/I9)</f>
        <v>3.1595936753414697E-2</v>
      </c>
      <c r="P9" s="97">
        <f>M9/M10</f>
        <v>0.78037044360248464</v>
      </c>
      <c r="Q9" s="98">
        <f t="shared" ref="Q9:Q10" si="6">P9-J9</f>
        <v>-6.7164370630701242E-6</v>
      </c>
      <c r="R9" s="98"/>
      <c r="T9" s="4">
        <f>L9/H9-1</f>
        <v>3.1595936753414655E-2</v>
      </c>
    </row>
    <row r="10" spans="1:23" s="5" customFormat="1" ht="20.45" customHeight="1" x14ac:dyDescent="0.25">
      <c r="A10" s="28">
        <f t="shared" si="1"/>
        <v>4</v>
      </c>
      <c r="C10" s="13"/>
      <c r="D10" s="15" t="s">
        <v>6</v>
      </c>
      <c r="E10" s="99"/>
      <c r="F10" s="99"/>
      <c r="G10" s="16">
        <f>SUM(G8:G9)</f>
        <v>20175778.642333999</v>
      </c>
      <c r="H10" s="99"/>
      <c r="I10" s="16">
        <f>SUM(I8:I9)</f>
        <v>24866380.022148002</v>
      </c>
      <c r="J10" s="100">
        <f>SUM(J8:J9)</f>
        <v>1</v>
      </c>
      <c r="K10" s="101">
        <f>I10+Summary!I10</f>
        <v>25652044.892148003</v>
      </c>
      <c r="L10" s="99"/>
      <c r="M10" s="16">
        <f>SUM(M8:M9)</f>
        <v>25652277.372917999</v>
      </c>
      <c r="N10" s="16">
        <f>SUM(N8:N9)</f>
        <v>785897.35076999571</v>
      </c>
      <c r="O10" s="100">
        <f t="shared" ref="O10" si="7">N10/I10</f>
        <v>3.1604815420258683E-2</v>
      </c>
      <c r="P10" s="100">
        <f>SUM(P8:P9)</f>
        <v>1</v>
      </c>
      <c r="Q10" s="141">
        <f t="shared" si="6"/>
        <v>0</v>
      </c>
      <c r="R10" s="102">
        <f>M10-K10</f>
        <v>232.48076999559999</v>
      </c>
      <c r="S10" s="64">
        <f>K10/I10</f>
        <v>1.031595466219861</v>
      </c>
    </row>
    <row r="11" spans="1:23" x14ac:dyDescent="0.2">
      <c r="A11" s="28">
        <f t="shared" si="1"/>
        <v>5</v>
      </c>
      <c r="D11" s="2" t="s">
        <v>26</v>
      </c>
      <c r="G11" s="122">
        <v>2111715.63</v>
      </c>
      <c r="I11" s="24">
        <f>G11-($H$109*E9)</f>
        <v>-13427.183780000079</v>
      </c>
      <c r="K11" s="24"/>
      <c r="M11" s="96">
        <f>I11</f>
        <v>-13427.183780000079</v>
      </c>
      <c r="N11" s="96">
        <f t="shared" si="0"/>
        <v>0</v>
      </c>
      <c r="O11" s="88">
        <v>0</v>
      </c>
      <c r="R11" s="103"/>
    </row>
    <row r="12" spans="1:23" x14ac:dyDescent="0.2">
      <c r="A12" s="28">
        <f t="shared" si="1"/>
        <v>6</v>
      </c>
      <c r="D12" s="2" t="s">
        <v>27</v>
      </c>
      <c r="G12" s="122">
        <v>2387262.02</v>
      </c>
      <c r="I12" s="24">
        <f>G12</f>
        <v>2387262.02</v>
      </c>
      <c r="M12" s="96">
        <f t="shared" ref="M12:M14" si="8">I12</f>
        <v>2387262.02</v>
      </c>
      <c r="N12" s="96">
        <f t="shared" si="0"/>
        <v>0</v>
      </c>
      <c r="O12" s="88">
        <v>0</v>
      </c>
    </row>
    <row r="13" spans="1:23" x14ac:dyDescent="0.2">
      <c r="A13" s="28">
        <f t="shared" si="1"/>
        <v>7</v>
      </c>
      <c r="D13" s="2" t="s">
        <v>29</v>
      </c>
      <c r="G13" s="96"/>
      <c r="I13" s="24">
        <f>G13</f>
        <v>0</v>
      </c>
      <c r="M13" s="96">
        <f t="shared" si="8"/>
        <v>0</v>
      </c>
      <c r="N13" s="96">
        <f t="shared" si="0"/>
        <v>0</v>
      </c>
      <c r="O13" s="88">
        <v>0</v>
      </c>
    </row>
    <row r="14" spans="1:23" x14ac:dyDescent="0.2">
      <c r="A14" s="28">
        <f t="shared" si="1"/>
        <v>8</v>
      </c>
      <c r="D14" s="2" t="s">
        <v>39</v>
      </c>
      <c r="G14" s="96">
        <v>0</v>
      </c>
      <c r="I14" s="24">
        <f>G14</f>
        <v>0</v>
      </c>
      <c r="M14" s="96">
        <f t="shared" si="8"/>
        <v>0</v>
      </c>
      <c r="N14" s="96"/>
      <c r="O14" s="88">
        <v>0</v>
      </c>
    </row>
    <row r="15" spans="1:23" x14ac:dyDescent="0.2">
      <c r="A15" s="28">
        <f t="shared" si="1"/>
        <v>9</v>
      </c>
      <c r="D15" s="11" t="s">
        <v>8</v>
      </c>
      <c r="E15" s="104"/>
      <c r="F15" s="104"/>
      <c r="G15" s="105">
        <f>SUM(G11:G14)</f>
        <v>4498977.6500000004</v>
      </c>
      <c r="H15" s="104"/>
      <c r="I15" s="105">
        <f>SUM(I11:I14)</f>
        <v>2373834.8362199999</v>
      </c>
      <c r="J15" s="104"/>
      <c r="K15" s="104"/>
      <c r="L15" s="104"/>
      <c r="M15" s="105">
        <f>SUM(M11:M14)</f>
        <v>2373834.8362199999</v>
      </c>
      <c r="N15" s="105">
        <f>M15-I15</f>
        <v>0</v>
      </c>
      <c r="O15" s="106">
        <v>0</v>
      </c>
    </row>
    <row r="16" spans="1:23" s="5" customFormat="1" ht="26.45" customHeight="1" thickBot="1" x14ac:dyDescent="0.25">
      <c r="A16" s="28">
        <f t="shared" si="1"/>
        <v>10</v>
      </c>
      <c r="C16" s="13"/>
      <c r="D16" s="6" t="s">
        <v>19</v>
      </c>
      <c r="E16" s="107"/>
      <c r="F16" s="107"/>
      <c r="G16" s="108">
        <f>G10+G15</f>
        <v>24674756.292333998</v>
      </c>
      <c r="H16" s="107"/>
      <c r="I16" s="109">
        <f>I15+I10</f>
        <v>27240214.858368002</v>
      </c>
      <c r="J16" s="107"/>
      <c r="K16" s="107"/>
      <c r="L16" s="107"/>
      <c r="M16" s="108">
        <f>M15+M10</f>
        <v>28026112.209137999</v>
      </c>
      <c r="N16" s="108">
        <f>M16-I16</f>
        <v>785897.35076999664</v>
      </c>
      <c r="O16" s="110">
        <f>N16/I16</f>
        <v>2.8850629661189127E-2</v>
      </c>
      <c r="P16" s="87"/>
      <c r="Q16" s="87"/>
      <c r="R16" s="87"/>
      <c r="W16" s="2"/>
    </row>
    <row r="17" spans="1:23" ht="13.5" thickTop="1" x14ac:dyDescent="0.2">
      <c r="A17" s="28">
        <f t="shared" si="1"/>
        <v>11</v>
      </c>
      <c r="D17" s="2" t="s">
        <v>18</v>
      </c>
      <c r="E17" s="88">
        <f>E9/E8</f>
        <v>891.02058512513213</v>
      </c>
      <c r="G17" s="111">
        <f>G16/E8</f>
        <v>124.24974214378366</v>
      </c>
      <c r="I17" s="111">
        <f>I16/E8</f>
        <v>137.1681094635581</v>
      </c>
      <c r="M17" s="111">
        <f>M16/E8</f>
        <v>141.12549579101665</v>
      </c>
      <c r="N17" s="111">
        <f>M17-I17</f>
        <v>3.9573863274585506</v>
      </c>
      <c r="O17" s="97">
        <f>N17/I17</f>
        <v>2.8850629661189012E-2</v>
      </c>
    </row>
    <row r="18" spans="1:23" ht="13.5" thickBot="1" x14ac:dyDescent="0.25">
      <c r="A18" s="28">
        <f t="shared" si="1"/>
        <v>12</v>
      </c>
    </row>
    <row r="19" spans="1:23" x14ac:dyDescent="0.2">
      <c r="A19" s="28">
        <f t="shared" si="1"/>
        <v>13</v>
      </c>
      <c r="B19" s="21" t="s">
        <v>63</v>
      </c>
      <c r="C19" s="22" t="s">
        <v>61</v>
      </c>
      <c r="D19" s="21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</row>
    <row r="20" spans="1:23" x14ac:dyDescent="0.2">
      <c r="A20" s="28">
        <f t="shared" si="1"/>
        <v>14</v>
      </c>
      <c r="C20" s="2"/>
      <c r="D20" s="2" t="s">
        <v>17</v>
      </c>
      <c r="E20" s="139">
        <v>10427</v>
      </c>
      <c r="F20" s="118">
        <v>29.66</v>
      </c>
      <c r="G20" s="96">
        <f>F20*E20</f>
        <v>309264.82</v>
      </c>
      <c r="H20" s="88">
        <v>32</v>
      </c>
      <c r="I20" s="96">
        <f>H20*E20</f>
        <v>333664</v>
      </c>
      <c r="J20" s="97">
        <f>I20/I22</f>
        <v>0.27424368294882751</v>
      </c>
      <c r="K20" s="97"/>
      <c r="L20" s="88">
        <f>ROUND(H20*S22,2)</f>
        <v>33.01</v>
      </c>
      <c r="M20" s="96">
        <f>L20*E20</f>
        <v>344195.26999999996</v>
      </c>
      <c r="N20" s="96">
        <f>M20-I20</f>
        <v>10531.26999999996</v>
      </c>
      <c r="O20" s="97">
        <f>IF(I20=0,0,N20/I20)</f>
        <v>3.1562499999999882E-2</v>
      </c>
      <c r="P20" s="97">
        <f>M20/M$22</f>
        <v>0.27423774820114377</v>
      </c>
      <c r="Q20" s="98">
        <f>P20-J20</f>
        <v>-5.9347476837334767E-6</v>
      </c>
      <c r="R20" s="98"/>
    </row>
    <row r="21" spans="1:23" x14ac:dyDescent="0.2">
      <c r="A21" s="28">
        <f t="shared" si="1"/>
        <v>15</v>
      </c>
      <c r="D21" s="2" t="s">
        <v>47</v>
      </c>
      <c r="E21" s="139">
        <v>9453416</v>
      </c>
      <c r="F21" s="123">
        <v>8.1333000000000003E-2</v>
      </c>
      <c r="G21" s="96">
        <f t="shared" ref="G21" si="9">F21*E21</f>
        <v>768874.68352800002</v>
      </c>
      <c r="H21" s="89">
        <f>0.081396+0.01201</f>
        <v>9.3405999999999989E-2</v>
      </c>
      <c r="I21" s="96">
        <f t="shared" ref="I21" si="10">H21*E21</f>
        <v>883005.77489599993</v>
      </c>
      <c r="J21" s="97">
        <f>I21/I22</f>
        <v>0.72575631705117238</v>
      </c>
      <c r="K21" s="97"/>
      <c r="L21" s="140">
        <f>ROUND(H21*S22,6)</f>
        <v>9.6356999999999998E-2</v>
      </c>
      <c r="M21" s="96">
        <f t="shared" ref="M21" si="11">L21*E21</f>
        <v>910902.80551199999</v>
      </c>
      <c r="N21" s="96">
        <f t="shared" ref="N21" si="12">M21-I21</f>
        <v>27897.030616000062</v>
      </c>
      <c r="O21" s="97">
        <f t="shared" ref="O21" si="13">IF(I21=0,0,N21/I21)</f>
        <v>3.1593259533648874E-2</v>
      </c>
      <c r="P21" s="97">
        <f>M21/M$22</f>
        <v>0.72576225179885623</v>
      </c>
      <c r="Q21" s="98">
        <f t="shared" ref="Q21" si="14">P21-J21</f>
        <v>5.934747683844499E-6</v>
      </c>
      <c r="R21" s="98"/>
      <c r="T21" s="4">
        <f>L21/H21-1</f>
        <v>3.1593259533648999E-2</v>
      </c>
    </row>
    <row r="22" spans="1:23" s="5" customFormat="1" ht="20.45" customHeight="1" x14ac:dyDescent="0.2">
      <c r="A22" s="28">
        <f t="shared" si="1"/>
        <v>16</v>
      </c>
      <c r="C22" s="13"/>
      <c r="D22" s="15" t="s">
        <v>6</v>
      </c>
      <c r="E22" s="99"/>
      <c r="F22" s="99"/>
      <c r="G22" s="16">
        <f>SUM(G20:G21)</f>
        <v>1078139.5035280001</v>
      </c>
      <c r="H22" s="99"/>
      <c r="I22" s="16">
        <f>SUM(I20:I21)</f>
        <v>1216669.774896</v>
      </c>
      <c r="J22" s="100">
        <f>SUM(J20:J21)</f>
        <v>0.99999999999999989</v>
      </c>
      <c r="K22" s="101">
        <f>I22+Summary!I11</f>
        <v>1255111.024896</v>
      </c>
      <c r="L22" s="99"/>
      <c r="M22" s="16">
        <f>SUM(M20:M21)</f>
        <v>1255098.0755119999</v>
      </c>
      <c r="N22" s="16">
        <f>SUM(N20:N21)</f>
        <v>38428.300616000022</v>
      </c>
      <c r="O22" s="100">
        <f t="shared" ref="O22" si="15">N22/I22</f>
        <v>3.1584823925855182E-2</v>
      </c>
      <c r="P22" s="100">
        <f>SUM(P20:P21)</f>
        <v>1</v>
      </c>
      <c r="Q22" s="141">
        <f t="shared" ref="Q22" si="16">P22-J22</f>
        <v>0</v>
      </c>
      <c r="R22" s="102">
        <f>M22-K22</f>
        <v>-12.949384000152349</v>
      </c>
      <c r="S22" s="64">
        <f>K22/I22</f>
        <v>1.0315954672279797</v>
      </c>
      <c r="W22" s="2"/>
    </row>
    <row r="23" spans="1:23" x14ac:dyDescent="0.2">
      <c r="A23" s="28">
        <f t="shared" si="1"/>
        <v>17</v>
      </c>
      <c r="D23" s="2" t="s">
        <v>26</v>
      </c>
      <c r="G23" s="122">
        <v>112027.29000000001</v>
      </c>
      <c r="I23" s="24">
        <f>G23-($H$109*E21)</f>
        <v>-1508.2361599999858</v>
      </c>
      <c r="K23" s="24"/>
      <c r="M23" s="96">
        <f>I23</f>
        <v>-1508.2361599999858</v>
      </c>
      <c r="N23" s="96">
        <f t="shared" ref="N23:N28" si="17">M23-I23</f>
        <v>0</v>
      </c>
      <c r="O23" s="88">
        <v>0</v>
      </c>
    </row>
    <row r="24" spans="1:23" x14ac:dyDescent="0.2">
      <c r="A24" s="28">
        <f t="shared" si="1"/>
        <v>18</v>
      </c>
      <c r="D24" s="2" t="s">
        <v>27</v>
      </c>
      <c r="G24" s="122">
        <v>126710.17</v>
      </c>
      <c r="I24" s="24">
        <f t="shared" ref="I24:I26" si="18">G24</f>
        <v>126710.17</v>
      </c>
      <c r="M24" s="96">
        <f t="shared" ref="M24:M26" si="19">I24</f>
        <v>126710.17</v>
      </c>
      <c r="N24" s="96">
        <f t="shared" si="17"/>
        <v>0</v>
      </c>
      <c r="O24" s="88">
        <v>0</v>
      </c>
    </row>
    <row r="25" spans="1:23" x14ac:dyDescent="0.2">
      <c r="A25" s="28">
        <f t="shared" si="1"/>
        <v>19</v>
      </c>
      <c r="D25" s="2" t="s">
        <v>29</v>
      </c>
      <c r="G25" s="96">
        <v>0</v>
      </c>
      <c r="I25" s="24">
        <f t="shared" si="18"/>
        <v>0</v>
      </c>
      <c r="M25" s="96">
        <f t="shared" si="19"/>
        <v>0</v>
      </c>
      <c r="N25" s="96">
        <f t="shared" si="17"/>
        <v>0</v>
      </c>
      <c r="O25" s="88">
        <v>0</v>
      </c>
    </row>
    <row r="26" spans="1:23" x14ac:dyDescent="0.2">
      <c r="A26" s="28">
        <f t="shared" si="1"/>
        <v>20</v>
      </c>
      <c r="D26" s="2" t="s">
        <v>39</v>
      </c>
      <c r="G26" s="96">
        <v>0</v>
      </c>
      <c r="I26" s="24">
        <f t="shared" si="18"/>
        <v>0</v>
      </c>
      <c r="M26" s="96">
        <f t="shared" si="19"/>
        <v>0</v>
      </c>
      <c r="N26" s="96"/>
      <c r="O26" s="88"/>
    </row>
    <row r="27" spans="1:23" x14ac:dyDescent="0.2">
      <c r="A27" s="28">
        <f t="shared" si="1"/>
        <v>21</v>
      </c>
      <c r="D27" s="11" t="s">
        <v>8</v>
      </c>
      <c r="E27" s="104"/>
      <c r="F27" s="104"/>
      <c r="G27" s="105">
        <f>SUM(G23:G26)</f>
        <v>238737.46000000002</v>
      </c>
      <c r="H27" s="104"/>
      <c r="I27" s="105">
        <f>SUM(I23:I26)</f>
        <v>125201.93384000001</v>
      </c>
      <c r="J27" s="104"/>
      <c r="K27" s="104"/>
      <c r="L27" s="104"/>
      <c r="M27" s="105">
        <f>SUM(M23:M26)</f>
        <v>125201.93384000001</v>
      </c>
      <c r="N27" s="105">
        <f t="shared" si="17"/>
        <v>0</v>
      </c>
      <c r="O27" s="106">
        <f t="shared" ref="O27" si="20">N27-J27</f>
        <v>0</v>
      </c>
    </row>
    <row r="28" spans="1:23" s="5" customFormat="1" ht="26.45" customHeight="1" thickBot="1" x14ac:dyDescent="0.25">
      <c r="A28" s="28">
        <f t="shared" si="1"/>
        <v>22</v>
      </c>
      <c r="C28" s="13"/>
      <c r="D28" s="6" t="s">
        <v>19</v>
      </c>
      <c r="E28" s="107"/>
      <c r="F28" s="107"/>
      <c r="G28" s="108">
        <f>G22+G27</f>
        <v>1316876.9635280001</v>
      </c>
      <c r="H28" s="107"/>
      <c r="I28" s="109">
        <f>I27+I22</f>
        <v>1341871.7087360001</v>
      </c>
      <c r="J28" s="107"/>
      <c r="K28" s="107"/>
      <c r="L28" s="107"/>
      <c r="M28" s="108">
        <f>M27+M22</f>
        <v>1380300.009352</v>
      </c>
      <c r="N28" s="108">
        <f t="shared" si="17"/>
        <v>38428.300615999848</v>
      </c>
      <c r="O28" s="110">
        <f>N28/I28</f>
        <v>2.8637835022394257E-2</v>
      </c>
      <c r="P28" s="87"/>
      <c r="Q28" s="87"/>
      <c r="R28" s="87"/>
    </row>
    <row r="29" spans="1:23" ht="13.5" thickTop="1" x14ac:dyDescent="0.2">
      <c r="A29" s="28">
        <f t="shared" si="1"/>
        <v>23</v>
      </c>
      <c r="D29" s="2" t="s">
        <v>18</v>
      </c>
      <c r="E29" s="88">
        <f>E21/E20</f>
        <v>906.62856046801573</v>
      </c>
      <c r="G29" s="111">
        <f>G28/E20</f>
        <v>126.29490395396567</v>
      </c>
      <c r="I29" s="111">
        <f>I28/E20</f>
        <v>128.69202155327517</v>
      </c>
      <c r="M29" s="111">
        <f>M28/E20</f>
        <v>132.37748243521625</v>
      </c>
      <c r="N29" s="111">
        <f>M29-I29</f>
        <v>3.6854608819410828</v>
      </c>
      <c r="O29" s="97">
        <f>N29/I29</f>
        <v>2.8637835022394122E-2</v>
      </c>
    </row>
    <row r="30" spans="1:23" ht="13.5" thickBot="1" x14ac:dyDescent="0.25">
      <c r="A30" s="28">
        <f t="shared" si="1"/>
        <v>24</v>
      </c>
    </row>
    <row r="31" spans="1:23" x14ac:dyDescent="0.2">
      <c r="A31" s="28">
        <f t="shared" si="1"/>
        <v>25</v>
      </c>
      <c r="B31" s="21" t="s">
        <v>67</v>
      </c>
      <c r="C31" s="22" t="s">
        <v>66</v>
      </c>
      <c r="D31" s="21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</row>
    <row r="32" spans="1:23" x14ac:dyDescent="0.2">
      <c r="A32" s="28">
        <f t="shared" si="1"/>
        <v>26</v>
      </c>
      <c r="C32" s="2"/>
      <c r="D32" s="2" t="s">
        <v>17</v>
      </c>
      <c r="E32" s="139">
        <v>2602</v>
      </c>
      <c r="F32" s="118">
        <v>73.8</v>
      </c>
      <c r="G32" s="96">
        <f>F32*E32</f>
        <v>192027.6</v>
      </c>
      <c r="H32" s="88">
        <v>73.8</v>
      </c>
      <c r="I32" s="96">
        <f>H32*E32</f>
        <v>192027.6</v>
      </c>
      <c r="J32" s="97">
        <f>I32/I35</f>
        <v>5.3630213235419298E-2</v>
      </c>
      <c r="K32" s="97"/>
      <c r="L32" s="88">
        <f>ROUND(H32*S35,2)</f>
        <v>76.13</v>
      </c>
      <c r="M32" s="96">
        <f>L32*E32</f>
        <v>198090.25999999998</v>
      </c>
      <c r="N32" s="96">
        <f>M32-I32</f>
        <v>6062.6599999999744</v>
      </c>
      <c r="O32" s="97">
        <f>IF(I32=0,0,N32/I32)</f>
        <v>3.1571815718157044E-2</v>
      </c>
      <c r="P32" s="97">
        <f>M32/M$35</f>
        <v>5.3628847321767557E-2</v>
      </c>
      <c r="Q32" s="98">
        <f>P32-J32</f>
        <v>-1.3659136517407688E-6</v>
      </c>
      <c r="R32" s="98"/>
      <c r="T32" s="4">
        <f>L32/H32-1</f>
        <v>3.1571815718157259E-2</v>
      </c>
    </row>
    <row r="33" spans="1:23" x14ac:dyDescent="0.2">
      <c r="A33" s="28">
        <f t="shared" si="1"/>
        <v>27</v>
      </c>
      <c r="B33" s="86"/>
      <c r="D33" s="2" t="s">
        <v>47</v>
      </c>
      <c r="E33" s="139">
        <v>31491833</v>
      </c>
      <c r="F33" s="119">
        <v>6.6776000000000002E-2</v>
      </c>
      <c r="G33" s="96">
        <f t="shared" ref="G33" si="21">F33*E33</f>
        <v>2102898.640408</v>
      </c>
      <c r="H33" s="89">
        <v>7.8785999999999995E-2</v>
      </c>
      <c r="I33" s="96">
        <f t="shared" ref="I33" si="22">H33*E33</f>
        <v>2481115.554738</v>
      </c>
      <c r="J33" s="97">
        <f>I33/I35</f>
        <v>0.69293557937668637</v>
      </c>
      <c r="K33" s="97"/>
      <c r="L33" s="140">
        <f>ROUND(H33*S35,6)</f>
        <v>8.1275E-2</v>
      </c>
      <c r="M33" s="96">
        <f t="shared" ref="M33" si="23">L33*E33</f>
        <v>2559498.7270749998</v>
      </c>
      <c r="N33" s="96">
        <f t="shared" ref="N33" si="24">M33-I33</f>
        <v>78383.172336999793</v>
      </c>
      <c r="O33" s="97">
        <f t="shared" ref="O33" si="25">IF(I33=0,0,N33/I33)</f>
        <v>3.1591907191632948E-2</v>
      </c>
      <c r="P33" s="97">
        <f t="shared" ref="P33:P34" si="26">M33/M$35</f>
        <v>0.69293142658585838</v>
      </c>
      <c r="Q33" s="98">
        <f t="shared" ref="Q33" si="27">P33-J33</f>
        <v>-4.1527908279936909E-6</v>
      </c>
      <c r="R33" s="98"/>
      <c r="T33" s="4">
        <f>L33/H33-1</f>
        <v>3.1591907191633073E-2</v>
      </c>
    </row>
    <row r="34" spans="1:23" x14ac:dyDescent="0.2">
      <c r="A34" s="28">
        <f t="shared" si="1"/>
        <v>28</v>
      </c>
      <c r="D34" s="2" t="s">
        <v>48</v>
      </c>
      <c r="E34" s="139">
        <v>119557.71000000002</v>
      </c>
      <c r="F34" s="118">
        <v>7.59</v>
      </c>
      <c r="G34" s="96">
        <f t="shared" ref="G34" si="28">F34*E34</f>
        <v>907443.01890000014</v>
      </c>
      <c r="H34" s="88">
        <v>7.59</v>
      </c>
      <c r="I34" s="96">
        <f t="shared" ref="I34" si="29">H34*E34</f>
        <v>907443.01890000014</v>
      </c>
      <c r="J34" s="97">
        <f>I34/I35</f>
        <v>0.25343420738789441</v>
      </c>
      <c r="K34" s="97"/>
      <c r="L34" s="88">
        <f>ROUND(H34*S35,2)</f>
        <v>7.83</v>
      </c>
      <c r="M34" s="96">
        <f t="shared" ref="M34" si="30">L34*E34</f>
        <v>936136.86930000014</v>
      </c>
      <c r="N34" s="96">
        <f t="shared" ref="N34:N42" si="31">M34-I34</f>
        <v>28693.850399999996</v>
      </c>
      <c r="O34" s="97">
        <f t="shared" ref="O34" si="32">IF(I34=0,0,N34/I34)</f>
        <v>3.1620553359683785E-2</v>
      </c>
      <c r="P34" s="97">
        <f t="shared" si="26"/>
        <v>0.2534397260923742</v>
      </c>
      <c r="Q34" s="98">
        <f t="shared" ref="Q34:Q35" si="33">P34-J34</f>
        <v>5.5187044797899709E-6</v>
      </c>
      <c r="R34" s="98"/>
      <c r="T34" s="4">
        <f>L34/H34-1</f>
        <v>3.1620553359683834E-2</v>
      </c>
    </row>
    <row r="35" spans="1:23" s="5" customFormat="1" ht="20.45" customHeight="1" x14ac:dyDescent="0.2">
      <c r="A35" s="28">
        <f t="shared" si="1"/>
        <v>29</v>
      </c>
      <c r="C35" s="13"/>
      <c r="D35" s="15" t="s">
        <v>6</v>
      </c>
      <c r="E35" s="99"/>
      <c r="F35" s="99"/>
      <c r="G35" s="16">
        <f>SUM(G32:G34)</f>
        <v>3202369.2593080001</v>
      </c>
      <c r="H35" s="99"/>
      <c r="I35" s="16">
        <f>SUM(I32:I34)</f>
        <v>3580586.1736380002</v>
      </c>
      <c r="J35" s="100">
        <f>SUM(J32:J34)</f>
        <v>1</v>
      </c>
      <c r="K35" s="101">
        <f>I35+Summary!I12</f>
        <v>3693716.4636380002</v>
      </c>
      <c r="L35" s="99"/>
      <c r="M35" s="16">
        <f>SUM(M32:M34)</f>
        <v>3693725.8563749995</v>
      </c>
      <c r="N35" s="16">
        <f>SUM(N32:N34)</f>
        <v>113139.68273699976</v>
      </c>
      <c r="O35" s="100">
        <f t="shared" ref="O35" si="34">N35/I35</f>
        <v>3.1598089600520886E-2</v>
      </c>
      <c r="P35" s="100">
        <f>SUM(P32:P34)</f>
        <v>1</v>
      </c>
      <c r="Q35" s="141">
        <f t="shared" si="33"/>
        <v>0</v>
      </c>
      <c r="R35" s="102">
        <f>M35-K35</f>
        <v>9.3927369993180037</v>
      </c>
      <c r="S35" s="64">
        <f>K35/I35</f>
        <v>1.0315954663604858</v>
      </c>
      <c r="W35" s="2"/>
    </row>
    <row r="36" spans="1:23" x14ac:dyDescent="0.2">
      <c r="A36" s="28">
        <f t="shared" si="1"/>
        <v>30</v>
      </c>
      <c r="D36" s="2" t="s">
        <v>26</v>
      </c>
      <c r="G36" s="122">
        <v>372111.80000000005</v>
      </c>
      <c r="I36" s="24">
        <f>G36-($H$109*E33)</f>
        <v>-6105.114329999953</v>
      </c>
      <c r="K36" s="24"/>
      <c r="M36" s="96">
        <f>I36</f>
        <v>-6105.114329999953</v>
      </c>
      <c r="N36" s="96">
        <f t="shared" si="31"/>
        <v>0</v>
      </c>
      <c r="O36" s="88">
        <v>0</v>
      </c>
    </row>
    <row r="37" spans="1:23" x14ac:dyDescent="0.2">
      <c r="A37" s="28">
        <f t="shared" si="1"/>
        <v>31</v>
      </c>
      <c r="D37" s="2" t="s">
        <v>27</v>
      </c>
      <c r="G37" s="122">
        <v>374346.11</v>
      </c>
      <c r="I37" s="24">
        <f t="shared" ref="I37:I39" si="35">G37</f>
        <v>374346.11</v>
      </c>
      <c r="M37" s="96">
        <f t="shared" ref="M37:M39" si="36">I37</f>
        <v>374346.11</v>
      </c>
      <c r="N37" s="96">
        <f t="shared" si="31"/>
        <v>0</v>
      </c>
      <c r="O37" s="88">
        <v>0</v>
      </c>
    </row>
    <row r="38" spans="1:23" x14ac:dyDescent="0.2">
      <c r="A38" s="28">
        <f t="shared" si="1"/>
        <v>32</v>
      </c>
      <c r="D38" s="2" t="s">
        <v>29</v>
      </c>
      <c r="G38" s="122">
        <v>-598.41999999999985</v>
      </c>
      <c r="I38" s="24">
        <f t="shared" si="35"/>
        <v>-598.41999999999985</v>
      </c>
      <c r="M38" s="96">
        <f t="shared" si="36"/>
        <v>-598.41999999999985</v>
      </c>
      <c r="N38" s="96">
        <f t="shared" si="31"/>
        <v>0</v>
      </c>
      <c r="O38" s="88">
        <v>0</v>
      </c>
    </row>
    <row r="39" spans="1:23" x14ac:dyDescent="0.2">
      <c r="A39" s="28">
        <f t="shared" si="1"/>
        <v>33</v>
      </c>
      <c r="D39" s="2" t="s">
        <v>39</v>
      </c>
      <c r="G39" s="96">
        <v>0</v>
      </c>
      <c r="I39" s="24">
        <f t="shared" si="35"/>
        <v>0</v>
      </c>
      <c r="M39" s="96">
        <f t="shared" si="36"/>
        <v>0</v>
      </c>
      <c r="N39" s="96"/>
      <c r="O39" s="88"/>
    </row>
    <row r="40" spans="1:23" x14ac:dyDescent="0.2">
      <c r="A40" s="28">
        <f t="shared" si="1"/>
        <v>34</v>
      </c>
      <c r="D40" s="11" t="s">
        <v>8</v>
      </c>
      <c r="E40" s="104"/>
      <c r="F40" s="104"/>
      <c r="G40" s="105">
        <f>SUM(G36:G39)</f>
        <v>745859.49</v>
      </c>
      <c r="H40" s="104"/>
      <c r="I40" s="105">
        <f>SUM(I36:I39)</f>
        <v>367642.57567000005</v>
      </c>
      <c r="J40" s="104"/>
      <c r="K40" s="104"/>
      <c r="L40" s="104"/>
      <c r="M40" s="105">
        <f>SUM(M36:M39)</f>
        <v>367642.57567000005</v>
      </c>
      <c r="N40" s="105">
        <f t="shared" si="31"/>
        <v>0</v>
      </c>
      <c r="O40" s="106">
        <f t="shared" ref="O40" si="37">N40-J40</f>
        <v>0</v>
      </c>
    </row>
    <row r="41" spans="1:23" s="5" customFormat="1" ht="26.45" customHeight="1" thickBot="1" x14ac:dyDescent="0.25">
      <c r="A41" s="28">
        <f t="shared" si="1"/>
        <v>35</v>
      </c>
      <c r="C41" s="13"/>
      <c r="D41" s="6" t="s">
        <v>19</v>
      </c>
      <c r="E41" s="107"/>
      <c r="F41" s="107"/>
      <c r="G41" s="108">
        <f>G35+G40</f>
        <v>3948228.7493080003</v>
      </c>
      <c r="H41" s="107"/>
      <c r="I41" s="109">
        <f>I40+I35</f>
        <v>3948228.7493080003</v>
      </c>
      <c r="J41" s="107"/>
      <c r="K41" s="107"/>
      <c r="L41" s="107"/>
      <c r="M41" s="108">
        <f>M40+M35</f>
        <v>4061368.4320449997</v>
      </c>
      <c r="N41" s="108">
        <f t="shared" si="31"/>
        <v>113139.68273699936</v>
      </c>
      <c r="O41" s="110">
        <f>N41/I41</f>
        <v>2.8655807431833619E-2</v>
      </c>
      <c r="P41" s="87"/>
      <c r="Q41" s="87"/>
      <c r="R41" s="87"/>
      <c r="W41" s="2"/>
    </row>
    <row r="42" spans="1:23" ht="13.5" thickTop="1" x14ac:dyDescent="0.2">
      <c r="A42" s="28">
        <f t="shared" si="1"/>
        <v>36</v>
      </c>
      <c r="D42" s="2" t="s">
        <v>18</v>
      </c>
      <c r="E42" s="88">
        <f>(E33+E34)/E32</f>
        <v>12148.881902382784</v>
      </c>
      <c r="G42" s="111">
        <f>G41/E32</f>
        <v>1517.3823018093776</v>
      </c>
      <c r="I42" s="111">
        <f>I41/E32</f>
        <v>1517.3823018093776</v>
      </c>
      <c r="M42" s="111">
        <f>M41/E32</f>
        <v>1560.8641168504994</v>
      </c>
      <c r="N42" s="111">
        <f t="shared" si="31"/>
        <v>43.481815041121763</v>
      </c>
      <c r="O42" s="97">
        <f>N42/I42</f>
        <v>2.8655807431833484E-2</v>
      </c>
    </row>
    <row r="43" spans="1:23" ht="13.5" thickBot="1" x14ac:dyDescent="0.25">
      <c r="A43" s="28">
        <f t="shared" si="1"/>
        <v>37</v>
      </c>
    </row>
    <row r="44" spans="1:23" x14ac:dyDescent="0.2">
      <c r="A44" s="28">
        <f t="shared" si="1"/>
        <v>38</v>
      </c>
      <c r="B44" s="21" t="s">
        <v>65</v>
      </c>
      <c r="C44" s="22" t="s">
        <v>64</v>
      </c>
      <c r="D44" s="21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</row>
    <row r="45" spans="1:23" x14ac:dyDescent="0.2">
      <c r="A45" s="28">
        <f t="shared" si="1"/>
        <v>39</v>
      </c>
      <c r="C45" s="2"/>
      <c r="D45" s="2" t="s">
        <v>17</v>
      </c>
      <c r="E45" s="139">
        <v>48</v>
      </c>
      <c r="F45" s="118">
        <v>113.46</v>
      </c>
      <c r="G45" s="96">
        <f>F45*E45</f>
        <v>5446.08</v>
      </c>
      <c r="H45" s="88">
        <v>113.46</v>
      </c>
      <c r="I45" s="96">
        <f>H45*E45</f>
        <v>5446.08</v>
      </c>
      <c r="J45" s="97">
        <f>I45/I48</f>
        <v>6.2175897623485089E-3</v>
      </c>
      <c r="K45" s="97"/>
      <c r="L45" s="88">
        <f>ROUND(H45*S48,2)</f>
        <v>117.04</v>
      </c>
      <c r="M45" s="96">
        <f>L45*E45</f>
        <v>5617.92</v>
      </c>
      <c r="N45" s="96">
        <f>M45-I45</f>
        <v>171.84000000000015</v>
      </c>
      <c r="O45" s="97">
        <f>IF(I45=0,0,N45/I45)</f>
        <v>3.1552970209765586E-2</v>
      </c>
      <c r="P45" s="97">
        <f>M45/M$48</f>
        <v>6.2166966689261695E-3</v>
      </c>
      <c r="Q45" s="98">
        <f>P45-J45</f>
        <v>-8.9309342233938327E-7</v>
      </c>
      <c r="R45" s="98"/>
    </row>
    <row r="46" spans="1:23" x14ac:dyDescent="0.2">
      <c r="A46" s="28">
        <f t="shared" si="1"/>
        <v>40</v>
      </c>
      <c r="D46" s="2" t="s">
        <v>47</v>
      </c>
      <c r="E46" s="139">
        <v>10433028</v>
      </c>
      <c r="F46" s="119">
        <v>5.8062000000000002E-2</v>
      </c>
      <c r="G46" s="96">
        <f t="shared" ref="G46" si="38">F46*E46</f>
        <v>605762.47173600004</v>
      </c>
      <c r="H46" s="89">
        <v>7.0071999999999995E-2</v>
      </c>
      <c r="I46" s="96">
        <f t="shared" ref="I46" si="39">H46*E46</f>
        <v>731063.13801599992</v>
      </c>
      <c r="J46" s="97">
        <f>I46/I48</f>
        <v>0.83462796774168868</v>
      </c>
      <c r="K46" s="97"/>
      <c r="L46" s="140">
        <f>ROUND(H46*S48,6)</f>
        <v>7.2286000000000003E-2</v>
      </c>
      <c r="M46" s="96">
        <f t="shared" ref="M46" si="40">L46*E46</f>
        <v>754161.86200800003</v>
      </c>
      <c r="N46" s="96">
        <f t="shared" ref="N46" si="41">M46-I46</f>
        <v>23098.723992000101</v>
      </c>
      <c r="O46" s="97">
        <f t="shared" ref="O46" si="42">IF(I46=0,0,N46/I46)</f>
        <v>3.15960726110288E-2</v>
      </c>
      <c r="P46" s="97">
        <f>M46/M$48</f>
        <v>0.83454295101679821</v>
      </c>
      <c r="Q46" s="98">
        <f t="shared" ref="Q46" si="43">P46-J46</f>
        <v>-8.5016724890474293E-5</v>
      </c>
      <c r="R46" s="98"/>
      <c r="T46" s="4">
        <f>L46/H46-1</f>
        <v>3.1596072611028703E-2</v>
      </c>
    </row>
    <row r="47" spans="1:23" x14ac:dyDescent="0.2">
      <c r="A47" s="28">
        <f t="shared" si="1"/>
        <v>41</v>
      </c>
      <c r="D47" s="2" t="s">
        <v>48</v>
      </c>
      <c r="E47" s="139">
        <v>19552</v>
      </c>
      <c r="F47" s="118">
        <v>7.13</v>
      </c>
      <c r="G47" s="96">
        <f t="shared" ref="G47" si="44">F47*E47</f>
        <v>139405.76000000001</v>
      </c>
      <c r="H47" s="88">
        <v>7.13</v>
      </c>
      <c r="I47" s="96">
        <f t="shared" ref="I47" si="45">H47*E47</f>
        <v>139405.76000000001</v>
      </c>
      <c r="J47" s="97">
        <f>I47/I48</f>
        <v>0.15915444249596283</v>
      </c>
      <c r="K47" s="97"/>
      <c r="L47" s="88">
        <f>ROUND(H47*S48,2)</f>
        <v>7.36</v>
      </c>
      <c r="M47" s="96">
        <f t="shared" ref="M47" si="46">L47*E47</f>
        <v>143902.72</v>
      </c>
      <c r="N47" s="96">
        <f t="shared" ref="N47" si="47">M47-I47</f>
        <v>4496.9599999999919</v>
      </c>
      <c r="O47" s="97">
        <f t="shared" ref="O47" si="48">IF(I47=0,0,N47/I47)</f>
        <v>3.2258064516128969E-2</v>
      </c>
      <c r="P47" s="97">
        <f>M47/M$48</f>
        <v>0.15924035231427561</v>
      </c>
      <c r="Q47" s="98">
        <f t="shared" ref="Q47" si="49">P47-J47</f>
        <v>8.5909818312773778E-5</v>
      </c>
      <c r="R47" s="98"/>
      <c r="T47" s="4">
        <f>L47/H47-1</f>
        <v>3.2258064516129004E-2</v>
      </c>
    </row>
    <row r="48" spans="1:23" s="5" customFormat="1" ht="20.45" customHeight="1" x14ac:dyDescent="0.2">
      <c r="A48" s="28">
        <f t="shared" si="1"/>
        <v>42</v>
      </c>
      <c r="C48" s="13"/>
      <c r="D48" s="15" t="s">
        <v>6</v>
      </c>
      <c r="E48" s="99"/>
      <c r="F48" s="99"/>
      <c r="G48" s="16">
        <f>SUM(G45:G47)</f>
        <v>750614.311736</v>
      </c>
      <c r="H48" s="99"/>
      <c r="I48" s="16">
        <f>SUM(I45:I47)</f>
        <v>875914.97801599989</v>
      </c>
      <c r="J48" s="100">
        <f>SUM(J45:J47)</f>
        <v>1</v>
      </c>
      <c r="K48" s="101">
        <f>I48+Summary!I13</f>
        <v>903589.91801599984</v>
      </c>
      <c r="L48" s="99"/>
      <c r="M48" s="16">
        <f>SUM(M45:M47)</f>
        <v>903682.50200800004</v>
      </c>
      <c r="N48" s="16">
        <f>SUM(N45:N47)</f>
        <v>27767.523992000093</v>
      </c>
      <c r="O48" s="100">
        <f t="shared" ref="O48" si="50">N48/I48</f>
        <v>3.1701163570573031E-2</v>
      </c>
      <c r="P48" s="100">
        <f>SUM(P45:P47)</f>
        <v>1</v>
      </c>
      <c r="Q48" s="141">
        <f t="shared" ref="Q48" si="51">P48-J48</f>
        <v>0</v>
      </c>
      <c r="R48" s="102">
        <f>M48-K48</f>
        <v>92.58399200020358</v>
      </c>
      <c r="S48" s="64">
        <f>K48/I48</f>
        <v>1.0315954638230818</v>
      </c>
      <c r="W48" s="2"/>
    </row>
    <row r="49" spans="1:23" x14ac:dyDescent="0.2">
      <c r="A49" s="28">
        <f t="shared" si="1"/>
        <v>43</v>
      </c>
      <c r="D49" s="2" t="s">
        <v>26</v>
      </c>
      <c r="G49" s="122">
        <v>120967.3</v>
      </c>
      <c r="I49" s="24">
        <f>G49-($H$109*E46)</f>
        <v>-4333.366280000002</v>
      </c>
      <c r="K49" s="24"/>
      <c r="M49" s="96">
        <f>I49</f>
        <v>-4333.366280000002</v>
      </c>
      <c r="N49" s="96">
        <f t="shared" ref="N49:N55" si="52">M49-I49</f>
        <v>0</v>
      </c>
      <c r="O49" s="88">
        <v>0</v>
      </c>
    </row>
    <row r="50" spans="1:23" x14ac:dyDescent="0.2">
      <c r="A50" s="28">
        <f t="shared" si="1"/>
        <v>44</v>
      </c>
      <c r="D50" s="2" t="s">
        <v>27</v>
      </c>
      <c r="G50" s="122">
        <v>89265.279999999999</v>
      </c>
      <c r="I50" s="24">
        <f t="shared" ref="I50:I52" si="53">G50</f>
        <v>89265.279999999999</v>
      </c>
      <c r="M50" s="96">
        <f t="shared" ref="M50:M52" si="54">I50</f>
        <v>89265.279999999999</v>
      </c>
      <c r="N50" s="96">
        <f t="shared" si="52"/>
        <v>0</v>
      </c>
      <c r="O50" s="88">
        <v>0</v>
      </c>
    </row>
    <row r="51" spans="1:23" x14ac:dyDescent="0.2">
      <c r="A51" s="28">
        <f t="shared" si="1"/>
        <v>45</v>
      </c>
      <c r="D51" s="2" t="s">
        <v>29</v>
      </c>
      <c r="G51" s="122">
        <v>-30870.260000000002</v>
      </c>
      <c r="I51" s="24">
        <f t="shared" si="53"/>
        <v>-30870.260000000002</v>
      </c>
      <c r="M51" s="96">
        <f t="shared" si="54"/>
        <v>-30870.260000000002</v>
      </c>
      <c r="N51" s="96">
        <f t="shared" si="52"/>
        <v>0</v>
      </c>
      <c r="O51" s="88">
        <v>0</v>
      </c>
    </row>
    <row r="52" spans="1:23" x14ac:dyDescent="0.2">
      <c r="A52" s="28">
        <f t="shared" si="1"/>
        <v>46</v>
      </c>
      <c r="D52" s="2" t="s">
        <v>39</v>
      </c>
      <c r="G52" s="96">
        <v>0</v>
      </c>
      <c r="I52" s="24">
        <f t="shared" si="53"/>
        <v>0</v>
      </c>
      <c r="M52" s="96">
        <f t="shared" si="54"/>
        <v>0</v>
      </c>
      <c r="N52" s="96"/>
      <c r="O52" s="88"/>
    </row>
    <row r="53" spans="1:23" x14ac:dyDescent="0.2">
      <c r="A53" s="28">
        <f t="shared" si="1"/>
        <v>47</v>
      </c>
      <c r="D53" s="11" t="s">
        <v>8</v>
      </c>
      <c r="E53" s="104"/>
      <c r="F53" s="104"/>
      <c r="G53" s="105">
        <f>SUM(G49:G52)</f>
        <v>179362.32</v>
      </c>
      <c r="H53" s="104"/>
      <c r="I53" s="105">
        <f>SUM(I49:I52)</f>
        <v>54061.653719999995</v>
      </c>
      <c r="J53" s="104"/>
      <c r="K53" s="104"/>
      <c r="L53" s="104"/>
      <c r="M53" s="105">
        <f>SUM(M49:M52)</f>
        <v>54061.653719999995</v>
      </c>
      <c r="N53" s="105">
        <f t="shared" si="52"/>
        <v>0</v>
      </c>
      <c r="O53" s="106">
        <f t="shared" ref="O53" si="55">N53-J53</f>
        <v>0</v>
      </c>
    </row>
    <row r="54" spans="1:23" s="5" customFormat="1" ht="26.45" customHeight="1" thickBot="1" x14ac:dyDescent="0.25">
      <c r="A54" s="28">
        <f t="shared" si="1"/>
        <v>48</v>
      </c>
      <c r="C54" s="13"/>
      <c r="D54" s="6" t="s">
        <v>19</v>
      </c>
      <c r="E54" s="107"/>
      <c r="F54" s="107"/>
      <c r="G54" s="108">
        <f>G48+G53</f>
        <v>929976.63173600007</v>
      </c>
      <c r="H54" s="107"/>
      <c r="I54" s="109">
        <f>I53+I48</f>
        <v>929976.63173599984</v>
      </c>
      <c r="J54" s="107"/>
      <c r="K54" s="107"/>
      <c r="L54" s="107"/>
      <c r="M54" s="108">
        <f>M53+M48</f>
        <v>957744.15572799998</v>
      </c>
      <c r="N54" s="108">
        <f t="shared" si="52"/>
        <v>27767.523992000148</v>
      </c>
      <c r="O54" s="110">
        <f>N54/I54</f>
        <v>2.9858302934092161E-2</v>
      </c>
      <c r="P54" s="87"/>
      <c r="Q54" s="87"/>
      <c r="R54" s="87"/>
    </row>
    <row r="55" spans="1:23" ht="13.5" thickTop="1" x14ac:dyDescent="0.2">
      <c r="A55" s="28">
        <f t="shared" si="1"/>
        <v>49</v>
      </c>
      <c r="D55" s="2" t="s">
        <v>18</v>
      </c>
      <c r="E55" s="88">
        <f>E47/E45</f>
        <v>407.33333333333331</v>
      </c>
      <c r="G55" s="111">
        <f>G54/E45</f>
        <v>19374.513161166669</v>
      </c>
      <c r="I55" s="111">
        <f>I54/E45</f>
        <v>19374.513161166662</v>
      </c>
      <c r="M55" s="111">
        <f>M54/E45</f>
        <v>19953.003244333333</v>
      </c>
      <c r="N55" s="111">
        <f t="shared" si="52"/>
        <v>578.49008316667096</v>
      </c>
      <c r="O55" s="97">
        <f>N55/I55</f>
        <v>2.9858302934092223E-2</v>
      </c>
    </row>
    <row r="56" spans="1:23" ht="13.5" thickBot="1" x14ac:dyDescent="0.25">
      <c r="A56" s="28">
        <f t="shared" si="1"/>
        <v>50</v>
      </c>
    </row>
    <row r="57" spans="1:23" x14ac:dyDescent="0.2">
      <c r="A57" s="28">
        <f t="shared" si="1"/>
        <v>51</v>
      </c>
      <c r="B57" s="21" t="s">
        <v>65</v>
      </c>
      <c r="C57" s="22" t="s">
        <v>84</v>
      </c>
      <c r="D57" s="21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</row>
    <row r="58" spans="1:23" x14ac:dyDescent="0.2">
      <c r="A58" s="28">
        <f t="shared" si="1"/>
        <v>52</v>
      </c>
      <c r="B58" s="131"/>
      <c r="C58" s="2"/>
      <c r="D58" s="2" t="s">
        <v>17</v>
      </c>
      <c r="E58" s="139">
        <v>4</v>
      </c>
      <c r="F58" s="118">
        <v>5726.7</v>
      </c>
      <c r="G58" s="96">
        <f>F58*E58</f>
        <v>22906.799999999999</v>
      </c>
      <c r="H58" s="88">
        <v>5726.7</v>
      </c>
      <c r="I58" s="96">
        <f>H58*E58</f>
        <v>22906.799999999999</v>
      </c>
      <c r="J58" s="97">
        <f>I58/I62</f>
        <v>1.3049764958618091E-2</v>
      </c>
      <c r="K58" s="97"/>
      <c r="L58" s="118">
        <v>6013</v>
      </c>
      <c r="M58" s="96">
        <f>L58*E58</f>
        <v>24052</v>
      </c>
      <c r="N58" s="96">
        <f>M58-I58</f>
        <v>1145.2000000000007</v>
      </c>
      <c r="O58" s="97">
        <f>IF(I58=0,0,N58/I58)</f>
        <v>4.9993888277716697E-2</v>
      </c>
      <c r="P58" s="97">
        <f>M58/M$62</f>
        <v>1.3115065175908566E-2</v>
      </c>
      <c r="Q58" s="98">
        <f>P58-J58</f>
        <v>6.5300217290474583E-5</v>
      </c>
      <c r="R58" s="98"/>
    </row>
    <row r="59" spans="1:23" x14ac:dyDescent="0.2">
      <c r="A59" s="28">
        <f t="shared" si="1"/>
        <v>53</v>
      </c>
      <c r="B59" s="131"/>
      <c r="D59" s="2" t="s">
        <v>47</v>
      </c>
      <c r="E59" s="139">
        <v>31284000</v>
      </c>
      <c r="F59" s="119">
        <v>3.9780000000000003E-2</v>
      </c>
      <c r="G59" s="96">
        <f t="shared" ref="G59:G61" si="56">F59*E59</f>
        <v>1244477.52</v>
      </c>
      <c r="H59" s="89">
        <v>5.1790000000000003E-2</v>
      </c>
      <c r="I59" s="96">
        <f t="shared" ref="I59:I61" si="57">H59*E59</f>
        <v>1620198.36</v>
      </c>
      <c r="J59" s="97">
        <f>I59/I62</f>
        <v>0.92301010112012594</v>
      </c>
      <c r="K59" s="97"/>
      <c r="L59" s="140">
        <f>H59*S59</f>
        <v>5.4580393172228625E-2</v>
      </c>
      <c r="M59" s="96">
        <f t="shared" ref="M59:M61" si="58">L59*E59</f>
        <v>1707493.0200000003</v>
      </c>
      <c r="N59" s="96">
        <f t="shared" ref="N59:N61" si="59">M59-I59</f>
        <v>87294.660000000149</v>
      </c>
      <c r="O59" s="97">
        <f t="shared" ref="O59:O60" si="60">IF(I59=0,0,N59/I59)</f>
        <v>5.3878995408932609E-2</v>
      </c>
      <c r="P59" s="97">
        <f t="shared" ref="P59:P61" si="61">M59/M$62</f>
        <v>0.93106112775274197</v>
      </c>
      <c r="Q59" s="98">
        <f t="shared" ref="Q59:Q62" si="62">P59-J59</f>
        <v>8.0510266326160318E-3</v>
      </c>
      <c r="R59" s="98"/>
      <c r="S59" s="132">
        <v>1.0538789954089327</v>
      </c>
      <c r="T59" s="4">
        <f>L59/H59-1</f>
        <v>5.3878995408932706E-2</v>
      </c>
    </row>
    <row r="60" spans="1:23" x14ac:dyDescent="0.2">
      <c r="A60" s="28">
        <f t="shared" si="1"/>
        <v>54</v>
      </c>
      <c r="B60" s="131"/>
      <c r="D60" s="2" t="s">
        <v>48</v>
      </c>
      <c r="E60" s="139">
        <v>50088</v>
      </c>
      <c r="F60" s="118">
        <v>7.3</v>
      </c>
      <c r="G60" s="96">
        <f t="shared" si="56"/>
        <v>365642.39999999997</v>
      </c>
      <c r="H60" s="88">
        <v>7.3</v>
      </c>
      <c r="I60" s="96">
        <f t="shared" si="57"/>
        <v>365642.39999999997</v>
      </c>
      <c r="J60" s="97">
        <f>I60/I62</f>
        <v>0.20830266029759806</v>
      </c>
      <c r="K60" s="97"/>
      <c r="L60" s="118">
        <v>8.91</v>
      </c>
      <c r="M60" s="96">
        <f t="shared" si="58"/>
        <v>446284.08</v>
      </c>
      <c r="N60" s="96">
        <f t="shared" si="59"/>
        <v>80641.680000000051</v>
      </c>
      <c r="O60" s="97">
        <f t="shared" si="60"/>
        <v>0.2205479452054796</v>
      </c>
      <c r="P60" s="97">
        <f t="shared" si="61"/>
        <v>0.24334960902088776</v>
      </c>
      <c r="Q60" s="98">
        <f t="shared" si="62"/>
        <v>3.50469487232897E-2</v>
      </c>
      <c r="R60" s="98"/>
      <c r="T60" s="4">
        <f>L60/H60-1</f>
        <v>0.22054794520547949</v>
      </c>
    </row>
    <row r="61" spans="1:23" x14ac:dyDescent="0.2">
      <c r="A61" s="28">
        <f>A60+1</f>
        <v>55</v>
      </c>
      <c r="B61" s="131"/>
      <c r="D61" s="2" t="s">
        <v>90</v>
      </c>
      <c r="E61" s="139">
        <v>45251</v>
      </c>
      <c r="F61" s="118">
        <v>-5.6</v>
      </c>
      <c r="G61" s="96">
        <f t="shared" si="56"/>
        <v>-253405.59999999998</v>
      </c>
      <c r="H61" s="88">
        <v>-5.6</v>
      </c>
      <c r="I61" s="96">
        <f t="shared" si="57"/>
        <v>-253405.59999999998</v>
      </c>
      <c r="J61" s="97">
        <f>I61/I62</f>
        <v>-0.14436252637634206</v>
      </c>
      <c r="K61" s="97"/>
      <c r="L61" s="118">
        <v>-7.6</v>
      </c>
      <c r="M61" s="96">
        <f t="shared" si="58"/>
        <v>-343907.6</v>
      </c>
      <c r="N61" s="96">
        <f t="shared" si="59"/>
        <v>-90502</v>
      </c>
      <c r="O61" s="97">
        <f t="shared" ref="O61" si="63">IF(I61=0,0,N61/I61)</f>
        <v>0.35714285714285715</v>
      </c>
      <c r="P61" s="97">
        <f t="shared" si="61"/>
        <v>-0.18752580194953819</v>
      </c>
      <c r="Q61" s="98">
        <f t="shared" ref="Q61" si="64">P61-J61</f>
        <v>-4.316327557319613E-2</v>
      </c>
      <c r="R61" s="98"/>
      <c r="T61" s="4"/>
    </row>
    <row r="62" spans="1:23" s="5" customFormat="1" ht="20.45" customHeight="1" x14ac:dyDescent="0.2">
      <c r="A62" s="28">
        <f t="shared" si="1"/>
        <v>56</v>
      </c>
      <c r="C62" s="13"/>
      <c r="D62" s="15" t="s">
        <v>6</v>
      </c>
      <c r="E62" s="99"/>
      <c r="F62" s="99"/>
      <c r="G62" s="16">
        <f>SUM(G58:G61)</f>
        <v>1379621.12</v>
      </c>
      <c r="H62" s="99"/>
      <c r="I62" s="16">
        <f>SUM(I58:I61)</f>
        <v>1755341.96</v>
      </c>
      <c r="J62" s="100">
        <f>SUM(J58:J61)</f>
        <v>1</v>
      </c>
      <c r="K62" s="101">
        <f>I62+Summary!I17</f>
        <v>1833921.5</v>
      </c>
      <c r="L62" s="99"/>
      <c r="M62" s="16">
        <f>SUM(M58:M61)</f>
        <v>1833921.5</v>
      </c>
      <c r="N62" s="16">
        <f>SUM(N58:N61)</f>
        <v>78579.540000000212</v>
      </c>
      <c r="O62" s="100">
        <f t="shared" ref="O62" si="65">N62/I62</f>
        <v>4.476594406710372E-2</v>
      </c>
      <c r="P62" s="100">
        <f>SUM(P58:P61)</f>
        <v>1</v>
      </c>
      <c r="Q62" s="141">
        <f t="shared" si="62"/>
        <v>0</v>
      </c>
      <c r="R62" s="102">
        <f>M62-K62</f>
        <v>0</v>
      </c>
      <c r="S62" s="64">
        <f>K62/I62</f>
        <v>1.0447659440671035</v>
      </c>
      <c r="W62" s="2"/>
    </row>
    <row r="63" spans="1:23" x14ac:dyDescent="0.2">
      <c r="A63" s="28">
        <f t="shared" si="1"/>
        <v>57</v>
      </c>
      <c r="B63" s="131"/>
      <c r="D63" s="2" t="s">
        <v>26</v>
      </c>
      <c r="G63" s="122">
        <v>278234.16000000003</v>
      </c>
      <c r="I63" s="24">
        <f>G63-($H$109*E59)</f>
        <v>-97486.679999999935</v>
      </c>
      <c r="J63" s="111"/>
      <c r="K63" s="24"/>
      <c r="M63" s="96">
        <f>I63</f>
        <v>-97486.679999999935</v>
      </c>
      <c r="N63" s="96">
        <f t="shared" ref="N63:N65" si="66">M63-I63</f>
        <v>0</v>
      </c>
      <c r="O63" s="88">
        <v>0</v>
      </c>
    </row>
    <row r="64" spans="1:23" x14ac:dyDescent="0.2">
      <c r="A64" s="28">
        <f t="shared" si="1"/>
        <v>58</v>
      </c>
      <c r="B64" s="131"/>
      <c r="D64" s="2" t="s">
        <v>27</v>
      </c>
      <c r="G64" s="122">
        <v>252819</v>
      </c>
      <c r="I64" s="24">
        <f t="shared" ref="I64:I66" si="67">G64</f>
        <v>252819</v>
      </c>
      <c r="M64" s="96">
        <f t="shared" ref="M64:M66" si="68">I64</f>
        <v>252819</v>
      </c>
      <c r="N64" s="96">
        <f t="shared" si="66"/>
        <v>0</v>
      </c>
      <c r="O64" s="88">
        <v>0</v>
      </c>
    </row>
    <row r="65" spans="1:20" x14ac:dyDescent="0.2">
      <c r="A65" s="28">
        <f t="shared" si="1"/>
        <v>59</v>
      </c>
      <c r="B65" s="131"/>
      <c r="D65" s="2" t="s">
        <v>29</v>
      </c>
      <c r="G65" s="122">
        <v>-253406</v>
      </c>
      <c r="I65" s="24">
        <f t="shared" si="67"/>
        <v>-253406</v>
      </c>
      <c r="M65" s="96">
        <f t="shared" si="68"/>
        <v>-253406</v>
      </c>
      <c r="N65" s="96">
        <f t="shared" si="66"/>
        <v>0</v>
      </c>
      <c r="O65" s="88">
        <v>0</v>
      </c>
    </row>
    <row r="66" spans="1:20" x14ac:dyDescent="0.2">
      <c r="A66" s="28">
        <f t="shared" si="1"/>
        <v>60</v>
      </c>
      <c r="D66" s="2" t="s">
        <v>39</v>
      </c>
      <c r="G66" s="96">
        <v>0</v>
      </c>
      <c r="I66" s="24">
        <f t="shared" si="67"/>
        <v>0</v>
      </c>
      <c r="M66" s="96">
        <f t="shared" si="68"/>
        <v>0</v>
      </c>
      <c r="N66" s="96"/>
      <c r="O66" s="88"/>
    </row>
    <row r="67" spans="1:20" x14ac:dyDescent="0.2">
      <c r="A67" s="28">
        <f t="shared" si="1"/>
        <v>61</v>
      </c>
      <c r="D67" s="11" t="s">
        <v>8</v>
      </c>
      <c r="E67" s="104"/>
      <c r="F67" s="104"/>
      <c r="G67" s="105">
        <f>SUM(G63:G66)</f>
        <v>277647.16000000003</v>
      </c>
      <c r="H67" s="104"/>
      <c r="I67" s="105">
        <f>SUM(I63:I66)</f>
        <v>-98073.679999999935</v>
      </c>
      <c r="J67" s="104"/>
      <c r="K67" s="104"/>
      <c r="L67" s="104"/>
      <c r="M67" s="105">
        <f>SUM(M63:M66)</f>
        <v>-98073.679999999935</v>
      </c>
      <c r="N67" s="105">
        <f t="shared" ref="N67:N69" si="69">M67-I67</f>
        <v>0</v>
      </c>
      <c r="O67" s="106">
        <f t="shared" ref="O67" si="70">N67-J67</f>
        <v>0</v>
      </c>
    </row>
    <row r="68" spans="1:20" s="5" customFormat="1" ht="26.45" customHeight="1" thickBot="1" x14ac:dyDescent="0.25">
      <c r="A68" s="28">
        <f t="shared" si="1"/>
        <v>62</v>
      </c>
      <c r="B68" s="130"/>
      <c r="C68" s="13"/>
      <c r="D68" s="6" t="s">
        <v>19</v>
      </c>
      <c r="E68" s="107"/>
      <c r="F68" s="107"/>
      <c r="G68" s="108">
        <f>G62+G67</f>
        <v>1657268.2800000003</v>
      </c>
      <c r="H68" s="107"/>
      <c r="I68" s="109">
        <f>I67+I62</f>
        <v>1657268.28</v>
      </c>
      <c r="J68" s="107"/>
      <c r="K68" s="107"/>
      <c r="L68" s="107"/>
      <c r="M68" s="108">
        <f>M67+M62</f>
        <v>1735847.82</v>
      </c>
      <c r="N68" s="108">
        <f t="shared" si="69"/>
        <v>78579.540000000037</v>
      </c>
      <c r="O68" s="110">
        <f>N68/I68</f>
        <v>4.741509926202174E-2</v>
      </c>
      <c r="P68" s="87"/>
      <c r="Q68" s="87"/>
      <c r="R68" s="87"/>
    </row>
    <row r="69" spans="1:20" ht="13.5" thickTop="1" x14ac:dyDescent="0.2">
      <c r="A69" s="28">
        <f t="shared" si="1"/>
        <v>63</v>
      </c>
      <c r="D69" s="2" t="s">
        <v>18</v>
      </c>
      <c r="E69" s="88">
        <f>E60/E58</f>
        <v>12522</v>
      </c>
      <c r="G69" s="111">
        <f>G68/E58</f>
        <v>414317.07000000007</v>
      </c>
      <c r="I69" s="111">
        <f>I68/E58</f>
        <v>414317.07</v>
      </c>
      <c r="M69" s="111">
        <f>M68/E58</f>
        <v>433961.95500000002</v>
      </c>
      <c r="N69" s="111">
        <f t="shared" si="69"/>
        <v>19644.885000000009</v>
      </c>
      <c r="O69" s="97">
        <f>N69/I69</f>
        <v>4.741509926202174E-2</v>
      </c>
    </row>
    <row r="70" spans="1:20" ht="13.5" thickBot="1" x14ac:dyDescent="0.25">
      <c r="A70" s="28">
        <f t="shared" si="1"/>
        <v>64</v>
      </c>
    </row>
    <row r="71" spans="1:20" x14ac:dyDescent="0.2">
      <c r="A71" s="28">
        <f t="shared" si="1"/>
        <v>65</v>
      </c>
      <c r="B71" s="21" t="s">
        <v>30</v>
      </c>
      <c r="C71" s="22" t="s">
        <v>77</v>
      </c>
      <c r="D71" s="21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</row>
    <row r="72" spans="1:20" x14ac:dyDescent="0.2">
      <c r="A72" s="28">
        <f t="shared" si="1"/>
        <v>66</v>
      </c>
      <c r="B72" s="25"/>
      <c r="C72" s="24"/>
      <c r="D72" s="2" t="s">
        <v>68</v>
      </c>
      <c r="E72" s="139">
        <v>581</v>
      </c>
      <c r="F72" s="118">
        <v>3.16</v>
      </c>
      <c r="G72" s="96">
        <f t="shared" ref="G72" si="71">F72*E72</f>
        <v>1835.96</v>
      </c>
      <c r="H72" s="88">
        <v>3.16</v>
      </c>
      <c r="I72" s="96">
        <f t="shared" ref="I72" si="72">H72*E72</f>
        <v>1835.96</v>
      </c>
      <c r="J72" s="97">
        <f t="shared" ref="J72:J80" si="73">I72/I$81</f>
        <v>1.7951010199561876E-3</v>
      </c>
      <c r="K72" s="97"/>
      <c r="L72" s="88">
        <f t="shared" ref="L72:L80" si="74">ROUND(H72*S$81,2)</f>
        <v>3.26</v>
      </c>
      <c r="M72" s="96">
        <f t="shared" ref="M72" si="75">L72*E72</f>
        <v>1894.06</v>
      </c>
      <c r="N72" s="96">
        <f t="shared" ref="N72" si="76">M72-I72</f>
        <v>58.099999999999909</v>
      </c>
      <c r="O72" s="97">
        <f t="shared" ref="O72" si="77">IF(I72=0,0,N72/I72)</f>
        <v>3.1645569620253111E-2</v>
      </c>
      <c r="P72" s="97">
        <f t="shared" ref="P72:P80" si="78">M72/M$81</f>
        <v>1.7957173149844925E-3</v>
      </c>
      <c r="Q72" s="98">
        <f t="shared" ref="Q72" si="79">P72-J72</f>
        <v>6.1629502830489596E-7</v>
      </c>
      <c r="R72" s="98"/>
      <c r="T72" s="4">
        <f>L72/H72-1</f>
        <v>3.1645569620253111E-2</v>
      </c>
    </row>
    <row r="73" spans="1:20" x14ac:dyDescent="0.2">
      <c r="A73" s="28">
        <f t="shared" ref="A73:A108" si="80">A72+1</f>
        <v>67</v>
      </c>
      <c r="B73" s="25"/>
      <c r="C73" s="24"/>
      <c r="D73" s="2" t="s">
        <v>69</v>
      </c>
      <c r="E73" s="139">
        <v>219</v>
      </c>
      <c r="F73" s="118">
        <v>3.65</v>
      </c>
      <c r="G73" s="96">
        <f t="shared" ref="G73:G75" si="81">F73*E73</f>
        <v>799.35</v>
      </c>
      <c r="H73" s="88">
        <v>3.65</v>
      </c>
      <c r="I73" s="96">
        <f t="shared" ref="I73:I75" si="82">H73*E73</f>
        <v>799.35</v>
      </c>
      <c r="J73" s="97">
        <f t="shared" si="73"/>
        <v>7.8156060061329146E-4</v>
      </c>
      <c r="K73" s="97"/>
      <c r="L73" s="88">
        <f t="shared" si="74"/>
        <v>3.77</v>
      </c>
      <c r="M73" s="96">
        <f t="shared" ref="M73:M75" si="83">L73*E73</f>
        <v>825.63</v>
      </c>
      <c r="N73" s="96">
        <f t="shared" ref="N73:N75" si="84">M73-I73</f>
        <v>26.279999999999973</v>
      </c>
      <c r="O73" s="97">
        <f t="shared" ref="O73:O75" si="85">IF(I73=0,0,N73/I73)</f>
        <v>3.2876712328767085E-2</v>
      </c>
      <c r="P73" s="97">
        <f t="shared" si="78"/>
        <v>7.8276194353433723E-4</v>
      </c>
      <c r="Q73" s="98">
        <f t="shared" ref="Q73:Q75" si="86">P73-J73</f>
        <v>1.2013429210457711E-6</v>
      </c>
      <c r="R73" s="98"/>
      <c r="T73" s="4">
        <f t="shared" ref="T73:T80" si="87">L73/H73-1</f>
        <v>3.287671232876721E-2</v>
      </c>
    </row>
    <row r="74" spans="1:20" x14ac:dyDescent="0.2">
      <c r="A74" s="28">
        <f t="shared" si="80"/>
        <v>68</v>
      </c>
      <c r="B74" s="25"/>
      <c r="C74" s="24"/>
      <c r="D74" s="2" t="s">
        <v>70</v>
      </c>
      <c r="E74" s="139">
        <v>33307</v>
      </c>
      <c r="F74" s="118">
        <v>10.56</v>
      </c>
      <c r="G74" s="96">
        <f t="shared" si="81"/>
        <v>351721.92000000004</v>
      </c>
      <c r="H74" s="88">
        <v>10.57</v>
      </c>
      <c r="I74" s="96">
        <f t="shared" si="82"/>
        <v>352054.99</v>
      </c>
      <c r="J74" s="97">
        <f t="shared" si="73"/>
        <v>0.34422006559492879</v>
      </c>
      <c r="K74" s="97"/>
      <c r="L74" s="88">
        <f t="shared" si="74"/>
        <v>10.9</v>
      </c>
      <c r="M74" s="96">
        <f t="shared" si="83"/>
        <v>363046.3</v>
      </c>
      <c r="N74" s="96">
        <f t="shared" si="84"/>
        <v>10991.309999999998</v>
      </c>
      <c r="O74" s="97">
        <f t="shared" si="85"/>
        <v>3.1220435193945122E-2</v>
      </c>
      <c r="P74" s="97">
        <f t="shared" si="78"/>
        <v>0.34419634385977982</v>
      </c>
      <c r="Q74" s="98">
        <f t="shared" si="86"/>
        <v>-2.3721735148973799E-5</v>
      </c>
      <c r="R74" s="98"/>
      <c r="T74" s="4">
        <f t="shared" si="87"/>
        <v>3.1220435193945129E-2</v>
      </c>
    </row>
    <row r="75" spans="1:20" x14ac:dyDescent="0.2">
      <c r="A75" s="28">
        <f t="shared" si="80"/>
        <v>69</v>
      </c>
      <c r="B75" s="25"/>
      <c r="C75" s="24"/>
      <c r="D75" s="2" t="s">
        <v>71</v>
      </c>
      <c r="E75" s="139">
        <v>4679</v>
      </c>
      <c r="F75" s="118">
        <v>10.7</v>
      </c>
      <c r="G75" s="96">
        <f t="shared" si="81"/>
        <v>50065.299999999996</v>
      </c>
      <c r="H75" s="88">
        <v>10.71</v>
      </c>
      <c r="I75" s="96">
        <f t="shared" si="82"/>
        <v>50112.090000000004</v>
      </c>
      <c r="J75" s="97">
        <f t="shared" si="73"/>
        <v>4.8996853891771212E-2</v>
      </c>
      <c r="K75" s="97"/>
      <c r="L75" s="88">
        <f t="shared" si="74"/>
        <v>11.05</v>
      </c>
      <c r="M75" s="96">
        <f t="shared" si="83"/>
        <v>51702.950000000004</v>
      </c>
      <c r="N75" s="96">
        <f t="shared" si="84"/>
        <v>1590.8600000000006</v>
      </c>
      <c r="O75" s="97">
        <f t="shared" si="85"/>
        <v>3.1746031746031758E-2</v>
      </c>
      <c r="P75" s="97">
        <f t="shared" si="78"/>
        <v>4.9018448492010543E-2</v>
      </c>
      <c r="Q75" s="98">
        <f t="shared" si="86"/>
        <v>2.1594600239330242E-5</v>
      </c>
      <c r="R75" s="98"/>
      <c r="T75" s="4">
        <f t="shared" si="87"/>
        <v>3.1746031746031633E-2</v>
      </c>
    </row>
    <row r="76" spans="1:20" x14ac:dyDescent="0.2">
      <c r="A76" s="28">
        <f t="shared" si="80"/>
        <v>70</v>
      </c>
      <c r="B76" s="25"/>
      <c r="C76" s="24"/>
      <c r="D76" s="2" t="s">
        <v>72</v>
      </c>
      <c r="E76" s="139">
        <v>382</v>
      </c>
      <c r="F76" s="118">
        <v>16.350000000000001</v>
      </c>
      <c r="G76" s="96">
        <f t="shared" ref="G76:G80" si="88">F76*E76</f>
        <v>6245.7000000000007</v>
      </c>
      <c r="H76" s="88">
        <v>16.36</v>
      </c>
      <c r="I76" s="96">
        <f t="shared" ref="I76:I80" si="89">H76*E76</f>
        <v>6249.5199999999995</v>
      </c>
      <c r="J76" s="97">
        <f t="shared" si="73"/>
        <v>6.1104379867952426E-3</v>
      </c>
      <c r="K76" s="97"/>
      <c r="L76" s="88">
        <f t="shared" si="74"/>
        <v>16.88</v>
      </c>
      <c r="M76" s="96">
        <f t="shared" ref="M76:M80" si="90">L76*E76</f>
        <v>6448.16</v>
      </c>
      <c r="N76" s="96">
        <f t="shared" ref="N76:N80" si="91">M76-I76</f>
        <v>198.64000000000033</v>
      </c>
      <c r="O76" s="97">
        <f t="shared" ref="O76:O80" si="92">IF(I76=0,0,N76/I76)</f>
        <v>3.1784841075794677E-2</v>
      </c>
      <c r="P76" s="97">
        <f t="shared" si="78"/>
        <v>6.113361013795976E-3</v>
      </c>
      <c r="Q76" s="98">
        <f t="shared" ref="Q76:Q80" si="93">P76-J76</f>
        <v>2.923027000733408E-6</v>
      </c>
      <c r="R76" s="98"/>
      <c r="T76" s="4">
        <f t="shared" si="87"/>
        <v>3.1784841075794601E-2</v>
      </c>
    </row>
    <row r="77" spans="1:20" x14ac:dyDescent="0.2">
      <c r="A77" s="28">
        <f t="shared" si="80"/>
        <v>71</v>
      </c>
      <c r="B77" s="25"/>
      <c r="C77" s="24"/>
      <c r="D77" s="2" t="s">
        <v>73</v>
      </c>
      <c r="E77" s="139">
        <v>338.4</v>
      </c>
      <c r="F77" s="118">
        <v>22.47</v>
      </c>
      <c r="G77" s="96">
        <f t="shared" si="88"/>
        <v>7603.847999999999</v>
      </c>
      <c r="H77" s="88">
        <v>22.48</v>
      </c>
      <c r="I77" s="96">
        <f t="shared" si="89"/>
        <v>7607.232</v>
      </c>
      <c r="J77" s="97">
        <f t="shared" si="73"/>
        <v>7.4379343353032472E-3</v>
      </c>
      <c r="K77" s="97"/>
      <c r="L77" s="88">
        <f t="shared" si="74"/>
        <v>23.19</v>
      </c>
      <c r="M77" s="96">
        <f t="shared" si="90"/>
        <v>7847.4960000000001</v>
      </c>
      <c r="N77" s="96">
        <f t="shared" si="91"/>
        <v>240.26400000000012</v>
      </c>
      <c r="O77" s="97">
        <f t="shared" si="92"/>
        <v>3.158362989323845E-2</v>
      </c>
      <c r="P77" s="97">
        <f t="shared" si="78"/>
        <v>7.4400412059129842E-3</v>
      </c>
      <c r="Q77" s="98">
        <f t="shared" si="93"/>
        <v>2.1068706097370632E-6</v>
      </c>
      <c r="R77" s="98"/>
      <c r="T77" s="4">
        <f t="shared" si="87"/>
        <v>3.1583629893238374E-2</v>
      </c>
    </row>
    <row r="78" spans="1:20" x14ac:dyDescent="0.2">
      <c r="A78" s="28">
        <f t="shared" si="80"/>
        <v>72</v>
      </c>
      <c r="B78" s="25"/>
      <c r="C78" s="24"/>
      <c r="D78" s="2" t="s">
        <v>74</v>
      </c>
      <c r="E78" s="139">
        <v>62778</v>
      </c>
      <c r="F78" s="118">
        <v>9.58</v>
      </c>
      <c r="G78" s="96">
        <f t="shared" si="88"/>
        <v>601413.24</v>
      </c>
      <c r="H78" s="88">
        <v>9.59</v>
      </c>
      <c r="I78" s="96">
        <f t="shared" si="89"/>
        <v>602041.02</v>
      </c>
      <c r="J78" s="97">
        <f t="shared" si="73"/>
        <v>0.5886426986739709</v>
      </c>
      <c r="K78" s="97"/>
      <c r="L78" s="88">
        <f t="shared" si="74"/>
        <v>9.89</v>
      </c>
      <c r="M78" s="96">
        <f t="shared" si="90"/>
        <v>620874.42000000004</v>
      </c>
      <c r="N78" s="96">
        <f t="shared" si="91"/>
        <v>18833.400000000023</v>
      </c>
      <c r="O78" s="97">
        <f t="shared" si="92"/>
        <v>3.1282586027111613E-2</v>
      </c>
      <c r="P78" s="97">
        <f t="shared" si="78"/>
        <v>0.58863760726954495</v>
      </c>
      <c r="Q78" s="98">
        <f t="shared" si="93"/>
        <v>-5.091404425949797E-6</v>
      </c>
      <c r="R78" s="98"/>
      <c r="T78" s="4">
        <f t="shared" si="87"/>
        <v>3.1282586027111758E-2</v>
      </c>
    </row>
    <row r="79" spans="1:20" x14ac:dyDescent="0.2">
      <c r="A79" s="28">
        <f t="shared" si="80"/>
        <v>73</v>
      </c>
      <c r="B79" s="25"/>
      <c r="C79" s="24"/>
      <c r="D79" s="2" t="s">
        <v>75</v>
      </c>
      <c r="E79" s="139">
        <v>71</v>
      </c>
      <c r="F79" s="118">
        <v>11.47</v>
      </c>
      <c r="G79" s="96">
        <f t="shared" si="88"/>
        <v>814.37</v>
      </c>
      <c r="H79" s="88">
        <v>11.48</v>
      </c>
      <c r="I79" s="96">
        <f t="shared" si="89"/>
        <v>815.08</v>
      </c>
      <c r="J79" s="97">
        <f t="shared" si="73"/>
        <v>7.9694053211719731E-4</v>
      </c>
      <c r="K79" s="97"/>
      <c r="L79" s="88">
        <f t="shared" si="74"/>
        <v>11.84</v>
      </c>
      <c r="M79" s="96">
        <f t="shared" si="90"/>
        <v>840.64</v>
      </c>
      <c r="N79" s="96">
        <f t="shared" si="91"/>
        <v>25.559999999999945</v>
      </c>
      <c r="O79" s="97">
        <f t="shared" si="92"/>
        <v>3.1358885017421533E-2</v>
      </c>
      <c r="P79" s="97">
        <f t="shared" si="78"/>
        <v>7.969925998482434E-4</v>
      </c>
      <c r="Q79" s="98">
        <f t="shared" si="93"/>
        <v>5.2067731046091976E-8</v>
      </c>
      <c r="R79" s="98"/>
      <c r="T79" s="4">
        <f t="shared" si="87"/>
        <v>3.1358885017421567E-2</v>
      </c>
    </row>
    <row r="80" spans="1:20" x14ac:dyDescent="0.2">
      <c r="A80" s="28">
        <f t="shared" si="80"/>
        <v>74</v>
      </c>
      <c r="B80" s="25"/>
      <c r="C80" s="24"/>
      <c r="D80" s="2" t="s">
        <v>76</v>
      </c>
      <c r="E80" s="139">
        <v>69</v>
      </c>
      <c r="F80" s="118">
        <v>18.05</v>
      </c>
      <c r="G80" s="96">
        <f t="shared" si="88"/>
        <v>1245.45</v>
      </c>
      <c r="H80" s="88">
        <v>18.059999999999999</v>
      </c>
      <c r="I80" s="96">
        <f t="shared" si="89"/>
        <v>1246.1399999999999</v>
      </c>
      <c r="J80" s="97">
        <f t="shared" si="73"/>
        <v>1.2184073645440006E-3</v>
      </c>
      <c r="K80" s="97"/>
      <c r="L80" s="88">
        <f t="shared" si="74"/>
        <v>18.63</v>
      </c>
      <c r="M80" s="96">
        <f t="shared" si="90"/>
        <v>1285.47</v>
      </c>
      <c r="N80" s="96">
        <f t="shared" si="91"/>
        <v>39.330000000000155</v>
      </c>
      <c r="O80" s="97">
        <f t="shared" si="92"/>
        <v>3.1561461794020064E-2</v>
      </c>
      <c r="P80" s="97">
        <f t="shared" si="78"/>
        <v>1.2187263005887436E-3</v>
      </c>
      <c r="Q80" s="98">
        <f t="shared" si="93"/>
        <v>3.1893604474303797E-7</v>
      </c>
      <c r="R80" s="98"/>
      <c r="T80" s="4">
        <f t="shared" si="87"/>
        <v>3.1561461794019863E-2</v>
      </c>
    </row>
    <row r="81" spans="1:25" s="5" customFormat="1" ht="24.6" customHeight="1" x14ac:dyDescent="0.25">
      <c r="A81" s="28">
        <f t="shared" si="80"/>
        <v>75</v>
      </c>
      <c r="C81" s="13"/>
      <c r="D81" s="15" t="s">
        <v>6</v>
      </c>
      <c r="E81" s="125">
        <v>128730</v>
      </c>
      <c r="F81" s="99"/>
      <c r="G81" s="16">
        <f>SUM(G72:G80)</f>
        <v>1021745.1379999999</v>
      </c>
      <c r="H81" s="99"/>
      <c r="I81" s="16">
        <f>SUM(I72:I80)</f>
        <v>1022761.382</v>
      </c>
      <c r="J81" s="100">
        <f>SUM(J72:J80)</f>
        <v>1</v>
      </c>
      <c r="K81" s="101">
        <f>I81+Summary!I14</f>
        <v>1055076.0020000001</v>
      </c>
      <c r="L81" s="99"/>
      <c r="M81" s="16">
        <f>SUM(M72:M80)</f>
        <v>1054765.1259999999</v>
      </c>
      <c r="N81" s="16">
        <f>SUM(N72:N80)</f>
        <v>32003.744000000024</v>
      </c>
      <c r="O81" s="100">
        <f t="shared" ref="O81" si="94">N81/I81</f>
        <v>3.1291506076829977E-2</v>
      </c>
      <c r="P81" s="100">
        <f>SUM(P72:P80)</f>
        <v>1.0000000000000002</v>
      </c>
      <c r="Q81" s="141">
        <f t="shared" ref="Q81" si="95">P81-J81</f>
        <v>0</v>
      </c>
      <c r="R81" s="102">
        <f>M81-K81</f>
        <v>-310.87600000016391</v>
      </c>
      <c r="S81" s="64">
        <f>K81/I81</f>
        <v>1.0315954635839</v>
      </c>
    </row>
    <row r="82" spans="1:25" x14ac:dyDescent="0.2">
      <c r="A82" s="28">
        <f t="shared" si="80"/>
        <v>76</v>
      </c>
      <c r="D82" s="2" t="s">
        <v>26</v>
      </c>
      <c r="G82" s="122">
        <v>1554.8999999999999</v>
      </c>
      <c r="I82" s="24">
        <f>G82-($H$109*E81)</f>
        <v>8.8526999999999134</v>
      </c>
      <c r="K82" s="24"/>
      <c r="M82" s="96">
        <f>I82</f>
        <v>8.8526999999999134</v>
      </c>
      <c r="N82" s="96">
        <f>M82-I82</f>
        <v>0</v>
      </c>
      <c r="O82" s="88">
        <v>0</v>
      </c>
    </row>
    <row r="83" spans="1:25" x14ac:dyDescent="0.2">
      <c r="A83" s="28">
        <f t="shared" si="80"/>
        <v>77</v>
      </c>
      <c r="D83" s="2" t="s">
        <v>27</v>
      </c>
      <c r="G83" s="122">
        <v>2884.88</v>
      </c>
      <c r="I83" s="24">
        <f>G83</f>
        <v>2884.88</v>
      </c>
      <c r="M83" s="96">
        <f t="shared" ref="M83:M84" si="96">I83</f>
        <v>2884.88</v>
      </c>
      <c r="N83" s="96">
        <f>M83-I83</f>
        <v>0</v>
      </c>
      <c r="O83" s="88">
        <v>0</v>
      </c>
    </row>
    <row r="84" spans="1:25" x14ac:dyDescent="0.2">
      <c r="A84" s="28">
        <f t="shared" si="80"/>
        <v>78</v>
      </c>
      <c r="D84" s="2" t="s">
        <v>29</v>
      </c>
      <c r="G84" s="96">
        <v>0</v>
      </c>
      <c r="I84" s="24">
        <f>G84</f>
        <v>0</v>
      </c>
      <c r="M84" s="96">
        <f t="shared" si="96"/>
        <v>0</v>
      </c>
      <c r="N84" s="96">
        <f>M84-I84</f>
        <v>0</v>
      </c>
      <c r="O84" s="88">
        <v>0</v>
      </c>
    </row>
    <row r="85" spans="1:25" x14ac:dyDescent="0.2">
      <c r="A85" s="28">
        <f t="shared" si="80"/>
        <v>79</v>
      </c>
      <c r="D85" s="2" t="s">
        <v>39</v>
      </c>
      <c r="G85" s="96"/>
      <c r="I85" s="24">
        <f>G85</f>
        <v>0</v>
      </c>
      <c r="M85" s="96"/>
      <c r="N85" s="96"/>
      <c r="O85" s="88"/>
    </row>
    <row r="86" spans="1:25" x14ac:dyDescent="0.2">
      <c r="A86" s="28">
        <f t="shared" si="80"/>
        <v>80</v>
      </c>
      <c r="D86" s="11" t="s">
        <v>8</v>
      </c>
      <c r="E86" s="104"/>
      <c r="F86" s="104"/>
      <c r="G86" s="105">
        <f>SUM(G82:G84)</f>
        <v>4439.78</v>
      </c>
      <c r="H86" s="104"/>
      <c r="I86" s="105">
        <f>SUM(I82:I84)</f>
        <v>2893.7327</v>
      </c>
      <c r="J86" s="104"/>
      <c r="K86" s="104"/>
      <c r="L86" s="104"/>
      <c r="M86" s="105">
        <f>SUM(M82:M84)</f>
        <v>2893.7327</v>
      </c>
      <c r="N86" s="105">
        <f>M86-I86</f>
        <v>0</v>
      </c>
      <c r="O86" s="106">
        <f>N86-J86</f>
        <v>0</v>
      </c>
    </row>
    <row r="87" spans="1:25" s="5" customFormat="1" ht="26.45" customHeight="1" thickBot="1" x14ac:dyDescent="0.25">
      <c r="A87" s="28">
        <f t="shared" si="80"/>
        <v>81</v>
      </c>
      <c r="C87" s="13"/>
      <c r="D87" s="6" t="s">
        <v>19</v>
      </c>
      <c r="E87" s="107"/>
      <c r="F87" s="107"/>
      <c r="G87" s="108">
        <f>G81+G86</f>
        <v>1026184.9179999999</v>
      </c>
      <c r="H87" s="107"/>
      <c r="I87" s="109">
        <f>I86+I81</f>
        <v>1025655.1147</v>
      </c>
      <c r="J87" s="107"/>
      <c r="K87" s="107"/>
      <c r="L87" s="107"/>
      <c r="M87" s="108">
        <f>M86+M81</f>
        <v>1057658.8587</v>
      </c>
      <c r="N87" s="108">
        <f>M87-I87</f>
        <v>32003.743999999948</v>
      </c>
      <c r="O87" s="110">
        <f>N87/I87</f>
        <v>3.1203221766569079E-2</v>
      </c>
      <c r="P87" s="87"/>
      <c r="Q87" s="87"/>
      <c r="R87" s="87"/>
    </row>
    <row r="88" spans="1:25" ht="13.5" thickTop="1" x14ac:dyDescent="0.2">
      <c r="A88" s="28">
        <f t="shared" si="80"/>
        <v>82</v>
      </c>
      <c r="G88" s="111"/>
      <c r="I88" s="111"/>
      <c r="M88" s="111"/>
      <c r="N88" s="111"/>
      <c r="O88" s="97"/>
      <c r="X88" s="5"/>
      <c r="Y88" s="5"/>
    </row>
    <row r="89" spans="1:25" x14ac:dyDescent="0.2">
      <c r="A89" s="28">
        <f t="shared" si="80"/>
        <v>83</v>
      </c>
      <c r="B89" s="17"/>
      <c r="C89" s="18"/>
      <c r="D89" s="17"/>
      <c r="E89" s="124"/>
      <c r="F89" s="124"/>
      <c r="G89" s="124"/>
      <c r="H89" s="124"/>
      <c r="I89" s="17"/>
      <c r="J89" s="17"/>
      <c r="K89" s="17"/>
      <c r="L89" s="17"/>
      <c r="M89" s="17"/>
      <c r="N89" s="17"/>
      <c r="O89" s="17"/>
      <c r="P89" s="17"/>
      <c r="Q89" s="17"/>
      <c r="R89" s="17"/>
    </row>
    <row r="90" spans="1:25" x14ac:dyDescent="0.2">
      <c r="A90" s="28">
        <f t="shared" si="80"/>
        <v>84</v>
      </c>
    </row>
    <row r="91" spans="1:25" s="5" customFormat="1" ht="19.899999999999999" customHeight="1" x14ac:dyDescent="0.25">
      <c r="A91" s="28">
        <f t="shared" si="80"/>
        <v>85</v>
      </c>
      <c r="B91" s="5" t="s">
        <v>28</v>
      </c>
      <c r="C91" s="13"/>
      <c r="D91" s="15" t="s">
        <v>6</v>
      </c>
      <c r="E91" s="99"/>
      <c r="F91" s="99"/>
      <c r="G91" s="112">
        <f t="shared" ref="G91:G96" si="97">G10+G22+G35+G48+G81+G62</f>
        <v>27608267.974905998</v>
      </c>
      <c r="H91" s="112"/>
      <c r="I91" s="112">
        <f t="shared" ref="I91:I96" si="98">I10+I22+I35+I48+I81+I62</f>
        <v>33317654.290698003</v>
      </c>
      <c r="J91" s="99"/>
      <c r="K91" s="99"/>
      <c r="L91" s="99"/>
      <c r="M91" s="112">
        <f t="shared" ref="M91:N96" si="99">M10+M22+M35+M48+M81+M62</f>
        <v>34393470.432812989</v>
      </c>
      <c r="N91" s="112">
        <f t="shared" si="99"/>
        <v>1075816.142114996</v>
      </c>
      <c r="O91" s="100">
        <f>N91/I91</f>
        <v>3.2289672397956132E-2</v>
      </c>
      <c r="P91" s="113"/>
      <c r="Q91" s="113"/>
      <c r="R91" s="113"/>
    </row>
    <row r="92" spans="1:25" x14ac:dyDescent="0.2">
      <c r="A92" s="28">
        <f t="shared" si="80"/>
        <v>86</v>
      </c>
      <c r="D92" s="2" t="s">
        <v>26</v>
      </c>
      <c r="G92" s="24">
        <f t="shared" si="97"/>
        <v>2996611.0799999996</v>
      </c>
      <c r="H92" s="24"/>
      <c r="I92" s="24">
        <f t="shared" si="98"/>
        <v>-122851.72784999995</v>
      </c>
      <c r="M92" s="24">
        <f t="shared" si="99"/>
        <v>-122851.72784999995</v>
      </c>
      <c r="N92" s="24">
        <f t="shared" si="99"/>
        <v>0</v>
      </c>
    </row>
    <row r="93" spans="1:25" x14ac:dyDescent="0.2">
      <c r="A93" s="28">
        <f t="shared" si="80"/>
        <v>87</v>
      </c>
      <c r="D93" s="2" t="s">
        <v>27</v>
      </c>
      <c r="G93" s="24">
        <f t="shared" si="97"/>
        <v>3233287.4599999995</v>
      </c>
      <c r="H93" s="24"/>
      <c r="I93" s="24">
        <f t="shared" si="98"/>
        <v>3233287.4599999995</v>
      </c>
      <c r="M93" s="24">
        <f t="shared" si="99"/>
        <v>3233287.4599999995</v>
      </c>
      <c r="N93" s="24">
        <f t="shared" si="99"/>
        <v>0</v>
      </c>
    </row>
    <row r="94" spans="1:25" x14ac:dyDescent="0.2">
      <c r="A94" s="28">
        <f t="shared" si="80"/>
        <v>88</v>
      </c>
      <c r="D94" s="2" t="s">
        <v>29</v>
      </c>
      <c r="G94" s="24">
        <f t="shared" si="97"/>
        <v>-284874.68</v>
      </c>
      <c r="H94" s="24"/>
      <c r="I94" s="24">
        <f t="shared" si="98"/>
        <v>-284874.68</v>
      </c>
      <c r="M94" s="24">
        <f t="shared" si="99"/>
        <v>-284874.68</v>
      </c>
      <c r="N94" s="24">
        <f t="shared" si="99"/>
        <v>0</v>
      </c>
    </row>
    <row r="95" spans="1:25" x14ac:dyDescent="0.2">
      <c r="A95" s="28">
        <f t="shared" si="80"/>
        <v>89</v>
      </c>
      <c r="D95" s="2" t="s">
        <v>39</v>
      </c>
      <c r="G95" s="24">
        <f t="shared" si="97"/>
        <v>0</v>
      </c>
      <c r="I95" s="24">
        <f t="shared" si="98"/>
        <v>0</v>
      </c>
      <c r="M95" s="24">
        <f t="shared" si="99"/>
        <v>0</v>
      </c>
      <c r="N95" s="24">
        <f t="shared" si="99"/>
        <v>0</v>
      </c>
      <c r="O95" s="88"/>
    </row>
    <row r="96" spans="1:25" x14ac:dyDescent="0.2">
      <c r="A96" s="28">
        <f t="shared" si="80"/>
        <v>90</v>
      </c>
      <c r="D96" s="11" t="s">
        <v>8</v>
      </c>
      <c r="E96" s="104"/>
      <c r="F96" s="104"/>
      <c r="G96" s="114">
        <f t="shared" si="97"/>
        <v>5945023.8600000013</v>
      </c>
      <c r="H96" s="114"/>
      <c r="I96" s="114">
        <f t="shared" si="98"/>
        <v>2825561.0521499999</v>
      </c>
      <c r="J96" s="104"/>
      <c r="K96" s="104"/>
      <c r="L96" s="104"/>
      <c r="M96" s="114">
        <f t="shared" si="99"/>
        <v>2825561.0521499999</v>
      </c>
      <c r="N96" s="114">
        <f t="shared" si="99"/>
        <v>0</v>
      </c>
      <c r="O96" s="104"/>
    </row>
    <row r="97" spans="1:20" s="5" customFormat="1" ht="21" customHeight="1" thickBot="1" x14ac:dyDescent="0.3">
      <c r="A97" s="28">
        <f t="shared" si="80"/>
        <v>91</v>
      </c>
      <c r="C97" s="13"/>
      <c r="D97" s="6" t="s">
        <v>19</v>
      </c>
      <c r="E97" s="107"/>
      <c r="F97" s="107"/>
      <c r="G97" s="109">
        <f>G96+G91</f>
        <v>33553291.834905997</v>
      </c>
      <c r="H97" s="109"/>
      <c r="I97" s="109">
        <f>I96+I91</f>
        <v>36143215.342848003</v>
      </c>
      <c r="J97" s="107"/>
      <c r="K97" s="107"/>
      <c r="L97" s="107"/>
      <c r="M97" s="109">
        <f>M96+M91</f>
        <v>37219031.484962985</v>
      </c>
      <c r="N97" s="109">
        <f>N96+N91</f>
        <v>1075816.142114996</v>
      </c>
      <c r="O97" s="110">
        <f>N97/I97</f>
        <v>2.9765369016286975E-2</v>
      </c>
      <c r="P97" s="113"/>
      <c r="Q97" s="113"/>
      <c r="R97" s="113"/>
    </row>
    <row r="98" spans="1:20" ht="13.5" thickTop="1" x14ac:dyDescent="0.2">
      <c r="A98" s="28">
        <f t="shared" si="80"/>
        <v>92</v>
      </c>
    </row>
    <row r="99" spans="1:20" ht="13.5" thickBot="1" x14ac:dyDescent="0.25">
      <c r="A99" s="28">
        <f t="shared" si="80"/>
        <v>93</v>
      </c>
      <c r="B99" s="1" t="s">
        <v>87</v>
      </c>
      <c r="C99" s="18"/>
      <c r="D99" s="17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</row>
    <row r="100" spans="1:20" ht="17.45" customHeight="1" x14ac:dyDescent="0.2">
      <c r="A100" s="28">
        <f t="shared" si="80"/>
        <v>94</v>
      </c>
      <c r="B100" s="21" t="s">
        <v>86</v>
      </c>
      <c r="C100" s="22" t="s">
        <v>85</v>
      </c>
      <c r="D100" s="21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</row>
    <row r="101" spans="1:20" x14ac:dyDescent="0.2">
      <c r="A101" s="28">
        <f t="shared" si="80"/>
        <v>95</v>
      </c>
      <c r="C101" s="2"/>
      <c r="D101" s="2" t="s">
        <v>17</v>
      </c>
      <c r="E101" s="139"/>
      <c r="F101" s="118">
        <v>3025.05</v>
      </c>
      <c r="G101" s="96"/>
      <c r="H101" s="88">
        <v>3025.05</v>
      </c>
      <c r="I101" s="96"/>
      <c r="J101" s="97"/>
      <c r="K101" s="97"/>
      <c r="L101" s="88">
        <f>H101*S101</f>
        <v>3265.2389699999999</v>
      </c>
      <c r="M101" s="96"/>
      <c r="N101" s="96"/>
      <c r="O101" s="97"/>
      <c r="P101" s="97"/>
      <c r="Q101" s="98"/>
      <c r="R101" s="98"/>
      <c r="S101" s="126">
        <v>1.0793999999999999</v>
      </c>
    </row>
    <row r="102" spans="1:20" x14ac:dyDescent="0.2">
      <c r="A102" s="28">
        <f t="shared" si="80"/>
        <v>96</v>
      </c>
      <c r="D102" s="2" t="s">
        <v>47</v>
      </c>
      <c r="E102" s="139"/>
      <c r="F102" s="119">
        <v>4.2883999999999999E-2</v>
      </c>
      <c r="G102" s="96"/>
      <c r="H102" s="89">
        <v>5.4893999999999998E-2</v>
      </c>
      <c r="I102" s="96"/>
      <c r="J102" s="97"/>
      <c r="K102" s="97"/>
      <c r="L102" s="89">
        <f t="shared" ref="L102:L103" si="100">H102*S102</f>
        <v>5.9252583599999992E-2</v>
      </c>
      <c r="M102" s="96"/>
      <c r="N102" s="96"/>
      <c r="O102" s="97"/>
      <c r="P102" s="97"/>
      <c r="Q102" s="98"/>
      <c r="R102" s="98"/>
      <c r="S102" s="126">
        <f>S101</f>
        <v>1.0793999999999999</v>
      </c>
      <c r="T102" s="4">
        <f>L102/H102-1</f>
        <v>7.9399999999999915E-2</v>
      </c>
    </row>
    <row r="103" spans="1:20" ht="13.5" thickBot="1" x14ac:dyDescent="0.25">
      <c r="A103" s="28">
        <f t="shared" si="80"/>
        <v>97</v>
      </c>
      <c r="D103" s="2" t="s">
        <v>48</v>
      </c>
      <c r="E103" s="139"/>
      <c r="F103" s="118">
        <v>7.49</v>
      </c>
      <c r="G103" s="96"/>
      <c r="H103" s="88">
        <v>7.49</v>
      </c>
      <c r="I103" s="96"/>
      <c r="J103" s="97"/>
      <c r="K103" s="97"/>
      <c r="L103" s="88">
        <f t="shared" si="100"/>
        <v>8.0847059999999988</v>
      </c>
      <c r="M103" s="96"/>
      <c r="N103" s="96"/>
      <c r="O103" s="97"/>
      <c r="P103" s="97"/>
      <c r="Q103" s="98"/>
      <c r="R103" s="98"/>
      <c r="S103" s="126">
        <f>S102</f>
        <v>1.0793999999999999</v>
      </c>
      <c r="T103" s="4">
        <f>L103/H103-1</f>
        <v>7.9399999999999915E-2</v>
      </c>
    </row>
    <row r="104" spans="1:20" x14ac:dyDescent="0.2">
      <c r="A104" s="28">
        <f t="shared" si="80"/>
        <v>98</v>
      </c>
      <c r="B104" s="95" t="s">
        <v>95</v>
      </c>
      <c r="C104" s="145"/>
      <c r="D104" s="95"/>
      <c r="E104" s="95"/>
      <c r="F104" s="95"/>
      <c r="G104" s="21"/>
      <c r="H104" s="21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126"/>
      <c r="T104" s="4"/>
    </row>
    <row r="105" spans="1:20" x14ac:dyDescent="0.2">
      <c r="A105" s="28">
        <f t="shared" si="80"/>
        <v>99</v>
      </c>
      <c r="B105" s="87"/>
      <c r="C105" s="77"/>
      <c r="D105" s="87" t="s">
        <v>96</v>
      </c>
      <c r="E105" s="78"/>
      <c r="F105" s="146"/>
      <c r="G105" s="65"/>
      <c r="H105" s="147">
        <v>4.2</v>
      </c>
      <c r="I105" s="148"/>
      <c r="J105" s="133"/>
      <c r="K105" s="97"/>
      <c r="L105" s="118">
        <f>6.2</f>
        <v>6.2</v>
      </c>
      <c r="N105" s="24"/>
      <c r="S105" s="126"/>
      <c r="T105" s="4"/>
    </row>
    <row r="106" spans="1:20" x14ac:dyDescent="0.2">
      <c r="A106" s="28">
        <f t="shared" si="80"/>
        <v>100</v>
      </c>
      <c r="B106" s="87"/>
      <c r="C106" s="77"/>
      <c r="D106" s="87" t="s">
        <v>97</v>
      </c>
      <c r="E106" s="78"/>
      <c r="F106" s="146"/>
      <c r="G106" s="149"/>
      <c r="H106" s="150">
        <v>4.9000000000000004</v>
      </c>
      <c r="I106" s="148"/>
      <c r="J106" s="133"/>
      <c r="K106" s="97"/>
      <c r="L106" s="151">
        <f>6.9</f>
        <v>6.9</v>
      </c>
      <c r="N106" s="24"/>
      <c r="S106" s="126"/>
      <c r="T106" s="4"/>
    </row>
    <row r="107" spans="1:20" x14ac:dyDescent="0.2">
      <c r="A107" s="28">
        <f t="shared" si="80"/>
        <v>101</v>
      </c>
      <c r="B107" s="87"/>
      <c r="C107" s="77"/>
      <c r="D107" s="87" t="s">
        <v>98</v>
      </c>
      <c r="H107" s="150">
        <v>5.6</v>
      </c>
      <c r="L107" s="151">
        <f>7.6</f>
        <v>7.6</v>
      </c>
      <c r="M107" s="2"/>
      <c r="N107" s="36"/>
      <c r="O107" s="2"/>
      <c r="P107" s="2"/>
      <c r="Q107" s="2"/>
      <c r="R107" s="2"/>
      <c r="S107" s="126"/>
      <c r="T107" s="4"/>
    </row>
    <row r="108" spans="1:20" x14ac:dyDescent="0.2">
      <c r="A108" s="28">
        <f t="shared" si="80"/>
        <v>102</v>
      </c>
      <c r="N108" s="24"/>
    </row>
    <row r="109" spans="1:20" x14ac:dyDescent="0.2">
      <c r="A109" s="28"/>
      <c r="G109" s="120" t="s">
        <v>83</v>
      </c>
      <c r="H109" s="87">
        <v>1.201E-2</v>
      </c>
      <c r="I109" s="87" t="s">
        <v>94</v>
      </c>
      <c r="N109" s="24"/>
    </row>
    <row r="110" spans="1:20" x14ac:dyDescent="0.2">
      <c r="A110" s="28"/>
      <c r="B110" s="1"/>
      <c r="N110" s="24"/>
    </row>
    <row r="111" spans="1:20" x14ac:dyDescent="0.2">
      <c r="A111" s="28"/>
      <c r="B111" s="1"/>
      <c r="E111" s="87" t="s">
        <v>91</v>
      </c>
      <c r="G111" s="87" t="s">
        <v>92</v>
      </c>
      <c r="N111" s="24"/>
    </row>
    <row r="112" spans="1:20" x14ac:dyDescent="0.2">
      <c r="A112" s="28"/>
      <c r="B112" s="1"/>
      <c r="E112" s="134">
        <f>E9+E21+E33+E46+E59+E81</f>
        <v>259738785</v>
      </c>
      <c r="G112" s="24">
        <f>G97</f>
        <v>33553291.834905997</v>
      </c>
      <c r="N112" s="24"/>
    </row>
    <row r="113" spans="1:20" ht="12.6" customHeight="1" x14ac:dyDescent="0.2">
      <c r="A113" s="28"/>
      <c r="B113" s="1"/>
      <c r="E113" s="87">
        <v>259738785</v>
      </c>
      <c r="G113" s="87">
        <v>33071853</v>
      </c>
      <c r="N113" s="24"/>
      <c r="T113" s="4"/>
    </row>
    <row r="114" spans="1:20" x14ac:dyDescent="0.2">
      <c r="A114" s="28"/>
      <c r="B114" s="1"/>
      <c r="E114" s="134">
        <f>E113-E112</f>
        <v>0</v>
      </c>
      <c r="G114" s="24">
        <f>G112-G113</f>
        <v>481438.83490599692</v>
      </c>
      <c r="N114" s="24"/>
      <c r="T114" s="4"/>
    </row>
    <row r="115" spans="1:20" x14ac:dyDescent="0.2">
      <c r="A115" s="28"/>
      <c r="B115" s="1"/>
      <c r="E115" s="134">
        <f>E114/E113</f>
        <v>0</v>
      </c>
      <c r="G115" s="133">
        <f>G114/G113</f>
        <v>1.4557358939216286E-2</v>
      </c>
      <c r="N115" s="24"/>
      <c r="T115" s="4"/>
    </row>
    <row r="116" spans="1:20" x14ac:dyDescent="0.2">
      <c r="A116" s="28"/>
      <c r="B116" s="1"/>
      <c r="N116" s="24"/>
      <c r="T116" s="4"/>
    </row>
    <row r="117" spans="1:20" x14ac:dyDescent="0.2">
      <c r="A117" s="28"/>
      <c r="B117" s="1"/>
      <c r="N117" s="24"/>
      <c r="T117" s="4"/>
    </row>
    <row r="118" spans="1:20" x14ac:dyDescent="0.2">
      <c r="A118" s="28"/>
      <c r="B118" s="1"/>
      <c r="N118" s="24"/>
    </row>
    <row r="119" spans="1:20" ht="12.6" customHeight="1" x14ac:dyDescent="0.2">
      <c r="A119" s="28"/>
      <c r="B119" s="1"/>
      <c r="E119" s="134">
        <f>E8+E20+E32+E45</f>
        <v>211667</v>
      </c>
      <c r="N119" s="24"/>
      <c r="T119" s="4"/>
    </row>
    <row r="120" spans="1:20" x14ac:dyDescent="0.2">
      <c r="A120" s="28"/>
      <c r="B120" s="1"/>
      <c r="N120" s="24"/>
      <c r="T120" s="4"/>
    </row>
    <row r="121" spans="1:20" x14ac:dyDescent="0.2">
      <c r="A121" s="28"/>
      <c r="B121" s="1"/>
      <c r="N121" s="24"/>
      <c r="T121" s="4"/>
    </row>
    <row r="122" spans="1:20" x14ac:dyDescent="0.2">
      <c r="A122" s="28"/>
      <c r="B122" s="1"/>
      <c r="N122" s="24"/>
      <c r="T122" s="4"/>
    </row>
    <row r="123" spans="1:20" x14ac:dyDescent="0.2">
      <c r="A123" s="28"/>
      <c r="B123" s="1"/>
      <c r="N123" s="24"/>
      <c r="T123" s="4"/>
    </row>
    <row r="124" spans="1:20" x14ac:dyDescent="0.2">
      <c r="A124" s="28"/>
      <c r="B124" s="1"/>
      <c r="N124" s="24"/>
    </row>
    <row r="125" spans="1:20" ht="12.6" customHeight="1" x14ac:dyDescent="0.2">
      <c r="A125" s="28"/>
      <c r="B125" s="1"/>
      <c r="N125" s="24"/>
      <c r="T125" s="4"/>
    </row>
    <row r="126" spans="1:20" x14ac:dyDescent="0.2">
      <c r="A126" s="28"/>
      <c r="B126" s="1"/>
      <c r="N126" s="24"/>
      <c r="T126" s="4"/>
    </row>
    <row r="127" spans="1:20" x14ac:dyDescent="0.2">
      <c r="A127" s="28"/>
      <c r="B127" s="1"/>
      <c r="N127" s="24"/>
      <c r="T127" s="4"/>
    </row>
    <row r="128" spans="1:20" x14ac:dyDescent="0.2">
      <c r="A128" s="28"/>
      <c r="B128" s="1"/>
      <c r="N128" s="24"/>
      <c r="T128" s="4"/>
    </row>
    <row r="129" spans="1:20" x14ac:dyDescent="0.2">
      <c r="A129" s="28"/>
      <c r="B129" s="1"/>
      <c r="N129" s="24"/>
      <c r="T129" s="4"/>
    </row>
    <row r="130" spans="1:20" x14ac:dyDescent="0.2">
      <c r="A130" s="28"/>
      <c r="B130" s="1"/>
      <c r="N130" s="24"/>
    </row>
    <row r="131" spans="1:20" ht="12.6" customHeight="1" x14ac:dyDescent="0.2">
      <c r="A131" s="28"/>
      <c r="B131" s="1"/>
      <c r="N131" s="24"/>
      <c r="T131" s="4"/>
    </row>
    <row r="132" spans="1:20" x14ac:dyDescent="0.2">
      <c r="A132" s="28"/>
      <c r="B132" s="1"/>
      <c r="N132" s="24"/>
      <c r="T132" s="4"/>
    </row>
    <row r="133" spans="1:20" x14ac:dyDescent="0.2">
      <c r="A133" s="28"/>
      <c r="B133" s="1"/>
      <c r="N133" s="24"/>
      <c r="T133" s="4"/>
    </row>
    <row r="134" spans="1:20" x14ac:dyDescent="0.2">
      <c r="A134" s="28"/>
      <c r="B134" s="1"/>
      <c r="N134" s="24"/>
      <c r="T134" s="4"/>
    </row>
    <row r="135" spans="1:20" x14ac:dyDescent="0.2">
      <c r="A135" s="28"/>
      <c r="B135" s="1"/>
      <c r="N135" s="24"/>
      <c r="T135" s="4"/>
    </row>
    <row r="136" spans="1:20" x14ac:dyDescent="0.2">
      <c r="A136" s="28"/>
      <c r="B136" s="1"/>
      <c r="N136" s="24"/>
    </row>
    <row r="137" spans="1:20" ht="12.6" customHeight="1" x14ac:dyDescent="0.2">
      <c r="A137" s="28"/>
      <c r="B137" s="1"/>
      <c r="N137" s="24"/>
      <c r="T137" s="4"/>
    </row>
    <row r="138" spans="1:20" x14ac:dyDescent="0.2">
      <c r="A138" s="28"/>
      <c r="B138" s="1"/>
      <c r="N138" s="24"/>
      <c r="T138" s="4"/>
    </row>
    <row r="139" spans="1:20" x14ac:dyDescent="0.2">
      <c r="A139" s="28"/>
      <c r="B139" s="1"/>
      <c r="N139" s="24"/>
      <c r="T139" s="4"/>
    </row>
    <row r="140" spans="1:20" x14ac:dyDescent="0.2">
      <c r="A140" s="28"/>
      <c r="B140" s="1"/>
      <c r="N140" s="24"/>
      <c r="T140" s="4"/>
    </row>
    <row r="141" spans="1:20" x14ac:dyDescent="0.2">
      <c r="A141" s="28"/>
      <c r="B141" s="1"/>
      <c r="N141" s="24"/>
      <c r="T141" s="4"/>
    </row>
  </sheetData>
  <phoneticPr fontId="8" type="noConversion"/>
  <printOptions horizontalCentered="1"/>
  <pageMargins left="0.7" right="0.7" top="0.75" bottom="0.75" header="0.3" footer="0.3"/>
  <pageSetup scale="47" fitToHeight="3" orientation="landscape" r:id="rId1"/>
  <headerFooter>
    <oddHeader>&amp;R&amp;"Arial,Bold"&amp;10Exhibit 4
Page &amp;P of &amp;N</oddHeader>
  </headerFooter>
  <rowBreaks count="1" manualBreakCount="1">
    <brk id="56" max="17" man="1"/>
  </rowBreaks>
  <ignoredErrors>
    <ignoredError sqref="M10:N10 N22 N35 N48:O48 N81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sheetPr>
    <pageSetUpPr fitToPage="1"/>
  </sheetPr>
  <dimension ref="A1:M62"/>
  <sheetViews>
    <sheetView view="pageBreakPreview" topLeftCell="A16" zoomScaleNormal="85" zoomScaleSheetLayoutView="100" workbookViewId="0">
      <selection activeCell="D32" sqref="D32"/>
    </sheetView>
  </sheetViews>
  <sheetFormatPr defaultColWidth="8.85546875" defaultRowHeight="12.75" x14ac:dyDescent="0.2"/>
  <cols>
    <col min="1" max="1" width="1.7109375" style="2" customWidth="1"/>
    <col min="2" max="2" width="1.28515625" style="2" customWidth="1"/>
    <col min="3" max="3" width="8" style="12" customWidth="1"/>
    <col min="4" max="4" width="30.28515625" style="12" customWidth="1"/>
    <col min="5" max="5" width="33.7109375" style="2" bestFit="1" customWidth="1"/>
    <col min="6" max="6" width="14.7109375" style="2" customWidth="1"/>
    <col min="7" max="7" width="12.5703125" style="2" customWidth="1"/>
    <col min="8" max="8" width="12" style="2" customWidth="1"/>
    <col min="9" max="9" width="11.7109375" style="2" bestFit="1" customWidth="1"/>
    <col min="10" max="12" width="8.85546875" style="2"/>
    <col min="13" max="13" width="11.7109375" style="2" bestFit="1" customWidth="1"/>
    <col min="14" max="16384" width="8.85546875" style="2"/>
  </cols>
  <sheetData>
    <row r="1" spans="1:13" x14ac:dyDescent="0.2">
      <c r="A1" s="1" t="str">
        <f>Summary!A1</f>
        <v>LICKING VALLEY RECC</v>
      </c>
      <c r="G1" s="116"/>
    </row>
    <row r="2" spans="1:13" x14ac:dyDescent="0.2">
      <c r="A2" s="1" t="s">
        <v>78</v>
      </c>
    </row>
    <row r="4" spans="1:13" x14ac:dyDescent="0.2">
      <c r="C4" s="56" t="s">
        <v>59</v>
      </c>
      <c r="D4" s="55"/>
      <c r="E4" s="55" t="s">
        <v>2</v>
      </c>
      <c r="F4" s="59" t="s">
        <v>45</v>
      </c>
      <c r="G4" s="59" t="s">
        <v>46</v>
      </c>
      <c r="H4" s="59" t="s">
        <v>80</v>
      </c>
    </row>
    <row r="5" spans="1:13" x14ac:dyDescent="0.2">
      <c r="C5" s="12" t="str">
        <f>'Billing Detail'!C7</f>
        <v>A</v>
      </c>
      <c r="D5" s="80" t="str">
        <f>'Billing Detail'!B7</f>
        <v>Schedule A - Residential, Farm, Hall &amp; Church Service</v>
      </c>
    </row>
    <row r="6" spans="1:13" x14ac:dyDescent="0.2">
      <c r="D6" s="80"/>
      <c r="E6" s="2" t="str">
        <f>'Billing Detail'!D8</f>
        <v>Customer Charge</v>
      </c>
      <c r="F6" s="117">
        <f>'Billing Detail'!H8</f>
        <v>27.5</v>
      </c>
      <c r="G6" s="117">
        <f>'Billing Detail'!L8</f>
        <v>28.37</v>
      </c>
      <c r="H6" s="117">
        <f>G6-F6</f>
        <v>0.87000000000000099</v>
      </c>
      <c r="I6" s="4">
        <f>H6/F6</f>
        <v>3.1636363636363671E-2</v>
      </c>
    </row>
    <row r="7" spans="1:13" x14ac:dyDescent="0.2">
      <c r="D7" s="80"/>
      <c r="E7" s="2" t="str">
        <f>'Billing Detail'!D9</f>
        <v>Energy Charge per kWh</v>
      </c>
      <c r="F7" s="65">
        <f>'Billing Detail'!H9</f>
        <v>0.10966600000000001</v>
      </c>
      <c r="G7" s="65">
        <f>'Billing Detail'!L9</f>
        <v>0.113131</v>
      </c>
      <c r="H7" s="65">
        <f t="shared" ref="H7:H32" si="0">G7-F7</f>
        <v>3.464999999999982E-3</v>
      </c>
      <c r="I7" s="4">
        <f t="shared" ref="I7:I32" si="1">H7/F7</f>
        <v>3.1595936753414745E-2</v>
      </c>
      <c r="M7" s="136"/>
    </row>
    <row r="8" spans="1:13" x14ac:dyDescent="0.2">
      <c r="C8" s="12" t="str">
        <f>'Billing Detail'!C19</f>
        <v>B</v>
      </c>
      <c r="D8" s="80" t="str">
        <f>'Billing Detail'!B19</f>
        <v>Schedule B - Commercial and Small Power Service</v>
      </c>
      <c r="F8" s="57"/>
      <c r="G8" s="57"/>
      <c r="H8" s="57"/>
      <c r="I8" s="4"/>
    </row>
    <row r="9" spans="1:13" x14ac:dyDescent="0.2">
      <c r="D9" s="80"/>
      <c r="E9" s="2" t="str">
        <f>'Billing Detail'!D20</f>
        <v>Customer Charge</v>
      </c>
      <c r="F9" s="57">
        <f>'Billing Detail'!H20</f>
        <v>32</v>
      </c>
      <c r="G9" s="57">
        <f>'Billing Detail'!L20</f>
        <v>33.01</v>
      </c>
      <c r="H9" s="57">
        <f t="shared" si="0"/>
        <v>1.009999999999998</v>
      </c>
      <c r="I9" s="4">
        <f t="shared" si="1"/>
        <v>3.1562499999999938E-2</v>
      </c>
    </row>
    <row r="10" spans="1:13" x14ac:dyDescent="0.2">
      <c r="D10" s="80"/>
      <c r="E10" s="2" t="str">
        <f>'Billing Detail'!D21</f>
        <v>Energy Charge per kWh</v>
      </c>
      <c r="F10" s="65">
        <f>'Billing Detail'!H21</f>
        <v>9.3405999999999989E-2</v>
      </c>
      <c r="G10" s="65">
        <f>'Billing Detail'!L21</f>
        <v>9.6356999999999998E-2</v>
      </c>
      <c r="H10" s="65">
        <f t="shared" si="0"/>
        <v>2.9510000000000092E-3</v>
      </c>
      <c r="I10" s="4">
        <f t="shared" si="1"/>
        <v>3.1593259533648901E-2</v>
      </c>
    </row>
    <row r="11" spans="1:13" x14ac:dyDescent="0.2">
      <c r="C11" s="12" t="str">
        <f>'Billing Detail'!C31</f>
        <v xml:space="preserve">LP </v>
      </c>
      <c r="D11" s="80" t="str">
        <f>'Billing Detail'!B31</f>
        <v>Large Power Service</v>
      </c>
      <c r="F11" s="58"/>
      <c r="G11" s="58"/>
      <c r="H11" s="58"/>
      <c r="I11" s="4"/>
    </row>
    <row r="12" spans="1:13" x14ac:dyDescent="0.2">
      <c r="D12" s="80"/>
      <c r="E12" s="2" t="str">
        <f>'Billing Detail'!D32</f>
        <v>Customer Charge</v>
      </c>
      <c r="F12" s="57">
        <f>'Billing Detail'!H32</f>
        <v>73.8</v>
      </c>
      <c r="G12" s="57">
        <f>'Billing Detail'!L32</f>
        <v>76.13</v>
      </c>
      <c r="H12" s="57">
        <f t="shared" si="0"/>
        <v>2.3299999999999983</v>
      </c>
      <c r="I12" s="4">
        <f t="shared" si="1"/>
        <v>3.1571815718157162E-2</v>
      </c>
    </row>
    <row r="13" spans="1:13" x14ac:dyDescent="0.2">
      <c r="D13" s="80"/>
      <c r="E13" s="2" t="str">
        <f>'Billing Detail'!D33</f>
        <v>Energy Charge per kWh</v>
      </c>
      <c r="F13" s="65">
        <f>'Billing Detail'!H33</f>
        <v>7.8785999999999995E-2</v>
      </c>
      <c r="G13" s="65">
        <f>'Billing Detail'!L33</f>
        <v>8.1275E-2</v>
      </c>
      <c r="H13" s="65">
        <f t="shared" si="0"/>
        <v>2.4890000000000051E-3</v>
      </c>
      <c r="I13" s="4">
        <f t="shared" si="1"/>
        <v>3.1591907191633101E-2</v>
      </c>
    </row>
    <row r="14" spans="1:13" x14ac:dyDescent="0.2">
      <c r="D14" s="80"/>
      <c r="E14" s="2" t="str">
        <f>'Billing Detail'!D34</f>
        <v>Demand Charge per kW</v>
      </c>
      <c r="F14" s="57">
        <f>'Billing Detail'!H34</f>
        <v>7.59</v>
      </c>
      <c r="G14" s="57">
        <f>'Billing Detail'!L34</f>
        <v>7.83</v>
      </c>
      <c r="H14" s="57">
        <f t="shared" si="0"/>
        <v>0.24000000000000021</v>
      </c>
      <c r="I14" s="4">
        <f t="shared" si="1"/>
        <v>3.162055335968382E-2</v>
      </c>
    </row>
    <row r="15" spans="1:13" x14ac:dyDescent="0.2">
      <c r="C15" s="12" t="str">
        <f>'Billing Detail'!C44</f>
        <v>LPR</v>
      </c>
      <c r="D15" s="80" t="str">
        <f>'Billing Detail'!B44</f>
        <v xml:space="preserve">Large Power Rate </v>
      </c>
      <c r="F15" s="57"/>
      <c r="G15" s="57"/>
      <c r="H15" s="57"/>
      <c r="I15" s="4"/>
    </row>
    <row r="16" spans="1:13" x14ac:dyDescent="0.2">
      <c r="D16" s="80"/>
      <c r="E16" s="2" t="str">
        <f>'Billing Detail'!D45</f>
        <v>Customer Charge</v>
      </c>
      <c r="F16" s="57">
        <f>'Billing Detail'!H45</f>
        <v>113.46</v>
      </c>
      <c r="G16" s="57">
        <f>'Billing Detail'!L45</f>
        <v>117.04</v>
      </c>
      <c r="H16" s="57">
        <f t="shared" si="0"/>
        <v>3.5800000000000125</v>
      </c>
      <c r="I16" s="4">
        <f t="shared" si="1"/>
        <v>3.155297020976567E-2</v>
      </c>
    </row>
    <row r="17" spans="3:9" x14ac:dyDescent="0.2">
      <c r="D17" s="80"/>
      <c r="E17" s="2" t="str">
        <f>'Billing Detail'!D46</f>
        <v>Energy Charge per kWh</v>
      </c>
      <c r="F17" s="65">
        <f>'Billing Detail'!H46</f>
        <v>7.0071999999999995E-2</v>
      </c>
      <c r="G17" s="65">
        <f>'Billing Detail'!L46</f>
        <v>7.2286000000000003E-2</v>
      </c>
      <c r="H17" s="65">
        <f t="shared" si="0"/>
        <v>2.2140000000000076E-3</v>
      </c>
      <c r="I17" s="4">
        <f t="shared" si="1"/>
        <v>3.1596072611028765E-2</v>
      </c>
    </row>
    <row r="18" spans="3:9" x14ac:dyDescent="0.2">
      <c r="D18" s="80"/>
      <c r="E18" s="2" t="str">
        <f>'Billing Detail'!D47</f>
        <v>Demand Charge per kW</v>
      </c>
      <c r="F18" s="57">
        <f>'Billing Detail'!H47</f>
        <v>7.13</v>
      </c>
      <c r="G18" s="57">
        <f>'Billing Detail'!L47</f>
        <v>7.36</v>
      </c>
      <c r="H18" s="57">
        <f t="shared" si="0"/>
        <v>0.23000000000000043</v>
      </c>
      <c r="I18" s="4">
        <f t="shared" si="1"/>
        <v>3.2258064516129094E-2</v>
      </c>
    </row>
    <row r="19" spans="3:9" x14ac:dyDescent="0.2">
      <c r="C19" s="12" t="str">
        <f>'Billing Detail'!C57</f>
        <v>LPG</v>
      </c>
      <c r="D19" s="80" t="str">
        <f>'Billing Detail'!B57</f>
        <v xml:space="preserve">Large Power Rate </v>
      </c>
      <c r="F19" s="57"/>
      <c r="G19" s="57"/>
      <c r="H19" s="57"/>
      <c r="I19" s="4"/>
    </row>
    <row r="20" spans="3:9" x14ac:dyDescent="0.2">
      <c r="D20" s="80"/>
      <c r="E20" s="2" t="str">
        <f>'Billing Detail'!D58</f>
        <v>Customer Charge</v>
      </c>
      <c r="F20" s="57">
        <f>'Billing Detail'!H58</f>
        <v>5726.7</v>
      </c>
      <c r="G20" s="57">
        <f>'Billing Detail'!L58</f>
        <v>6013</v>
      </c>
      <c r="H20" s="57">
        <f t="shared" si="0"/>
        <v>286.30000000000018</v>
      </c>
      <c r="I20" s="4">
        <f t="shared" si="1"/>
        <v>4.9993888277716697E-2</v>
      </c>
    </row>
    <row r="21" spans="3:9" x14ac:dyDescent="0.2">
      <c r="D21" s="80"/>
      <c r="E21" s="2" t="str">
        <f>'Billing Detail'!D59</f>
        <v>Energy Charge per kWh</v>
      </c>
      <c r="F21" s="65">
        <f>'Billing Detail'!H59</f>
        <v>5.1790000000000003E-2</v>
      </c>
      <c r="G21" s="65">
        <f>'Billing Detail'!L59</f>
        <v>5.4580393172228625E-2</v>
      </c>
      <c r="H21" s="65">
        <f t="shared" si="0"/>
        <v>2.7903931722286224E-3</v>
      </c>
      <c r="I21" s="4">
        <f t="shared" si="1"/>
        <v>5.3878995408932658E-2</v>
      </c>
    </row>
    <row r="22" spans="3:9" x14ac:dyDescent="0.2">
      <c r="D22" s="80"/>
      <c r="E22" s="2" t="str">
        <f>'Billing Detail'!D60</f>
        <v>Demand Charge per kW</v>
      </c>
      <c r="F22" s="57">
        <f>'Billing Detail'!H60</f>
        <v>7.3</v>
      </c>
      <c r="G22" s="57">
        <f>'Billing Detail'!L60</f>
        <v>8.91</v>
      </c>
      <c r="H22" s="57">
        <f t="shared" si="0"/>
        <v>1.6100000000000003</v>
      </c>
      <c r="I22" s="4">
        <f t="shared" si="1"/>
        <v>0.22054794520547949</v>
      </c>
    </row>
    <row r="23" spans="3:9" x14ac:dyDescent="0.2">
      <c r="C23" s="12" t="str">
        <f>'Billing Detail'!C71</f>
        <v>SL</v>
      </c>
      <c r="D23" s="80" t="str">
        <f>'Billing Detail'!B71</f>
        <v>Lighting</v>
      </c>
      <c r="F23" s="57"/>
      <c r="G23" s="57"/>
      <c r="H23" s="57"/>
      <c r="I23" s="4"/>
    </row>
    <row r="24" spans="3:9" x14ac:dyDescent="0.2">
      <c r="D24" s="80"/>
      <c r="E24" s="2" t="str">
        <f>'Billing Detail'!D72</f>
        <v>25ft Wood Pole</v>
      </c>
      <c r="F24" s="57">
        <f>'Billing Detail'!H72</f>
        <v>3.16</v>
      </c>
      <c r="G24" s="57">
        <f>'Billing Detail'!L72</f>
        <v>3.26</v>
      </c>
      <c r="H24" s="57">
        <f t="shared" si="0"/>
        <v>9.9999999999999645E-2</v>
      </c>
      <c r="I24" s="4">
        <f t="shared" si="1"/>
        <v>3.1645569620253049E-2</v>
      </c>
    </row>
    <row r="25" spans="3:9" x14ac:dyDescent="0.2">
      <c r="D25" s="2"/>
      <c r="E25" s="2" t="str">
        <f>'Billing Detail'!D73</f>
        <v>30ft Wood Pole</v>
      </c>
      <c r="F25" s="57">
        <f>'Billing Detail'!H73</f>
        <v>3.65</v>
      </c>
      <c r="G25" s="57">
        <f>'Billing Detail'!L73</f>
        <v>3.77</v>
      </c>
      <c r="H25" s="57">
        <f t="shared" si="0"/>
        <v>0.12000000000000011</v>
      </c>
      <c r="I25" s="4">
        <f t="shared" si="1"/>
        <v>3.2876712328767155E-2</v>
      </c>
    </row>
    <row r="26" spans="3:9" x14ac:dyDescent="0.2">
      <c r="D26" s="2"/>
      <c r="E26" s="2" t="str">
        <f>'Billing Detail'!D74</f>
        <v>175 Watt MV</v>
      </c>
      <c r="F26" s="57">
        <f>'Billing Detail'!H74</f>
        <v>10.57</v>
      </c>
      <c r="G26" s="57">
        <f>'Billing Detail'!L74</f>
        <v>10.9</v>
      </c>
      <c r="H26" s="57">
        <f t="shared" si="0"/>
        <v>0.33000000000000007</v>
      </c>
      <c r="I26" s="4">
        <f t="shared" si="1"/>
        <v>3.1220435193945132E-2</v>
      </c>
    </row>
    <row r="27" spans="3:9" x14ac:dyDescent="0.2">
      <c r="D27" s="2"/>
      <c r="E27" s="2" t="str">
        <f>'Billing Detail'!D75</f>
        <v>100 Watt Metal Halide</v>
      </c>
      <c r="F27" s="57">
        <f>'Billing Detail'!H75</f>
        <v>10.71</v>
      </c>
      <c r="G27" s="57">
        <f>'Billing Detail'!L75</f>
        <v>11.05</v>
      </c>
      <c r="H27" s="57">
        <f t="shared" si="0"/>
        <v>0.33999999999999986</v>
      </c>
      <c r="I27" s="4">
        <f t="shared" si="1"/>
        <v>3.174603174603173E-2</v>
      </c>
    </row>
    <row r="28" spans="3:9" x14ac:dyDescent="0.2">
      <c r="D28" s="2"/>
      <c r="E28" s="2" t="str">
        <f>'Billing Detail'!D76</f>
        <v>250 Watt Metal Halide</v>
      </c>
      <c r="F28" s="57">
        <f>'Billing Detail'!H76</f>
        <v>16.36</v>
      </c>
      <c r="G28" s="57">
        <f>'Billing Detail'!L76</f>
        <v>16.88</v>
      </c>
      <c r="H28" s="57">
        <f t="shared" si="0"/>
        <v>0.51999999999999957</v>
      </c>
      <c r="I28" s="4">
        <f t="shared" si="1"/>
        <v>3.1784841075794594E-2</v>
      </c>
    </row>
    <row r="29" spans="3:9" x14ac:dyDescent="0.2">
      <c r="D29" s="2"/>
      <c r="E29" s="2" t="str">
        <f>'Billing Detail'!D77</f>
        <v>400 Watt Metal Halide</v>
      </c>
      <c r="F29" s="57">
        <f>'Billing Detail'!H77</f>
        <v>22.48</v>
      </c>
      <c r="G29" s="57">
        <f>'Billing Detail'!L77</f>
        <v>23.19</v>
      </c>
      <c r="H29" s="57">
        <f t="shared" si="0"/>
        <v>0.71000000000000085</v>
      </c>
      <c r="I29" s="4">
        <f t="shared" si="1"/>
        <v>3.1583629893238471E-2</v>
      </c>
    </row>
    <row r="30" spans="3:9" x14ac:dyDescent="0.2">
      <c r="D30" s="2"/>
      <c r="E30" s="2" t="str">
        <f>'Billing Detail'!D78</f>
        <v>68 Watt LED</v>
      </c>
      <c r="F30" s="57">
        <f>'Billing Detail'!H78</f>
        <v>9.59</v>
      </c>
      <c r="G30" s="57">
        <f>'Billing Detail'!L78</f>
        <v>9.89</v>
      </c>
      <c r="H30" s="57">
        <f t="shared" si="0"/>
        <v>0.30000000000000071</v>
      </c>
      <c r="I30" s="4">
        <f t="shared" si="1"/>
        <v>3.1282586027111647E-2</v>
      </c>
    </row>
    <row r="31" spans="3:9" x14ac:dyDescent="0.2">
      <c r="D31" s="2"/>
      <c r="E31" s="2" t="str">
        <f>'Billing Detail'!D79</f>
        <v>108 Watt LED</v>
      </c>
      <c r="F31" s="57">
        <f>'Billing Detail'!H79</f>
        <v>11.48</v>
      </c>
      <c r="G31" s="57">
        <f>'Billing Detail'!L79</f>
        <v>11.84</v>
      </c>
      <c r="H31" s="57">
        <f t="shared" si="0"/>
        <v>0.35999999999999943</v>
      </c>
      <c r="I31" s="4">
        <f t="shared" si="1"/>
        <v>3.1358885017421553E-2</v>
      </c>
    </row>
    <row r="32" spans="3:9" x14ac:dyDescent="0.2">
      <c r="D32" s="2"/>
      <c r="E32" s="2" t="str">
        <f>'Billing Detail'!D80</f>
        <v>202 Watt LED</v>
      </c>
      <c r="F32" s="57">
        <f>'Billing Detail'!H80</f>
        <v>18.059999999999999</v>
      </c>
      <c r="G32" s="57">
        <f>'Billing Detail'!L80</f>
        <v>18.63</v>
      </c>
      <c r="H32" s="57">
        <f t="shared" si="0"/>
        <v>0.57000000000000028</v>
      </c>
      <c r="I32" s="4">
        <f t="shared" si="1"/>
        <v>3.1561461794019953E-2</v>
      </c>
    </row>
    <row r="33" spans="3:9" x14ac:dyDescent="0.2">
      <c r="C33" s="12" t="str">
        <f>'Billing Detail'!C100</f>
        <v>LPC</v>
      </c>
      <c r="D33" s="80" t="str">
        <f>'Billing Detail'!B100</f>
        <v>Large Power Rate 2500-9999 KW</v>
      </c>
      <c r="F33" s="57"/>
      <c r="G33" s="127"/>
      <c r="H33" s="57"/>
      <c r="I33" s="4"/>
    </row>
    <row r="34" spans="3:9" x14ac:dyDescent="0.2">
      <c r="D34" s="80"/>
      <c r="E34" s="2" t="str">
        <f>'Billing Detail'!D101</f>
        <v>Customer Charge</v>
      </c>
      <c r="F34" s="57">
        <f>'Billing Detail'!H101</f>
        <v>3025.05</v>
      </c>
      <c r="G34" s="127">
        <f>'Billing Detail'!L101</f>
        <v>3265.2389699999999</v>
      </c>
      <c r="H34" s="57">
        <f t="shared" ref="H34:H36" si="2">G34-F34</f>
        <v>240.1889699999997</v>
      </c>
      <c r="I34" s="4">
        <f t="shared" ref="I34:I36" si="3">H34/F34</f>
        <v>7.9399999999999901E-2</v>
      </c>
    </row>
    <row r="35" spans="3:9" x14ac:dyDescent="0.2">
      <c r="D35" s="80"/>
      <c r="E35" s="2" t="str">
        <f>'Billing Detail'!D102</f>
        <v>Energy Charge per kWh</v>
      </c>
      <c r="F35" s="65">
        <f>'Billing Detail'!H102</f>
        <v>5.4893999999999998E-2</v>
      </c>
      <c r="G35" s="128">
        <f>'Billing Detail'!L102</f>
        <v>5.9252583599999992E-2</v>
      </c>
      <c r="H35" s="65">
        <f t="shared" si="2"/>
        <v>4.3585835999999933E-3</v>
      </c>
      <c r="I35" s="4">
        <f t="shared" si="3"/>
        <v>7.9399999999999887E-2</v>
      </c>
    </row>
    <row r="36" spans="3:9" x14ac:dyDescent="0.2">
      <c r="D36" s="80"/>
      <c r="E36" s="2" t="str">
        <f>'Billing Detail'!D103</f>
        <v>Demand Charge per kW</v>
      </c>
      <c r="F36" s="57">
        <f>'Billing Detail'!H103</f>
        <v>7.49</v>
      </c>
      <c r="G36" s="127">
        <f>'Billing Detail'!L103</f>
        <v>8.0847059999999988</v>
      </c>
      <c r="H36" s="57">
        <f t="shared" si="2"/>
        <v>0.59470599999999862</v>
      </c>
      <c r="I36" s="4">
        <f t="shared" si="3"/>
        <v>7.9399999999999818E-2</v>
      </c>
    </row>
    <row r="37" spans="3:9" x14ac:dyDescent="0.2">
      <c r="D37" s="152" t="str">
        <f>'Billing Detail'!B104</f>
        <v>Interruptible Service</v>
      </c>
      <c r="F37" s="57"/>
      <c r="G37" s="57"/>
      <c r="H37" s="57"/>
      <c r="I37" s="4"/>
    </row>
    <row r="38" spans="3:9" x14ac:dyDescent="0.2">
      <c r="E38" s="2" t="str">
        <f>'Billing Detail'!D105</f>
        <v>Demand Credit per kW - 200 Hrs</v>
      </c>
      <c r="F38" s="57">
        <f>'Billing Detail'!H105</f>
        <v>4.2</v>
      </c>
      <c r="G38" s="57">
        <f>'Billing Detail'!L105</f>
        <v>6.2</v>
      </c>
      <c r="H38" s="57">
        <f t="shared" ref="H37:H40" si="4">G38-F38</f>
        <v>2</v>
      </c>
      <c r="I38" s="4">
        <f t="shared" ref="I37:I40" si="5">H38/F38</f>
        <v>0.47619047619047616</v>
      </c>
    </row>
    <row r="39" spans="3:9" x14ac:dyDescent="0.2">
      <c r="E39" s="2" t="str">
        <f>'Billing Detail'!D106</f>
        <v>Demand Credit per kW - 300 Hrs</v>
      </c>
      <c r="F39" s="57">
        <f>'Billing Detail'!H106</f>
        <v>4.9000000000000004</v>
      </c>
      <c r="G39" s="57">
        <f>'Billing Detail'!L106</f>
        <v>6.9</v>
      </c>
      <c r="H39" s="57">
        <f t="shared" si="4"/>
        <v>2</v>
      </c>
      <c r="I39" s="4">
        <f t="shared" si="5"/>
        <v>0.4081632653061224</v>
      </c>
    </row>
    <row r="40" spans="3:9" x14ac:dyDescent="0.2">
      <c r="E40" s="2" t="str">
        <f>'Billing Detail'!D107</f>
        <v>Demand Credit per kW - 400 Hrs</v>
      </c>
      <c r="F40" s="57">
        <f>'Billing Detail'!H107</f>
        <v>5.6</v>
      </c>
      <c r="G40" s="57">
        <f>'Billing Detail'!L107</f>
        <v>7.6</v>
      </c>
      <c r="H40" s="57">
        <f t="shared" si="4"/>
        <v>2</v>
      </c>
      <c r="I40" s="4">
        <f t="shared" si="5"/>
        <v>0.35714285714285715</v>
      </c>
    </row>
    <row r="41" spans="3:9" x14ac:dyDescent="0.2">
      <c r="F41" s="57"/>
      <c r="G41" s="57"/>
    </row>
    <row r="42" spans="3:9" ht="41.45" customHeight="1" x14ac:dyDescent="0.2">
      <c r="C42" s="143" t="s">
        <v>50</v>
      </c>
      <c r="D42" s="143"/>
      <c r="E42" s="143"/>
      <c r="F42" s="143"/>
      <c r="G42" s="143"/>
    </row>
    <row r="43" spans="3:9" x14ac:dyDescent="0.2">
      <c r="D43" s="2"/>
      <c r="F43" s="144" t="s">
        <v>51</v>
      </c>
      <c r="G43" s="144"/>
    </row>
    <row r="44" spans="3:9" x14ac:dyDescent="0.2">
      <c r="C44" s="76" t="s">
        <v>52</v>
      </c>
      <c r="D44" s="66"/>
      <c r="E44" s="67"/>
      <c r="F44" s="68" t="s">
        <v>53</v>
      </c>
      <c r="G44" s="68" t="s">
        <v>54</v>
      </c>
    </row>
    <row r="45" spans="3:9" x14ac:dyDescent="0.2">
      <c r="C45" s="77" t="str">
        <f>Summary!C10</f>
        <v>A</v>
      </c>
      <c r="D45" s="3" t="str">
        <f>Summary!B10</f>
        <v>Schedule A - Residential, Farm, Hall &amp; Church Service</v>
      </c>
      <c r="F45" s="69">
        <f>Summary!L10</f>
        <v>785897.35076999571</v>
      </c>
      <c r="G45" s="70">
        <f>Summary!N10</f>
        <v>2.8850629661189127E-2</v>
      </c>
    </row>
    <row r="46" spans="3:9" x14ac:dyDescent="0.2">
      <c r="C46" s="77" t="str">
        <f>Summary!C11</f>
        <v>B</v>
      </c>
      <c r="D46" s="3" t="str">
        <f>Summary!B11</f>
        <v>Schedule B - Commercial and Small Power Service</v>
      </c>
      <c r="F46" s="69">
        <f>Summary!L11</f>
        <v>38428.300616000022</v>
      </c>
      <c r="G46" s="70">
        <f>Summary!N11</f>
        <v>2.8637835022394257E-2</v>
      </c>
      <c r="H46" s="1"/>
    </row>
    <row r="47" spans="3:9" x14ac:dyDescent="0.2">
      <c r="C47" s="77" t="str">
        <f>Summary!C12</f>
        <v xml:space="preserve">LP </v>
      </c>
      <c r="D47" s="3" t="str">
        <f>Summary!B12</f>
        <v>Large Power Service</v>
      </c>
      <c r="F47" s="69">
        <f>Summary!L12</f>
        <v>113139.68273699976</v>
      </c>
      <c r="G47" s="70">
        <f>Summary!N12</f>
        <v>2.8655807431833619E-2</v>
      </c>
      <c r="H47" s="1"/>
    </row>
    <row r="48" spans="3:9" x14ac:dyDescent="0.2">
      <c r="C48" s="77" t="str">
        <f>Summary!C13</f>
        <v>LPR</v>
      </c>
      <c r="D48" s="3" t="str">
        <f>Summary!B13</f>
        <v xml:space="preserve">Large Power Rate </v>
      </c>
      <c r="F48" s="69">
        <f>Summary!L13</f>
        <v>27767.523992000093</v>
      </c>
      <c r="G48" s="70">
        <f>Summary!N13</f>
        <v>2.9858302934092161E-2</v>
      </c>
      <c r="H48" s="1"/>
    </row>
    <row r="49" spans="3:8" x14ac:dyDescent="0.2">
      <c r="C49" s="77" t="str">
        <f>Summary!C17</f>
        <v>LPG</v>
      </c>
      <c r="D49" s="3" t="str">
        <f>Summary!B17</f>
        <v xml:space="preserve">Large Power Rate </v>
      </c>
      <c r="F49" s="69">
        <f>Summary!L17</f>
        <v>78579.540000000212</v>
      </c>
      <c r="G49" s="70">
        <f>Summary!N17</f>
        <v>4.741509926202174E-2</v>
      </c>
      <c r="H49" s="1"/>
    </row>
    <row r="50" spans="3:8" x14ac:dyDescent="0.2">
      <c r="C50" s="77" t="str">
        <f>Summary!C14</f>
        <v>SL</v>
      </c>
      <c r="D50" s="3" t="str">
        <f>Summary!B14</f>
        <v>Lighting</v>
      </c>
      <c r="F50" s="69">
        <f>Summary!L14</f>
        <v>32003.743999999948</v>
      </c>
      <c r="G50" s="70">
        <f>Summary!N14</f>
        <v>3.1203221766569079E-2</v>
      </c>
      <c r="H50" s="1"/>
    </row>
    <row r="51" spans="3:8" x14ac:dyDescent="0.2">
      <c r="C51" s="81" t="s">
        <v>55</v>
      </c>
      <c r="D51" s="37"/>
      <c r="E51" s="37"/>
      <c r="F51" s="71">
        <f>Summary!L28</f>
        <v>1075816.142114982</v>
      </c>
      <c r="G51" s="72">
        <f>Summary!N28</f>
        <v>2.976536901628659E-2</v>
      </c>
    </row>
    <row r="52" spans="3:8" x14ac:dyDescent="0.2">
      <c r="C52" s="77"/>
      <c r="D52" s="2"/>
      <c r="F52" s="73"/>
      <c r="G52" s="74"/>
    </row>
    <row r="53" spans="3:8" x14ac:dyDescent="0.2">
      <c r="D53" s="2"/>
    </row>
    <row r="54" spans="3:8" ht="40.15" customHeight="1" x14ac:dyDescent="0.2">
      <c r="C54" s="143" t="s">
        <v>56</v>
      </c>
      <c r="D54" s="143"/>
      <c r="E54" s="143"/>
      <c r="F54" s="143"/>
      <c r="G54" s="143"/>
      <c r="H54" s="135"/>
    </row>
    <row r="55" spans="3:8" x14ac:dyDescent="0.2">
      <c r="D55" s="2"/>
      <c r="E55" s="75" t="s">
        <v>18</v>
      </c>
      <c r="F55" s="144" t="s">
        <v>51</v>
      </c>
      <c r="G55" s="144"/>
    </row>
    <row r="56" spans="3:8" x14ac:dyDescent="0.2">
      <c r="C56" s="76" t="s">
        <v>52</v>
      </c>
      <c r="D56" s="67"/>
      <c r="E56" s="76" t="s">
        <v>57</v>
      </c>
      <c r="F56" s="68" t="s">
        <v>53</v>
      </c>
      <c r="G56" s="68" t="s">
        <v>54</v>
      </c>
    </row>
    <row r="57" spans="3:8" x14ac:dyDescent="0.2">
      <c r="C57" s="12" t="str">
        <f>Summary!C10</f>
        <v>A</v>
      </c>
      <c r="D57" s="85" t="str">
        <f>Summary!B10</f>
        <v>Schedule A - Residential, Farm, Hall &amp; Church Service</v>
      </c>
      <c r="E57" s="78">
        <f>'Billing Detail'!E17</f>
        <v>891.02058512513213</v>
      </c>
      <c r="F57" s="57">
        <f>'Billing Detail'!N17</f>
        <v>3.9573863274585506</v>
      </c>
      <c r="G57" s="4">
        <f>Summary!N10</f>
        <v>2.8850629661189127E-2</v>
      </c>
    </row>
    <row r="58" spans="3:8" x14ac:dyDescent="0.2">
      <c r="C58" s="12" t="str">
        <f>Summary!C11</f>
        <v>B</v>
      </c>
      <c r="D58" s="85" t="str">
        <f>Summary!B11</f>
        <v>Schedule B - Commercial and Small Power Service</v>
      </c>
      <c r="E58" s="79">
        <f>'Billing Detail'!E29</f>
        <v>906.62856046801573</v>
      </c>
      <c r="F58" s="57">
        <f>'Billing Detail'!N29</f>
        <v>3.6854608819410828</v>
      </c>
      <c r="G58" s="4">
        <f>Summary!N11</f>
        <v>2.8637835022394257E-2</v>
      </c>
    </row>
    <row r="59" spans="3:8" x14ac:dyDescent="0.2">
      <c r="C59" s="12" t="str">
        <f>Summary!C12</f>
        <v xml:space="preserve">LP </v>
      </c>
      <c r="D59" s="85" t="str">
        <f>Summary!B12</f>
        <v>Large Power Service</v>
      </c>
      <c r="E59" s="78">
        <f>'Billing Detail'!E42</f>
        <v>12148.881902382784</v>
      </c>
      <c r="F59" s="57">
        <f>'Billing Detail'!N42</f>
        <v>43.481815041121763</v>
      </c>
      <c r="G59" s="4">
        <f>Summary!N12</f>
        <v>2.8655807431833619E-2</v>
      </c>
    </row>
    <row r="60" spans="3:8" x14ac:dyDescent="0.2">
      <c r="C60" s="12" t="str">
        <f>Summary!C13</f>
        <v>LPR</v>
      </c>
      <c r="D60" s="85" t="str">
        <f>Summary!B13</f>
        <v xml:space="preserve">Large Power Rate </v>
      </c>
      <c r="E60" s="78">
        <f>'Billing Detail'!E55</f>
        <v>407.33333333333331</v>
      </c>
      <c r="F60" s="57">
        <f>'Billing Detail'!N55</f>
        <v>578.49008316667096</v>
      </c>
      <c r="G60" s="4">
        <f>Summary!N13</f>
        <v>2.9858302934092161E-2</v>
      </c>
    </row>
    <row r="61" spans="3:8" x14ac:dyDescent="0.2">
      <c r="C61" s="12" t="str">
        <f>Summary!C17</f>
        <v>LPG</v>
      </c>
      <c r="D61" s="85" t="str">
        <f>Summary!B17</f>
        <v xml:space="preserve">Large Power Rate </v>
      </c>
      <c r="E61" s="78">
        <f>'Billing Detail'!E69</f>
        <v>12522</v>
      </c>
      <c r="F61" s="57">
        <f>'Billing Detail'!N68</f>
        <v>78579.540000000037</v>
      </c>
      <c r="G61" s="4">
        <f>Summary!N17</f>
        <v>4.741509926202174E-2</v>
      </c>
    </row>
    <row r="62" spans="3:8" x14ac:dyDescent="0.2">
      <c r="C62" s="12" t="str">
        <f>Summary!C14</f>
        <v>SL</v>
      </c>
      <c r="D62" s="85" t="str">
        <f>Summary!B14</f>
        <v>Lighting</v>
      </c>
      <c r="E62" s="83" t="s">
        <v>58</v>
      </c>
      <c r="F62" s="82" t="s">
        <v>58</v>
      </c>
      <c r="G62" s="4">
        <f>Summary!N14</f>
        <v>3.1203221766569079E-2</v>
      </c>
    </row>
  </sheetData>
  <mergeCells count="4">
    <mergeCell ref="C42:G42"/>
    <mergeCell ref="F43:G43"/>
    <mergeCell ref="F55:G55"/>
    <mergeCell ref="C54:G54"/>
  </mergeCells>
  <printOptions horizontalCentered="1"/>
  <pageMargins left="0.7" right="0.7" top="0.75" bottom="0.75" header="0.3" footer="0.3"/>
  <pageSetup paperSize="9" scale="85" orientation="portrait" r:id="rId1"/>
  <headerFooter>
    <oddHeader>&amp;R&amp;"Arial,Bold"&amp;10Exhibit 3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2025-07-30T12:22:23Z</cp:lastPrinted>
  <dcterms:created xsi:type="dcterms:W3CDTF">2021-02-09T02:13:44Z</dcterms:created>
  <dcterms:modified xsi:type="dcterms:W3CDTF">2025-12-02T19:51:14Z</dcterms:modified>
</cp:coreProperties>
</file>