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ac385686f0d07d2/Documents/CATALYST Consulting/Clients/EKPC/A-EKPC 2025 Pass Thru Cases/Shelby/Analysis/"/>
    </mc:Choice>
  </mc:AlternateContent>
  <xr:revisionPtr revIDLastSave="20" documentId="8_{E0DBAE6D-5B01-4186-AFC9-C46772F4BA7A}" xr6:coauthVersionLast="47" xr6:coauthVersionMax="47" xr10:uidLastSave="{D2BE7C34-1991-4D88-A153-CD94AE98D95F}"/>
  <bookViews>
    <workbookView xWindow="-120" yWindow="-120" windowWidth="29040" windowHeight="15720" xr2:uid="{5A56C961-47FC-4CB4-AEDD-3C6FC9A16749}"/>
  </bookViews>
  <sheets>
    <sheet name="Summary" sheetId="2" r:id="rId1"/>
    <sheet name="Billing Detail" sheetId="1" r:id="rId2"/>
    <sheet name="Notice Table" sheetId="3" r:id="rId3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Print_Area" localSheetId="1">'Billing Detail'!$A$1:$R$169</definedName>
    <definedName name="_xlnm.Print_Area" localSheetId="2">'Notice Table'!$A$1:$G$72</definedName>
    <definedName name="_xlnm.Print_Area" localSheetId="0">Summary!$A$1:$O$34</definedName>
    <definedName name="_xlnm.Print_Titles" localSheetId="1">'Billing Detail'!$1:$5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500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FALSE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54" i="1" l="1"/>
  <c r="S153" i="1"/>
  <c r="E71" i="3"/>
  <c r="F71" i="3"/>
  <c r="G71" i="3"/>
  <c r="E72" i="3"/>
  <c r="F72" i="3"/>
  <c r="F70" i="3"/>
  <c r="E70" i="3"/>
  <c r="D69" i="3"/>
  <c r="L167" i="1"/>
  <c r="G72" i="3" s="1"/>
  <c r="L166" i="1"/>
  <c r="L165" i="1"/>
  <c r="G70" i="3" s="1"/>
  <c r="E178" i="1"/>
  <c r="L3" i="2" l="1"/>
  <c r="H33" i="1"/>
  <c r="H32" i="1"/>
  <c r="S157" i="1"/>
  <c r="S158" i="1"/>
  <c r="S156" i="1"/>
  <c r="S163" i="1" s="1"/>
  <c r="A14" i="2"/>
  <c r="A15" i="2" s="1"/>
  <c r="A16" i="2" s="1"/>
  <c r="A17" i="2" s="1"/>
  <c r="A18" i="2" s="1"/>
  <c r="A19" i="2" s="1"/>
  <c r="A20" i="2" s="1"/>
  <c r="A21" i="2" s="1"/>
  <c r="A22" i="2" s="1"/>
  <c r="S161" i="1" l="1"/>
  <c r="S160" i="1"/>
  <c r="S162" i="1"/>
  <c r="E173" i="1"/>
  <c r="E175" i="1" s="1"/>
  <c r="N136" i="1"/>
  <c r="G133" i="1"/>
  <c r="G134" i="1"/>
  <c r="G136" i="1"/>
  <c r="I104" i="1"/>
  <c r="E29" i="1"/>
  <c r="E93" i="3" s="1"/>
  <c r="L37" i="1"/>
  <c r="G41" i="3" s="1"/>
  <c r="F41" i="3"/>
  <c r="F40" i="3"/>
  <c r="F39" i="3"/>
  <c r="I20" i="1"/>
  <c r="G20" i="1"/>
  <c r="F44" i="3"/>
  <c r="F45" i="3"/>
  <c r="F46" i="3"/>
  <c r="F47" i="3"/>
  <c r="F43" i="3"/>
  <c r="E44" i="3"/>
  <c r="E45" i="3"/>
  <c r="E46" i="3"/>
  <c r="E47" i="3"/>
  <c r="E43" i="3"/>
  <c r="D42" i="3"/>
  <c r="C42" i="3"/>
  <c r="C11" i="2"/>
  <c r="C79" i="3" s="1"/>
  <c r="B11" i="2"/>
  <c r="D94" i="3" s="1"/>
  <c r="D79" i="3" l="1"/>
  <c r="C94" i="3"/>
  <c r="I98" i="1"/>
  <c r="E37" i="1"/>
  <c r="I37" i="1" s="1"/>
  <c r="E41" i="1"/>
  <c r="E94" i="3" s="1"/>
  <c r="I38" i="1"/>
  <c r="M38" i="1" s="1"/>
  <c r="I36" i="1"/>
  <c r="M36" i="1" s="1"/>
  <c r="N36" i="1" s="1"/>
  <c r="I35" i="1"/>
  <c r="I33" i="1"/>
  <c r="G33" i="1"/>
  <c r="I32" i="1"/>
  <c r="G32" i="1"/>
  <c r="A32" i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I13" i="1"/>
  <c r="C14" i="2"/>
  <c r="B14" i="2"/>
  <c r="I100" i="1"/>
  <c r="G100" i="1"/>
  <c r="G108" i="1"/>
  <c r="I107" i="1"/>
  <c r="M107" i="1" s="1"/>
  <c r="I106" i="1"/>
  <c r="M106" i="1" s="1"/>
  <c r="N106" i="1" s="1"/>
  <c r="I105" i="1"/>
  <c r="M105" i="1" s="1"/>
  <c r="N105" i="1" s="1"/>
  <c r="M104" i="1"/>
  <c r="I102" i="1"/>
  <c r="G102" i="1"/>
  <c r="I101" i="1"/>
  <c r="G101" i="1"/>
  <c r="I99" i="1"/>
  <c r="G99" i="1"/>
  <c r="F62" i="1"/>
  <c r="F63" i="1"/>
  <c r="M37" i="1" l="1"/>
  <c r="N37" i="1" s="1"/>
  <c r="D99" i="3"/>
  <c r="D84" i="3"/>
  <c r="C99" i="3"/>
  <c r="C84" i="3"/>
  <c r="G34" i="1"/>
  <c r="D11" i="2" s="1"/>
  <c r="E110" i="1"/>
  <c r="E99" i="3" s="1"/>
  <c r="G98" i="1"/>
  <c r="G103" i="1" s="1"/>
  <c r="I39" i="1"/>
  <c r="G37" i="1"/>
  <c r="G135" i="1" s="1"/>
  <c r="I34" i="1"/>
  <c r="M35" i="1"/>
  <c r="M108" i="1"/>
  <c r="N104" i="1"/>
  <c r="I103" i="1"/>
  <c r="I108" i="1"/>
  <c r="G39" i="1" l="1"/>
  <c r="G40" i="1" s="1"/>
  <c r="G41" i="1" s="1"/>
  <c r="G109" i="1"/>
  <c r="G110" i="1" s="1"/>
  <c r="D14" i="2"/>
  <c r="E11" i="2"/>
  <c r="G11" i="2" s="1"/>
  <c r="I109" i="1"/>
  <c r="I110" i="1" s="1"/>
  <c r="J32" i="1"/>
  <c r="N35" i="1"/>
  <c r="M39" i="1"/>
  <c r="J33" i="1"/>
  <c r="I40" i="1"/>
  <c r="I41" i="1" s="1"/>
  <c r="J100" i="1"/>
  <c r="E14" i="2"/>
  <c r="G14" i="2" s="1"/>
  <c r="J98" i="1"/>
  <c r="J101" i="1"/>
  <c r="J102" i="1"/>
  <c r="J99" i="1"/>
  <c r="N108" i="1"/>
  <c r="O108" i="1" s="1"/>
  <c r="J34" i="1" l="1"/>
  <c r="N39" i="1"/>
  <c r="J103" i="1"/>
  <c r="I123" i="1" l="1"/>
  <c r="I89" i="1"/>
  <c r="I75" i="1"/>
  <c r="I61" i="1"/>
  <c r="I48" i="1"/>
  <c r="I23" i="1"/>
  <c r="I11" i="1" l="1"/>
  <c r="I133" i="1" s="1"/>
  <c r="E25" i="3" l="1"/>
  <c r="F25" i="3"/>
  <c r="E26" i="3"/>
  <c r="F26" i="3"/>
  <c r="E27" i="3"/>
  <c r="F27" i="3"/>
  <c r="E20" i="3"/>
  <c r="F20" i="3"/>
  <c r="E21" i="3"/>
  <c r="F21" i="3"/>
  <c r="E22" i="3"/>
  <c r="F22" i="3"/>
  <c r="E19" i="3"/>
  <c r="F19" i="3"/>
  <c r="E16" i="3"/>
  <c r="F16" i="3"/>
  <c r="E17" i="3"/>
  <c r="E66" i="3"/>
  <c r="F66" i="3"/>
  <c r="E67" i="3"/>
  <c r="F67" i="3"/>
  <c r="E68" i="3"/>
  <c r="F68" i="3"/>
  <c r="F65" i="3"/>
  <c r="E65" i="3"/>
  <c r="D64" i="3"/>
  <c r="C64" i="3"/>
  <c r="E62" i="3"/>
  <c r="F62" i="3"/>
  <c r="E63" i="3"/>
  <c r="F63" i="3"/>
  <c r="F61" i="3"/>
  <c r="E61" i="3"/>
  <c r="D60" i="3"/>
  <c r="C60" i="3"/>
  <c r="E58" i="3"/>
  <c r="F58" i="3"/>
  <c r="E59" i="3"/>
  <c r="F59" i="3"/>
  <c r="F57" i="3"/>
  <c r="E57" i="3"/>
  <c r="D56" i="3"/>
  <c r="C56" i="3"/>
  <c r="E52" i="3"/>
  <c r="F52" i="3"/>
  <c r="E53" i="3"/>
  <c r="F53" i="3"/>
  <c r="E54" i="3"/>
  <c r="F54" i="3"/>
  <c r="E55" i="3"/>
  <c r="F55" i="3"/>
  <c r="F51" i="3"/>
  <c r="E51" i="3"/>
  <c r="D50" i="3"/>
  <c r="C50" i="3"/>
  <c r="F49" i="3"/>
  <c r="E49" i="3"/>
  <c r="D48" i="3"/>
  <c r="C48" i="3"/>
  <c r="H41" i="3"/>
  <c r="I41" i="3" s="1"/>
  <c r="I124" i="1" l="1"/>
  <c r="I71" i="1" l="1"/>
  <c r="I85" i="1"/>
  <c r="G85" i="1"/>
  <c r="I86" i="1"/>
  <c r="G86" i="1"/>
  <c r="I72" i="1"/>
  <c r="G72" i="1"/>
  <c r="I58" i="1"/>
  <c r="G58" i="1"/>
  <c r="G71" i="1" l="1"/>
  <c r="E95" i="1" l="1"/>
  <c r="E98" i="3" s="1"/>
  <c r="E81" i="1"/>
  <c r="E97" i="3" s="1"/>
  <c r="E67" i="1"/>
  <c r="E96" i="3" s="1"/>
  <c r="E54" i="1"/>
  <c r="E95" i="3" s="1"/>
  <c r="E17" i="1" l="1"/>
  <c r="E92" i="3" s="1"/>
  <c r="E30" i="3" l="1"/>
  <c r="F30" i="3"/>
  <c r="E31" i="3"/>
  <c r="F31" i="3"/>
  <c r="E32" i="3"/>
  <c r="F32" i="3"/>
  <c r="E33" i="3"/>
  <c r="F33" i="3"/>
  <c r="E34" i="3"/>
  <c r="F34" i="3"/>
  <c r="E35" i="3"/>
  <c r="F35" i="3"/>
  <c r="E36" i="3"/>
  <c r="F36" i="3"/>
  <c r="E37" i="3"/>
  <c r="F37" i="3"/>
  <c r="F29" i="3"/>
  <c r="E29" i="3"/>
  <c r="C28" i="3"/>
  <c r="D28" i="3"/>
  <c r="F24" i="3"/>
  <c r="E24" i="3"/>
  <c r="C23" i="3"/>
  <c r="D23" i="3"/>
  <c r="C18" i="3"/>
  <c r="D18" i="3"/>
  <c r="E15" i="3"/>
  <c r="C14" i="3"/>
  <c r="D14" i="3"/>
  <c r="E12" i="3"/>
  <c r="F12" i="3"/>
  <c r="E13" i="3"/>
  <c r="F13" i="3"/>
  <c r="F11" i="3"/>
  <c r="E11" i="3"/>
  <c r="C10" i="3"/>
  <c r="D10" i="3"/>
  <c r="E9" i="3"/>
  <c r="C8" i="3"/>
  <c r="D8" i="3"/>
  <c r="E7" i="3"/>
  <c r="F7" i="3"/>
  <c r="F6" i="3"/>
  <c r="E6" i="3"/>
  <c r="C5" i="3"/>
  <c r="D5" i="3"/>
  <c r="F15" i="3" l="1"/>
  <c r="F9" i="3"/>
  <c r="A1" i="3" l="1"/>
  <c r="C19" i="2" l="1"/>
  <c r="B19" i="2"/>
  <c r="C13" i="2"/>
  <c r="I87" i="1"/>
  <c r="G87" i="1"/>
  <c r="C83" i="3" l="1"/>
  <c r="C98" i="3"/>
  <c r="C96" i="3"/>
  <c r="C81" i="3"/>
  <c r="D83" i="3"/>
  <c r="D98" i="3"/>
  <c r="I73" i="1"/>
  <c r="G73" i="1"/>
  <c r="I21" i="1"/>
  <c r="G21" i="1"/>
  <c r="G93" i="1" l="1"/>
  <c r="I92" i="1"/>
  <c r="M92" i="1" s="1"/>
  <c r="I91" i="1"/>
  <c r="M91" i="1" s="1"/>
  <c r="N91" i="1" s="1"/>
  <c r="I90" i="1"/>
  <c r="M90" i="1" s="1"/>
  <c r="N90" i="1" s="1"/>
  <c r="M89" i="1"/>
  <c r="I84" i="1"/>
  <c r="G84" i="1"/>
  <c r="G59" i="1"/>
  <c r="I45" i="1"/>
  <c r="G45" i="1"/>
  <c r="I88" i="1" l="1"/>
  <c r="G88" i="1"/>
  <c r="N89" i="1"/>
  <c r="M93" i="1"/>
  <c r="I93" i="1"/>
  <c r="J85" i="1" l="1"/>
  <c r="J86" i="1"/>
  <c r="G94" i="1"/>
  <c r="D19" i="2"/>
  <c r="E19" i="2"/>
  <c r="J87" i="1"/>
  <c r="I94" i="1"/>
  <c r="I95" i="1" s="1"/>
  <c r="J84" i="1"/>
  <c r="N93" i="1"/>
  <c r="O93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G19" i="2" l="1"/>
  <c r="G95" i="1"/>
  <c r="A21" i="1"/>
  <c r="A22" i="1" s="1"/>
  <c r="A23" i="1" s="1"/>
  <c r="A24" i="1" s="1"/>
  <c r="A25" i="1" s="1"/>
  <c r="A26" i="1" s="1"/>
  <c r="A27" i="1" s="1"/>
  <c r="A28" i="1" s="1"/>
  <c r="A29" i="1" s="1"/>
  <c r="A30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20" i="1"/>
  <c r="J88" i="1"/>
  <c r="I78" i="1"/>
  <c r="M78" i="1" s="1"/>
  <c r="I77" i="1"/>
  <c r="M77" i="1" s="1"/>
  <c r="I76" i="1"/>
  <c r="M76" i="1" s="1"/>
  <c r="I64" i="1"/>
  <c r="M64" i="1" s="1"/>
  <c r="I63" i="1"/>
  <c r="M63" i="1" s="1"/>
  <c r="I62" i="1"/>
  <c r="M62" i="1" s="1"/>
  <c r="I51" i="1"/>
  <c r="M51" i="1" s="1"/>
  <c r="I49" i="1"/>
  <c r="I26" i="1"/>
  <c r="M26" i="1" s="1"/>
  <c r="I25" i="1"/>
  <c r="I24" i="1"/>
  <c r="M24" i="1" s="1"/>
  <c r="I14" i="1"/>
  <c r="I12" i="1"/>
  <c r="B28" i="2"/>
  <c r="M25" i="1" l="1"/>
  <c r="I134" i="1"/>
  <c r="I136" i="1"/>
  <c r="E28" i="2" s="1"/>
  <c r="A143" i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97" i="1"/>
  <c r="A98" i="1" s="1"/>
  <c r="A99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M13" i="1"/>
  <c r="M12" i="1"/>
  <c r="M14" i="1"/>
  <c r="M136" i="1" s="1"/>
  <c r="I27" i="1"/>
  <c r="I65" i="1"/>
  <c r="M49" i="1"/>
  <c r="G52" i="1"/>
  <c r="I50" i="1"/>
  <c r="M50" i="1" s="1"/>
  <c r="G15" i="1"/>
  <c r="G79" i="1"/>
  <c r="D28" i="2"/>
  <c r="G65" i="1"/>
  <c r="G27" i="1"/>
  <c r="I135" i="1" l="1"/>
  <c r="A100" i="1"/>
  <c r="J28" i="2"/>
  <c r="I15" i="1"/>
  <c r="I79" i="1"/>
  <c r="I52" i="1"/>
  <c r="I121" i="1"/>
  <c r="G121" i="1"/>
  <c r="I120" i="1"/>
  <c r="G120" i="1"/>
  <c r="I119" i="1"/>
  <c r="G119" i="1"/>
  <c r="I118" i="1"/>
  <c r="G118" i="1"/>
  <c r="I117" i="1"/>
  <c r="G117" i="1"/>
  <c r="I116" i="1"/>
  <c r="G116" i="1"/>
  <c r="I115" i="1"/>
  <c r="G115" i="1"/>
  <c r="I114" i="1"/>
  <c r="G114" i="1"/>
  <c r="E27" i="2" l="1"/>
  <c r="E26" i="2"/>
  <c r="D27" i="2"/>
  <c r="D26" i="2"/>
  <c r="C12" i="2"/>
  <c r="C18" i="2"/>
  <c r="C15" i="2"/>
  <c r="B15" i="2"/>
  <c r="B18" i="2"/>
  <c r="B13" i="2"/>
  <c r="B12" i="2"/>
  <c r="C10" i="2"/>
  <c r="C9" i="2"/>
  <c r="B10" i="2"/>
  <c r="B9" i="2"/>
  <c r="N63" i="1"/>
  <c r="N62" i="1"/>
  <c r="M61" i="1"/>
  <c r="I57" i="1"/>
  <c r="G57" i="1"/>
  <c r="N25" i="1"/>
  <c r="N24" i="1"/>
  <c r="M23" i="1"/>
  <c r="N49" i="1"/>
  <c r="M48" i="1"/>
  <c r="I46" i="1"/>
  <c r="G46" i="1"/>
  <c r="I44" i="1"/>
  <c r="G44" i="1"/>
  <c r="N77" i="1"/>
  <c r="N76" i="1"/>
  <c r="M75" i="1"/>
  <c r="I70" i="1"/>
  <c r="G70" i="1"/>
  <c r="C80" i="3" l="1"/>
  <c r="C95" i="3"/>
  <c r="C93" i="3"/>
  <c r="C78" i="3"/>
  <c r="C92" i="3"/>
  <c r="C77" i="3"/>
  <c r="C100" i="3"/>
  <c r="C85" i="3"/>
  <c r="C82" i="3"/>
  <c r="C97" i="3"/>
  <c r="D85" i="3"/>
  <c r="D100" i="3"/>
  <c r="D82" i="3"/>
  <c r="D97" i="3"/>
  <c r="D81" i="3"/>
  <c r="D96" i="3"/>
  <c r="D95" i="3"/>
  <c r="D80" i="3"/>
  <c r="D93" i="3"/>
  <c r="D78" i="3"/>
  <c r="D92" i="3"/>
  <c r="D77" i="3"/>
  <c r="N23" i="1"/>
  <c r="M27" i="1"/>
  <c r="N75" i="1"/>
  <c r="M79" i="1"/>
  <c r="N61" i="1"/>
  <c r="M65" i="1"/>
  <c r="N48" i="1"/>
  <c r="M52" i="1"/>
  <c r="E25" i="2"/>
  <c r="E29" i="2" s="1"/>
  <c r="G60" i="1"/>
  <c r="D13" i="2" s="1"/>
  <c r="D25" i="2"/>
  <c r="D29" i="2" s="1"/>
  <c r="G22" i="1"/>
  <c r="D10" i="2" s="1"/>
  <c r="I22" i="1"/>
  <c r="J20" i="1" s="1"/>
  <c r="G47" i="1"/>
  <c r="N50" i="1"/>
  <c r="I47" i="1"/>
  <c r="J46" i="1" s="1"/>
  <c r="I74" i="1"/>
  <c r="G74" i="1"/>
  <c r="G113" i="1"/>
  <c r="I113" i="1"/>
  <c r="G127" i="1"/>
  <c r="G137" i="1" s="1"/>
  <c r="M125" i="1"/>
  <c r="M135" i="1" s="1"/>
  <c r="M124" i="1"/>
  <c r="M134" i="1" s="1"/>
  <c r="M123" i="1"/>
  <c r="B26" i="2"/>
  <c r="B27" i="2"/>
  <c r="B25" i="2"/>
  <c r="M11" i="1"/>
  <c r="I9" i="1"/>
  <c r="I8" i="1"/>
  <c r="G9" i="1"/>
  <c r="G8" i="1"/>
  <c r="A2" i="1"/>
  <c r="A1" i="1"/>
  <c r="A9" i="2"/>
  <c r="A10" i="2" s="1"/>
  <c r="M133" i="1" l="1"/>
  <c r="A11" i="2"/>
  <c r="A12" i="2" s="1"/>
  <c r="A13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J71" i="1"/>
  <c r="J72" i="1"/>
  <c r="N52" i="1"/>
  <c r="M15" i="1"/>
  <c r="N123" i="1"/>
  <c r="J21" i="1"/>
  <c r="N124" i="1"/>
  <c r="N125" i="1"/>
  <c r="J27" i="2"/>
  <c r="J45" i="1"/>
  <c r="J73" i="1"/>
  <c r="J44" i="1"/>
  <c r="J70" i="1"/>
  <c r="G66" i="1"/>
  <c r="G67" i="1" s="1"/>
  <c r="G28" i="1"/>
  <c r="G29" i="1" s="1"/>
  <c r="N12" i="1"/>
  <c r="J26" i="2"/>
  <c r="N13" i="1"/>
  <c r="G53" i="1"/>
  <c r="G54" i="1" s="1"/>
  <c r="D12" i="2"/>
  <c r="G80" i="1"/>
  <c r="G81" i="1" s="1"/>
  <c r="D18" i="2"/>
  <c r="D20" i="2" s="1"/>
  <c r="I80" i="1"/>
  <c r="I81" i="1" s="1"/>
  <c r="E18" i="2"/>
  <c r="I53" i="1"/>
  <c r="I54" i="1" s="1"/>
  <c r="E12" i="2"/>
  <c r="I28" i="1"/>
  <c r="I29" i="1" s="1"/>
  <c r="E10" i="2"/>
  <c r="N65" i="1"/>
  <c r="O65" i="1" s="1"/>
  <c r="N27" i="1"/>
  <c r="O27" i="1" s="1"/>
  <c r="N79" i="1"/>
  <c r="O79" i="1" s="1"/>
  <c r="G10" i="1"/>
  <c r="I10" i="1"/>
  <c r="I127" i="1"/>
  <c r="I137" i="1" s="1"/>
  <c r="I122" i="1"/>
  <c r="G122" i="1"/>
  <c r="N11" i="1"/>
  <c r="G132" i="1" l="1"/>
  <c r="N134" i="1"/>
  <c r="N135" i="1"/>
  <c r="N133" i="1"/>
  <c r="E20" i="2"/>
  <c r="G18" i="2"/>
  <c r="F18" i="2"/>
  <c r="O52" i="1"/>
  <c r="G10" i="2"/>
  <c r="G12" i="2"/>
  <c r="D15" i="2"/>
  <c r="J74" i="1"/>
  <c r="J25" i="2"/>
  <c r="J29" i="2" s="1"/>
  <c r="J47" i="1"/>
  <c r="E15" i="2"/>
  <c r="J22" i="1"/>
  <c r="J120" i="1"/>
  <c r="J121" i="1"/>
  <c r="J118" i="1"/>
  <c r="J119" i="1"/>
  <c r="J117" i="1"/>
  <c r="J115" i="1"/>
  <c r="J116" i="1"/>
  <c r="J114" i="1"/>
  <c r="J9" i="1"/>
  <c r="J8" i="1"/>
  <c r="G128" i="1"/>
  <c r="E9" i="2"/>
  <c r="G16" i="1"/>
  <c r="G138" i="1" s="1"/>
  <c r="D9" i="2"/>
  <c r="J113" i="1"/>
  <c r="I128" i="1"/>
  <c r="M127" i="1"/>
  <c r="M137" i="1" s="1"/>
  <c r="I16" i="1"/>
  <c r="N15" i="1"/>
  <c r="G20" i="2" l="1"/>
  <c r="H18" i="2" s="1"/>
  <c r="I18" i="2" s="1"/>
  <c r="K74" i="1" s="1"/>
  <c r="F20" i="2"/>
  <c r="F19" i="2"/>
  <c r="I17" i="1"/>
  <c r="G15" i="2"/>
  <c r="G9" i="2"/>
  <c r="D16" i="2"/>
  <c r="G17" i="1"/>
  <c r="J122" i="1"/>
  <c r="N127" i="1"/>
  <c r="N137" i="1" s="1"/>
  <c r="J10" i="1"/>
  <c r="D22" i="2" l="1"/>
  <c r="D31" i="2" s="1"/>
  <c r="D33" i="2" s="1"/>
  <c r="H19" i="2"/>
  <c r="I19" i="2" s="1"/>
  <c r="H20" i="2"/>
  <c r="O127" i="1"/>
  <c r="I20" i="2" l="1"/>
  <c r="K88" i="1"/>
  <c r="D34" i="2"/>
  <c r="S74" i="1" l="1"/>
  <c r="S88" i="1"/>
  <c r="L86" i="1" l="1"/>
  <c r="G26" i="3" s="1"/>
  <c r="H26" i="3" s="1"/>
  <c r="I26" i="3" s="1"/>
  <c r="L85" i="1"/>
  <c r="G25" i="3" s="1"/>
  <c r="H25" i="3" s="1"/>
  <c r="I25" i="3" s="1"/>
  <c r="L72" i="1"/>
  <c r="L71" i="1"/>
  <c r="L84" i="1"/>
  <c r="G24" i="3" s="1"/>
  <c r="H24" i="3" s="1"/>
  <c r="I24" i="3" s="1"/>
  <c r="L87" i="1"/>
  <c r="G27" i="3" s="1"/>
  <c r="H27" i="3" s="1"/>
  <c r="I27" i="3" s="1"/>
  <c r="L73" i="1"/>
  <c r="L70" i="1"/>
  <c r="G21" i="3" l="1"/>
  <c r="H21" i="3" s="1"/>
  <c r="I21" i="3" s="1"/>
  <c r="L149" i="1"/>
  <c r="G22" i="3"/>
  <c r="H22" i="3" s="1"/>
  <c r="I22" i="3" s="1"/>
  <c r="M70" i="1"/>
  <c r="N70" i="1" s="1"/>
  <c r="O70" i="1" s="1"/>
  <c r="G19" i="3"/>
  <c r="H19" i="3" s="1"/>
  <c r="I19" i="3" s="1"/>
  <c r="G20" i="3"/>
  <c r="H20" i="3" s="1"/>
  <c r="I20" i="3" s="1"/>
  <c r="L148" i="1"/>
  <c r="M72" i="1"/>
  <c r="N72" i="1" s="1"/>
  <c r="O72" i="1" s="1"/>
  <c r="T72" i="1"/>
  <c r="M85" i="1"/>
  <c r="N85" i="1" s="1"/>
  <c r="O85" i="1" s="1"/>
  <c r="T85" i="1"/>
  <c r="M86" i="1"/>
  <c r="N86" i="1" s="1"/>
  <c r="O86" i="1" s="1"/>
  <c r="T86" i="1"/>
  <c r="T71" i="1"/>
  <c r="M71" i="1"/>
  <c r="N71" i="1" s="1"/>
  <c r="O71" i="1" s="1"/>
  <c r="M84" i="1"/>
  <c r="N84" i="1" s="1"/>
  <c r="O84" i="1" s="1"/>
  <c r="T84" i="1"/>
  <c r="T73" i="1"/>
  <c r="M73" i="1"/>
  <c r="N73" i="1" s="1"/>
  <c r="O73" i="1" s="1"/>
  <c r="M87" i="1"/>
  <c r="N87" i="1" s="1"/>
  <c r="O87" i="1" s="1"/>
  <c r="T87" i="1"/>
  <c r="L162" i="1" l="1"/>
  <c r="L158" i="1"/>
  <c r="L154" i="1"/>
  <c r="M74" i="1"/>
  <c r="P71" i="1" s="1"/>
  <c r="Q71" i="1" s="1"/>
  <c r="N74" i="1"/>
  <c r="L18" i="2" s="1"/>
  <c r="M88" i="1"/>
  <c r="N88" i="1"/>
  <c r="M18" i="2" l="1"/>
  <c r="P85" i="1"/>
  <c r="Q85" i="1" s="1"/>
  <c r="M80" i="1"/>
  <c r="M81" i="1" s="1"/>
  <c r="N81" i="1" s="1"/>
  <c r="O81" i="1" s="1"/>
  <c r="P70" i="1"/>
  <c r="Q70" i="1" s="1"/>
  <c r="P72" i="1"/>
  <c r="Q72" i="1" s="1"/>
  <c r="R74" i="1"/>
  <c r="J18" i="2"/>
  <c r="P73" i="1"/>
  <c r="Q73" i="1" s="1"/>
  <c r="M94" i="1"/>
  <c r="M95" i="1" s="1"/>
  <c r="N95" i="1" s="1"/>
  <c r="P86" i="1"/>
  <c r="Q86" i="1" s="1"/>
  <c r="J19" i="2"/>
  <c r="P84" i="1"/>
  <c r="Q84" i="1" s="1"/>
  <c r="P87" i="1"/>
  <c r="Q87" i="1" s="1"/>
  <c r="R88" i="1"/>
  <c r="F82" i="3"/>
  <c r="O74" i="1"/>
  <c r="O88" i="1"/>
  <c r="S146" i="1" s="1"/>
  <c r="S147" i="1" s="1"/>
  <c r="S148" i="1" s="1"/>
  <c r="S149" i="1" s="1"/>
  <c r="S150" i="1" s="1"/>
  <c r="L19" i="2"/>
  <c r="M19" i="2" s="1"/>
  <c r="J20" i="2" l="1"/>
  <c r="K20" i="2" s="1"/>
  <c r="O18" i="2"/>
  <c r="O19" i="2"/>
  <c r="L20" i="2"/>
  <c r="M20" i="2" s="1"/>
  <c r="P74" i="1"/>
  <c r="Q74" i="1" s="1"/>
  <c r="N80" i="1"/>
  <c r="O80" i="1" s="1"/>
  <c r="N18" i="2" s="1"/>
  <c r="F97" i="3"/>
  <c r="N94" i="1"/>
  <c r="O94" i="1" s="1"/>
  <c r="N19" i="2" s="1"/>
  <c r="P88" i="1"/>
  <c r="Q88" i="1" s="1"/>
  <c r="O95" i="1"/>
  <c r="F98" i="3"/>
  <c r="F83" i="3"/>
  <c r="K19" i="2" l="1"/>
  <c r="K18" i="2"/>
  <c r="O20" i="2"/>
  <c r="G98" i="3"/>
  <c r="G83" i="3"/>
  <c r="G97" i="3"/>
  <c r="G82" i="3"/>
  <c r="L160" i="1" l="1"/>
  <c r="L156" i="1"/>
  <c r="L146" i="1"/>
  <c r="L152" i="1"/>
  <c r="T146" i="1" l="1"/>
  <c r="G51" i="3"/>
  <c r="H51" i="3" s="1"/>
  <c r="I51" i="3" s="1"/>
  <c r="T156" i="1"/>
  <c r="G61" i="3"/>
  <c r="H61" i="3" s="1"/>
  <c r="I61" i="3" s="1"/>
  <c r="T160" i="1"/>
  <c r="G65" i="3"/>
  <c r="H65" i="3" s="1"/>
  <c r="I65" i="3" s="1"/>
  <c r="T152" i="1"/>
  <c r="G57" i="3"/>
  <c r="H57" i="3" s="1"/>
  <c r="I57" i="3" s="1"/>
  <c r="L161" i="1"/>
  <c r="L157" i="1"/>
  <c r="L153" i="1"/>
  <c r="L147" i="1"/>
  <c r="T158" i="1" l="1"/>
  <c r="G63" i="3"/>
  <c r="H63" i="3" s="1"/>
  <c r="I63" i="3" s="1"/>
  <c r="T161" i="1"/>
  <c r="G66" i="3"/>
  <c r="H66" i="3" s="1"/>
  <c r="I66" i="3" s="1"/>
  <c r="T147" i="1"/>
  <c r="G52" i="3"/>
  <c r="H52" i="3" s="1"/>
  <c r="I52" i="3" s="1"/>
  <c r="T153" i="1"/>
  <c r="G58" i="3"/>
  <c r="H58" i="3" s="1"/>
  <c r="I58" i="3" s="1"/>
  <c r="T157" i="1"/>
  <c r="G62" i="3"/>
  <c r="H62" i="3" s="1"/>
  <c r="I62" i="3" s="1"/>
  <c r="T154" i="1" l="1"/>
  <c r="G59" i="3"/>
  <c r="H59" i="3" s="1"/>
  <c r="I59" i="3" s="1"/>
  <c r="T162" i="1"/>
  <c r="G67" i="3"/>
  <c r="H67" i="3" s="1"/>
  <c r="I67" i="3" s="1"/>
  <c r="T148" i="1"/>
  <c r="G53" i="3"/>
  <c r="H53" i="3" s="1"/>
  <c r="I53" i="3" s="1"/>
  <c r="L163" i="1"/>
  <c r="T149" i="1" l="1"/>
  <c r="G54" i="3"/>
  <c r="H54" i="3" s="1"/>
  <c r="I54" i="3" s="1"/>
  <c r="T163" i="1"/>
  <c r="G68" i="3"/>
  <c r="H68" i="3" s="1"/>
  <c r="I68" i="3" s="1"/>
  <c r="L150" i="1"/>
  <c r="T150" i="1" l="1"/>
  <c r="G55" i="3"/>
  <c r="H55" i="3" s="1"/>
  <c r="I55" i="3" s="1"/>
  <c r="O20" i="1" l="1"/>
  <c r="F17" i="3"/>
  <c r="I59" i="1"/>
  <c r="I60" i="1" l="1"/>
  <c r="E13" i="2" l="1"/>
  <c r="I66" i="1"/>
  <c r="J58" i="1"/>
  <c r="J57" i="1"/>
  <c r="I132" i="1"/>
  <c r="J59" i="1"/>
  <c r="J60" i="1" l="1"/>
  <c r="I67" i="1"/>
  <c r="I138" i="1"/>
  <c r="G13" i="2"/>
  <c r="E16" i="2"/>
  <c r="G16" i="2" l="1"/>
  <c r="H13" i="2" s="1"/>
  <c r="I13" i="2" s="1"/>
  <c r="K60" i="1" s="1"/>
  <c r="S60" i="1" s="1"/>
  <c r="F12" i="2"/>
  <c r="F9" i="2"/>
  <c r="F11" i="2"/>
  <c r="F14" i="2"/>
  <c r="F15" i="2"/>
  <c r="F10" i="2"/>
  <c r="F16" i="2"/>
  <c r="E22" i="2"/>
  <c r="E31" i="2" s="1"/>
  <c r="F13" i="2"/>
  <c r="L57" i="1" l="1"/>
  <c r="L58" i="1"/>
  <c r="L59" i="1"/>
  <c r="H12" i="2"/>
  <c r="I12" i="2" s="1"/>
  <c r="K47" i="1" s="1"/>
  <c r="S47" i="1" s="1"/>
  <c r="G22" i="2"/>
  <c r="H14" i="2"/>
  <c r="I14" i="2" s="1"/>
  <c r="K103" i="1" s="1"/>
  <c r="S103" i="1" s="1"/>
  <c r="H9" i="2"/>
  <c r="I9" i="2" s="1"/>
  <c r="H10" i="2"/>
  <c r="I10" i="2" s="1"/>
  <c r="K22" i="1" s="1"/>
  <c r="S22" i="1" s="1"/>
  <c r="H15" i="2"/>
  <c r="I15" i="2" s="1"/>
  <c r="K122" i="1" s="1"/>
  <c r="S122" i="1" s="1"/>
  <c r="H11" i="2"/>
  <c r="I11" i="2" s="1"/>
  <c r="K34" i="1" s="1"/>
  <c r="S34" i="1" s="1"/>
  <c r="L100" i="1" l="1"/>
  <c r="L102" i="1"/>
  <c r="L98" i="1"/>
  <c r="L99" i="1"/>
  <c r="L101" i="1"/>
  <c r="L20" i="1"/>
  <c r="M20" i="1" s="1"/>
  <c r="L21" i="1"/>
  <c r="I16" i="2"/>
  <c r="I22" i="2" s="1"/>
  <c r="K10" i="1"/>
  <c r="S10" i="1" s="1"/>
  <c r="L45" i="1"/>
  <c r="L46" i="1"/>
  <c r="L44" i="1"/>
  <c r="M59" i="1"/>
  <c r="T59" i="1"/>
  <c r="G17" i="3"/>
  <c r="H17" i="3" s="1"/>
  <c r="I17" i="3" s="1"/>
  <c r="L33" i="1"/>
  <c r="L32" i="1"/>
  <c r="G16" i="3"/>
  <c r="H16" i="3" s="1"/>
  <c r="I16" i="3" s="1"/>
  <c r="M58" i="1"/>
  <c r="L115" i="1"/>
  <c r="L113" i="1"/>
  <c r="L121" i="1"/>
  <c r="L117" i="1"/>
  <c r="L120" i="1"/>
  <c r="L119" i="1"/>
  <c r="L116" i="1"/>
  <c r="L114" i="1"/>
  <c r="L118" i="1"/>
  <c r="M57" i="1"/>
  <c r="G15" i="3"/>
  <c r="H15" i="3" s="1"/>
  <c r="I15" i="3" s="1"/>
  <c r="T33" i="1" l="1"/>
  <c r="M33" i="1"/>
  <c r="G40" i="3"/>
  <c r="H40" i="3" s="1"/>
  <c r="I40" i="3" s="1"/>
  <c r="G9" i="3"/>
  <c r="H9" i="3" s="1"/>
  <c r="I9" i="3" s="1"/>
  <c r="T21" i="1"/>
  <c r="M21" i="1"/>
  <c r="G47" i="3"/>
  <c r="H47" i="3" s="1"/>
  <c r="I47" i="3" s="1"/>
  <c r="T102" i="1"/>
  <c r="M102" i="1"/>
  <c r="T119" i="1"/>
  <c r="G35" i="3"/>
  <c r="H35" i="3" s="1"/>
  <c r="I35" i="3" s="1"/>
  <c r="M119" i="1"/>
  <c r="G36" i="3"/>
  <c r="H36" i="3" s="1"/>
  <c r="I36" i="3" s="1"/>
  <c r="T120" i="1"/>
  <c r="M120" i="1"/>
  <c r="G33" i="3"/>
  <c r="H33" i="3" s="1"/>
  <c r="I33" i="3" s="1"/>
  <c r="T117" i="1"/>
  <c r="M117" i="1"/>
  <c r="T121" i="1"/>
  <c r="M121" i="1"/>
  <c r="G37" i="3"/>
  <c r="H37" i="3" s="1"/>
  <c r="I37" i="3" s="1"/>
  <c r="T113" i="1"/>
  <c r="M113" i="1"/>
  <c r="G29" i="3"/>
  <c r="H29" i="3" s="1"/>
  <c r="I29" i="3" s="1"/>
  <c r="N59" i="1"/>
  <c r="O59" i="1" s="1"/>
  <c r="T118" i="1"/>
  <c r="M118" i="1"/>
  <c r="G34" i="3"/>
  <c r="H34" i="3" s="1"/>
  <c r="I34" i="3" s="1"/>
  <c r="M115" i="1"/>
  <c r="G31" i="3"/>
  <c r="H31" i="3" s="1"/>
  <c r="I31" i="3" s="1"/>
  <c r="T115" i="1"/>
  <c r="T44" i="1"/>
  <c r="G11" i="3"/>
  <c r="H11" i="3" s="1"/>
  <c r="I11" i="3" s="1"/>
  <c r="M44" i="1"/>
  <c r="M99" i="1"/>
  <c r="T99" i="1"/>
  <c r="G44" i="3"/>
  <c r="H44" i="3" s="1"/>
  <c r="I44" i="3" s="1"/>
  <c r="N20" i="1"/>
  <c r="M60" i="1"/>
  <c r="P59" i="1" s="1"/>
  <c r="Q59" i="1" s="1"/>
  <c r="N57" i="1"/>
  <c r="G46" i="3"/>
  <c r="H46" i="3" s="1"/>
  <c r="I46" i="3" s="1"/>
  <c r="T101" i="1"/>
  <c r="M101" i="1"/>
  <c r="M114" i="1"/>
  <c r="G30" i="3"/>
  <c r="H30" i="3" s="1"/>
  <c r="I30" i="3" s="1"/>
  <c r="T114" i="1"/>
  <c r="N58" i="1"/>
  <c r="O58" i="1" s="1"/>
  <c r="G13" i="3"/>
  <c r="H13" i="3" s="1"/>
  <c r="I13" i="3" s="1"/>
  <c r="T46" i="1"/>
  <c r="M46" i="1"/>
  <c r="M98" i="1"/>
  <c r="T98" i="1"/>
  <c r="G43" i="3"/>
  <c r="H43" i="3" s="1"/>
  <c r="I43" i="3" s="1"/>
  <c r="G32" i="3"/>
  <c r="H32" i="3" s="1"/>
  <c r="I32" i="3" s="1"/>
  <c r="T116" i="1"/>
  <c r="M116" i="1"/>
  <c r="M45" i="1"/>
  <c r="T45" i="1"/>
  <c r="G12" i="3"/>
  <c r="H12" i="3" s="1"/>
  <c r="I12" i="3" s="1"/>
  <c r="G39" i="3"/>
  <c r="H39" i="3" s="1"/>
  <c r="I39" i="3" s="1"/>
  <c r="T32" i="1"/>
  <c r="M32" i="1"/>
  <c r="L9" i="1"/>
  <c r="L8" i="1"/>
  <c r="G45" i="3"/>
  <c r="H45" i="3" s="1"/>
  <c r="I45" i="3" s="1"/>
  <c r="M100" i="1"/>
  <c r="T100" i="1"/>
  <c r="N100" i="1" l="1"/>
  <c r="O100" i="1" s="1"/>
  <c r="P100" i="1"/>
  <c r="Q100" i="1" s="1"/>
  <c r="N98" i="1"/>
  <c r="P98" i="1"/>
  <c r="M103" i="1"/>
  <c r="N114" i="1"/>
  <c r="O114" i="1" s="1"/>
  <c r="N113" i="1"/>
  <c r="M122" i="1"/>
  <c r="P121" i="1" s="1"/>
  <c r="Q121" i="1" s="1"/>
  <c r="N120" i="1"/>
  <c r="O120" i="1" s="1"/>
  <c r="N115" i="1"/>
  <c r="O115" i="1" s="1"/>
  <c r="M22" i="1"/>
  <c r="N21" i="1"/>
  <c r="N45" i="1"/>
  <c r="O45" i="1" s="1"/>
  <c r="N116" i="1"/>
  <c r="O116" i="1" s="1"/>
  <c r="P99" i="1"/>
  <c r="Q99" i="1" s="1"/>
  <c r="N99" i="1"/>
  <c r="O99" i="1" s="1"/>
  <c r="N118" i="1"/>
  <c r="O118" i="1" s="1"/>
  <c r="N121" i="1"/>
  <c r="O121" i="1" s="1"/>
  <c r="N119" i="1"/>
  <c r="O119" i="1" s="1"/>
  <c r="N101" i="1"/>
  <c r="O101" i="1" s="1"/>
  <c r="P101" i="1"/>
  <c r="Q101" i="1" s="1"/>
  <c r="M8" i="1"/>
  <c r="G6" i="3"/>
  <c r="H6" i="3" s="1"/>
  <c r="I6" i="3" s="1"/>
  <c r="T8" i="1"/>
  <c r="M9" i="1"/>
  <c r="G7" i="3"/>
  <c r="H7" i="3" s="1"/>
  <c r="I7" i="3" s="1"/>
  <c r="T9" i="1"/>
  <c r="P58" i="1"/>
  <c r="Q58" i="1" s="1"/>
  <c r="O57" i="1"/>
  <c r="N60" i="1"/>
  <c r="N44" i="1"/>
  <c r="M47" i="1"/>
  <c r="P45" i="1" s="1"/>
  <c r="Q45" i="1" s="1"/>
  <c r="N117" i="1"/>
  <c r="O117" i="1" s="1"/>
  <c r="N33" i="1"/>
  <c r="O33" i="1" s="1"/>
  <c r="N46" i="1"/>
  <c r="O46" i="1" s="1"/>
  <c r="M34" i="1"/>
  <c r="P33" i="1" s="1"/>
  <c r="Q33" i="1" s="1"/>
  <c r="N32" i="1"/>
  <c r="R60" i="1"/>
  <c r="M66" i="1"/>
  <c r="J13" i="2"/>
  <c r="P57" i="1"/>
  <c r="N102" i="1"/>
  <c r="O102" i="1" s="1"/>
  <c r="P102" i="1"/>
  <c r="Q102" i="1" s="1"/>
  <c r="P116" i="1" l="1"/>
  <c r="Q116" i="1" s="1"/>
  <c r="P114" i="1"/>
  <c r="Q114" i="1" s="1"/>
  <c r="P117" i="1"/>
  <c r="Q117" i="1" s="1"/>
  <c r="P119" i="1"/>
  <c r="Q119" i="1" s="1"/>
  <c r="P115" i="1"/>
  <c r="Q115" i="1" s="1"/>
  <c r="P120" i="1"/>
  <c r="Q120" i="1" s="1"/>
  <c r="P32" i="1"/>
  <c r="P34" i="1" s="1"/>
  <c r="Q34" i="1" s="1"/>
  <c r="N122" i="1"/>
  <c r="O122" i="1" s="1"/>
  <c r="O113" i="1"/>
  <c r="O13" i="2"/>
  <c r="M28" i="1"/>
  <c r="R22" i="1"/>
  <c r="J10" i="2"/>
  <c r="P20" i="1"/>
  <c r="Q20" i="1" s="1"/>
  <c r="M67" i="1"/>
  <c r="N67" i="1" s="1"/>
  <c r="N66" i="1"/>
  <c r="O66" i="1" s="1"/>
  <c r="N13" i="2" s="1"/>
  <c r="O32" i="1"/>
  <c r="N34" i="1"/>
  <c r="Q98" i="1"/>
  <c r="P103" i="1"/>
  <c r="Q103" i="1" s="1"/>
  <c r="N8" i="1"/>
  <c r="M10" i="1"/>
  <c r="P9" i="1" s="1"/>
  <c r="Q9" i="1" s="1"/>
  <c r="R34" i="1"/>
  <c r="M40" i="1"/>
  <c r="J11" i="2"/>
  <c r="M53" i="1"/>
  <c r="R47" i="1"/>
  <c r="J12" i="2"/>
  <c r="N9" i="1"/>
  <c r="O9" i="1" s="1"/>
  <c r="N103" i="1"/>
  <c r="O98" i="1"/>
  <c r="O60" i="1"/>
  <c r="L13" i="2"/>
  <c r="Q57" i="1"/>
  <c r="P60" i="1"/>
  <c r="Q60" i="1" s="1"/>
  <c r="N22" i="1"/>
  <c r="O21" i="1"/>
  <c r="R103" i="1"/>
  <c r="M109" i="1"/>
  <c r="J14" i="2"/>
  <c r="O44" i="1"/>
  <c r="N47" i="1"/>
  <c r="M128" i="1"/>
  <c r="N128" i="1" s="1"/>
  <c r="O128" i="1" s="1"/>
  <c r="N15" i="2" s="1"/>
  <c r="R122" i="1"/>
  <c r="J15" i="2"/>
  <c r="P46" i="1"/>
  <c r="Q46" i="1" s="1"/>
  <c r="P44" i="1"/>
  <c r="P118" i="1"/>
  <c r="Q118" i="1" s="1"/>
  <c r="P21" i="1"/>
  <c r="P113" i="1"/>
  <c r="P8" i="1" l="1"/>
  <c r="P10" i="1" s="1"/>
  <c r="Q10" i="1" s="1"/>
  <c r="Q32" i="1"/>
  <c r="Q113" i="1"/>
  <c r="P122" i="1"/>
  <c r="Q122" i="1" s="1"/>
  <c r="L10" i="2"/>
  <c r="O22" i="1"/>
  <c r="O12" i="2"/>
  <c r="N28" i="1"/>
  <c r="O28" i="1" s="1"/>
  <c r="N10" i="2" s="1"/>
  <c r="M29" i="1"/>
  <c r="N29" i="1" s="1"/>
  <c r="O11" i="2"/>
  <c r="L12" i="2"/>
  <c r="O47" i="1"/>
  <c r="Q8" i="1"/>
  <c r="O10" i="2"/>
  <c r="P47" i="1"/>
  <c r="Q47" i="1" s="1"/>
  <c r="Q44" i="1"/>
  <c r="O14" i="2"/>
  <c r="O34" i="1"/>
  <c r="L11" i="2"/>
  <c r="O15" i="2"/>
  <c r="L15" i="2"/>
  <c r="M41" i="1"/>
  <c r="N41" i="1" s="1"/>
  <c r="N40" i="1"/>
  <c r="O40" i="1" s="1"/>
  <c r="N11" i="2" s="1"/>
  <c r="L14" i="2"/>
  <c r="O103" i="1"/>
  <c r="G96" i="3"/>
  <c r="G81" i="3"/>
  <c r="P22" i="1"/>
  <c r="Q22" i="1" s="1"/>
  <c r="Q21" i="1"/>
  <c r="O8" i="1"/>
  <c r="N10" i="1"/>
  <c r="F81" i="3"/>
  <c r="M13" i="2"/>
  <c r="N53" i="1"/>
  <c r="O53" i="1" s="1"/>
  <c r="N12" i="2" s="1"/>
  <c r="M54" i="1"/>
  <c r="N54" i="1" s="1"/>
  <c r="N109" i="1"/>
  <c r="O109" i="1" s="1"/>
  <c r="N14" i="2" s="1"/>
  <c r="M110" i="1"/>
  <c r="N110" i="1" s="1"/>
  <c r="G100" i="3"/>
  <c r="G85" i="3"/>
  <c r="R10" i="1"/>
  <c r="M132" i="1"/>
  <c r="M16" i="1"/>
  <c r="J9" i="2"/>
  <c r="O67" i="1"/>
  <c r="F96" i="3"/>
  <c r="O29" i="1" l="1"/>
  <c r="F93" i="3"/>
  <c r="O54" i="1"/>
  <c r="F95" i="3"/>
  <c r="G78" i="3"/>
  <c r="G93" i="3"/>
  <c r="G99" i="3"/>
  <c r="G84" i="3"/>
  <c r="O9" i="2"/>
  <c r="J16" i="2"/>
  <c r="K9" i="2" s="1"/>
  <c r="M11" i="2"/>
  <c r="F79" i="3"/>
  <c r="F84" i="3"/>
  <c r="M14" i="2"/>
  <c r="N16" i="1"/>
  <c r="M138" i="1"/>
  <c r="M17" i="1"/>
  <c r="N17" i="1" s="1"/>
  <c r="G79" i="3"/>
  <c r="G94" i="3"/>
  <c r="M12" i="2"/>
  <c r="F80" i="3"/>
  <c r="M10" i="2"/>
  <c r="F78" i="3"/>
  <c r="G95" i="3"/>
  <c r="G80" i="3"/>
  <c r="N132" i="1"/>
  <c r="O132" i="1" s="1"/>
  <c r="S144" i="1" s="1"/>
  <c r="L144" i="1" s="1"/>
  <c r="L9" i="2"/>
  <c r="AD20" i="1"/>
  <c r="O10" i="1"/>
  <c r="F94" i="3"/>
  <c r="O41" i="1"/>
  <c r="O110" i="1"/>
  <c r="F99" i="3"/>
  <c r="F85" i="3"/>
  <c r="M15" i="2"/>
  <c r="O16" i="1" l="1"/>
  <c r="N9" i="2" s="1"/>
  <c r="N138" i="1"/>
  <c r="M9" i="2"/>
  <c r="F77" i="3"/>
  <c r="T144" i="1"/>
  <c r="G49" i="3"/>
  <c r="H49" i="3" s="1"/>
  <c r="I49" i="3" s="1"/>
  <c r="K16" i="2"/>
  <c r="J22" i="2"/>
  <c r="J31" i="2" s="1"/>
  <c r="L31" i="2" s="1"/>
  <c r="O16" i="2"/>
  <c r="O22" i="2" s="1"/>
  <c r="L16" i="2"/>
  <c r="K13" i="2"/>
  <c r="K11" i="2"/>
  <c r="K14" i="2"/>
  <c r="K12" i="2"/>
  <c r="K15" i="2"/>
  <c r="K10" i="2"/>
  <c r="O17" i="1"/>
  <c r="F92" i="3"/>
  <c r="M16" i="2" l="1"/>
  <c r="M22" i="2" s="1"/>
  <c r="L22" i="2"/>
  <c r="O138" i="1"/>
  <c r="F86" i="3"/>
  <c r="N31" i="2"/>
  <c r="G86" i="3" s="1"/>
  <c r="G92" i="3"/>
  <c r="G77" i="3"/>
  <c r="L32" i="2" l="1"/>
  <c r="L33" i="2" s="1"/>
  <c r="L34" i="2" s="1"/>
  <c r="N140" i="1"/>
</calcChain>
</file>

<file path=xl/sharedStrings.xml><?xml version="1.0" encoding="utf-8"?>
<sst xmlns="http://schemas.openxmlformats.org/spreadsheetml/2006/main" count="237" uniqueCount="117">
  <si>
    <t>Billing Analysis for Pass-Through Rate Increase</t>
  </si>
  <si>
    <t>#</t>
  </si>
  <si>
    <t>Item</t>
  </si>
  <si>
    <t>Present Revenue</t>
  </si>
  <si>
    <t>Proposed Revenue</t>
  </si>
  <si>
    <t>Base Rates</t>
  </si>
  <si>
    <t>Total Base Rates</t>
  </si>
  <si>
    <t>Riders</t>
  </si>
  <si>
    <t>Total Riders</t>
  </si>
  <si>
    <t>Total Revenue</t>
  </si>
  <si>
    <t>Target Revenue</t>
  </si>
  <si>
    <t>Code</t>
  </si>
  <si>
    <t>Classification</t>
  </si>
  <si>
    <t>Billing Component</t>
  </si>
  <si>
    <t>Billing Units</t>
  </si>
  <si>
    <t>Increase $</t>
  </si>
  <si>
    <t>%</t>
  </si>
  <si>
    <t>Customer Charge</t>
  </si>
  <si>
    <t>Average</t>
  </si>
  <si>
    <t>TOTAL REVENUE</t>
  </si>
  <si>
    <t>Present Share</t>
  </si>
  <si>
    <t>Proposed Rate</t>
  </si>
  <si>
    <t>Proposed Share</t>
  </si>
  <si>
    <t xml:space="preserve">       Present Rate</t>
  </si>
  <si>
    <t xml:space="preserve">            Present Revenue</t>
  </si>
  <si>
    <t>Share Variance</t>
  </si>
  <si>
    <t xml:space="preserve">    FAC</t>
  </si>
  <si>
    <t xml:space="preserve">    ES</t>
  </si>
  <si>
    <t>TOTALS</t>
  </si>
  <si>
    <t xml:space="preserve">    Misc Adj</t>
  </si>
  <si>
    <t>Allocation Revenue</t>
  </si>
  <si>
    <t>Allocation Share</t>
  </si>
  <si>
    <t>Allocated Increase</t>
  </si>
  <si>
    <t>Per Unit Rate Change</t>
  </si>
  <si>
    <t>Rounding</t>
  </si>
  <si>
    <t>Rate Rounding Variance</t>
  </si>
  <si>
    <t>Rate Variance</t>
  </si>
  <si>
    <t xml:space="preserve">    Other</t>
  </si>
  <si>
    <t>TOTAL Base Rates</t>
  </si>
  <si>
    <t>Base %</t>
  </si>
  <si>
    <t>Total %</t>
  </si>
  <si>
    <t>Base Rate Increase</t>
  </si>
  <si>
    <t>Present</t>
  </si>
  <si>
    <t>Proposed</t>
  </si>
  <si>
    <t>Energy Charge per kWh</t>
  </si>
  <si>
    <t>Demand Charge per kW</t>
  </si>
  <si>
    <t>Target Share</t>
  </si>
  <si>
    <t>The amount of the change requested in both dollar amounts and percentage change for each customer classification to which the proposed rates will apply is set forth below:</t>
  </si>
  <si>
    <t>Increase</t>
  </si>
  <si>
    <t>Rate Class</t>
  </si>
  <si>
    <t>Dollars</t>
  </si>
  <si>
    <t>Percent</t>
  </si>
  <si>
    <t>Total</t>
  </si>
  <si>
    <t>The amount of the average usage and the effect upon the average bill for each customer classification to which the proposed rates will apply is set forth below:</t>
  </si>
  <si>
    <t>Usage (kWh)</t>
  </si>
  <si>
    <t>NA</t>
  </si>
  <si>
    <t>Rate</t>
  </si>
  <si>
    <t>SHELBY ENERGY COOPERATIVE</t>
  </si>
  <si>
    <t>Large Power Service &gt; 50 kW</t>
  </si>
  <si>
    <t>General Service &lt; 50kW</t>
  </si>
  <si>
    <t>Customer Charge Single Phase</t>
  </si>
  <si>
    <t>Customer Charge Three Phase</t>
  </si>
  <si>
    <t>Large Industrial Rate (500 kW to 4,999 kW)</t>
  </si>
  <si>
    <t>Large Industrial Rate (5,000 kW to 9,999 kW)</t>
  </si>
  <si>
    <t>100 Watt Outdoor Light</t>
  </si>
  <si>
    <t>250 Watt Directional Flood</t>
  </si>
  <si>
    <t>100 Watt Decorative Colonial</t>
  </si>
  <si>
    <t>400 Watt Directional Flood</t>
  </si>
  <si>
    <t>150 Watt Decorative Acorn</t>
  </si>
  <si>
    <t>Standard</t>
  </si>
  <si>
    <t>Decorative Colonial</t>
  </si>
  <si>
    <t>Cobra Head</t>
  </si>
  <si>
    <t>Directional Flood Light</t>
  </si>
  <si>
    <t>Demand Charge - Contract per kW</t>
  </si>
  <si>
    <t>Demand Charge - Excess per kW</t>
  </si>
  <si>
    <t>RATES WITH NO CURRENT MEMBERS</t>
  </si>
  <si>
    <t>Outdoor &amp; Street Lighting</t>
  </si>
  <si>
    <t>Off Peak Retail Marketing (ETS)</t>
  </si>
  <si>
    <t>Residential Service</t>
  </si>
  <si>
    <t>Prepay Service</t>
  </si>
  <si>
    <t>Consumer Facility Charge per day</t>
  </si>
  <si>
    <t>Prepay Service Fee per day</t>
  </si>
  <si>
    <t>Energy Charge per kWh - First 100</t>
  </si>
  <si>
    <t>Energy Charge per kWh - Next 100</t>
  </si>
  <si>
    <t>Energy Charge per kWh - All Over 200</t>
  </si>
  <si>
    <t>Special Outdoor Lighting</t>
  </si>
  <si>
    <t>Energy Rate</t>
  </si>
  <si>
    <t>Large Industrial Rate</t>
  </si>
  <si>
    <t>B3</t>
  </si>
  <si>
    <t>B2</t>
  </si>
  <si>
    <t>B1</t>
  </si>
  <si>
    <t>Customer Charge Transformer 10,000 - 14,999 kVA</t>
  </si>
  <si>
    <t>Customer Charge Transformer 15,000+ kVA</t>
  </si>
  <si>
    <t>C1</t>
  </si>
  <si>
    <t>C2</t>
  </si>
  <si>
    <t>C3</t>
  </si>
  <si>
    <t>Present &amp; Proposed Rates</t>
  </si>
  <si>
    <t>Incr</t>
  </si>
  <si>
    <t>2023 Rate</t>
  </si>
  <si>
    <t xml:space="preserve">          2023 Revenue</t>
  </si>
  <si>
    <t>FAC Roll-In &gt;</t>
  </si>
  <si>
    <t>Optional TOD Demand</t>
  </si>
  <si>
    <t>Customer Charge per Day</t>
  </si>
  <si>
    <t xml:space="preserve">    Prepay Fee per Day</t>
  </si>
  <si>
    <t>Customer Charge per Month</t>
  </si>
  <si>
    <t>3L</t>
  </si>
  <si>
    <t>2023 Revenue</t>
  </si>
  <si>
    <t xml:space="preserve">Total Rate B Increase Allocated by East Kentucky Power Cooperative:   </t>
  </si>
  <si>
    <t xml:space="preserve">Total Increase Allocated by East Kentucky Power Cooperative:   </t>
  </si>
  <si>
    <t xml:space="preserve">Remaining Revenue Increase Allocated by East Kentucky Power Cooperative:   </t>
  </si>
  <si>
    <t>SubTotal Base Rates E</t>
  </si>
  <si>
    <t>SubTotal Base Rates B</t>
  </si>
  <si>
    <t>FAC Roll In</t>
  </si>
  <si>
    <t>Interruptible Service</t>
  </si>
  <si>
    <t>Demand Credit per kW - 200 Hrs</t>
  </si>
  <si>
    <t>Demand Credit per kW - 300 Hrs</t>
  </si>
  <si>
    <t>Demand Credit per kW - 400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</si>
</sst>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000_);_(* \(#,##0.00000\);_(* &quot;-&quot;??_);_(@_)"/>
    <numFmt numFmtId="167" formatCode="_(* #,##0.000000_);_(* \(#,##0.000000\);_(* &quot;-&quot;??_);_(@_)"/>
    <numFmt numFmtId="168" formatCode="0.00000%"/>
    <numFmt numFmtId="169" formatCode="_(* #,##0.0000_);_(* \(#,##0.0000\);_(* &quot;-&quot;??_);_(@_)"/>
    <numFmt numFmtId="170" formatCode="_(&quot;$&quot;* #,##0.00000_);_(&quot;$&quot;* \(#,##0.00000\);_(&quot;$&quot;* &quot;-&quot;??_);_(@_)"/>
    <numFmt numFmtId="171" formatCode="&quot;$&quot;#,##0"/>
    <numFmt numFmtId="172" formatCode="0.00000"/>
    <numFmt numFmtId="173" formatCode="0.000%"/>
    <numFmt numFmtId="174" formatCode="_(&quot;$&quot;* #,##0.000000_);_(&quot;$&quot;* \(#,##0.0000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u/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u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7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10" fontId="3" fillId="0" borderId="0" xfId="3" applyNumberFormat="1" applyFont="1"/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right" wrapText="1"/>
    </xf>
    <xf numFmtId="0" fontId="3" fillId="0" borderId="5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wrapText="1"/>
    </xf>
    <xf numFmtId="0" fontId="3" fillId="0" borderId="5" xfId="0" applyFont="1" applyBorder="1" applyAlignment="1">
      <alignment vertical="center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0" borderId="0" xfId="0" applyFont="1" applyAlignment="1">
      <alignment horizontal="right"/>
    </xf>
    <xf numFmtId="165" fontId="6" fillId="0" borderId="0" xfId="0" applyNumberFormat="1" applyFont="1"/>
    <xf numFmtId="165" fontId="6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/>
    <xf numFmtId="164" fontId="3" fillId="0" borderId="0" xfId="1" applyNumberFormat="1" applyFont="1" applyAlignment="1"/>
    <xf numFmtId="9" fontId="3" fillId="0" borderId="0" xfId="3" applyFont="1" applyAlignment="1"/>
    <xf numFmtId="10" fontId="3" fillId="0" borderId="0" xfId="3" applyNumberFormat="1" applyFont="1" applyAlignment="1"/>
    <xf numFmtId="165" fontId="3" fillId="0" borderId="0" xfId="2" applyNumberFormat="1" applyFont="1" applyAlignment="1"/>
    <xf numFmtId="165" fontId="3" fillId="0" borderId="0" xfId="0" applyNumberFormat="1" applyFont="1"/>
    <xf numFmtId="0" fontId="3" fillId="0" borderId="2" xfId="0" applyFont="1" applyBorder="1"/>
    <xf numFmtId="165" fontId="3" fillId="0" borderId="2" xfId="2" applyNumberFormat="1" applyFont="1" applyBorder="1" applyAlignment="1"/>
    <xf numFmtId="10" fontId="3" fillId="0" borderId="2" xfId="3" applyNumberFormat="1" applyFont="1" applyBorder="1" applyAlignment="1"/>
    <xf numFmtId="165" fontId="3" fillId="0" borderId="2" xfId="0" applyNumberFormat="1" applyFont="1" applyBorder="1"/>
    <xf numFmtId="165" fontId="3" fillId="0" borderId="0" xfId="2" applyNumberFormat="1" applyFont="1" applyBorder="1" applyAlignment="1"/>
    <xf numFmtId="10" fontId="3" fillId="0" borderId="0" xfId="3" applyNumberFormat="1" applyFont="1" applyBorder="1" applyAlignment="1"/>
    <xf numFmtId="165" fontId="3" fillId="0" borderId="5" xfId="2" applyNumberFormat="1" applyFont="1" applyBorder="1" applyAlignment="1"/>
    <xf numFmtId="164" fontId="3" fillId="2" borderId="0" xfId="1" applyNumberFormat="1" applyFont="1" applyFill="1" applyAlignment="1"/>
    <xf numFmtId="0" fontId="3" fillId="2" borderId="0" xfId="0" applyFont="1" applyFill="1"/>
    <xf numFmtId="165" fontId="3" fillId="2" borderId="0" xfId="2" applyNumberFormat="1" applyFont="1" applyFill="1" applyAlignment="1"/>
    <xf numFmtId="0" fontId="3" fillId="2" borderId="2" xfId="0" applyFont="1" applyFill="1" applyBorder="1"/>
    <xf numFmtId="165" fontId="3" fillId="2" borderId="2" xfId="2" applyNumberFormat="1" applyFont="1" applyFill="1" applyBorder="1" applyAlignment="1"/>
    <xf numFmtId="0" fontId="3" fillId="0" borderId="3" xfId="0" applyFont="1" applyBorder="1"/>
    <xf numFmtId="165" fontId="3" fillId="0" borderId="3" xfId="0" applyNumberFormat="1" applyFont="1" applyBorder="1"/>
    <xf numFmtId="165" fontId="3" fillId="0" borderId="3" xfId="2" applyNumberFormat="1" applyFont="1" applyBorder="1" applyAlignment="1"/>
    <xf numFmtId="9" fontId="3" fillId="0" borderId="3" xfId="3" applyFont="1" applyBorder="1" applyAlignment="1"/>
    <xf numFmtId="10" fontId="3" fillId="0" borderId="3" xfId="3" applyNumberFormat="1" applyFont="1" applyBorder="1" applyAlignment="1"/>
    <xf numFmtId="0" fontId="3" fillId="2" borderId="4" xfId="0" applyFont="1" applyFill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44" fontId="3" fillId="0" borderId="0" xfId="2" applyFont="1"/>
    <xf numFmtId="170" fontId="3" fillId="0" borderId="0" xfId="2" applyNumberFormat="1" applyFont="1"/>
    <xf numFmtId="0" fontId="2" fillId="0" borderId="4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9" fillId="0" borderId="4" xfId="0" applyFont="1" applyBorder="1"/>
    <xf numFmtId="0" fontId="3" fillId="0" borderId="4" xfId="0" applyFont="1" applyBorder="1"/>
    <xf numFmtId="0" fontId="2" fillId="0" borderId="5" xfId="0" applyFont="1" applyBorder="1" applyAlignment="1">
      <alignment horizontal="right"/>
    </xf>
    <xf numFmtId="165" fontId="3" fillId="0" borderId="0" xfId="2" applyNumberFormat="1" applyFont="1" applyBorder="1" applyAlignment="1">
      <alignment horizontal="right"/>
    </xf>
    <xf numFmtId="10" fontId="3" fillId="0" borderId="0" xfId="0" applyNumberFormat="1" applyFont="1" applyAlignment="1">
      <alignment horizontal="right"/>
    </xf>
    <xf numFmtId="171" fontId="3" fillId="0" borderId="2" xfId="0" applyNumberFormat="1" applyFont="1" applyBorder="1"/>
    <xf numFmtId="10" fontId="3" fillId="0" borderId="2" xfId="3" applyNumberFormat="1" applyFont="1" applyBorder="1"/>
    <xf numFmtId="171" fontId="3" fillId="0" borderId="0" xfId="0" applyNumberFormat="1" applyFont="1"/>
    <xf numFmtId="10" fontId="3" fillId="0" borderId="0" xfId="3" applyNumberFormat="1" applyFont="1" applyBorder="1"/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1" applyNumberFormat="1" applyFont="1"/>
    <xf numFmtId="164" fontId="6" fillId="0" borderId="0" xfId="1" applyNumberFormat="1" applyFont="1" applyAlignment="1">
      <alignment horizontal="right"/>
    </xf>
    <xf numFmtId="0" fontId="10" fillId="0" borderId="0" xfId="0" applyFont="1"/>
    <xf numFmtId="0" fontId="6" fillId="0" borderId="2" xfId="0" applyFont="1" applyBorder="1" applyAlignment="1">
      <alignment horizontal="center"/>
    </xf>
    <xf numFmtId="44" fontId="3" fillId="0" borderId="0" xfId="2" applyFont="1" applyAlignment="1">
      <alignment horizontal="right"/>
    </xf>
    <xf numFmtId="164" fontId="3" fillId="0" borderId="0" xfId="1" applyNumberFormat="1" applyFont="1" applyAlignment="1">
      <alignment horizontal="right"/>
    </xf>
    <xf numFmtId="0" fontId="6" fillId="0" borderId="0" xfId="0" applyFont="1" applyAlignment="1">
      <alignment horizontal="left"/>
    </xf>
    <xf numFmtId="169" fontId="6" fillId="0" borderId="0" xfId="1" applyNumberFormat="1" applyFont="1" applyAlignment="1">
      <alignment vertical="center"/>
    </xf>
    <xf numFmtId="10" fontId="3" fillId="0" borderId="5" xfId="3" applyNumberFormat="1" applyFont="1" applyBorder="1" applyAlignme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169" fontId="3" fillId="0" borderId="0" xfId="1" applyNumberFormat="1" applyFont="1"/>
    <xf numFmtId="169" fontId="3" fillId="0" borderId="0" xfId="1" applyNumberFormat="1" applyFont="1" applyFill="1"/>
    <xf numFmtId="169" fontId="3" fillId="0" borderId="0" xfId="1" applyNumberFormat="1" applyFont="1" applyAlignment="1">
      <alignment vertical="center"/>
    </xf>
    <xf numFmtId="167" fontId="7" fillId="0" borderId="0" xfId="1" applyNumberFormat="1" applyFont="1"/>
    <xf numFmtId="0" fontId="6" fillId="0" borderId="0" xfId="0" applyFont="1"/>
    <xf numFmtId="165" fontId="6" fillId="0" borderId="0" xfId="2" applyNumberFormat="1" applyFont="1" applyFill="1" applyAlignment="1">
      <alignment horizontal="center"/>
    </xf>
    <xf numFmtId="10" fontId="6" fillId="0" borderId="0" xfId="3" applyNumberFormat="1" applyFont="1" applyFill="1" applyAlignment="1"/>
    <xf numFmtId="165" fontId="6" fillId="0" borderId="0" xfId="2" applyNumberFormat="1" applyFont="1" applyFill="1" applyAlignment="1"/>
    <xf numFmtId="43" fontId="6" fillId="0" borderId="0" xfId="1" applyFont="1" applyFill="1"/>
    <xf numFmtId="167" fontId="6" fillId="0" borderId="0" xfId="1" applyNumberFormat="1" applyFont="1" applyFill="1"/>
    <xf numFmtId="166" fontId="6" fillId="0" borderId="0" xfId="1" applyNumberFormat="1" applyFont="1" applyFill="1"/>
    <xf numFmtId="0" fontId="6" fillId="0" borderId="6" xfId="0" applyFont="1" applyBorder="1"/>
    <xf numFmtId="164" fontId="6" fillId="0" borderId="0" xfId="1" applyNumberFormat="1" applyFont="1" applyFill="1"/>
    <xf numFmtId="165" fontId="6" fillId="0" borderId="0" xfId="2" applyNumberFormat="1" applyFont="1" applyFill="1"/>
    <xf numFmtId="10" fontId="6" fillId="0" borderId="0" xfId="3" applyNumberFormat="1" applyFont="1" applyFill="1"/>
    <xf numFmtId="10" fontId="6" fillId="0" borderId="0" xfId="0" applyNumberFormat="1" applyFont="1"/>
    <xf numFmtId="172" fontId="6" fillId="0" borderId="0" xfId="0" applyNumberFormat="1" applyFont="1"/>
    <xf numFmtId="0" fontId="6" fillId="0" borderId="5" xfId="0" applyFont="1" applyBorder="1" applyAlignment="1">
      <alignment vertical="center"/>
    </xf>
    <xf numFmtId="10" fontId="6" fillId="0" borderId="5" xfId="3" applyNumberFormat="1" applyFont="1" applyFill="1" applyBorder="1" applyAlignment="1">
      <alignment vertical="center"/>
    </xf>
    <xf numFmtId="0" fontId="6" fillId="0" borderId="5" xfId="0" applyFont="1" applyBorder="1"/>
    <xf numFmtId="0" fontId="6" fillId="0" borderId="3" xfId="0" applyFont="1" applyBorder="1" applyAlignment="1">
      <alignment vertical="center"/>
    </xf>
    <xf numFmtId="165" fontId="6" fillId="0" borderId="3" xfId="0" applyNumberFormat="1" applyFont="1" applyBorder="1" applyAlignment="1">
      <alignment vertical="center"/>
    </xf>
    <xf numFmtId="10" fontId="6" fillId="0" borderId="3" xfId="3" applyNumberFormat="1" applyFont="1" applyFill="1" applyBorder="1" applyAlignment="1">
      <alignment vertical="center"/>
    </xf>
    <xf numFmtId="44" fontId="6" fillId="0" borderId="0" xfId="0" applyNumberFormat="1" applyFont="1"/>
    <xf numFmtId="164" fontId="6" fillId="0" borderId="0" xfId="0" applyNumberFormat="1" applyFont="1"/>
    <xf numFmtId="165" fontId="6" fillId="0" borderId="5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65" fontId="6" fillId="0" borderId="5" xfId="0" applyNumberFormat="1" applyFont="1" applyBorder="1"/>
    <xf numFmtId="0" fontId="6" fillId="3" borderId="0" xfId="0" applyFont="1" applyFill="1"/>
    <xf numFmtId="165" fontId="6" fillId="3" borderId="0" xfId="0" applyNumberFormat="1" applyFont="1" applyFill="1"/>
    <xf numFmtId="44" fontId="3" fillId="0" borderId="0" xfId="0" applyNumberFormat="1" applyFont="1"/>
    <xf numFmtId="0" fontId="6" fillId="0" borderId="6" xfId="0" applyFont="1" applyBorder="1" applyAlignment="1">
      <alignment horizontal="center"/>
    </xf>
    <xf numFmtId="170" fontId="3" fillId="0" borderId="0" xfId="0" applyNumberFormat="1" applyFont="1"/>
    <xf numFmtId="43" fontId="3" fillId="0" borderId="0" xfId="1" applyFont="1"/>
    <xf numFmtId="0" fontId="6" fillId="0" borderId="0" xfId="0" applyFont="1" applyAlignment="1">
      <alignment horizontal="left" vertical="center"/>
    </xf>
    <xf numFmtId="10" fontId="6" fillId="0" borderId="0" xfId="3" applyNumberFormat="1" applyFont="1"/>
    <xf numFmtId="10" fontId="6" fillId="0" borderId="0" xfId="3" applyNumberFormat="1" applyFont="1" applyAlignment="1">
      <alignment vertical="center"/>
    </xf>
    <xf numFmtId="43" fontId="6" fillId="0" borderId="0" xfId="1" applyFont="1" applyAlignment="1">
      <alignment vertical="center"/>
    </xf>
    <xf numFmtId="166" fontId="6" fillId="0" borderId="0" xfId="1" applyNumberFormat="1" applyFont="1" applyAlignment="1">
      <alignment vertical="center"/>
    </xf>
    <xf numFmtId="165" fontId="6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164" fontId="7" fillId="0" borderId="0" xfId="1" applyNumberFormat="1" applyFont="1"/>
    <xf numFmtId="165" fontId="7" fillId="0" borderId="0" xfId="0" applyNumberFormat="1" applyFont="1"/>
    <xf numFmtId="10" fontId="7" fillId="0" borderId="0" xfId="3" applyNumberFormat="1" applyFont="1" applyAlignment="1"/>
    <xf numFmtId="0" fontId="11" fillId="0" borderId="0" xfId="0" applyFont="1"/>
    <xf numFmtId="0" fontId="7" fillId="0" borderId="0" xfId="0" applyFont="1" applyAlignment="1">
      <alignment horizontal="left" indent="1"/>
    </xf>
    <xf numFmtId="10" fontId="6" fillId="0" borderId="2" xfId="3" applyNumberFormat="1" applyFont="1" applyFill="1" applyBorder="1" applyAlignment="1"/>
    <xf numFmtId="164" fontId="3" fillId="0" borderId="0" xfId="1" applyNumberFormat="1" applyFont="1"/>
    <xf numFmtId="6" fontId="6" fillId="0" borderId="1" xfId="0" applyNumberFormat="1" applyFont="1" applyBorder="1"/>
    <xf numFmtId="9" fontId="3" fillId="0" borderId="5" xfId="3" applyFont="1" applyBorder="1" applyAlignment="1"/>
    <xf numFmtId="0" fontId="9" fillId="0" borderId="0" xfId="0" applyFont="1" applyAlignment="1">
      <alignment vertical="top" wrapText="1"/>
    </xf>
    <xf numFmtId="173" fontId="3" fillId="0" borderId="0" xfId="3" applyNumberFormat="1" applyFont="1"/>
    <xf numFmtId="166" fontId="3" fillId="0" borderId="0" xfId="1" applyNumberFormat="1" applyFont="1" applyFill="1"/>
    <xf numFmtId="167" fontId="3" fillId="0" borderId="0" xfId="1" applyNumberFormat="1" applyFont="1" applyFill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164" fontId="3" fillId="0" borderId="0" xfId="1" applyNumberFormat="1" applyFont="1" applyFill="1"/>
    <xf numFmtId="43" fontId="3" fillId="0" borderId="0" xfId="1" applyFont="1" applyFill="1"/>
    <xf numFmtId="165" fontId="3" fillId="0" borderId="0" xfId="2" applyNumberFormat="1" applyFont="1" applyFill="1"/>
    <xf numFmtId="10" fontId="3" fillId="0" borderId="0" xfId="3" applyNumberFormat="1" applyFont="1" applyFill="1"/>
    <xf numFmtId="10" fontId="3" fillId="0" borderId="0" xfId="0" applyNumberFormat="1" applyFont="1"/>
    <xf numFmtId="172" fontId="3" fillId="0" borderId="0" xfId="0" applyNumberFormat="1" applyFont="1"/>
    <xf numFmtId="165" fontId="3" fillId="0" borderId="5" xfId="2" applyNumberFormat="1" applyFont="1" applyFill="1" applyBorder="1" applyAlignment="1">
      <alignment vertical="center"/>
    </xf>
    <xf numFmtId="10" fontId="3" fillId="0" borderId="5" xfId="3" applyNumberFormat="1" applyFont="1" applyFill="1" applyBorder="1" applyAlignment="1">
      <alignment vertical="center"/>
    </xf>
    <xf numFmtId="165" fontId="3" fillId="0" borderId="5" xfId="3" applyNumberFormat="1" applyFont="1" applyFill="1" applyBorder="1" applyAlignment="1">
      <alignment vertical="center"/>
    </xf>
    <xf numFmtId="10" fontId="3" fillId="0" borderId="5" xfId="0" applyNumberFormat="1" applyFont="1" applyBorder="1" applyAlignment="1">
      <alignment vertical="center"/>
    </xf>
    <xf numFmtId="44" fontId="3" fillId="0" borderId="5" xfId="2" applyFont="1" applyFill="1" applyBorder="1" applyAlignment="1">
      <alignment vertical="center"/>
    </xf>
    <xf numFmtId="168" fontId="3" fillId="0" borderId="0" xfId="3" applyNumberFormat="1" applyFont="1" applyFill="1"/>
    <xf numFmtId="165" fontId="3" fillId="0" borderId="5" xfId="2" applyNumberFormat="1" applyFont="1" applyFill="1" applyBorder="1"/>
    <xf numFmtId="43" fontId="3" fillId="0" borderId="5" xfId="1" applyFont="1" applyFill="1" applyBorder="1"/>
    <xf numFmtId="44" fontId="3" fillId="0" borderId="3" xfId="2" applyFont="1" applyFill="1" applyBorder="1" applyAlignment="1">
      <alignment vertical="center"/>
    </xf>
    <xf numFmtId="165" fontId="3" fillId="0" borderId="3" xfId="0" applyNumberFormat="1" applyFont="1" applyBorder="1" applyAlignment="1">
      <alignment vertical="center"/>
    </xf>
    <xf numFmtId="165" fontId="3" fillId="0" borderId="3" xfId="2" applyNumberFormat="1" applyFont="1" applyFill="1" applyBorder="1" applyAlignment="1">
      <alignment vertical="center"/>
    </xf>
    <xf numFmtId="10" fontId="3" fillId="0" borderId="3" xfId="3" applyNumberFormat="1" applyFont="1" applyFill="1" applyBorder="1" applyAlignment="1">
      <alignment vertical="center"/>
    </xf>
    <xf numFmtId="166" fontId="3" fillId="0" borderId="5" xfId="0" applyNumberFormat="1" applyFont="1" applyBorder="1" applyAlignment="1">
      <alignment vertical="center"/>
    </xf>
    <xf numFmtId="43" fontId="3" fillId="0" borderId="0" xfId="0" applyNumberFormat="1" applyFont="1"/>
    <xf numFmtId="43" fontId="3" fillId="0" borderId="4" xfId="1" applyFont="1" applyFill="1" applyBorder="1"/>
    <xf numFmtId="164" fontId="4" fillId="0" borderId="5" xfId="1" applyNumberFormat="1" applyFont="1" applyFill="1" applyBorder="1" applyAlignment="1">
      <alignment vertical="center"/>
    </xf>
    <xf numFmtId="6" fontId="12" fillId="4" borderId="1" xfId="0" applyNumberFormat="1" applyFont="1" applyFill="1" applyBorder="1"/>
    <xf numFmtId="174" fontId="3" fillId="0" borderId="0" xfId="2" applyNumberFormat="1" applyFont="1"/>
    <xf numFmtId="165" fontId="6" fillId="0" borderId="0" xfId="2" applyNumberFormat="1" applyFont="1"/>
    <xf numFmtId="43" fontId="12" fillId="0" borderId="0" xfId="1" applyFont="1" applyFill="1"/>
    <xf numFmtId="170" fontId="12" fillId="0" borderId="0" xfId="2" applyNumberFormat="1" applyFont="1"/>
    <xf numFmtId="43" fontId="6" fillId="0" borderId="0" xfId="1" applyFont="1"/>
    <xf numFmtId="43" fontId="12" fillId="0" borderId="0" xfId="1" applyFont="1"/>
    <xf numFmtId="0" fontId="9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/>
    </xf>
    <xf numFmtId="0" fontId="9" fillId="0" borderId="0" xfId="0" applyFont="1" applyAlignment="1">
      <alignment horizontal="center" vertical="top" wrapText="1"/>
    </xf>
  </cellXfs>
  <cellStyles count="5">
    <cellStyle name="Comma" xfId="1" builtinId="3"/>
    <cellStyle name="Currency" xfId="2" builtinId="4"/>
    <cellStyle name="Normal" xfId="0" builtinId="0"/>
    <cellStyle name="Normal 2" xfId="4" xr:uid="{07BB8BC8-C5A2-4D23-8181-BEF9162D0260}"/>
    <cellStyle name="Percent" xfId="3" builtinId="5"/>
  </cellStyles>
  <dxfs count="0"/>
  <tableStyles count="0" defaultTableStyle="TableStyleMedium2" defaultPivotStyle="PivotStyleLight16"/>
  <colors>
    <mruColors>
      <color rgb="FFFFFFCC"/>
      <color rgb="FF0000FF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A6C87-2D74-4DCB-9000-40376CA871FF}">
  <sheetPr>
    <pageSetUpPr fitToPage="1"/>
  </sheetPr>
  <dimension ref="A1:V47"/>
  <sheetViews>
    <sheetView tabSelected="1" view="pageBreakPreview" zoomScaleNormal="100" zoomScaleSheetLayoutView="100" workbookViewId="0">
      <selection activeCell="E9" sqref="E9"/>
    </sheetView>
  </sheetViews>
  <sheetFormatPr defaultColWidth="8.85546875" defaultRowHeight="12.75" x14ac:dyDescent="0.2"/>
  <cols>
    <col min="1" max="1" width="6" style="2" customWidth="1"/>
    <col min="2" max="2" width="40.85546875" style="2" bestFit="1" customWidth="1"/>
    <col min="3" max="3" width="13.28515625" style="12" customWidth="1"/>
    <col min="4" max="5" width="13.28515625" style="2" customWidth="1"/>
    <col min="6" max="6" width="11.28515625" style="2" customWidth="1"/>
    <col min="7" max="7" width="12.7109375" style="2" bestFit="1" customWidth="1"/>
    <col min="8" max="8" width="10.42578125" style="2" bestFit="1" customWidth="1"/>
    <col min="9" max="9" width="11.7109375" style="2" bestFit="1" customWidth="1"/>
    <col min="10" max="10" width="12.7109375" style="2" bestFit="1" customWidth="1"/>
    <col min="11" max="11" width="11.28515625" style="2" customWidth="1"/>
    <col min="12" max="12" width="11.7109375" style="2" bestFit="1" customWidth="1"/>
    <col min="13" max="14" width="7.7109375" style="2" bestFit="1" customWidth="1"/>
    <col min="15" max="15" width="12.85546875" style="2" bestFit="1" customWidth="1"/>
    <col min="16" max="16" width="24.7109375" style="2" customWidth="1"/>
    <col min="17" max="17" width="12.42578125" style="2" bestFit="1" customWidth="1"/>
    <col min="18" max="18" width="14.5703125" style="2" customWidth="1"/>
    <col min="19" max="19" width="9" style="2" customWidth="1"/>
    <col min="20" max="20" width="14.7109375" style="2" customWidth="1"/>
    <col min="21" max="21" width="10" style="2" customWidth="1"/>
    <col min="22" max="16384" width="8.85546875" style="2"/>
  </cols>
  <sheetData>
    <row r="1" spans="1:22" x14ac:dyDescent="0.2">
      <c r="A1" s="1" t="s">
        <v>57</v>
      </c>
    </row>
    <row r="2" spans="1:22" x14ac:dyDescent="0.2">
      <c r="A2" s="1" t="s">
        <v>0</v>
      </c>
      <c r="P2" s="124"/>
      <c r="Q2" s="133"/>
    </row>
    <row r="3" spans="1:22" x14ac:dyDescent="0.2">
      <c r="A3" s="1"/>
      <c r="K3" s="22" t="s">
        <v>108</v>
      </c>
      <c r="L3" s="134">
        <f>L5+L4</f>
        <v>2292668.0657910034</v>
      </c>
      <c r="P3" s="124"/>
      <c r="Q3" s="133"/>
    </row>
    <row r="4" spans="1:22" x14ac:dyDescent="0.2">
      <c r="A4" s="1"/>
      <c r="K4" s="22" t="s">
        <v>107</v>
      </c>
      <c r="L4" s="164">
        <v>894489.75069399923</v>
      </c>
      <c r="P4" s="124"/>
      <c r="Q4" s="133"/>
    </row>
    <row r="5" spans="1:22" x14ac:dyDescent="0.2">
      <c r="A5" s="1"/>
      <c r="K5" s="22" t="s">
        <v>109</v>
      </c>
      <c r="L5" s="164">
        <v>1398178.3150970042</v>
      </c>
      <c r="M5" s="4"/>
      <c r="O5" s="117"/>
    </row>
    <row r="6" spans="1:22" x14ac:dyDescent="0.2">
      <c r="M6" s="4"/>
      <c r="N6" s="4"/>
    </row>
    <row r="7" spans="1:22" s="9" customFormat="1" ht="31.9" customHeight="1" x14ac:dyDescent="0.2">
      <c r="A7" s="7" t="s">
        <v>1</v>
      </c>
      <c r="B7" s="7" t="s">
        <v>2</v>
      </c>
      <c r="C7" s="8" t="s">
        <v>11</v>
      </c>
      <c r="D7" s="10" t="s">
        <v>106</v>
      </c>
      <c r="E7" s="10" t="s">
        <v>3</v>
      </c>
      <c r="F7" s="10" t="s">
        <v>20</v>
      </c>
      <c r="G7" s="10" t="s">
        <v>30</v>
      </c>
      <c r="H7" s="10" t="s">
        <v>31</v>
      </c>
      <c r="I7" s="10" t="s">
        <v>32</v>
      </c>
      <c r="J7" s="10" t="s">
        <v>4</v>
      </c>
      <c r="K7" s="10" t="s">
        <v>22</v>
      </c>
      <c r="L7" s="10" t="s">
        <v>41</v>
      </c>
      <c r="M7" s="8" t="s">
        <v>39</v>
      </c>
      <c r="N7" s="8" t="s">
        <v>40</v>
      </c>
      <c r="O7" s="10" t="s">
        <v>34</v>
      </c>
      <c r="P7" s="2"/>
      <c r="Q7" s="2"/>
      <c r="R7" s="2"/>
      <c r="S7" s="2"/>
      <c r="T7" s="2"/>
      <c r="U7" s="2"/>
      <c r="V7" s="2"/>
    </row>
    <row r="8" spans="1:22" x14ac:dyDescent="0.2">
      <c r="A8" s="3">
        <v>1</v>
      </c>
      <c r="B8" s="28" t="s">
        <v>5</v>
      </c>
      <c r="C8" s="57"/>
      <c r="D8" s="28"/>
      <c r="E8" s="29"/>
      <c r="F8" s="30"/>
      <c r="G8" s="30"/>
      <c r="H8" s="9"/>
      <c r="I8" s="9"/>
      <c r="J8" s="29"/>
      <c r="K8" s="30"/>
      <c r="L8" s="29"/>
      <c r="M8" s="31"/>
      <c r="N8" s="31"/>
    </row>
    <row r="9" spans="1:22" x14ac:dyDescent="0.2">
      <c r="A9" s="3">
        <f>A8+1</f>
        <v>2</v>
      </c>
      <c r="B9" s="2" t="str">
        <f>'Billing Detail'!B7</f>
        <v>Residential Service</v>
      </c>
      <c r="C9" s="12">
        <f>'Billing Detail'!C7</f>
        <v>12</v>
      </c>
      <c r="D9" s="32">
        <f>'Billing Detail'!G10</f>
        <v>20414264.7104</v>
      </c>
      <c r="E9" s="32">
        <f>'Billing Detail'!I10</f>
        <v>26144337.808079999</v>
      </c>
      <c r="F9" s="31">
        <f t="shared" ref="F9:F16" si="0">E9/E$16</f>
        <v>0.66605624393114049</v>
      </c>
      <c r="G9" s="89">
        <f>E9</f>
        <v>26144337.808079999</v>
      </c>
      <c r="H9" s="90">
        <f t="shared" ref="H9:H15" si="1">G9/G$16</f>
        <v>0.66605624393114049</v>
      </c>
      <c r="I9" s="91">
        <f t="shared" ref="I9:I15" si="2">ROUND(L$5*H9,2)</f>
        <v>931265.4</v>
      </c>
      <c r="J9" s="32">
        <f>'Billing Detail'!M10</f>
        <v>27074777.6094</v>
      </c>
      <c r="K9" s="31">
        <f t="shared" ref="K9:K16" si="3">J9/J$16</f>
        <v>0.66605158596615865</v>
      </c>
      <c r="L9" s="32">
        <f>'Billing Detail'!N10</f>
        <v>930439.80131999962</v>
      </c>
      <c r="M9" s="31">
        <f>IF(E9=0,0,L9/E9)</f>
        <v>3.5588577846192147E-2</v>
      </c>
      <c r="N9" s="31">
        <f>'Billing Detail'!O16</f>
        <v>3.2696794446977616E-2</v>
      </c>
      <c r="O9" s="33">
        <f>J9-I9-E9</f>
        <v>-825.59867999702692</v>
      </c>
    </row>
    <row r="10" spans="1:22" x14ac:dyDescent="0.2">
      <c r="A10" s="3">
        <f t="shared" ref="A10:A34" si="4">A9+1</f>
        <v>3</v>
      </c>
      <c r="B10" s="2" t="str">
        <f>'Billing Detail'!B19</f>
        <v>Off Peak Retail Marketing (ETS)</v>
      </c>
      <c r="C10" s="12">
        <f>'Billing Detail'!C19</f>
        <v>9</v>
      </c>
      <c r="D10" s="32">
        <f>'Billing Detail'!G22</f>
        <v>8277.7238400000006</v>
      </c>
      <c r="E10" s="32">
        <f>'Billing Detail'!I22</f>
        <v>9861.1934399999991</v>
      </c>
      <c r="F10" s="31">
        <f t="shared" si="0"/>
        <v>2.5122493105543124E-4</v>
      </c>
      <c r="G10" s="89">
        <f t="shared" ref="G10:G15" si="5">E10</f>
        <v>9861.1934399999991</v>
      </c>
      <c r="H10" s="90">
        <f t="shared" si="1"/>
        <v>2.5122493105543124E-4</v>
      </c>
      <c r="I10" s="91">
        <f t="shared" si="2"/>
        <v>351.26</v>
      </c>
      <c r="J10" s="32">
        <f>'Billing Detail'!M22</f>
        <v>10212.013860000001</v>
      </c>
      <c r="K10" s="31">
        <f t="shared" si="3"/>
        <v>2.5122008850776028E-4</v>
      </c>
      <c r="L10" s="32">
        <f>'Billing Detail'!N22</f>
        <v>350.82042000000183</v>
      </c>
      <c r="M10" s="31">
        <f t="shared" ref="M10:M15" si="6">IF(E10=0,0,L10/E10)</f>
        <v>3.5575858250277044E-2</v>
      </c>
      <c r="N10" s="31">
        <f>'Billing Detail'!O28</f>
        <v>3.2153320159804523E-2</v>
      </c>
      <c r="O10" s="33">
        <f t="shared" ref="O10:O16" si="7">J10-I10-E10</f>
        <v>-0.43957999999838648</v>
      </c>
    </row>
    <row r="11" spans="1:22" x14ac:dyDescent="0.2">
      <c r="A11" s="3">
        <f t="shared" si="4"/>
        <v>4</v>
      </c>
      <c r="B11" s="2" t="str">
        <f>'Billing Detail'!B31</f>
        <v>Prepay Service</v>
      </c>
      <c r="C11" s="12">
        <f>'Billing Detail'!C31</f>
        <v>15</v>
      </c>
      <c r="D11" s="32">
        <f>'Billing Detail'!G34</f>
        <v>1324338.8957333332</v>
      </c>
      <c r="E11" s="32">
        <f>'Billing Detail'!I34</f>
        <v>1690940.9033133332</v>
      </c>
      <c r="F11" s="31">
        <f t="shared" si="0"/>
        <v>4.3078610559504529E-2</v>
      </c>
      <c r="G11" s="89">
        <f t="shared" ref="G11" si="8">E11</f>
        <v>1690940.9033133332</v>
      </c>
      <c r="H11" s="90">
        <f t="shared" si="1"/>
        <v>4.3078610559504529E-2</v>
      </c>
      <c r="I11" s="91">
        <f t="shared" ref="I11" si="9">ROUND(L$5*H11,2)</f>
        <v>60231.58</v>
      </c>
      <c r="J11" s="32">
        <f>'Billing Detail'!M34</f>
        <v>1751250.2409833332</v>
      </c>
      <c r="K11" s="31">
        <f t="shared" si="3"/>
        <v>4.3081535784271784E-2</v>
      </c>
      <c r="L11" s="32">
        <f>'Billing Detail'!N34</f>
        <v>60309.337669999863</v>
      </c>
      <c r="M11" s="31">
        <f t="shared" ref="M11" si="10">IF(E11=0,0,L11/E11)</f>
        <v>3.5666141585330421E-2</v>
      </c>
      <c r="N11" s="31">
        <f>'Billing Detail'!O40</f>
        <v>3.2186126777137933E-2</v>
      </c>
      <c r="O11" s="33">
        <f t="shared" ref="O11" si="11">J11-I11-E11</f>
        <v>77.757669999962673</v>
      </c>
    </row>
    <row r="12" spans="1:22" x14ac:dyDescent="0.2">
      <c r="A12" s="3">
        <f t="shared" si="4"/>
        <v>5</v>
      </c>
      <c r="B12" s="2" t="str">
        <f>'Billing Detail'!B43</f>
        <v>Large Power Service &gt; 50 kW</v>
      </c>
      <c r="C12" s="12">
        <f>'Billing Detail'!C43</f>
        <v>2</v>
      </c>
      <c r="D12" s="32">
        <f>'Billing Detail'!G47</f>
        <v>4978546.0589100001</v>
      </c>
      <c r="E12" s="32">
        <f>'Billing Detail'!I47</f>
        <v>5697800.0105099995</v>
      </c>
      <c r="F12" s="31">
        <f t="shared" si="0"/>
        <v>0.14515782734792496</v>
      </c>
      <c r="G12" s="89">
        <f t="shared" si="5"/>
        <v>5697800.0105099995</v>
      </c>
      <c r="H12" s="90">
        <f t="shared" si="1"/>
        <v>0.14515782734792496</v>
      </c>
      <c r="I12" s="91">
        <f t="shared" si="2"/>
        <v>202956.53</v>
      </c>
      <c r="J12" s="32">
        <f>'Billing Detail'!M47</f>
        <v>5900526.1302904002</v>
      </c>
      <c r="K12" s="31">
        <f t="shared" si="3"/>
        <v>0.1451555703914709</v>
      </c>
      <c r="L12" s="32">
        <f>'Billing Detail'!N47</f>
        <v>202726.11978040021</v>
      </c>
      <c r="M12" s="31">
        <f t="shared" si="6"/>
        <v>3.5579718383666921E-2</v>
      </c>
      <c r="N12" s="31">
        <f>'Billing Detail'!O53</f>
        <v>3.243853040311228E-2</v>
      </c>
      <c r="O12" s="33">
        <f t="shared" si="7"/>
        <v>-230.41021959949285</v>
      </c>
    </row>
    <row r="13" spans="1:22" x14ac:dyDescent="0.2">
      <c r="A13" s="3">
        <f t="shared" si="4"/>
        <v>6</v>
      </c>
      <c r="B13" s="2" t="str">
        <f>'Billing Detail'!B56</f>
        <v>General Service &lt; 50kW</v>
      </c>
      <c r="C13" s="12">
        <f>'Billing Detail'!C56</f>
        <v>11</v>
      </c>
      <c r="D13" s="32">
        <f>'Billing Detail'!G60</f>
        <v>4312380.6541900001</v>
      </c>
      <c r="E13" s="32">
        <f>'Billing Detail'!I60</f>
        <v>4992069.2810692685</v>
      </c>
      <c r="F13" s="31">
        <f t="shared" si="0"/>
        <v>0.12717854776820636</v>
      </c>
      <c r="G13" s="89">
        <f t="shared" si="5"/>
        <v>4992069.2810692685</v>
      </c>
      <c r="H13" s="90">
        <f t="shared" si="1"/>
        <v>0.12717854776820636</v>
      </c>
      <c r="I13" s="91">
        <f t="shared" si="2"/>
        <v>177818.29</v>
      </c>
      <c r="J13" s="32">
        <f>'Billing Detail'!M60</f>
        <v>5170078.6039000005</v>
      </c>
      <c r="K13" s="31">
        <f t="shared" si="3"/>
        <v>0.12718623596382739</v>
      </c>
      <c r="L13" s="32">
        <f>'Billing Detail'!N60</f>
        <v>178009.32283073186</v>
      </c>
      <c r="M13" s="31">
        <f t="shared" si="6"/>
        <v>3.5658423953724344E-2</v>
      </c>
      <c r="N13" s="31">
        <f>'Billing Detail'!O66</f>
        <v>3.2505781144320234E-2</v>
      </c>
      <c r="O13" s="33">
        <f t="shared" si="7"/>
        <v>191.03283073194325</v>
      </c>
    </row>
    <row r="14" spans="1:22" x14ac:dyDescent="0.2">
      <c r="A14" s="3">
        <f t="shared" si="4"/>
        <v>7</v>
      </c>
      <c r="B14" s="2" t="str">
        <f>'Billing Detail'!B97</f>
        <v>Optional TOD Demand</v>
      </c>
      <c r="C14" s="12">
        <f>'Billing Detail'!C97</f>
        <v>22</v>
      </c>
      <c r="D14" s="32">
        <f>'Billing Detail'!G103</f>
        <v>66933.760960000014</v>
      </c>
      <c r="E14" s="32">
        <f>'Billing Detail'!I103</f>
        <v>76246.055360000013</v>
      </c>
      <c r="F14" s="31">
        <f t="shared" si="0"/>
        <v>1.9424535293432593E-3</v>
      </c>
      <c r="G14" s="89">
        <f t="shared" si="5"/>
        <v>76246.055360000013</v>
      </c>
      <c r="H14" s="90">
        <f t="shared" si="1"/>
        <v>1.9424535293432593E-3</v>
      </c>
      <c r="I14" s="91">
        <f t="shared" si="2"/>
        <v>2715.9</v>
      </c>
      <c r="J14" s="32">
        <f>'Billing Detail'!M103</f>
        <v>78964.147519999999</v>
      </c>
      <c r="K14" s="31">
        <f t="shared" si="3"/>
        <v>1.9425531928248124E-3</v>
      </c>
      <c r="L14" s="32">
        <f>'Billing Detail'!N103</f>
        <v>2718.0921599999956</v>
      </c>
      <c r="M14" s="31">
        <f t="shared" ref="M14" si="12">IF(E14=0,0,L14/E14)</f>
        <v>3.5648954521861773E-2</v>
      </c>
      <c r="N14" s="31">
        <f>'Billing Detail'!O109</f>
        <v>3.2403724524431625E-2</v>
      </c>
      <c r="O14" s="33">
        <f t="shared" ref="O14" si="13">J14-I14-E14</f>
        <v>2.1921599999914179</v>
      </c>
    </row>
    <row r="15" spans="1:22" x14ac:dyDescent="0.2">
      <c r="A15" s="3">
        <f t="shared" si="4"/>
        <v>8</v>
      </c>
      <c r="B15" s="2" t="str">
        <f>'Billing Detail'!B112</f>
        <v>Outdoor &amp; Street Lighting</v>
      </c>
      <c r="C15" s="12">
        <f>'Billing Detail'!C112</f>
        <v>3</v>
      </c>
      <c r="D15" s="32">
        <f>'Billing Detail'!G122</f>
        <v>620763.74000000011</v>
      </c>
      <c r="E15" s="32">
        <f>'Billing Detail'!I122</f>
        <v>641192.34</v>
      </c>
      <c r="F15" s="31">
        <f t="shared" si="0"/>
        <v>1.633509193282498E-2</v>
      </c>
      <c r="G15" s="89">
        <f t="shared" si="5"/>
        <v>641192.34</v>
      </c>
      <c r="H15" s="90">
        <f t="shared" si="1"/>
        <v>1.633509193282498E-2</v>
      </c>
      <c r="I15" s="91">
        <f t="shared" si="2"/>
        <v>22839.37</v>
      </c>
      <c r="J15" s="32">
        <f>'Billing Detail'!M122</f>
        <v>663861.91</v>
      </c>
      <c r="K15" s="31">
        <f t="shared" si="3"/>
        <v>1.6331298612938895E-2</v>
      </c>
      <c r="L15" s="32">
        <f t="shared" ref="L15:L16" si="14">J15-E15</f>
        <v>22669.570000000065</v>
      </c>
      <c r="M15" s="31">
        <f t="shared" si="6"/>
        <v>3.5355335030983162E-2</v>
      </c>
      <c r="N15" s="31">
        <f>'Billing Detail'!O128</f>
        <v>3.1388749369910658E-2</v>
      </c>
      <c r="O15" s="33">
        <f t="shared" si="7"/>
        <v>-169.79999999993015</v>
      </c>
    </row>
    <row r="16" spans="1:22" ht="16.149999999999999" customHeight="1" x14ac:dyDescent="0.2">
      <c r="A16" s="3">
        <f t="shared" si="4"/>
        <v>9</v>
      </c>
      <c r="B16" s="34" t="s">
        <v>110</v>
      </c>
      <c r="C16" s="58"/>
      <c r="D16" s="35">
        <f>SUM(D9:D15)</f>
        <v>31725505.544033334</v>
      </c>
      <c r="E16" s="35">
        <f>SUM(E9:E15)</f>
        <v>39252447.591772601</v>
      </c>
      <c r="F16" s="36">
        <f t="shared" si="0"/>
        <v>1</v>
      </c>
      <c r="G16" s="35">
        <f>SUM(G9:G15)</f>
        <v>39252447.591772601</v>
      </c>
      <c r="H16" s="36">
        <v>1</v>
      </c>
      <c r="I16" s="35">
        <f>SUM(I9:I15)</f>
        <v>1398178.33</v>
      </c>
      <c r="J16" s="35">
        <f>SUM(J9:J15)</f>
        <v>40649670.655953728</v>
      </c>
      <c r="K16" s="36">
        <f t="shared" si="3"/>
        <v>1</v>
      </c>
      <c r="L16" s="35">
        <f t="shared" si="14"/>
        <v>1397223.0641811267</v>
      </c>
      <c r="M16" s="36">
        <f t="shared" ref="M16" si="15">L16/E16</f>
        <v>3.55958201310735E-2</v>
      </c>
      <c r="N16" s="36"/>
      <c r="O16" s="37">
        <f t="shared" si="7"/>
        <v>-955.26581887155771</v>
      </c>
    </row>
    <row r="17" spans="1:19" ht="16.149999999999999" customHeight="1" x14ac:dyDescent="0.2">
      <c r="A17" s="3">
        <f t="shared" si="4"/>
        <v>10</v>
      </c>
      <c r="D17" s="38"/>
      <c r="E17" s="38"/>
      <c r="F17" s="39"/>
      <c r="G17" s="38"/>
      <c r="H17" s="39"/>
      <c r="I17" s="38"/>
      <c r="J17" s="38"/>
      <c r="K17" s="39"/>
      <c r="L17" s="38"/>
      <c r="M17" s="39"/>
      <c r="N17" s="39"/>
      <c r="O17" s="33"/>
    </row>
    <row r="18" spans="1:19" ht="16.149999999999999" customHeight="1" x14ac:dyDescent="0.2">
      <c r="A18" s="3">
        <f t="shared" si="4"/>
        <v>11</v>
      </c>
      <c r="B18" s="2" t="str">
        <f>'Billing Detail'!B69</f>
        <v>Large Industrial Rate (500 kW to 4,999 kW)</v>
      </c>
      <c r="C18" s="12" t="str">
        <f>'Billing Detail'!C69</f>
        <v>B1</v>
      </c>
      <c r="D18" s="32">
        <f>'Billing Detail'!G74</f>
        <v>7572333.0005700001</v>
      </c>
      <c r="E18" s="32">
        <f>'Billing Detail'!I74</f>
        <v>8894897.6033699997</v>
      </c>
      <c r="F18" s="31">
        <f>E18/E$20</f>
        <v>0.79032547721434332</v>
      </c>
      <c r="G18" s="38">
        <f>E18</f>
        <v>8894897.6033699997</v>
      </c>
      <c r="H18" s="90">
        <f>G18/G$20</f>
        <v>0.79032547721434332</v>
      </c>
      <c r="I18" s="91">
        <f>ROUND(L$4*H18,2)</f>
        <v>706938.04</v>
      </c>
      <c r="J18" s="32">
        <f>'Billing Detail'!M74</f>
        <v>9602908.324409999</v>
      </c>
      <c r="K18" s="31">
        <f>J18/J$20</f>
        <v>0.79033152700477383</v>
      </c>
      <c r="L18" s="32">
        <f>'Billing Detail'!N74</f>
        <v>708010.72103999939</v>
      </c>
      <c r="M18" s="31">
        <f t="shared" ref="M18:M20" si="16">IF(E18=0,0,L18/E18)</f>
        <v>7.9597399836481106E-2</v>
      </c>
      <c r="N18" s="31">
        <f>'Billing Detail'!O80</f>
        <v>7.165225638366457E-2</v>
      </c>
      <c r="O18" s="33">
        <f t="shared" ref="O18:O19" si="17">J18-I18-E18</f>
        <v>1072.6810400001705</v>
      </c>
    </row>
    <row r="19" spans="1:19" ht="16.149999999999999" customHeight="1" x14ac:dyDescent="0.2">
      <c r="A19" s="3">
        <f t="shared" si="4"/>
        <v>12</v>
      </c>
      <c r="B19" s="2" t="str">
        <f>'Billing Detail'!B83</f>
        <v>Large Industrial Rate (5,000 kW to 9,999 kW)</v>
      </c>
      <c r="C19" s="12" t="str">
        <f>'Billing Detail'!C83</f>
        <v>B2</v>
      </c>
      <c r="D19" s="32">
        <f>'Billing Detail'!G88</f>
        <v>1959121.96643</v>
      </c>
      <c r="E19" s="32">
        <f>'Billing Detail'!I88</f>
        <v>2359829.5436300002</v>
      </c>
      <c r="F19" s="31">
        <f t="shared" ref="F19:F20" si="18">E19/E$20</f>
        <v>0.20967452278565668</v>
      </c>
      <c r="G19" s="38">
        <f>E19</f>
        <v>2359829.5436300002</v>
      </c>
      <c r="H19" s="90">
        <f t="shared" ref="H19:H20" si="19">G19/G$20</f>
        <v>0.20967452278565668</v>
      </c>
      <c r="I19" s="91">
        <f>ROUND(L$4*H19,2)</f>
        <v>187551.71</v>
      </c>
      <c r="J19" s="32">
        <f>'Billing Detail'!M88</f>
        <v>2547572.8297499996</v>
      </c>
      <c r="K19" s="31">
        <f t="shared" ref="K19:K20" si="20">J19/J$20</f>
        <v>0.20966847299522612</v>
      </c>
      <c r="L19" s="32">
        <f>'Billing Detail'!N88</f>
        <v>187743.28611999989</v>
      </c>
      <c r="M19" s="31">
        <f t="shared" si="16"/>
        <v>7.9557986137932815E-2</v>
      </c>
      <c r="N19" s="31">
        <f>'Billing Detail'!O94</f>
        <v>7.0896929240690021E-2</v>
      </c>
      <c r="O19" s="33">
        <f t="shared" si="17"/>
        <v>191.57611999940127</v>
      </c>
    </row>
    <row r="20" spans="1:19" ht="16.149999999999999" customHeight="1" x14ac:dyDescent="0.2">
      <c r="A20" s="3">
        <f t="shared" si="4"/>
        <v>13</v>
      </c>
      <c r="B20" s="34" t="s">
        <v>111</v>
      </c>
      <c r="C20" s="58"/>
      <c r="D20" s="35">
        <f>SUM(D18:D19)</f>
        <v>9531454.9670000002</v>
      </c>
      <c r="E20" s="35">
        <f>SUM(E18:E19)</f>
        <v>11254727.147</v>
      </c>
      <c r="F20" s="36">
        <f t="shared" si="18"/>
        <v>1</v>
      </c>
      <c r="G20" s="35">
        <f>SUM(G18:G19)</f>
        <v>11254727.147</v>
      </c>
      <c r="H20" s="132">
        <f t="shared" si="19"/>
        <v>1</v>
      </c>
      <c r="I20" s="35">
        <f>SUM(I18:I19)</f>
        <v>894489.75</v>
      </c>
      <c r="J20" s="35">
        <f>SUM(J18:J19)</f>
        <v>12150481.154159999</v>
      </c>
      <c r="K20" s="36">
        <f t="shared" si="20"/>
        <v>1</v>
      </c>
      <c r="L20" s="35">
        <f>SUM(L18:L19)</f>
        <v>895754.00715999934</v>
      </c>
      <c r="M20" s="36">
        <f t="shared" si="16"/>
        <v>7.9589135788046786E-2</v>
      </c>
      <c r="N20" s="36"/>
      <c r="O20" s="35">
        <f>SUM(O18:O19)</f>
        <v>1264.2571599995717</v>
      </c>
      <c r="Q20" s="137"/>
    </row>
    <row r="21" spans="1:19" ht="16.149999999999999" customHeight="1" x14ac:dyDescent="0.2">
      <c r="A21" s="3">
        <f t="shared" si="4"/>
        <v>14</v>
      </c>
      <c r="D21" s="38"/>
      <c r="E21" s="38"/>
      <c r="F21" s="39"/>
      <c r="G21" s="38"/>
      <c r="H21" s="39"/>
      <c r="I21" s="38"/>
      <c r="J21" s="38"/>
      <c r="K21" s="39"/>
      <c r="L21" s="38"/>
      <c r="M21" s="39"/>
      <c r="N21" s="39"/>
      <c r="O21" s="33"/>
    </row>
    <row r="22" spans="1:19" ht="16.149999999999999" customHeight="1" x14ac:dyDescent="0.2">
      <c r="A22" s="3">
        <f t="shared" si="4"/>
        <v>15</v>
      </c>
      <c r="B22" s="11" t="s">
        <v>38</v>
      </c>
      <c r="C22" s="59"/>
      <c r="D22" s="40">
        <f>D16+D20</f>
        <v>41256960.511033334</v>
      </c>
      <c r="E22" s="40">
        <f>E16+E20</f>
        <v>50507174.738772601</v>
      </c>
      <c r="F22" s="81"/>
      <c r="G22" s="40">
        <f>G16+G20</f>
        <v>50507174.738772601</v>
      </c>
      <c r="H22" s="135"/>
      <c r="I22" s="40">
        <f>I16+I20</f>
        <v>2292668.08</v>
      </c>
      <c r="J22" s="40">
        <f>J16+J20</f>
        <v>52800151.810113728</v>
      </c>
      <c r="K22" s="40"/>
      <c r="L22" s="40">
        <f>L16+L20</f>
        <v>2292977.0713411262</v>
      </c>
      <c r="M22" s="81">
        <f t="shared" ref="M22" si="21">M16</f>
        <v>3.55958201310735E-2</v>
      </c>
      <c r="N22" s="40"/>
      <c r="O22" s="40">
        <f>O16+O20</f>
        <v>308.99134112801403</v>
      </c>
    </row>
    <row r="23" spans="1:19" ht="12.6" customHeight="1" x14ac:dyDescent="0.2">
      <c r="A23" s="3">
        <f t="shared" si="4"/>
        <v>16</v>
      </c>
      <c r="S23" s="32"/>
    </row>
    <row r="24" spans="1:19" x14ac:dyDescent="0.2">
      <c r="A24" s="3">
        <f t="shared" si="4"/>
        <v>17</v>
      </c>
      <c r="B24" s="28" t="s">
        <v>7</v>
      </c>
      <c r="C24" s="57"/>
      <c r="D24" s="28"/>
    </row>
    <row r="25" spans="1:19" x14ac:dyDescent="0.2">
      <c r="A25" s="3">
        <f t="shared" si="4"/>
        <v>18</v>
      </c>
      <c r="B25" s="2" t="str">
        <f>'Billing Detail'!D11</f>
        <v xml:space="preserve">    FAC</v>
      </c>
      <c r="D25" s="32">
        <f>'Billing Detail'!G133</f>
        <v>4886310.9899999984</v>
      </c>
      <c r="E25" s="32">
        <f>'Billing Detail'!I133</f>
        <v>-453717.35360000009</v>
      </c>
      <c r="F25" s="41"/>
      <c r="G25" s="42"/>
      <c r="H25" s="42"/>
      <c r="I25" s="42"/>
      <c r="J25" s="32">
        <f>'Billing Detail'!M133</f>
        <v>-453717.35360000009</v>
      </c>
      <c r="K25" s="43"/>
      <c r="L25" s="43"/>
      <c r="M25" s="42"/>
      <c r="N25" s="42"/>
    </row>
    <row r="26" spans="1:19" x14ac:dyDescent="0.2">
      <c r="A26" s="3">
        <f t="shared" si="4"/>
        <v>19</v>
      </c>
      <c r="B26" s="2" t="str">
        <f>'Billing Detail'!D12</f>
        <v xml:space="preserve">    ES</v>
      </c>
      <c r="D26" s="32">
        <f>'Billing Detail'!G134</f>
        <v>5321501.1490331721</v>
      </c>
      <c r="E26" s="32">
        <f>'Billing Detail'!I134</f>
        <v>5321501.1490331721</v>
      </c>
      <c r="F26" s="42"/>
      <c r="G26" s="42"/>
      <c r="H26" s="42"/>
      <c r="I26" s="42"/>
      <c r="J26" s="32">
        <f>'Billing Detail'!M134</f>
        <v>5321501.1490331721</v>
      </c>
      <c r="K26" s="43"/>
      <c r="L26" s="43"/>
      <c r="M26" s="42"/>
      <c r="N26" s="42"/>
    </row>
    <row r="27" spans="1:19" x14ac:dyDescent="0.2">
      <c r="A27" s="3">
        <f t="shared" si="4"/>
        <v>20</v>
      </c>
      <c r="B27" s="2" t="str">
        <f>'Billing Detail'!D13</f>
        <v xml:space="preserve">    Misc Adj</v>
      </c>
      <c r="D27" s="32">
        <f>'Billing Detail'!G135</f>
        <v>27533.166666666672</v>
      </c>
      <c r="E27" s="32">
        <f>'Billing Detail'!I135</f>
        <v>27533.166666666672</v>
      </c>
      <c r="F27" s="42"/>
      <c r="G27" s="42"/>
      <c r="H27" s="42"/>
      <c r="I27" s="42"/>
      <c r="J27" s="32">
        <f>'Billing Detail'!M135</f>
        <v>27533.166666666672</v>
      </c>
      <c r="K27" s="43"/>
      <c r="L27" s="43"/>
      <c r="M27" s="42"/>
      <c r="N27" s="42"/>
    </row>
    <row r="28" spans="1:19" x14ac:dyDescent="0.2">
      <c r="A28" s="3">
        <f t="shared" si="4"/>
        <v>21</v>
      </c>
      <c r="B28" s="2" t="str">
        <f>'Billing Detail'!D14</f>
        <v xml:space="preserve">    Other</v>
      </c>
      <c r="D28" s="32">
        <f>'Billing Detail'!G136</f>
        <v>0</v>
      </c>
      <c r="E28" s="32">
        <f>'Billing Detail'!I136</f>
        <v>0</v>
      </c>
      <c r="F28" s="42"/>
      <c r="G28" s="42"/>
      <c r="H28" s="42"/>
      <c r="I28" s="42"/>
      <c r="J28" s="32">
        <f>'Billing Detail'!M136</f>
        <v>0</v>
      </c>
      <c r="K28" s="43"/>
      <c r="L28" s="43"/>
      <c r="M28" s="42"/>
      <c r="N28" s="51"/>
    </row>
    <row r="29" spans="1:19" x14ac:dyDescent="0.2">
      <c r="A29" s="3">
        <f t="shared" si="4"/>
        <v>22</v>
      </c>
      <c r="B29" s="34" t="s">
        <v>8</v>
      </c>
      <c r="C29" s="58"/>
      <c r="D29" s="35">
        <f>SUM(D25:D28)</f>
        <v>10235345.305699836</v>
      </c>
      <c r="E29" s="35">
        <f>SUM(E25:E28)</f>
        <v>4895316.962099839</v>
      </c>
      <c r="F29" s="44"/>
      <c r="G29" s="44"/>
      <c r="H29" s="44"/>
      <c r="I29" s="44"/>
      <c r="J29" s="35">
        <f>SUM(J25:J28)</f>
        <v>4895316.962099839</v>
      </c>
      <c r="K29" s="45"/>
      <c r="L29" s="45"/>
      <c r="M29" s="44"/>
      <c r="N29" s="42"/>
    </row>
    <row r="30" spans="1:19" x14ac:dyDescent="0.2">
      <c r="A30" s="3">
        <f t="shared" si="4"/>
        <v>23</v>
      </c>
    </row>
    <row r="31" spans="1:19" ht="18" customHeight="1" thickBot="1" x14ac:dyDescent="0.25">
      <c r="A31" s="3">
        <f t="shared" si="4"/>
        <v>24</v>
      </c>
      <c r="B31" s="46" t="s">
        <v>9</v>
      </c>
      <c r="C31" s="60"/>
      <c r="D31" s="47">
        <f>D22+D29</f>
        <v>51492305.816733167</v>
      </c>
      <c r="E31" s="47">
        <f>E22+E29</f>
        <v>55402491.700872436</v>
      </c>
      <c r="F31" s="48"/>
      <c r="G31" s="48"/>
      <c r="H31" s="48"/>
      <c r="I31" s="48"/>
      <c r="J31" s="47">
        <f>J22+J29</f>
        <v>57695468.772213563</v>
      </c>
      <c r="K31" s="49"/>
      <c r="L31" s="48">
        <f t="shared" ref="L31" si="22">J31-E31</f>
        <v>2292977.0713411272</v>
      </c>
      <c r="M31" s="46"/>
      <c r="N31" s="50">
        <f>L31/E31</f>
        <v>4.1387616349844045E-2</v>
      </c>
    </row>
    <row r="32" spans="1:19" ht="18" customHeight="1" thickTop="1" x14ac:dyDescent="0.2">
      <c r="A32" s="3">
        <f t="shared" si="4"/>
        <v>25</v>
      </c>
      <c r="B32" s="2" t="s">
        <v>10</v>
      </c>
      <c r="D32" s="38">
        <v>50801894</v>
      </c>
      <c r="L32" s="38">
        <f>L3</f>
        <v>2292668.0657910034</v>
      </c>
    </row>
    <row r="33" spans="1:12" ht="15" customHeight="1" x14ac:dyDescent="0.2">
      <c r="A33" s="3">
        <f t="shared" si="4"/>
        <v>26</v>
      </c>
      <c r="B33" s="34" t="s">
        <v>35</v>
      </c>
      <c r="C33" s="58"/>
      <c r="D33" s="35">
        <f>D31-D32</f>
        <v>690411.81673316658</v>
      </c>
      <c r="E33" s="34"/>
      <c r="F33" s="34"/>
      <c r="G33" s="34"/>
      <c r="H33" s="34"/>
      <c r="I33" s="34"/>
      <c r="J33" s="34"/>
      <c r="K33" s="34"/>
      <c r="L33" s="35">
        <f>L31-L32</f>
        <v>309.00555012375116</v>
      </c>
    </row>
    <row r="34" spans="1:12" ht="15" customHeight="1" x14ac:dyDescent="0.2">
      <c r="A34" s="3">
        <f t="shared" si="4"/>
        <v>27</v>
      </c>
      <c r="B34" s="2" t="s">
        <v>35</v>
      </c>
      <c r="D34" s="31">
        <f>D33/D32</f>
        <v>1.359027710134521E-2</v>
      </c>
      <c r="L34" s="31">
        <f>L33/L32</f>
        <v>1.347798901787991E-4</v>
      </c>
    </row>
    <row r="35" spans="1:12" x14ac:dyDescent="0.2">
      <c r="A35" s="3"/>
    </row>
    <row r="36" spans="1:12" x14ac:dyDescent="0.2">
      <c r="B36" s="130"/>
    </row>
    <row r="37" spans="1:12" x14ac:dyDescent="0.2">
      <c r="B37" s="131"/>
      <c r="C37" s="126"/>
      <c r="D37" s="127"/>
    </row>
    <row r="38" spans="1:12" x14ac:dyDescent="0.2">
      <c r="B38" s="131"/>
      <c r="C38" s="126"/>
      <c r="D38" s="127"/>
    </row>
    <row r="39" spans="1:12" x14ac:dyDescent="0.2">
      <c r="B39" s="131"/>
      <c r="C39" s="126"/>
      <c r="D39" s="127"/>
    </row>
    <row r="40" spans="1:12" x14ac:dyDescent="0.2">
      <c r="B40" s="131"/>
      <c r="C40" s="126"/>
      <c r="D40" s="127"/>
    </row>
    <row r="41" spans="1:12" x14ac:dyDescent="0.2">
      <c r="B41" s="131"/>
      <c r="C41" s="126"/>
      <c r="D41" s="127"/>
    </row>
    <row r="42" spans="1:12" x14ac:dyDescent="0.2">
      <c r="B42" s="125"/>
      <c r="C42" s="126"/>
      <c r="D42" s="125"/>
    </row>
    <row r="43" spans="1:12" x14ac:dyDescent="0.2">
      <c r="B43" s="125"/>
      <c r="C43" s="126"/>
      <c r="D43" s="128"/>
    </row>
    <row r="44" spans="1:12" x14ac:dyDescent="0.2">
      <c r="B44" s="125"/>
      <c r="C44" s="126"/>
      <c r="D44" s="129"/>
    </row>
    <row r="45" spans="1:12" x14ac:dyDescent="0.2">
      <c r="C45" s="2"/>
    </row>
    <row r="46" spans="1:12" x14ac:dyDescent="0.2">
      <c r="C46" s="2"/>
    </row>
    <row r="47" spans="1:12" x14ac:dyDescent="0.2">
      <c r="C47" s="2"/>
    </row>
  </sheetData>
  <printOptions horizontalCentered="1"/>
  <pageMargins left="0.7" right="0.7" top="0.75" bottom="0.75" header="0.3" footer="0.3"/>
  <pageSetup scale="62" orientation="landscape" r:id="rId1"/>
  <headerFooter>
    <oddHeader>&amp;R&amp;"Arial,Bold"&amp;10Exhibit 4
Page &amp;P of &amp;N</oddHeader>
  </headerFooter>
  <ignoredErrors>
    <ignoredError sqref="J16 F16 J12:J13 G12:G13 G9:G11 J9:J10 F20:K20 G18:G19 G14:G1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936A2-12A9-4965-8FFC-07FECC5A7A7C}">
  <dimension ref="A1:AD178"/>
  <sheetViews>
    <sheetView view="pageBreakPreview" zoomScale="75" zoomScaleNormal="75" zoomScaleSheetLayoutView="75" workbookViewId="0">
      <pane xSplit="4" ySplit="5" topLeftCell="E133" activePane="bottomRight" state="frozen"/>
      <selection activeCell="D1" sqref="D1:D1048576"/>
      <selection pane="topRight" activeCell="D1" sqref="D1:D1048576"/>
      <selection pane="bottomLeft" activeCell="D1" sqref="D1:D1048576"/>
      <selection pane="bottomRight" activeCell="S159" sqref="S159"/>
    </sheetView>
  </sheetViews>
  <sheetFormatPr defaultColWidth="8.85546875" defaultRowHeight="15" x14ac:dyDescent="0.25"/>
  <cols>
    <col min="1" max="1" width="7.42578125" style="5" customWidth="1"/>
    <col min="2" max="2" width="36.42578125" style="2" customWidth="1"/>
    <col min="3" max="3" width="6.7109375" style="12" customWidth="1"/>
    <col min="4" max="4" width="46" style="2" bestFit="1" customWidth="1"/>
    <col min="5" max="5" width="17.42578125" style="88" customWidth="1"/>
    <col min="6" max="6" width="17.7109375" style="88" customWidth="1"/>
    <col min="7" max="7" width="16.7109375" style="88" customWidth="1"/>
    <col min="8" max="8" width="15.7109375" style="88" customWidth="1"/>
    <col min="9" max="9" width="15.28515625" style="88" bestFit="1" customWidth="1"/>
    <col min="10" max="10" width="11.5703125" style="88" customWidth="1"/>
    <col min="11" max="11" width="14.42578125" style="88" customWidth="1"/>
    <col min="12" max="12" width="12.5703125" style="88" customWidth="1"/>
    <col min="13" max="13" width="13.85546875" style="88" bestFit="1" customWidth="1"/>
    <col min="14" max="14" width="13.28515625" style="88" bestFit="1" customWidth="1"/>
    <col min="15" max="15" width="7.28515625" style="88" bestFit="1" customWidth="1"/>
    <col min="16" max="16" width="9.85546875" style="88" bestFit="1" customWidth="1"/>
    <col min="17" max="17" width="9.42578125" style="88" bestFit="1" customWidth="1"/>
    <col min="18" max="18" width="11.85546875" style="88" customWidth="1"/>
    <col min="19" max="19" width="12.42578125" style="84" customWidth="1"/>
    <col min="20" max="20" width="14.140625" style="2" customWidth="1"/>
    <col min="21" max="21" width="8.85546875" style="2" customWidth="1"/>
    <col min="22" max="24" width="8.85546875" style="2"/>
    <col min="26" max="16384" width="8.85546875" style="2"/>
  </cols>
  <sheetData>
    <row r="1" spans="1:20" x14ac:dyDescent="0.25">
      <c r="A1" s="25" t="str">
        <f>Summary!A1</f>
        <v>SHELBY ENERGY COOPERATIVE</v>
      </c>
      <c r="F1" s="92"/>
    </row>
    <row r="2" spans="1:20" ht="14.45" customHeight="1" x14ac:dyDescent="0.25">
      <c r="A2" s="25" t="str">
        <f>Summary!A2</f>
        <v>Billing Analysis for Pass-Through Rate Increase</v>
      </c>
      <c r="E2" s="2"/>
      <c r="F2" s="2"/>
      <c r="G2" s="138"/>
      <c r="H2" s="139"/>
      <c r="I2" s="2"/>
      <c r="J2" s="2"/>
      <c r="K2" s="2"/>
      <c r="L2" s="2"/>
      <c r="M2" s="2"/>
      <c r="N2" s="2"/>
      <c r="O2" s="2"/>
      <c r="P2" s="140"/>
      <c r="Q2" s="2"/>
      <c r="R2" s="2"/>
      <c r="S2" s="85"/>
    </row>
    <row r="3" spans="1:20" x14ac:dyDescent="0.25"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85"/>
    </row>
    <row r="4" spans="1:20" x14ac:dyDescent="0.25"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85"/>
    </row>
    <row r="5" spans="1:20" ht="51" customHeight="1" x14ac:dyDescent="0.25">
      <c r="A5" s="14" t="s">
        <v>1</v>
      </c>
      <c r="B5" s="14" t="s">
        <v>12</v>
      </c>
      <c r="C5" s="8" t="s">
        <v>11</v>
      </c>
      <c r="D5" s="14" t="s">
        <v>13</v>
      </c>
      <c r="E5" s="10" t="s">
        <v>14</v>
      </c>
      <c r="F5" s="10" t="s">
        <v>98</v>
      </c>
      <c r="G5" s="10" t="s">
        <v>99</v>
      </c>
      <c r="H5" s="10" t="s">
        <v>23</v>
      </c>
      <c r="I5" s="10" t="s">
        <v>24</v>
      </c>
      <c r="J5" s="10" t="s">
        <v>46</v>
      </c>
      <c r="K5" s="10" t="s">
        <v>10</v>
      </c>
      <c r="L5" s="10" t="s">
        <v>21</v>
      </c>
      <c r="M5" s="10" t="s">
        <v>4</v>
      </c>
      <c r="N5" s="10" t="s">
        <v>15</v>
      </c>
      <c r="O5" s="8" t="s">
        <v>16</v>
      </c>
      <c r="P5" s="10" t="s">
        <v>22</v>
      </c>
      <c r="Q5" s="10" t="s">
        <v>25</v>
      </c>
      <c r="R5" s="10" t="s">
        <v>36</v>
      </c>
      <c r="T5" s="10" t="s">
        <v>33</v>
      </c>
    </row>
    <row r="6" spans="1:20" ht="30.6" customHeight="1" thickBot="1" x14ac:dyDescent="0.3">
      <c r="A6" s="26"/>
      <c r="B6" s="18"/>
      <c r="C6" s="19"/>
      <c r="D6" s="18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9"/>
      <c r="P6" s="141"/>
      <c r="Q6" s="141"/>
      <c r="R6" s="141"/>
    </row>
    <row r="7" spans="1:20" x14ac:dyDescent="0.25">
      <c r="A7" s="27">
        <v>1</v>
      </c>
      <c r="B7" s="20" t="s">
        <v>78</v>
      </c>
      <c r="C7" s="21">
        <v>12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</row>
    <row r="8" spans="1:20" x14ac:dyDescent="0.25">
      <c r="A8" s="27">
        <f>A7+1</f>
        <v>2</v>
      </c>
      <c r="B8" s="88"/>
      <c r="C8" s="2"/>
      <c r="D8" s="2" t="s">
        <v>17</v>
      </c>
      <c r="E8" s="142">
        <v>158524</v>
      </c>
      <c r="F8" s="143">
        <v>15.48</v>
      </c>
      <c r="G8" s="144">
        <f>F8*E8</f>
        <v>2453951.52</v>
      </c>
      <c r="H8" s="143">
        <v>25.3</v>
      </c>
      <c r="I8" s="144">
        <f>H8*E8</f>
        <v>4010657.2</v>
      </c>
      <c r="J8" s="145">
        <f>I8/I10</f>
        <v>0.15340442850155081</v>
      </c>
      <c r="K8" s="145"/>
      <c r="L8" s="143">
        <f>ROUND(H8*S10,2)</f>
        <v>26.2</v>
      </c>
      <c r="M8" s="144">
        <f>L8*E8</f>
        <v>4153328.8</v>
      </c>
      <c r="N8" s="144">
        <f t="shared" ref="N8:N13" si="0">M8-I8</f>
        <v>142671.59999999963</v>
      </c>
      <c r="O8" s="145">
        <f>IF(I8=0,0,N8/I8)</f>
        <v>3.5573122529644174E-2</v>
      </c>
      <c r="P8" s="145">
        <f>M8/M10</f>
        <v>0.15340213906532771</v>
      </c>
      <c r="Q8" s="146">
        <f>P8-J8</f>
        <v>-2.2894362231018484E-6</v>
      </c>
      <c r="R8" s="146"/>
      <c r="T8" s="4">
        <f>L8/H8-1</f>
        <v>3.5573122529644285E-2</v>
      </c>
    </row>
    <row r="9" spans="1:20" x14ac:dyDescent="0.25">
      <c r="A9" s="27">
        <f t="shared" ref="A9:A88" si="1">A8+1</f>
        <v>3</v>
      </c>
      <c r="B9" s="87"/>
      <c r="D9" s="2" t="s">
        <v>44</v>
      </c>
      <c r="E9" s="142">
        <v>200449924</v>
      </c>
      <c r="F9" s="138">
        <v>8.9599999999999999E-2</v>
      </c>
      <c r="G9" s="144">
        <f t="shared" ref="G9" si="2">F9*E9</f>
        <v>17960313.190400001</v>
      </c>
      <c r="H9" s="147">
        <v>0.11042</v>
      </c>
      <c r="I9" s="144">
        <f t="shared" ref="I9" si="3">H9*E9</f>
        <v>22133680.60808</v>
      </c>
      <c r="J9" s="145">
        <f>I9/I10</f>
        <v>0.84659557149844922</v>
      </c>
      <c r="K9" s="145"/>
      <c r="L9" s="147">
        <f>ROUND(H9*S10,5)</f>
        <v>0.11434999999999999</v>
      </c>
      <c r="M9" s="144">
        <f t="shared" ref="M9" si="4">L9*E9</f>
        <v>22921448.8094</v>
      </c>
      <c r="N9" s="144">
        <f t="shared" si="0"/>
        <v>787768.20131999999</v>
      </c>
      <c r="O9" s="145">
        <f t="shared" ref="O9" si="5">IF(I9=0,0,N9/I9)</f>
        <v>3.5591378373483064E-2</v>
      </c>
      <c r="P9" s="145">
        <f>M9/M10</f>
        <v>0.84659786093467226</v>
      </c>
      <c r="Q9" s="146">
        <f t="shared" ref="Q9:Q10" si="6">P9-J9</f>
        <v>2.2894362230463372E-6</v>
      </c>
      <c r="R9" s="146"/>
      <c r="T9" s="4">
        <f>L9/H9-1</f>
        <v>3.5591378373482918E-2</v>
      </c>
    </row>
    <row r="10" spans="1:20" s="5" customFormat="1" ht="20.45" customHeight="1" x14ac:dyDescent="0.25">
      <c r="A10" s="27">
        <f t="shared" si="1"/>
        <v>4</v>
      </c>
      <c r="C10" s="13"/>
      <c r="D10" s="15" t="s">
        <v>6</v>
      </c>
      <c r="E10" s="15"/>
      <c r="F10" s="15"/>
      <c r="G10" s="148">
        <f>SUM(G8:G9)</f>
        <v>20414264.7104</v>
      </c>
      <c r="H10" s="15"/>
      <c r="I10" s="148">
        <f>SUM(I8:I9)</f>
        <v>26144337.808079999</v>
      </c>
      <c r="J10" s="149">
        <f>SUM(J8:J9)</f>
        <v>1</v>
      </c>
      <c r="K10" s="150">
        <f>I10+Summary!I9</f>
        <v>27075603.208079997</v>
      </c>
      <c r="L10" s="15"/>
      <c r="M10" s="148">
        <f>SUM(M8:M9)</f>
        <v>27074777.6094</v>
      </c>
      <c r="N10" s="148">
        <f>SUM(N8:N9)</f>
        <v>930439.80131999962</v>
      </c>
      <c r="O10" s="149">
        <f t="shared" ref="O10" si="7">N10/I10</f>
        <v>3.5588577846192147E-2</v>
      </c>
      <c r="P10" s="149">
        <f>SUM(P8:P9)</f>
        <v>1</v>
      </c>
      <c r="Q10" s="151">
        <f t="shared" si="6"/>
        <v>0</v>
      </c>
      <c r="R10" s="152">
        <f>M10-K10</f>
        <v>-825.59867999702692</v>
      </c>
      <c r="S10" s="86">
        <f>K10/I10</f>
        <v>1.0356201563350436</v>
      </c>
    </row>
    <row r="11" spans="1:20" x14ac:dyDescent="0.25">
      <c r="A11" s="27">
        <f t="shared" si="1"/>
        <v>5</v>
      </c>
      <c r="D11" s="2" t="s">
        <v>26</v>
      </c>
      <c r="E11" s="2"/>
      <c r="F11" s="2"/>
      <c r="G11" s="144">
        <v>2111516.8266075542</v>
      </c>
      <c r="H11" s="2"/>
      <c r="I11" s="33">
        <f>G11-($H$169*E9)</f>
        <v>-213702.29179244582</v>
      </c>
      <c r="J11" s="2"/>
      <c r="K11" s="33"/>
      <c r="L11" s="2"/>
      <c r="M11" s="144">
        <f>I11</f>
        <v>-213702.29179244582</v>
      </c>
      <c r="N11" s="144">
        <f t="shared" si="0"/>
        <v>0</v>
      </c>
      <c r="O11" s="143">
        <v>0</v>
      </c>
      <c r="P11" s="2"/>
      <c r="Q11" s="2"/>
      <c r="R11" s="153"/>
    </row>
    <row r="12" spans="1:20" x14ac:dyDescent="0.25">
      <c r="A12" s="27">
        <f t="shared" si="1"/>
        <v>6</v>
      </c>
      <c r="D12" s="2" t="s">
        <v>27</v>
      </c>
      <c r="E12" s="2"/>
      <c r="F12" s="2"/>
      <c r="G12" s="144">
        <v>2525970.6145929107</v>
      </c>
      <c r="H12" s="2"/>
      <c r="I12" s="33">
        <f>G12</f>
        <v>2525970.6145929107</v>
      </c>
      <c r="J12" s="2"/>
      <c r="K12" s="2"/>
      <c r="L12" s="2"/>
      <c r="M12" s="144">
        <f t="shared" ref="M12:M14" si="8">I12</f>
        <v>2525970.6145929107</v>
      </c>
      <c r="N12" s="144">
        <f t="shared" si="0"/>
        <v>0</v>
      </c>
      <c r="O12" s="143">
        <v>0</v>
      </c>
      <c r="P12" s="2"/>
      <c r="Q12" s="2"/>
      <c r="R12" s="2"/>
    </row>
    <row r="13" spans="1:20" x14ac:dyDescent="0.25">
      <c r="A13" s="27">
        <f t="shared" si="1"/>
        <v>7</v>
      </c>
      <c r="D13" s="2" t="s">
        <v>29</v>
      </c>
      <c r="E13" s="142"/>
      <c r="F13" s="143"/>
      <c r="G13" s="144">
        <v>0</v>
      </c>
      <c r="H13" s="2"/>
      <c r="I13" s="33">
        <f>E13*H13</f>
        <v>0</v>
      </c>
      <c r="J13" s="2"/>
      <c r="K13" s="2"/>
      <c r="L13" s="2"/>
      <c r="M13" s="144">
        <f t="shared" si="8"/>
        <v>0</v>
      </c>
      <c r="N13" s="144">
        <f t="shared" si="0"/>
        <v>0</v>
      </c>
      <c r="O13" s="143">
        <v>0</v>
      </c>
      <c r="P13" s="2"/>
      <c r="Q13" s="2"/>
      <c r="R13" s="2"/>
    </row>
    <row r="14" spans="1:20" x14ac:dyDescent="0.25">
      <c r="A14" s="27">
        <f t="shared" si="1"/>
        <v>8</v>
      </c>
      <c r="D14" s="2" t="s">
        <v>37</v>
      </c>
      <c r="E14" s="2"/>
      <c r="F14" s="2"/>
      <c r="G14" s="144">
        <v>0</v>
      </c>
      <c r="H14" s="2"/>
      <c r="I14" s="33">
        <f>G14</f>
        <v>0</v>
      </c>
      <c r="J14" s="2"/>
      <c r="K14" s="2"/>
      <c r="L14" s="2"/>
      <c r="M14" s="144">
        <f t="shared" si="8"/>
        <v>0</v>
      </c>
      <c r="N14" s="144"/>
      <c r="O14" s="143">
        <v>0</v>
      </c>
      <c r="P14" s="2"/>
      <c r="Q14" s="2"/>
      <c r="R14" s="2"/>
    </row>
    <row r="15" spans="1:20" x14ac:dyDescent="0.25">
      <c r="A15" s="27">
        <f t="shared" si="1"/>
        <v>9</v>
      </c>
      <c r="D15" s="11" t="s">
        <v>8</v>
      </c>
      <c r="E15" s="11"/>
      <c r="F15" s="11"/>
      <c r="G15" s="154">
        <f>SUM(G11:G14)</f>
        <v>4637487.441200465</v>
      </c>
      <c r="H15" s="11"/>
      <c r="I15" s="154">
        <f>SUM(I11:I14)</f>
        <v>2312268.3228004649</v>
      </c>
      <c r="J15" s="11"/>
      <c r="K15" s="11"/>
      <c r="L15" s="11"/>
      <c r="M15" s="154">
        <f>SUM(M11:M14)</f>
        <v>2312268.3228004649</v>
      </c>
      <c r="N15" s="154">
        <f>M15-I15</f>
        <v>0</v>
      </c>
      <c r="O15" s="155">
        <v>0</v>
      </c>
      <c r="P15" s="2"/>
      <c r="Q15" s="2"/>
      <c r="R15" s="2"/>
    </row>
    <row r="16" spans="1:20" s="5" customFormat="1" ht="26.45" customHeight="1" thickBot="1" x14ac:dyDescent="0.25">
      <c r="A16" s="27">
        <f t="shared" si="1"/>
        <v>10</v>
      </c>
      <c r="C16" s="13"/>
      <c r="D16" s="6" t="s">
        <v>19</v>
      </c>
      <c r="E16" s="6"/>
      <c r="F16" s="6"/>
      <c r="G16" s="156">
        <f>G10+G15</f>
        <v>25051752.151600465</v>
      </c>
      <c r="H16" s="6"/>
      <c r="I16" s="157">
        <f>I15+I10</f>
        <v>28456606.130880464</v>
      </c>
      <c r="J16" s="6"/>
      <c r="K16" s="6"/>
      <c r="L16" s="6"/>
      <c r="M16" s="158">
        <f>M15+M10</f>
        <v>29387045.932200465</v>
      </c>
      <c r="N16" s="158">
        <f>M16-I16</f>
        <v>930439.80132000148</v>
      </c>
      <c r="O16" s="159">
        <f>N16/I16</f>
        <v>3.2696794446977616E-2</v>
      </c>
      <c r="P16" s="2"/>
      <c r="Q16" s="2"/>
      <c r="R16" s="2"/>
      <c r="S16" s="86"/>
    </row>
    <row r="17" spans="1:30" ht="15.75" thickTop="1" x14ac:dyDescent="0.25">
      <c r="A17" s="27">
        <f t="shared" si="1"/>
        <v>11</v>
      </c>
      <c r="D17" s="2" t="s">
        <v>18</v>
      </c>
      <c r="E17" s="143">
        <f>E9/E8</f>
        <v>1264.4768236986197</v>
      </c>
      <c r="F17" s="2"/>
      <c r="G17" s="114">
        <f>G16/E8</f>
        <v>158.03128959400763</v>
      </c>
      <c r="H17" s="2"/>
      <c r="I17" s="114">
        <f>I16/E8</f>
        <v>179.50976590850888</v>
      </c>
      <c r="J17" s="2"/>
      <c r="K17" s="2"/>
      <c r="L17" s="2"/>
      <c r="M17" s="114">
        <f>M16/E8</f>
        <v>185.37915982564448</v>
      </c>
      <c r="N17" s="114">
        <f>M17-I17</f>
        <v>5.8693939171355964</v>
      </c>
      <c r="O17" s="145">
        <f>N17/I17</f>
        <v>3.2696794446977678E-2</v>
      </c>
      <c r="P17" s="2"/>
      <c r="Q17" s="2"/>
      <c r="R17" s="2"/>
    </row>
    <row r="18" spans="1:30" ht="15.75" thickBot="1" x14ac:dyDescent="0.3">
      <c r="A18" s="27">
        <f t="shared" si="1"/>
        <v>12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30" x14ac:dyDescent="0.25">
      <c r="A19" s="27">
        <f t="shared" si="1"/>
        <v>13</v>
      </c>
      <c r="B19" s="20" t="s">
        <v>77</v>
      </c>
      <c r="C19" s="21">
        <v>9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</row>
    <row r="20" spans="1:30" s="88" customFormat="1" ht="12.75" x14ac:dyDescent="0.2">
      <c r="A20" s="118">
        <f t="shared" si="1"/>
        <v>14</v>
      </c>
      <c r="D20" s="88" t="s">
        <v>104</v>
      </c>
      <c r="E20" s="142">
        <v>192</v>
      </c>
      <c r="F20" s="142">
        <v>0</v>
      </c>
      <c r="G20" s="144">
        <f>F20*E20</f>
        <v>0</v>
      </c>
      <c r="H20" s="143">
        <v>0</v>
      </c>
      <c r="I20" s="144">
        <f>H20*E20</f>
        <v>0</v>
      </c>
      <c r="J20" s="145">
        <f>I20/I22</f>
        <v>0</v>
      </c>
      <c r="K20" s="145"/>
      <c r="L20" s="143">
        <f>ROUND(H20*S22,2)</f>
        <v>0</v>
      </c>
      <c r="M20" s="144">
        <f>L20*E20</f>
        <v>0</v>
      </c>
      <c r="N20" s="144">
        <f t="shared" ref="N20" si="9">M20-I20</f>
        <v>0</v>
      </c>
      <c r="O20" s="145">
        <f>IF(I20=0,0,N20/I20)</f>
        <v>0</v>
      </c>
      <c r="P20" s="145">
        <f>M20/M22</f>
        <v>0</v>
      </c>
      <c r="Q20" s="146">
        <f>P20-J20</f>
        <v>0</v>
      </c>
      <c r="R20" s="146"/>
      <c r="S20" s="84"/>
      <c r="T20" s="4"/>
      <c r="U20" s="119"/>
      <c r="X20" s="120"/>
      <c r="Z20" s="120"/>
      <c r="AC20" s="121">
        <v>31</v>
      </c>
      <c r="AD20" s="122">
        <f t="shared" ref="AD20" si="10">($N$10-(AC20*$F$8))/$F$9</f>
        <v>10379016.979017854</v>
      </c>
    </row>
    <row r="21" spans="1:30" x14ac:dyDescent="0.25">
      <c r="A21" s="27">
        <f>A19+1</f>
        <v>14</v>
      </c>
      <c r="D21" s="2" t="s">
        <v>44</v>
      </c>
      <c r="E21" s="142">
        <v>136506</v>
      </c>
      <c r="F21" s="138">
        <v>6.0639999999999999E-2</v>
      </c>
      <c r="G21" s="144">
        <f t="shared" ref="G21" si="11">F21*E21</f>
        <v>8277.7238400000006</v>
      </c>
      <c r="H21" s="138">
        <v>7.2239999999999999E-2</v>
      </c>
      <c r="I21" s="144">
        <f t="shared" ref="I21" si="12">H21*E21</f>
        <v>9861.1934399999991</v>
      </c>
      <c r="J21" s="145">
        <f>I21/I22</f>
        <v>1</v>
      </c>
      <c r="K21" s="145"/>
      <c r="L21" s="147">
        <f>ROUND(H21*S22,5)</f>
        <v>7.4810000000000001E-2</v>
      </c>
      <c r="M21" s="144">
        <f t="shared" ref="M21" si="13">L21*E21</f>
        <v>10212.013860000001</v>
      </c>
      <c r="N21" s="144">
        <f t="shared" ref="N21" si="14">M21-I21</f>
        <v>350.82042000000183</v>
      </c>
      <c r="O21" s="145">
        <f t="shared" ref="O21" si="15">IF(I21=0,0,N21/I21)</f>
        <v>3.5575858250277044E-2</v>
      </c>
      <c r="P21" s="145">
        <f>M21/M$22</f>
        <v>1</v>
      </c>
      <c r="Q21" s="146">
        <f t="shared" ref="Q21" si="16">P21-J21</f>
        <v>0</v>
      </c>
      <c r="R21" s="146"/>
      <c r="T21" s="4">
        <f>L21/H21-1</f>
        <v>3.5575858250276982E-2</v>
      </c>
    </row>
    <row r="22" spans="1:30" s="5" customFormat="1" ht="20.45" customHeight="1" x14ac:dyDescent="0.25">
      <c r="A22" s="27">
        <f t="shared" si="1"/>
        <v>15</v>
      </c>
      <c r="C22" s="13"/>
      <c r="D22" s="15" t="s">
        <v>6</v>
      </c>
      <c r="E22" s="15"/>
      <c r="F22" s="15"/>
      <c r="G22" s="148">
        <f>SUM(G21:G21)</f>
        <v>8277.7238400000006</v>
      </c>
      <c r="H22" s="15"/>
      <c r="I22" s="148">
        <f>SUM(I21:I21)</f>
        <v>9861.1934399999991</v>
      </c>
      <c r="J22" s="149">
        <f>SUM(J21:J21)</f>
        <v>1</v>
      </c>
      <c r="K22" s="150">
        <f>I22+Summary!I10</f>
        <v>10212.453439999999</v>
      </c>
      <c r="L22" s="15"/>
      <c r="M22" s="148">
        <f>SUM(M21:M21)</f>
        <v>10212.013860000001</v>
      </c>
      <c r="N22" s="148">
        <f>SUM(N21:N21)</f>
        <v>350.82042000000183</v>
      </c>
      <c r="O22" s="149">
        <f t="shared" ref="O22" si="17">N22/I22</f>
        <v>3.5575858250277044E-2</v>
      </c>
      <c r="P22" s="149">
        <f>SUM(P21:P21)</f>
        <v>1</v>
      </c>
      <c r="Q22" s="151">
        <f t="shared" ref="Q22" si="18">P22-J22</f>
        <v>0</v>
      </c>
      <c r="R22" s="152">
        <f>M22-K22</f>
        <v>-0.43957999999838648</v>
      </c>
      <c r="S22" s="86">
        <f>K22/I22</f>
        <v>1.035620435004873</v>
      </c>
    </row>
    <row r="23" spans="1:30" x14ac:dyDescent="0.25">
      <c r="A23" s="27">
        <f t="shared" si="1"/>
        <v>16</v>
      </c>
      <c r="D23" s="2" t="s">
        <v>26</v>
      </c>
      <c r="E23" s="2"/>
      <c r="F23" s="2"/>
      <c r="G23" s="144">
        <v>1630.6057552994919</v>
      </c>
      <c r="H23" s="2"/>
      <c r="I23" s="33">
        <f>G23-($H$169*E21)</f>
        <v>47.136155299491975</v>
      </c>
      <c r="J23" s="2"/>
      <c r="K23" s="33"/>
      <c r="L23" s="2"/>
      <c r="M23" s="144">
        <f>I23</f>
        <v>47.136155299491975</v>
      </c>
      <c r="N23" s="144">
        <f t="shared" ref="N23:N28" si="19">M23-I23</f>
        <v>0</v>
      </c>
      <c r="O23" s="143">
        <v>0</v>
      </c>
      <c r="P23" s="2"/>
      <c r="Q23" s="2"/>
      <c r="R23" s="2"/>
    </row>
    <row r="24" spans="1:30" x14ac:dyDescent="0.25">
      <c r="A24" s="27">
        <f t="shared" si="1"/>
        <v>17</v>
      </c>
      <c r="D24" s="2" t="s">
        <v>27</v>
      </c>
      <c r="E24" s="2"/>
      <c r="F24" s="2"/>
      <c r="G24" s="144">
        <v>1002.5318105023615</v>
      </c>
      <c r="H24" s="2"/>
      <c r="I24" s="33">
        <f t="shared" ref="I24:I26" si="20">G24</f>
        <v>1002.5318105023615</v>
      </c>
      <c r="J24" s="2"/>
      <c r="K24" s="2"/>
      <c r="L24" s="2"/>
      <c r="M24" s="144">
        <f t="shared" ref="M24:M26" si="21">I24</f>
        <v>1002.5318105023615</v>
      </c>
      <c r="N24" s="144">
        <f t="shared" si="19"/>
        <v>0</v>
      </c>
      <c r="O24" s="143">
        <v>0</v>
      </c>
      <c r="P24" s="2"/>
      <c r="Q24" s="2"/>
      <c r="R24" s="2"/>
    </row>
    <row r="25" spans="1:30" x14ac:dyDescent="0.25">
      <c r="A25" s="27">
        <f t="shared" si="1"/>
        <v>18</v>
      </c>
      <c r="D25" s="2" t="s">
        <v>29</v>
      </c>
      <c r="E25" s="2"/>
      <c r="F25" s="2"/>
      <c r="G25" s="144">
        <v>0</v>
      </c>
      <c r="H25" s="2"/>
      <c r="I25" s="33">
        <f t="shared" si="20"/>
        <v>0</v>
      </c>
      <c r="J25" s="2"/>
      <c r="K25" s="2"/>
      <c r="L25" s="2"/>
      <c r="M25" s="144">
        <f t="shared" si="21"/>
        <v>0</v>
      </c>
      <c r="N25" s="144">
        <f t="shared" si="19"/>
        <v>0</v>
      </c>
      <c r="O25" s="143">
        <v>0</v>
      </c>
      <c r="P25" s="2"/>
      <c r="Q25" s="2"/>
      <c r="R25" s="2"/>
    </row>
    <row r="26" spans="1:30" x14ac:dyDescent="0.25">
      <c r="A26" s="27">
        <f t="shared" si="1"/>
        <v>19</v>
      </c>
      <c r="D26" s="2" t="s">
        <v>37</v>
      </c>
      <c r="E26" s="2"/>
      <c r="F26" s="2"/>
      <c r="G26" s="144">
        <v>0</v>
      </c>
      <c r="H26" s="2"/>
      <c r="I26" s="33">
        <f t="shared" si="20"/>
        <v>0</v>
      </c>
      <c r="J26" s="2"/>
      <c r="K26" s="2"/>
      <c r="L26" s="2"/>
      <c r="M26" s="144">
        <f t="shared" si="21"/>
        <v>0</v>
      </c>
      <c r="N26" s="144"/>
      <c r="O26" s="143"/>
      <c r="P26" s="2"/>
      <c r="Q26" s="2"/>
      <c r="R26" s="2"/>
    </row>
    <row r="27" spans="1:30" x14ac:dyDescent="0.25">
      <c r="A27" s="27">
        <f t="shared" si="1"/>
        <v>20</v>
      </c>
      <c r="D27" s="11" t="s">
        <v>8</v>
      </c>
      <c r="E27" s="11"/>
      <c r="F27" s="11"/>
      <c r="G27" s="154">
        <f>SUM(G23:G26)</f>
        <v>2633.1375658018533</v>
      </c>
      <c r="H27" s="11"/>
      <c r="I27" s="154">
        <f>SUM(I23:I26)</f>
        <v>1049.6679658018534</v>
      </c>
      <c r="J27" s="11"/>
      <c r="K27" s="11"/>
      <c r="L27" s="11"/>
      <c r="M27" s="154">
        <f>SUM(M23:M26)</f>
        <v>1049.6679658018534</v>
      </c>
      <c r="N27" s="154">
        <f t="shared" si="19"/>
        <v>0</v>
      </c>
      <c r="O27" s="155">
        <f t="shared" ref="O27" si="22">N27-J27</f>
        <v>0</v>
      </c>
      <c r="P27" s="2"/>
      <c r="Q27" s="2"/>
      <c r="R27" s="2"/>
    </row>
    <row r="28" spans="1:30" s="5" customFormat="1" ht="26.45" customHeight="1" thickBot="1" x14ac:dyDescent="0.25">
      <c r="A28" s="27">
        <f t="shared" si="1"/>
        <v>21</v>
      </c>
      <c r="C28" s="13"/>
      <c r="D28" s="6" t="s">
        <v>19</v>
      </c>
      <c r="E28" s="6"/>
      <c r="F28" s="6"/>
      <c r="G28" s="156">
        <f>G22+G27</f>
        <v>10910.861405801854</v>
      </c>
      <c r="H28" s="6"/>
      <c r="I28" s="157">
        <f>I27+I22</f>
        <v>10910.861405801852</v>
      </c>
      <c r="J28" s="6"/>
      <c r="K28" s="6"/>
      <c r="L28" s="6"/>
      <c r="M28" s="158">
        <f>M27+M22</f>
        <v>11261.681825801854</v>
      </c>
      <c r="N28" s="158">
        <f t="shared" si="19"/>
        <v>350.82042000000183</v>
      </c>
      <c r="O28" s="159">
        <f>N28/I28</f>
        <v>3.2153320159804523E-2</v>
      </c>
      <c r="P28" s="2"/>
      <c r="Q28" s="2"/>
      <c r="R28" s="2"/>
      <c r="S28" s="86"/>
    </row>
    <row r="29" spans="1:30" ht="15.75" thickTop="1" x14ac:dyDescent="0.25">
      <c r="A29" s="27">
        <f t="shared" si="1"/>
        <v>22</v>
      </c>
      <c r="D29" s="2" t="s">
        <v>18</v>
      </c>
      <c r="E29" s="143">
        <f>E21/E20</f>
        <v>710.96875</v>
      </c>
      <c r="F29" s="2"/>
      <c r="G29" s="114">
        <f>G28/E20</f>
        <v>56.827403155217986</v>
      </c>
      <c r="H29" s="2"/>
      <c r="I29" s="114">
        <f>I28/E20</f>
        <v>56.827403155217979</v>
      </c>
      <c r="J29" s="2"/>
      <c r="K29" s="2"/>
      <c r="L29" s="2"/>
      <c r="M29" s="114">
        <f>M28/E20</f>
        <v>58.654592842717989</v>
      </c>
      <c r="N29" s="114">
        <f>M29-I29</f>
        <v>1.8271896875000095</v>
      </c>
      <c r="O29" s="145">
        <f>N29/I29</f>
        <v>3.2153320159804523E-2</v>
      </c>
      <c r="P29" s="2"/>
      <c r="Q29" s="2"/>
      <c r="R29" s="2"/>
    </row>
    <row r="30" spans="1:30" ht="15.75" thickBot="1" x14ac:dyDescent="0.3">
      <c r="A30" s="27">
        <f t="shared" si="1"/>
        <v>23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30" x14ac:dyDescent="0.25">
      <c r="A31" s="27">
        <v>1</v>
      </c>
      <c r="B31" s="20" t="s">
        <v>79</v>
      </c>
      <c r="C31" s="21">
        <v>15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</row>
    <row r="32" spans="1:30" x14ac:dyDescent="0.25">
      <c r="A32" s="27">
        <f>A31+1</f>
        <v>2</v>
      </c>
      <c r="B32" s="88"/>
      <c r="C32" s="2"/>
      <c r="D32" s="2" t="s">
        <v>102</v>
      </c>
      <c r="E32" s="142">
        <v>275331.66666666669</v>
      </c>
      <c r="F32" s="143">
        <v>0.5</v>
      </c>
      <c r="G32" s="144">
        <f>F32*E32</f>
        <v>137665.83333333334</v>
      </c>
      <c r="H32" s="143">
        <f>ROUND(H8*12/365,2)</f>
        <v>0.83</v>
      </c>
      <c r="I32" s="144">
        <f>H32*E32</f>
        <v>228525.28333333333</v>
      </c>
      <c r="J32" s="145">
        <f>I32/I34</f>
        <v>0.13514681848759286</v>
      </c>
      <c r="K32" s="145"/>
      <c r="L32" s="143">
        <f>ROUND(H32*S34,2)</f>
        <v>0.86</v>
      </c>
      <c r="M32" s="144">
        <f>L32*E32</f>
        <v>236785.23333333334</v>
      </c>
      <c r="N32" s="144">
        <f t="shared" ref="N32:N33" si="23">M32-I32</f>
        <v>8259.9500000000116</v>
      </c>
      <c r="O32" s="145">
        <f>IF(I32=0,0,N32/I32)</f>
        <v>3.6144578313253066E-2</v>
      </c>
      <c r="P32" s="145">
        <f>M32/M34</f>
        <v>0.1352092509636873</v>
      </c>
      <c r="Q32" s="146">
        <f>P32-J32</f>
        <v>6.2432476094442801E-5</v>
      </c>
      <c r="R32" s="146"/>
      <c r="T32" s="4">
        <f>L32/H32-1</f>
        <v>3.6144578313253017E-2</v>
      </c>
    </row>
    <row r="33" spans="1:20" x14ac:dyDescent="0.25">
      <c r="A33" s="27">
        <f t="shared" si="1"/>
        <v>3</v>
      </c>
      <c r="B33" s="87"/>
      <c r="D33" s="2" t="s">
        <v>44</v>
      </c>
      <c r="E33" s="142">
        <v>13244119</v>
      </c>
      <c r="F33" s="138">
        <v>8.9599999999999999E-2</v>
      </c>
      <c r="G33" s="144">
        <f t="shared" ref="G33" si="24">F33*E33</f>
        <v>1186673.0623999999</v>
      </c>
      <c r="H33" s="147">
        <f>H9</f>
        <v>0.11042</v>
      </c>
      <c r="I33" s="144">
        <f t="shared" ref="I33" si="25">H33*E33</f>
        <v>1462415.61998</v>
      </c>
      <c r="J33" s="145">
        <f>I33/I34</f>
        <v>0.8648531815124072</v>
      </c>
      <c r="K33" s="145"/>
      <c r="L33" s="147">
        <f>ROUND(H33*S34,5)</f>
        <v>0.11434999999999999</v>
      </c>
      <c r="M33" s="144">
        <f t="shared" ref="M33" si="26">L33*E33</f>
        <v>1514465.0076499998</v>
      </c>
      <c r="N33" s="144">
        <f t="shared" si="23"/>
        <v>52049.387669999851</v>
      </c>
      <c r="O33" s="145">
        <f t="shared" ref="O33" si="27">IF(I33=0,0,N33/I33)</f>
        <v>3.5591378373482967E-2</v>
      </c>
      <c r="P33" s="145">
        <f>M33/M34</f>
        <v>0.8647907490363127</v>
      </c>
      <c r="Q33" s="146">
        <f t="shared" ref="Q33:Q34" si="28">P33-J33</f>
        <v>-6.2432476094498313E-5</v>
      </c>
      <c r="R33" s="146"/>
      <c r="T33" s="4">
        <f>L33/H33-1</f>
        <v>3.5591378373482918E-2</v>
      </c>
    </row>
    <row r="34" spans="1:20" s="5" customFormat="1" ht="20.45" customHeight="1" x14ac:dyDescent="0.25">
      <c r="A34" s="27">
        <f t="shared" si="1"/>
        <v>4</v>
      </c>
      <c r="C34" s="13"/>
      <c r="D34" s="15" t="s">
        <v>6</v>
      </c>
      <c r="E34" s="160"/>
      <c r="F34" s="160"/>
      <c r="G34" s="148">
        <f>SUM(G32:G33)</f>
        <v>1324338.8957333332</v>
      </c>
      <c r="H34" s="15"/>
      <c r="I34" s="148">
        <f>SUM(I32:I33)</f>
        <v>1690940.9033133332</v>
      </c>
      <c r="J34" s="149">
        <f>SUM(J32:J33)</f>
        <v>1</v>
      </c>
      <c r="K34" s="150">
        <f>I34+Summary!I11</f>
        <v>1751172.4833133332</v>
      </c>
      <c r="L34" s="15"/>
      <c r="M34" s="148">
        <f>SUM(M32:M33)</f>
        <v>1751250.2409833332</v>
      </c>
      <c r="N34" s="148">
        <f>SUM(N32:N33)</f>
        <v>60309.337669999863</v>
      </c>
      <c r="O34" s="149">
        <f t="shared" ref="O34" si="29">N34/I34</f>
        <v>3.5666141585330421E-2</v>
      </c>
      <c r="P34" s="149">
        <f>SUM(P32:P33)</f>
        <v>1</v>
      </c>
      <c r="Q34" s="151">
        <f t="shared" si="28"/>
        <v>0</v>
      </c>
      <c r="R34" s="152">
        <f>M34-K34</f>
        <v>77.757669999962673</v>
      </c>
      <c r="S34" s="86">
        <f>K34/I34</f>
        <v>1.0356201567316625</v>
      </c>
    </row>
    <row r="35" spans="1:20" x14ac:dyDescent="0.25">
      <c r="A35" s="27">
        <f t="shared" si="1"/>
        <v>5</v>
      </c>
      <c r="D35" s="2" t="s">
        <v>26</v>
      </c>
      <c r="E35" s="2"/>
      <c r="F35" s="2"/>
      <c r="G35" s="144">
        <v>140820.40904444861</v>
      </c>
      <c r="H35" s="2"/>
      <c r="I35" s="33">
        <f>G35-($H$169*E33)</f>
        <v>-12811.371355551382</v>
      </c>
      <c r="J35" s="2"/>
      <c r="K35" s="33"/>
      <c r="L35" s="2"/>
      <c r="M35" s="144">
        <f>I35</f>
        <v>-12811.371355551382</v>
      </c>
      <c r="N35" s="144">
        <f t="shared" ref="N35:N37" si="30">M35-I35</f>
        <v>0</v>
      </c>
      <c r="O35" s="143">
        <v>0</v>
      </c>
      <c r="P35" s="2"/>
      <c r="Q35" s="2"/>
      <c r="R35" s="153"/>
    </row>
    <row r="36" spans="1:20" x14ac:dyDescent="0.25">
      <c r="A36" s="27">
        <f t="shared" si="1"/>
        <v>6</v>
      </c>
      <c r="D36" s="2" t="s">
        <v>27</v>
      </c>
      <c r="E36" s="2"/>
      <c r="F36" s="2"/>
      <c r="G36" s="144">
        <v>168105.40300492331</v>
      </c>
      <c r="H36" s="2"/>
      <c r="I36" s="33">
        <f>G36</f>
        <v>168105.40300492331</v>
      </c>
      <c r="J36" s="2"/>
      <c r="K36" s="2"/>
      <c r="L36" s="2"/>
      <c r="M36" s="144">
        <f t="shared" ref="M36:M38" si="31">I36</f>
        <v>168105.40300492331</v>
      </c>
      <c r="N36" s="144">
        <f t="shared" si="30"/>
        <v>0</v>
      </c>
      <c r="O36" s="143">
        <v>0</v>
      </c>
      <c r="P36" s="2"/>
      <c r="Q36" s="2"/>
      <c r="R36" s="2"/>
    </row>
    <row r="37" spans="1:20" x14ac:dyDescent="0.25">
      <c r="A37" s="27">
        <f t="shared" si="1"/>
        <v>7</v>
      </c>
      <c r="D37" s="2" t="s">
        <v>103</v>
      </c>
      <c r="E37" s="142">
        <f>E32</f>
        <v>275331.66666666669</v>
      </c>
      <c r="F37" s="143">
        <v>0.1</v>
      </c>
      <c r="G37" s="144">
        <f>F37*E37</f>
        <v>27533.166666666672</v>
      </c>
      <c r="H37" s="143">
        <v>0.1</v>
      </c>
      <c r="I37" s="33">
        <f>E37*H37</f>
        <v>27533.166666666672</v>
      </c>
      <c r="J37" s="2"/>
      <c r="K37" s="2"/>
      <c r="L37" s="161">
        <f>H37</f>
        <v>0.1</v>
      </c>
      <c r="M37" s="144">
        <f>L37*E37</f>
        <v>27533.166666666672</v>
      </c>
      <c r="N37" s="144">
        <f t="shared" si="30"/>
        <v>0</v>
      </c>
      <c r="O37" s="143">
        <v>0</v>
      </c>
      <c r="P37" s="2"/>
      <c r="Q37" s="2"/>
      <c r="R37" s="2"/>
    </row>
    <row r="38" spans="1:20" x14ac:dyDescent="0.25">
      <c r="A38" s="27">
        <f t="shared" si="1"/>
        <v>8</v>
      </c>
      <c r="D38" s="2" t="s">
        <v>37</v>
      </c>
      <c r="E38" s="2"/>
      <c r="F38" s="2"/>
      <c r="G38" s="144">
        <v>0</v>
      </c>
      <c r="H38" s="2"/>
      <c r="I38" s="33">
        <f>G38</f>
        <v>0</v>
      </c>
      <c r="J38" s="2"/>
      <c r="K38" s="2"/>
      <c r="L38" s="2"/>
      <c r="M38" s="144">
        <f t="shared" si="31"/>
        <v>0</v>
      </c>
      <c r="N38" s="144"/>
      <c r="O38" s="143">
        <v>0</v>
      </c>
      <c r="P38" s="2"/>
      <c r="Q38" s="2"/>
      <c r="R38" s="2"/>
    </row>
    <row r="39" spans="1:20" x14ac:dyDescent="0.25">
      <c r="A39" s="27">
        <f t="shared" si="1"/>
        <v>9</v>
      </c>
      <c r="D39" s="11" t="s">
        <v>8</v>
      </c>
      <c r="E39" s="11"/>
      <c r="F39" s="11"/>
      <c r="G39" s="154">
        <f>SUM(G35:G38)</f>
        <v>336458.97871603857</v>
      </c>
      <c r="H39" s="11"/>
      <c r="I39" s="154">
        <f>SUM(I35:I38)</f>
        <v>182827.19831603859</v>
      </c>
      <c r="J39" s="11"/>
      <c r="K39" s="11"/>
      <c r="L39" s="11"/>
      <c r="M39" s="154">
        <f>SUM(M35:M38)</f>
        <v>182827.19831603859</v>
      </c>
      <c r="N39" s="154">
        <f>M39-I39</f>
        <v>0</v>
      </c>
      <c r="O39" s="155">
        <v>0</v>
      </c>
      <c r="P39" s="2"/>
      <c r="Q39" s="2"/>
      <c r="R39" s="2"/>
    </row>
    <row r="40" spans="1:20" s="5" customFormat="1" ht="26.45" customHeight="1" thickBot="1" x14ac:dyDescent="0.25">
      <c r="A40" s="27">
        <f t="shared" si="1"/>
        <v>10</v>
      </c>
      <c r="C40" s="13"/>
      <c r="D40" s="6" t="s">
        <v>19</v>
      </c>
      <c r="E40" s="6"/>
      <c r="F40" s="6"/>
      <c r="G40" s="156">
        <f>G34+G39</f>
        <v>1660797.8744493718</v>
      </c>
      <c r="H40" s="6"/>
      <c r="I40" s="157">
        <f>I39+I34</f>
        <v>1873768.1016293718</v>
      </c>
      <c r="J40" s="6"/>
      <c r="K40" s="6"/>
      <c r="L40" s="6"/>
      <c r="M40" s="158">
        <f>M39+M34</f>
        <v>1934077.4392993718</v>
      </c>
      <c r="N40" s="158">
        <f>M40-I40</f>
        <v>60309.337670000037</v>
      </c>
      <c r="O40" s="159">
        <f>N40/I40</f>
        <v>3.2186126777137933E-2</v>
      </c>
      <c r="P40" s="2"/>
      <c r="Q40" s="2"/>
      <c r="R40" s="2"/>
      <c r="S40" s="86"/>
    </row>
    <row r="41" spans="1:20" ht="15.75" thickTop="1" x14ac:dyDescent="0.25">
      <c r="A41" s="27">
        <f t="shared" si="1"/>
        <v>11</v>
      </c>
      <c r="D41" s="2" t="s">
        <v>18</v>
      </c>
      <c r="E41" s="143">
        <f>E33/E32</f>
        <v>48.102418295510262</v>
      </c>
      <c r="F41" s="2"/>
      <c r="G41" s="114">
        <f>G40/E32</f>
        <v>6.0319900524193431</v>
      </c>
      <c r="H41" s="2"/>
      <c r="I41" s="114">
        <f>I40/E32</f>
        <v>6.805494349103947</v>
      </c>
      <c r="J41" s="2"/>
      <c r="K41" s="2"/>
      <c r="L41" s="2"/>
      <c r="M41" s="114">
        <f>M40/E32</f>
        <v>7.0245368530053023</v>
      </c>
      <c r="N41" s="114">
        <f>M41-I41</f>
        <v>0.21904250390135527</v>
      </c>
      <c r="O41" s="145">
        <f>N41/I41</f>
        <v>3.2186126777137905E-2</v>
      </c>
      <c r="P41" s="2"/>
      <c r="Q41" s="2"/>
      <c r="R41" s="2"/>
    </row>
    <row r="42" spans="1:20" ht="15.75" thickBot="1" x14ac:dyDescent="0.3">
      <c r="A42" s="27">
        <f t="shared" si="1"/>
        <v>12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20" x14ac:dyDescent="0.25">
      <c r="A43" s="27">
        <f>A30+1</f>
        <v>24</v>
      </c>
      <c r="B43" s="20" t="s">
        <v>58</v>
      </c>
      <c r="C43" s="21">
        <v>2</v>
      </c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</row>
    <row r="44" spans="1:20" x14ac:dyDescent="0.25">
      <c r="A44" s="27">
        <f t="shared" si="1"/>
        <v>25</v>
      </c>
      <c r="C44" s="2"/>
      <c r="D44" s="2" t="s">
        <v>17</v>
      </c>
      <c r="E44" s="142">
        <v>777</v>
      </c>
      <c r="F44" s="143">
        <v>53.84</v>
      </c>
      <c r="G44" s="144">
        <f>F44*E44</f>
        <v>41833.68</v>
      </c>
      <c r="H44" s="143">
        <v>53.84</v>
      </c>
      <c r="I44" s="144">
        <f>H44*E44</f>
        <v>41833.68</v>
      </c>
      <c r="J44" s="145">
        <f>I44/I47</f>
        <v>7.3420758753966068E-3</v>
      </c>
      <c r="K44" s="145"/>
      <c r="L44" s="143">
        <f>ROUND(H44*S47,2)</f>
        <v>55.76</v>
      </c>
      <c r="M44" s="144">
        <f>L44*E44</f>
        <v>43325.52</v>
      </c>
      <c r="N44" s="144">
        <f>M44-I44</f>
        <v>1491.8399999999965</v>
      </c>
      <c r="O44" s="145">
        <f>IF(I44=0,0,N44/I44)</f>
        <v>3.5661218424962768E-2</v>
      </c>
      <c r="P44" s="145">
        <f>M44/M$47</f>
        <v>7.3426536961827991E-3</v>
      </c>
      <c r="Q44" s="146">
        <f>P44-J44</f>
        <v>5.77820786192354E-7</v>
      </c>
      <c r="R44" s="146"/>
      <c r="T44" s="4">
        <f>L44/H44-1</f>
        <v>3.5661218424962726E-2</v>
      </c>
    </row>
    <row r="45" spans="1:20" x14ac:dyDescent="0.25">
      <c r="A45" s="27">
        <f t="shared" si="1"/>
        <v>26</v>
      </c>
      <c r="D45" s="2" t="s">
        <v>44</v>
      </c>
      <c r="E45" s="142">
        <v>62004651</v>
      </c>
      <c r="F45" s="138">
        <v>6.2010000000000003E-2</v>
      </c>
      <c r="G45" s="144">
        <f t="shared" ref="G45" si="32">F45*E45</f>
        <v>3844908.40851</v>
      </c>
      <c r="H45" s="138">
        <v>7.2819878565399884E-2</v>
      </c>
      <c r="I45" s="144">
        <f t="shared" ref="I45" si="33">H45*E45</f>
        <v>4515171.1563100005</v>
      </c>
      <c r="J45" s="145">
        <f>I45/I47</f>
        <v>0.79244114359602735</v>
      </c>
      <c r="K45" s="145"/>
      <c r="L45" s="147">
        <f>ROUND(H45*S47,5)</f>
        <v>7.5410000000000005E-2</v>
      </c>
      <c r="M45" s="144">
        <f t="shared" ref="M45" si="34">L45*E45</f>
        <v>4675770.7319100006</v>
      </c>
      <c r="N45" s="144">
        <f t="shared" ref="N45" si="35">M45-I45</f>
        <v>160599.5756000001</v>
      </c>
      <c r="O45" s="145">
        <f t="shared" ref="O45" si="36">IF(I45=0,0,N45/I45)</f>
        <v>3.5568878795560262E-2</v>
      </c>
      <c r="P45" s="145">
        <f t="shared" ref="P45:P46" si="37">M45/M$47</f>
        <v>0.79243284898051591</v>
      </c>
      <c r="Q45" s="146">
        <f t="shared" ref="Q45" si="38">P45-J45</f>
        <v>-8.294615511439396E-6</v>
      </c>
      <c r="R45" s="146"/>
      <c r="T45" s="4">
        <f>L45/H45-1</f>
        <v>3.5568878795560144E-2</v>
      </c>
    </row>
    <row r="46" spans="1:20" x14ac:dyDescent="0.25">
      <c r="A46" s="27">
        <f t="shared" si="1"/>
        <v>27</v>
      </c>
      <c r="D46" s="2" t="s">
        <v>45</v>
      </c>
      <c r="E46" s="142">
        <v>174968.58499999999</v>
      </c>
      <c r="F46" s="162">
        <v>6.24</v>
      </c>
      <c r="G46" s="144">
        <f t="shared" ref="G46" si="39">F46*E46</f>
        <v>1091803.9704</v>
      </c>
      <c r="H46" s="143">
        <v>6.52</v>
      </c>
      <c r="I46" s="144">
        <f t="shared" ref="I46" si="40">H46*E46</f>
        <v>1140795.1741999998</v>
      </c>
      <c r="J46" s="145">
        <f>I46/I47</f>
        <v>0.20021678052857622</v>
      </c>
      <c r="K46" s="145"/>
      <c r="L46" s="143">
        <f>ROUND(H46*S47,5)</f>
        <v>6.7522399999999996</v>
      </c>
      <c r="M46" s="144">
        <f t="shared" ref="M46" si="41">L46*E46</f>
        <v>1181429.8783803999</v>
      </c>
      <c r="N46" s="144">
        <f t="shared" ref="N46:N54" si="42">M46-I46</f>
        <v>40634.70418040012</v>
      </c>
      <c r="O46" s="145">
        <f t="shared" ref="O46" si="43">IF(I46=0,0,N46/I46)</f>
        <v>3.5619631901840601E-2</v>
      </c>
      <c r="P46" s="145">
        <f t="shared" si="37"/>
        <v>0.20022449732330136</v>
      </c>
      <c r="Q46" s="146">
        <f t="shared" ref="Q46:Q47" si="44">P46-J46</f>
        <v>7.7167947251377544E-6</v>
      </c>
      <c r="R46" s="146"/>
      <c r="T46" s="4">
        <f>L46/H46-1</f>
        <v>3.5619631901840476E-2</v>
      </c>
    </row>
    <row r="47" spans="1:20" s="5" customFormat="1" ht="20.45" customHeight="1" x14ac:dyDescent="0.2">
      <c r="A47" s="27">
        <f t="shared" si="1"/>
        <v>28</v>
      </c>
      <c r="C47" s="13"/>
      <c r="D47" s="15" t="s">
        <v>6</v>
      </c>
      <c r="E47" s="15"/>
      <c r="F47" s="155"/>
      <c r="G47" s="148">
        <f>SUM(G44:G46)</f>
        <v>4978546.0589100001</v>
      </c>
      <c r="H47" s="15"/>
      <c r="I47" s="148">
        <f>SUM(I44:I46)</f>
        <v>5697800.0105099995</v>
      </c>
      <c r="J47" s="149">
        <f>SUM(J44:J46)</f>
        <v>1.0000000000000002</v>
      </c>
      <c r="K47" s="150">
        <f>I47+Summary!I12</f>
        <v>5900756.5405099997</v>
      </c>
      <c r="L47" s="15"/>
      <c r="M47" s="148">
        <f>SUM(M44:M46)</f>
        <v>5900526.1302904002</v>
      </c>
      <c r="N47" s="148">
        <f>SUM(N44:N46)</f>
        <v>202726.11978040021</v>
      </c>
      <c r="O47" s="149">
        <f t="shared" ref="O47" si="45">N47/I47</f>
        <v>3.5579718383666921E-2</v>
      </c>
      <c r="P47" s="149">
        <f>SUM(P44:P46)</f>
        <v>1</v>
      </c>
      <c r="Q47" s="151">
        <f t="shared" si="44"/>
        <v>0</v>
      </c>
      <c r="R47" s="152">
        <f>M47-K47</f>
        <v>-230.41021959949285</v>
      </c>
      <c r="S47" s="86">
        <f>K47/I47</f>
        <v>1.0356201568369603</v>
      </c>
    </row>
    <row r="48" spans="1:20" x14ac:dyDescent="0.25">
      <c r="A48" s="27">
        <f t="shared" si="1"/>
        <v>29</v>
      </c>
      <c r="D48" s="2" t="s">
        <v>26</v>
      </c>
      <c r="E48" s="2"/>
      <c r="F48" s="2"/>
      <c r="G48" s="144">
        <v>656907.21130122175</v>
      </c>
      <c r="H48" s="2"/>
      <c r="I48" s="33">
        <f>G48-($H$169*E45)</f>
        <v>-62346.740298778168</v>
      </c>
      <c r="J48" s="2"/>
      <c r="K48" s="33"/>
      <c r="L48" s="2"/>
      <c r="M48" s="144">
        <f>I48</f>
        <v>-62346.740298778168</v>
      </c>
      <c r="N48" s="144">
        <f t="shared" si="42"/>
        <v>0</v>
      </c>
      <c r="O48" s="143">
        <v>0</v>
      </c>
      <c r="P48" s="2"/>
      <c r="Q48" s="2"/>
      <c r="R48" s="2"/>
    </row>
    <row r="49" spans="1:20" x14ac:dyDescent="0.25">
      <c r="A49" s="27">
        <f t="shared" si="1"/>
        <v>30</v>
      </c>
      <c r="D49" s="2" t="s">
        <v>27</v>
      </c>
      <c r="E49" s="2"/>
      <c r="F49" s="2"/>
      <c r="G49" s="144">
        <v>614093.7117615022</v>
      </c>
      <c r="H49" s="2"/>
      <c r="I49" s="33">
        <f t="shared" ref="I49:I51" si="46">G49</f>
        <v>614093.7117615022</v>
      </c>
      <c r="J49" s="2"/>
      <c r="K49" s="2"/>
      <c r="L49" s="2"/>
      <c r="M49" s="144">
        <f t="shared" ref="M49:M51" si="47">I49</f>
        <v>614093.7117615022</v>
      </c>
      <c r="N49" s="144">
        <f t="shared" si="42"/>
        <v>0</v>
      </c>
      <c r="O49" s="143">
        <v>0</v>
      </c>
      <c r="P49" s="2"/>
      <c r="Q49" s="2"/>
      <c r="R49" s="2"/>
    </row>
    <row r="50" spans="1:20" x14ac:dyDescent="0.25">
      <c r="A50" s="27">
        <f t="shared" si="1"/>
        <v>31</v>
      </c>
      <c r="D50" s="2" t="s">
        <v>29</v>
      </c>
      <c r="E50" s="2"/>
      <c r="F50" s="2"/>
      <c r="G50" s="144">
        <v>0</v>
      </c>
      <c r="H50" s="2"/>
      <c r="I50" s="33">
        <f t="shared" si="46"/>
        <v>0</v>
      </c>
      <c r="J50" s="2"/>
      <c r="K50" s="2"/>
      <c r="L50" s="2"/>
      <c r="M50" s="144">
        <f t="shared" si="47"/>
        <v>0</v>
      </c>
      <c r="N50" s="144">
        <f t="shared" si="42"/>
        <v>0</v>
      </c>
      <c r="O50" s="143">
        <v>0</v>
      </c>
      <c r="P50" s="2"/>
      <c r="Q50" s="2"/>
      <c r="R50" s="2"/>
    </row>
    <row r="51" spans="1:20" x14ac:dyDescent="0.25">
      <c r="A51" s="27">
        <f t="shared" si="1"/>
        <v>32</v>
      </c>
      <c r="D51" s="2" t="s">
        <v>37</v>
      </c>
      <c r="E51" s="2"/>
      <c r="F51" s="2"/>
      <c r="G51" s="144">
        <v>0</v>
      </c>
      <c r="H51" s="2"/>
      <c r="I51" s="33">
        <f t="shared" si="46"/>
        <v>0</v>
      </c>
      <c r="J51" s="2"/>
      <c r="K51" s="2"/>
      <c r="L51" s="2"/>
      <c r="M51" s="144">
        <f t="shared" si="47"/>
        <v>0</v>
      </c>
      <c r="N51" s="144"/>
      <c r="O51" s="143"/>
      <c r="P51" s="2"/>
      <c r="Q51" s="2"/>
      <c r="R51" s="2"/>
    </row>
    <row r="52" spans="1:20" x14ac:dyDescent="0.25">
      <c r="A52" s="27">
        <f t="shared" si="1"/>
        <v>33</v>
      </c>
      <c r="D52" s="11" t="s">
        <v>8</v>
      </c>
      <c r="E52" s="11"/>
      <c r="F52" s="11"/>
      <c r="G52" s="154">
        <f>SUM(G48:G51)</f>
        <v>1271000.9230627241</v>
      </c>
      <c r="H52" s="11"/>
      <c r="I52" s="154">
        <f>SUM(I48:I51)</f>
        <v>551746.97146272403</v>
      </c>
      <c r="J52" s="11"/>
      <c r="K52" s="11"/>
      <c r="L52" s="11"/>
      <c r="M52" s="154">
        <f>SUM(M48:M51)</f>
        <v>551746.97146272403</v>
      </c>
      <c r="N52" s="154">
        <f t="shared" si="42"/>
        <v>0</v>
      </c>
      <c r="O52" s="155">
        <f t="shared" ref="O52" si="48">N52-J52</f>
        <v>0</v>
      </c>
      <c r="P52" s="2"/>
      <c r="Q52" s="2"/>
      <c r="R52" s="2"/>
    </row>
    <row r="53" spans="1:20" s="5" customFormat="1" ht="26.45" customHeight="1" thickBot="1" x14ac:dyDescent="0.25">
      <c r="A53" s="27">
        <f t="shared" si="1"/>
        <v>34</v>
      </c>
      <c r="C53" s="13"/>
      <c r="D53" s="6" t="s">
        <v>19</v>
      </c>
      <c r="E53" s="6"/>
      <c r="F53" s="6"/>
      <c r="G53" s="156">
        <f>G47+G52</f>
        <v>6249546.9819727242</v>
      </c>
      <c r="H53" s="6"/>
      <c r="I53" s="157">
        <f>I52+I47</f>
        <v>6249546.9819727233</v>
      </c>
      <c r="J53" s="6"/>
      <c r="K53" s="6"/>
      <c r="L53" s="6"/>
      <c r="M53" s="158">
        <f>M52+M47</f>
        <v>6452273.101753124</v>
      </c>
      <c r="N53" s="158">
        <f t="shared" si="42"/>
        <v>202726.11978040077</v>
      </c>
      <c r="O53" s="159">
        <f>N53/I53</f>
        <v>3.243853040311228E-2</v>
      </c>
      <c r="P53" s="2"/>
      <c r="Q53" s="2"/>
      <c r="R53" s="2"/>
      <c r="S53" s="86"/>
    </row>
    <row r="54" spans="1:20" ht="15.75" thickTop="1" x14ac:dyDescent="0.25">
      <c r="A54" s="27">
        <f t="shared" si="1"/>
        <v>35</v>
      </c>
      <c r="D54" s="2" t="s">
        <v>18</v>
      </c>
      <c r="E54" s="143">
        <f>(E45+E46)/E44</f>
        <v>80025.25043114544</v>
      </c>
      <c r="F54" s="2"/>
      <c r="G54" s="114">
        <f>G53/E44</f>
        <v>8043.1750089739053</v>
      </c>
      <c r="H54" s="2"/>
      <c r="I54" s="114">
        <f>I53/E44</f>
        <v>8043.1750089739035</v>
      </c>
      <c r="J54" s="2"/>
      <c r="K54" s="2"/>
      <c r="L54" s="2"/>
      <c r="M54" s="114">
        <f>M53/E44</f>
        <v>8304.083786040057</v>
      </c>
      <c r="N54" s="114">
        <f t="shared" si="42"/>
        <v>260.90877706615356</v>
      </c>
      <c r="O54" s="145">
        <f>N54/I54</f>
        <v>3.243853040311237E-2</v>
      </c>
      <c r="P54" s="2"/>
      <c r="Q54" s="2"/>
      <c r="R54" s="2"/>
    </row>
    <row r="55" spans="1:20" ht="15.75" thickBot="1" x14ac:dyDescent="0.3">
      <c r="A55" s="27">
        <f t="shared" si="1"/>
        <v>36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20" x14ac:dyDescent="0.25">
      <c r="A56" s="27">
        <f t="shared" si="1"/>
        <v>37</v>
      </c>
      <c r="B56" s="20" t="s">
        <v>59</v>
      </c>
      <c r="C56" s="21">
        <v>11</v>
      </c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</row>
    <row r="57" spans="1:20" x14ac:dyDescent="0.25">
      <c r="A57" s="27">
        <f t="shared" si="1"/>
        <v>38</v>
      </c>
      <c r="C57" s="2"/>
      <c r="D57" s="2" t="s">
        <v>60</v>
      </c>
      <c r="E57" s="142">
        <v>44189</v>
      </c>
      <c r="F57" s="143">
        <v>18.57</v>
      </c>
      <c r="G57" s="144">
        <f>F57*E57</f>
        <v>820589.73</v>
      </c>
      <c r="H57" s="143">
        <v>33.549999999999997</v>
      </c>
      <c r="I57" s="144">
        <f>H57*E57</f>
        <v>1482540.95</v>
      </c>
      <c r="J57" s="145">
        <f>I57/I60</f>
        <v>0.29697924177896212</v>
      </c>
      <c r="K57" s="145"/>
      <c r="L57" s="143">
        <f>ROUND(H57*S60,2)</f>
        <v>34.75</v>
      </c>
      <c r="M57" s="144">
        <f>L57*E57</f>
        <v>1535567.75</v>
      </c>
      <c r="N57" s="144">
        <f>M57-I57</f>
        <v>53026.800000000047</v>
      </c>
      <c r="O57" s="145">
        <f>IF(I57=0,0,N57/I57)</f>
        <v>3.5767511177347278E-2</v>
      </c>
      <c r="P57" s="145">
        <f>M57/M$60</f>
        <v>0.29701052298153818</v>
      </c>
      <c r="Q57" s="146">
        <f>P57-J57</f>
        <v>3.1281202576061151E-5</v>
      </c>
      <c r="R57" s="146"/>
    </row>
    <row r="58" spans="1:20" x14ac:dyDescent="0.25">
      <c r="A58" s="27">
        <f t="shared" si="1"/>
        <v>39</v>
      </c>
      <c r="C58" s="12">
        <v>13</v>
      </c>
      <c r="D58" s="2" t="s">
        <v>61</v>
      </c>
      <c r="E58" s="142">
        <v>2995</v>
      </c>
      <c r="F58" s="143">
        <v>41.27</v>
      </c>
      <c r="G58" s="144">
        <f>F58*E58</f>
        <v>123603.65000000001</v>
      </c>
      <c r="H58" s="143">
        <v>52.41</v>
      </c>
      <c r="I58" s="144">
        <f>H58*E58</f>
        <v>156967.94999999998</v>
      </c>
      <c r="J58" s="145">
        <f>I58/I60</f>
        <v>3.1443463854808215E-2</v>
      </c>
      <c r="K58" s="145"/>
      <c r="L58" s="143">
        <f>ROUND(H58*S60,2)</f>
        <v>54.28</v>
      </c>
      <c r="M58" s="144">
        <f>L58*E58</f>
        <v>162568.6</v>
      </c>
      <c r="N58" s="144">
        <f>M58-I58</f>
        <v>5600.6500000000233</v>
      </c>
      <c r="O58" s="145">
        <f>IF(I58=0,0,N58/I58)</f>
        <v>3.5680213699675785E-2</v>
      </c>
      <c r="P58" s="145">
        <f>M58/M$60</f>
        <v>3.144412540988601E-2</v>
      </c>
      <c r="Q58" s="146">
        <f>P58-J58</f>
        <v>6.6155507779525058E-7</v>
      </c>
      <c r="R58" s="146"/>
    </row>
    <row r="59" spans="1:20" x14ac:dyDescent="0.25">
      <c r="A59" s="27">
        <f t="shared" si="1"/>
        <v>40</v>
      </c>
      <c r="D59" s="2" t="s">
        <v>44</v>
      </c>
      <c r="E59" s="142">
        <v>36662537</v>
      </c>
      <c r="F59" s="138">
        <v>9.1869999999999993E-2</v>
      </c>
      <c r="G59" s="144">
        <f t="shared" ref="G59" si="49">F59*E59</f>
        <v>3368187.2741899998</v>
      </c>
      <c r="H59" s="147">
        <v>9.1443764000000011E-2</v>
      </c>
      <c r="I59" s="144">
        <f t="shared" ref="I59" si="50">H59*E59</f>
        <v>3352560.3810692686</v>
      </c>
      <c r="J59" s="145">
        <f>I59/I60</f>
        <v>0.6715772943662297</v>
      </c>
      <c r="K59" s="145"/>
      <c r="L59" s="147">
        <f>ROUND(H59*S60,5)</f>
        <v>9.4700000000000006E-2</v>
      </c>
      <c r="M59" s="144">
        <f t="shared" ref="M59" si="51">L59*E59</f>
        <v>3471942.2539000004</v>
      </c>
      <c r="N59" s="144">
        <f t="shared" ref="N59" si="52">M59-I59</f>
        <v>119381.87283073179</v>
      </c>
      <c r="O59" s="145">
        <f t="shared" ref="O59" si="53">IF(I59=0,0,N59/I59)</f>
        <v>3.5609164119709616E-2</v>
      </c>
      <c r="P59" s="145">
        <f>M59/M$60</f>
        <v>0.67154535160857576</v>
      </c>
      <c r="Q59" s="146">
        <f t="shared" ref="Q59" si="54">P59-J59</f>
        <v>-3.1942757653946607E-5</v>
      </c>
      <c r="R59" s="146"/>
      <c r="T59" s="4">
        <f>L59/H59-1</f>
        <v>3.5609164119709602E-2</v>
      </c>
    </row>
    <row r="60" spans="1:20" s="5" customFormat="1" ht="20.45" customHeight="1" x14ac:dyDescent="0.25">
      <c r="A60" s="27">
        <f t="shared" si="1"/>
        <v>41</v>
      </c>
      <c r="C60" s="13"/>
      <c r="D60" s="15" t="s">
        <v>6</v>
      </c>
      <c r="E60" s="15"/>
      <c r="F60" s="15"/>
      <c r="G60" s="148">
        <f>SUM(G57:G59)</f>
        <v>4312380.6541900001</v>
      </c>
      <c r="H60" s="15"/>
      <c r="I60" s="148">
        <f>SUM(I57:I59)</f>
        <v>4992069.2810692685</v>
      </c>
      <c r="J60" s="149">
        <f>SUM(J57:J59)</f>
        <v>1</v>
      </c>
      <c r="K60" s="150">
        <f>I60+Summary!I13</f>
        <v>5169887.5710692685</v>
      </c>
      <c r="L60" s="15"/>
      <c r="M60" s="148">
        <f>SUM(M57:M59)</f>
        <v>5170078.6039000005</v>
      </c>
      <c r="N60" s="148">
        <f>SUM(N57:N59)</f>
        <v>178009.32283073186</v>
      </c>
      <c r="O60" s="149">
        <f t="shared" ref="O60" si="55">N60/I60</f>
        <v>3.5658423953724344E-2</v>
      </c>
      <c r="P60" s="149">
        <f>SUM(P57:P59)</f>
        <v>1</v>
      </c>
      <c r="Q60" s="151">
        <f t="shared" ref="Q60" si="56">P60-J60</f>
        <v>0</v>
      </c>
      <c r="R60" s="152">
        <f>M60-K60</f>
        <v>191.03283073194325</v>
      </c>
      <c r="S60" s="86">
        <f>K60/I60</f>
        <v>1.0356201566901957</v>
      </c>
    </row>
    <row r="61" spans="1:20" x14ac:dyDescent="0.25">
      <c r="A61" s="27">
        <f t="shared" si="1"/>
        <v>42</v>
      </c>
      <c r="D61" s="2" t="s">
        <v>26</v>
      </c>
      <c r="E61" s="2"/>
      <c r="F61" s="2"/>
      <c r="G61" s="144">
        <v>383471.43934786425</v>
      </c>
      <c r="H61" s="2"/>
      <c r="I61" s="33">
        <f>G61-($H$169*E59)</f>
        <v>-41813.98985213571</v>
      </c>
      <c r="J61" s="2"/>
      <c r="K61" s="33"/>
      <c r="L61" s="2"/>
      <c r="M61" s="144">
        <f>I61</f>
        <v>-41813.98985213571</v>
      </c>
      <c r="N61" s="144">
        <f t="shared" ref="N61:N67" si="57">M61-I61</f>
        <v>0</v>
      </c>
      <c r="O61" s="143">
        <v>0</v>
      </c>
      <c r="P61" s="2"/>
      <c r="Q61" s="2"/>
      <c r="R61" s="2"/>
    </row>
    <row r="62" spans="1:20" x14ac:dyDescent="0.25">
      <c r="A62" s="27">
        <f t="shared" si="1"/>
        <v>43</v>
      </c>
      <c r="D62" s="2" t="s">
        <v>27</v>
      </c>
      <c r="E62" s="2"/>
      <c r="F62" s="143">
        <f>H62</f>
        <v>0</v>
      </c>
      <c r="G62" s="144">
        <v>525980.52174180956</v>
      </c>
      <c r="H62" s="2"/>
      <c r="I62" s="33">
        <f t="shared" ref="I62:I64" si="58">G62</f>
        <v>525980.52174180956</v>
      </c>
      <c r="J62" s="2"/>
      <c r="K62" s="2"/>
      <c r="L62" s="2"/>
      <c r="M62" s="144">
        <f t="shared" ref="M62:M64" si="59">I62</f>
        <v>525980.52174180956</v>
      </c>
      <c r="N62" s="144">
        <f t="shared" si="57"/>
        <v>0</v>
      </c>
      <c r="O62" s="143">
        <v>0</v>
      </c>
      <c r="P62" s="2"/>
      <c r="Q62" s="2"/>
      <c r="R62" s="2"/>
    </row>
    <row r="63" spans="1:20" x14ac:dyDescent="0.25">
      <c r="A63" s="27">
        <f t="shared" si="1"/>
        <v>44</v>
      </c>
      <c r="D63" s="2" t="s">
        <v>29</v>
      </c>
      <c r="E63" s="2"/>
      <c r="F63" s="143">
        <f>H63</f>
        <v>0</v>
      </c>
      <c r="G63" s="144">
        <v>0</v>
      </c>
      <c r="H63" s="2"/>
      <c r="I63" s="33">
        <f t="shared" si="58"/>
        <v>0</v>
      </c>
      <c r="J63" s="2"/>
      <c r="K63" s="2"/>
      <c r="L63" s="2"/>
      <c r="M63" s="144">
        <f t="shared" si="59"/>
        <v>0</v>
      </c>
      <c r="N63" s="144">
        <f t="shared" si="57"/>
        <v>0</v>
      </c>
      <c r="O63" s="143">
        <v>0</v>
      </c>
      <c r="P63" s="2"/>
      <c r="Q63" s="2"/>
      <c r="R63" s="2"/>
    </row>
    <row r="64" spans="1:20" x14ac:dyDescent="0.25">
      <c r="A64" s="27">
        <f t="shared" si="1"/>
        <v>45</v>
      </c>
      <c r="D64" s="2" t="s">
        <v>37</v>
      </c>
      <c r="E64" s="2"/>
      <c r="F64" s="2"/>
      <c r="G64" s="144">
        <v>0</v>
      </c>
      <c r="H64" s="2"/>
      <c r="I64" s="33">
        <f t="shared" si="58"/>
        <v>0</v>
      </c>
      <c r="J64" s="2"/>
      <c r="K64" s="2"/>
      <c r="L64" s="2"/>
      <c r="M64" s="144">
        <f t="shared" si="59"/>
        <v>0</v>
      </c>
      <c r="N64" s="144"/>
      <c r="O64" s="143"/>
      <c r="P64" s="2"/>
      <c r="Q64" s="2"/>
      <c r="R64" s="2"/>
    </row>
    <row r="65" spans="1:20" x14ac:dyDescent="0.25">
      <c r="A65" s="27">
        <f t="shared" si="1"/>
        <v>46</v>
      </c>
      <c r="D65" s="11" t="s">
        <v>8</v>
      </c>
      <c r="E65" s="11"/>
      <c r="F65" s="11"/>
      <c r="G65" s="154">
        <f>SUM(G61:G64)</f>
        <v>909451.9610896738</v>
      </c>
      <c r="H65" s="11"/>
      <c r="I65" s="154">
        <f>SUM(I61:I64)</f>
        <v>484166.53188967385</v>
      </c>
      <c r="J65" s="11"/>
      <c r="K65" s="11"/>
      <c r="L65" s="11"/>
      <c r="M65" s="154">
        <f>SUM(M61:M64)</f>
        <v>484166.53188967385</v>
      </c>
      <c r="N65" s="154">
        <f t="shared" si="57"/>
        <v>0</v>
      </c>
      <c r="O65" s="155">
        <f t="shared" ref="O65" si="60">N65-J65</f>
        <v>0</v>
      </c>
      <c r="P65" s="2"/>
      <c r="Q65" s="2"/>
      <c r="R65" s="2"/>
    </row>
    <row r="66" spans="1:20" s="5" customFormat="1" ht="26.45" customHeight="1" thickBot="1" x14ac:dyDescent="0.25">
      <c r="A66" s="27">
        <f t="shared" si="1"/>
        <v>47</v>
      </c>
      <c r="C66" s="13"/>
      <c r="D66" s="6" t="s">
        <v>19</v>
      </c>
      <c r="E66" s="6"/>
      <c r="F66" s="6"/>
      <c r="G66" s="158">
        <f>G60+G65</f>
        <v>5221832.6152796736</v>
      </c>
      <c r="H66" s="6"/>
      <c r="I66" s="157">
        <f>I65+I60</f>
        <v>5476235.8129589427</v>
      </c>
      <c r="J66" s="6"/>
      <c r="K66" s="6"/>
      <c r="L66" s="6"/>
      <c r="M66" s="158">
        <f>M65+M60</f>
        <v>5654245.1357896747</v>
      </c>
      <c r="N66" s="158">
        <f t="shared" si="57"/>
        <v>178009.32283073198</v>
      </c>
      <c r="O66" s="159">
        <f>N66/I66</f>
        <v>3.2505781144320234E-2</v>
      </c>
      <c r="P66" s="2"/>
      <c r="Q66" s="2"/>
      <c r="R66" s="2"/>
      <c r="S66" s="86"/>
    </row>
    <row r="67" spans="1:20" ht="15.75" thickTop="1" x14ac:dyDescent="0.25">
      <c r="A67" s="27">
        <f t="shared" si="1"/>
        <v>48</v>
      </c>
      <c r="D67" s="2" t="s">
        <v>18</v>
      </c>
      <c r="E67" s="143">
        <f>E59/E57</f>
        <v>829.67564325963474</v>
      </c>
      <c r="F67" s="2"/>
      <c r="G67" s="114">
        <f>G66/E57</f>
        <v>118.1704183231047</v>
      </c>
      <c r="H67" s="2"/>
      <c r="I67" s="114">
        <f>I66/E57</f>
        <v>123.92757955506897</v>
      </c>
      <c r="J67" s="2"/>
      <c r="K67" s="2"/>
      <c r="L67" s="2"/>
      <c r="M67" s="114">
        <f>M66/E57</f>
        <v>127.95594233383137</v>
      </c>
      <c r="N67" s="114">
        <f t="shared" si="57"/>
        <v>4.0283627787623999</v>
      </c>
      <c r="O67" s="145">
        <f>N67/I67</f>
        <v>3.2505781144320178E-2</v>
      </c>
      <c r="P67" s="2"/>
      <c r="Q67" s="2"/>
      <c r="R67" s="2"/>
    </row>
    <row r="68" spans="1:20" ht="15.75" thickBot="1" x14ac:dyDescent="0.3">
      <c r="A68" s="27">
        <f t="shared" si="1"/>
        <v>49</v>
      </c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1:20" x14ac:dyDescent="0.25">
      <c r="A69" s="27">
        <f t="shared" si="1"/>
        <v>50</v>
      </c>
      <c r="B69" s="20" t="s">
        <v>62</v>
      </c>
      <c r="C69" s="21" t="s">
        <v>90</v>
      </c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</row>
    <row r="70" spans="1:20" x14ac:dyDescent="0.25">
      <c r="A70" s="27">
        <f t="shared" si="1"/>
        <v>51</v>
      </c>
      <c r="C70" s="2"/>
      <c r="D70" s="2" t="s">
        <v>17</v>
      </c>
      <c r="E70" s="142">
        <v>156</v>
      </c>
      <c r="F70" s="143">
        <v>633.6</v>
      </c>
      <c r="G70" s="144">
        <f>F70*E70</f>
        <v>98841.600000000006</v>
      </c>
      <c r="H70" s="143">
        <v>633.6</v>
      </c>
      <c r="I70" s="144">
        <f>H70*E70</f>
        <v>98841.600000000006</v>
      </c>
      <c r="J70" s="145">
        <f>I70/I74</f>
        <v>1.1112168392197343E-2</v>
      </c>
      <c r="K70" s="145"/>
      <c r="L70" s="143">
        <f>ROUND(H70*S74,2)</f>
        <v>683.96</v>
      </c>
      <c r="M70" s="144">
        <f>L70*E70</f>
        <v>106697.76000000001</v>
      </c>
      <c r="N70" s="144">
        <f>M70-I70</f>
        <v>7856.1600000000035</v>
      </c>
      <c r="O70" s="145">
        <f>IF(I70=0,0,N70/I70)</f>
        <v>7.9482323232323265E-2</v>
      </c>
      <c r="P70" s="145">
        <f>M70/M$74</f>
        <v>1.1110983922316629E-2</v>
      </c>
      <c r="Q70" s="146">
        <f>P70-J70</f>
        <v>-1.1844698807137594E-6</v>
      </c>
      <c r="R70" s="146"/>
      <c r="T70" s="4"/>
    </row>
    <row r="71" spans="1:20" x14ac:dyDescent="0.25">
      <c r="A71" s="27">
        <f t="shared" si="1"/>
        <v>52</v>
      </c>
      <c r="D71" s="2" t="s">
        <v>73</v>
      </c>
      <c r="E71" s="142">
        <v>219900</v>
      </c>
      <c r="F71" s="143">
        <v>7.4</v>
      </c>
      <c r="G71" s="144">
        <f t="shared" ref="G71" si="61">F71*E71</f>
        <v>1627260</v>
      </c>
      <c r="H71" s="143">
        <v>7.49</v>
      </c>
      <c r="I71" s="144">
        <f t="shared" ref="I71" si="62">H71*E71</f>
        <v>1647051</v>
      </c>
      <c r="J71" s="145">
        <f>I71/I74</f>
        <v>0.18516806751951631</v>
      </c>
      <c r="K71" s="145"/>
      <c r="L71" s="143">
        <f>ROUND(H71*S74,2)</f>
        <v>8.09</v>
      </c>
      <c r="M71" s="144">
        <f t="shared" ref="M71" si="63">L71*E71</f>
        <v>1778991</v>
      </c>
      <c r="N71" s="144">
        <f t="shared" ref="N71" si="64">M71-I71</f>
        <v>131940</v>
      </c>
      <c r="O71" s="145">
        <f t="shared" ref="O71" si="65">IF(I71=0,0,N71/I71)</f>
        <v>8.0106809078771699E-2</v>
      </c>
      <c r="P71" s="145">
        <f>M71/M$74</f>
        <v>0.18525543927956856</v>
      </c>
      <c r="Q71" s="146">
        <f t="shared" ref="Q71" si="66">P71-J71</f>
        <v>8.7371760052246117E-5</v>
      </c>
      <c r="R71" s="146"/>
      <c r="T71" s="4">
        <f>L71/H71-1</f>
        <v>8.0106809078771546E-2</v>
      </c>
    </row>
    <row r="72" spans="1:20" x14ac:dyDescent="0.25">
      <c r="A72" s="27">
        <f t="shared" si="1"/>
        <v>53</v>
      </c>
      <c r="D72" s="2" t="s">
        <v>74</v>
      </c>
      <c r="E72" s="142">
        <v>21794</v>
      </c>
      <c r="F72" s="143">
        <v>10.3</v>
      </c>
      <c r="G72" s="144">
        <f t="shared" ref="G72" si="67">F72*E72</f>
        <v>224478.2</v>
      </c>
      <c r="H72" s="143">
        <v>9.98</v>
      </c>
      <c r="I72" s="144">
        <f t="shared" ref="I72" si="68">H72*E72</f>
        <v>217504.12</v>
      </c>
      <c r="J72" s="145">
        <f>I72/I74</f>
        <v>2.4452683965422429E-2</v>
      </c>
      <c r="K72" s="145"/>
      <c r="L72" s="143">
        <f>ROUND(H72*S74,2)</f>
        <v>10.77</v>
      </c>
      <c r="M72" s="144">
        <f t="shared" ref="M72" si="69">L72*E72</f>
        <v>234721.38</v>
      </c>
      <c r="N72" s="144">
        <f t="shared" ref="N72" si="70">M72-I72</f>
        <v>17217.260000000009</v>
      </c>
      <c r="O72" s="145">
        <f t="shared" ref="O72" si="71">IF(I72=0,0,N72/I72)</f>
        <v>7.9158316633266584E-2</v>
      </c>
      <c r="P72" s="145">
        <f>M72/M$74</f>
        <v>2.4442738811048813E-2</v>
      </c>
      <c r="Q72" s="146">
        <f t="shared" ref="Q72" si="72">P72-J72</f>
        <v>-9.9451543736153725E-6</v>
      </c>
      <c r="R72" s="146"/>
      <c r="T72" s="4">
        <f>L72/H72-1</f>
        <v>7.9158316633266335E-2</v>
      </c>
    </row>
    <row r="73" spans="1:20" x14ac:dyDescent="0.25">
      <c r="A73" s="27">
        <f t="shared" si="1"/>
        <v>54</v>
      </c>
      <c r="D73" s="2" t="s">
        <v>44</v>
      </c>
      <c r="E73" s="142">
        <v>112909283</v>
      </c>
      <c r="F73" s="138">
        <v>4.9790000000000001E-2</v>
      </c>
      <c r="G73" s="144">
        <f t="shared" ref="G73" si="73">F73*E73</f>
        <v>5621753.2005700003</v>
      </c>
      <c r="H73" s="138">
        <v>6.139E-2</v>
      </c>
      <c r="I73" s="144">
        <f t="shared" ref="I73" si="74">H73*E73</f>
        <v>6931500.8833699999</v>
      </c>
      <c r="J73" s="145">
        <f>I73/I74</f>
        <v>0.77926708012286394</v>
      </c>
      <c r="K73" s="145"/>
      <c r="L73" s="147">
        <f>ROUND(H73*S74,5)</f>
        <v>6.6269999999999996E-2</v>
      </c>
      <c r="M73" s="144">
        <f t="shared" ref="M73" si="75">L73*E73</f>
        <v>7482498.1844099993</v>
      </c>
      <c r="N73" s="144">
        <f t="shared" ref="N73" si="76">M73-I73</f>
        <v>550997.30103999935</v>
      </c>
      <c r="O73" s="145">
        <f t="shared" ref="O73" si="77">IF(I73=0,0,N73/I73)</f>
        <v>7.9491773904544621E-2</v>
      </c>
      <c r="P73" s="145">
        <f>M73/M$74</f>
        <v>0.77919083798706601</v>
      </c>
      <c r="Q73" s="146">
        <f t="shared" ref="Q73" si="78">P73-J73</f>
        <v>-7.6242135797932598E-5</v>
      </c>
      <c r="R73" s="146"/>
      <c r="T73" s="4">
        <f>L73/H73-1</f>
        <v>7.9491773904544649E-2</v>
      </c>
    </row>
    <row r="74" spans="1:20" s="5" customFormat="1" ht="20.45" customHeight="1" x14ac:dyDescent="0.25">
      <c r="A74" s="27">
        <f t="shared" si="1"/>
        <v>55</v>
      </c>
      <c r="C74" s="13"/>
      <c r="D74" s="15" t="s">
        <v>6</v>
      </c>
      <c r="E74" s="15"/>
      <c r="F74" s="15"/>
      <c r="G74" s="148">
        <f>SUM(G70:G73)</f>
        <v>7572333.0005700001</v>
      </c>
      <c r="H74" s="15"/>
      <c r="I74" s="148">
        <f>SUM(I70:I73)</f>
        <v>8894897.6033699997</v>
      </c>
      <c r="J74" s="149">
        <f>SUM(J70:J73)</f>
        <v>1</v>
      </c>
      <c r="K74" s="150">
        <f>I74+Summary!I18</f>
        <v>9601835.6433699988</v>
      </c>
      <c r="L74" s="15"/>
      <c r="M74" s="148">
        <f>SUM(M70:M73)</f>
        <v>9602908.324409999</v>
      </c>
      <c r="N74" s="148">
        <f>SUM(N70:N73)</f>
        <v>708010.72103999939</v>
      </c>
      <c r="O74" s="149">
        <f t="shared" ref="O74" si="79">N74/I74</f>
        <v>7.9597399836481106E-2</v>
      </c>
      <c r="P74" s="149">
        <f>SUM(P70:P73)</f>
        <v>1</v>
      </c>
      <c r="Q74" s="151">
        <f t="shared" ref="Q74" si="80">P74-J74</f>
        <v>0</v>
      </c>
      <c r="R74" s="152">
        <f>M74-K74</f>
        <v>1072.6810400001705</v>
      </c>
      <c r="S74" s="86">
        <f>K74/I74</f>
        <v>1.0794768047394006</v>
      </c>
    </row>
    <row r="75" spans="1:20" x14ac:dyDescent="0.25">
      <c r="A75" s="27">
        <f t="shared" si="1"/>
        <v>56</v>
      </c>
      <c r="D75" s="2" t="s">
        <v>26</v>
      </c>
      <c r="E75" s="2"/>
      <c r="F75" s="2"/>
      <c r="G75" s="144">
        <v>1193890.2936339267</v>
      </c>
      <c r="H75" s="2"/>
      <c r="I75" s="33">
        <f>G75-($H$169*E73)</f>
        <v>-115857.38916607318</v>
      </c>
      <c r="J75" s="2"/>
      <c r="K75" s="33"/>
      <c r="L75" s="2"/>
      <c r="M75" s="144">
        <f>I75</f>
        <v>-115857.38916607318</v>
      </c>
      <c r="N75" s="144">
        <f t="shared" ref="N75:N81" si="81">M75-I75</f>
        <v>0</v>
      </c>
      <c r="O75" s="143">
        <v>0</v>
      </c>
      <c r="P75" s="2"/>
      <c r="Q75" s="2"/>
      <c r="R75" s="2"/>
    </row>
    <row r="76" spans="1:20" x14ac:dyDescent="0.25">
      <c r="A76" s="27">
        <f t="shared" si="1"/>
        <v>57</v>
      </c>
      <c r="D76" s="2" t="s">
        <v>27</v>
      </c>
      <c r="E76" s="2"/>
      <c r="F76" s="2"/>
      <c r="G76" s="144">
        <v>1102166</v>
      </c>
      <c r="H76" s="2"/>
      <c r="I76" s="33">
        <f t="shared" ref="I76:I78" si="82">G76</f>
        <v>1102166</v>
      </c>
      <c r="J76" s="2"/>
      <c r="K76" s="2"/>
      <c r="L76" s="2"/>
      <c r="M76" s="144">
        <f t="shared" ref="M76:M78" si="83">I76</f>
        <v>1102166</v>
      </c>
      <c r="N76" s="144">
        <f t="shared" si="81"/>
        <v>0</v>
      </c>
      <c r="O76" s="143">
        <v>0</v>
      </c>
      <c r="P76" s="2"/>
      <c r="Q76" s="2"/>
      <c r="R76" s="2"/>
    </row>
    <row r="77" spans="1:20" x14ac:dyDescent="0.25">
      <c r="A77" s="27">
        <f t="shared" si="1"/>
        <v>58</v>
      </c>
      <c r="D77" s="2" t="s">
        <v>29</v>
      </c>
      <c r="E77" s="2"/>
      <c r="F77" s="2"/>
      <c r="G77" s="144">
        <v>0</v>
      </c>
      <c r="H77" s="2"/>
      <c r="I77" s="33">
        <f t="shared" si="82"/>
        <v>0</v>
      </c>
      <c r="J77" s="2"/>
      <c r="K77" s="2"/>
      <c r="L77" s="2"/>
      <c r="M77" s="144">
        <f t="shared" si="83"/>
        <v>0</v>
      </c>
      <c r="N77" s="144">
        <f t="shared" si="81"/>
        <v>0</v>
      </c>
      <c r="O77" s="143">
        <v>0</v>
      </c>
      <c r="P77" s="2"/>
      <c r="Q77" s="2"/>
      <c r="R77" s="2"/>
    </row>
    <row r="78" spans="1:20" x14ac:dyDescent="0.25">
      <c r="A78" s="27">
        <f t="shared" si="1"/>
        <v>59</v>
      </c>
      <c r="D78" s="2" t="s">
        <v>37</v>
      </c>
      <c r="E78" s="2"/>
      <c r="F78" s="2"/>
      <c r="G78" s="144">
        <v>0</v>
      </c>
      <c r="H78" s="2"/>
      <c r="I78" s="33">
        <f t="shared" si="82"/>
        <v>0</v>
      </c>
      <c r="J78" s="2"/>
      <c r="K78" s="2"/>
      <c r="L78" s="2"/>
      <c r="M78" s="144">
        <f t="shared" si="83"/>
        <v>0</v>
      </c>
      <c r="N78" s="144"/>
      <c r="O78" s="143"/>
      <c r="P78" s="2"/>
      <c r="Q78" s="2"/>
      <c r="R78" s="2"/>
    </row>
    <row r="79" spans="1:20" x14ac:dyDescent="0.25">
      <c r="A79" s="27">
        <f t="shared" si="1"/>
        <v>60</v>
      </c>
      <c r="D79" s="11" t="s">
        <v>8</v>
      </c>
      <c r="E79" s="11"/>
      <c r="F79" s="11"/>
      <c r="G79" s="154">
        <f>SUM(G75:G78)</f>
        <v>2296056.2936339267</v>
      </c>
      <c r="H79" s="11"/>
      <c r="I79" s="154">
        <f>SUM(I75:I78)</f>
        <v>986308.61083392682</v>
      </c>
      <c r="J79" s="11"/>
      <c r="K79" s="11"/>
      <c r="L79" s="11"/>
      <c r="M79" s="154">
        <f>SUM(M75:M78)</f>
        <v>986308.61083392682</v>
      </c>
      <c r="N79" s="154">
        <f t="shared" si="81"/>
        <v>0</v>
      </c>
      <c r="O79" s="155">
        <f t="shared" ref="O79" si="84">N79-J79</f>
        <v>0</v>
      </c>
      <c r="P79" s="2"/>
      <c r="Q79" s="2"/>
      <c r="R79" s="2"/>
    </row>
    <row r="80" spans="1:20" s="5" customFormat="1" ht="26.45" customHeight="1" thickBot="1" x14ac:dyDescent="0.25">
      <c r="A80" s="27">
        <f t="shared" si="1"/>
        <v>61</v>
      </c>
      <c r="C80" s="13"/>
      <c r="D80" s="6" t="s">
        <v>19</v>
      </c>
      <c r="E80" s="6"/>
      <c r="F80" s="6"/>
      <c r="G80" s="156">
        <f>G74+G79</f>
        <v>9868389.2942039259</v>
      </c>
      <c r="H80" s="6"/>
      <c r="I80" s="157">
        <f>I79+I74</f>
        <v>9881206.2142039258</v>
      </c>
      <c r="J80" s="6"/>
      <c r="K80" s="6"/>
      <c r="L80" s="6"/>
      <c r="M80" s="158">
        <f>M79+M74</f>
        <v>10589216.935243925</v>
      </c>
      <c r="N80" s="158">
        <f t="shared" si="81"/>
        <v>708010.72103999928</v>
      </c>
      <c r="O80" s="159">
        <f>N80/I80</f>
        <v>7.165225638366457E-2</v>
      </c>
      <c r="P80" s="2"/>
      <c r="Q80" s="2"/>
      <c r="R80" s="2"/>
      <c r="S80" s="86"/>
    </row>
    <row r="81" spans="1:20" ht="15.75" thickTop="1" x14ac:dyDescent="0.25">
      <c r="A81" s="27">
        <f t="shared" si="1"/>
        <v>62</v>
      </c>
      <c r="D81" s="2" t="s">
        <v>18</v>
      </c>
      <c r="E81" s="143">
        <f>E73/E70</f>
        <v>723777.45512820513</v>
      </c>
      <c r="F81" s="2"/>
      <c r="G81" s="114">
        <f>G80/E70</f>
        <v>63258.905732076448</v>
      </c>
      <c r="H81" s="2"/>
      <c r="I81" s="114">
        <f>I80/E70</f>
        <v>63341.06547566619</v>
      </c>
      <c r="J81" s="2"/>
      <c r="K81" s="2"/>
      <c r="L81" s="2"/>
      <c r="M81" s="114">
        <f>M80/E70</f>
        <v>67879.595738743112</v>
      </c>
      <c r="N81" s="114">
        <f t="shared" si="81"/>
        <v>4538.530263076922</v>
      </c>
      <c r="O81" s="145">
        <f>N81/I81</f>
        <v>7.1652256383664625E-2</v>
      </c>
      <c r="P81" s="2"/>
      <c r="Q81" s="2"/>
      <c r="R81" s="2"/>
    </row>
    <row r="82" spans="1:20" ht="15.75" thickBot="1" x14ac:dyDescent="0.3">
      <c r="A82" s="27">
        <f t="shared" si="1"/>
        <v>63</v>
      </c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20" x14ac:dyDescent="0.25">
      <c r="A83" s="27">
        <f t="shared" si="1"/>
        <v>64</v>
      </c>
      <c r="B83" s="20" t="s">
        <v>63</v>
      </c>
      <c r="C83" s="21" t="s">
        <v>89</v>
      </c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</row>
    <row r="84" spans="1:20" x14ac:dyDescent="0.25">
      <c r="A84" s="27">
        <f t="shared" si="1"/>
        <v>65</v>
      </c>
      <c r="C84" s="2"/>
      <c r="D84" s="2" t="s">
        <v>17</v>
      </c>
      <c r="E84" s="142">
        <v>12</v>
      </c>
      <c r="F84" s="143">
        <v>1266.4100000000001</v>
      </c>
      <c r="G84" s="144">
        <f>F84*E84</f>
        <v>15196.920000000002</v>
      </c>
      <c r="H84" s="143">
        <v>1266.4100000000001</v>
      </c>
      <c r="I84" s="144">
        <f>H84*E84</f>
        <v>15196.920000000002</v>
      </c>
      <c r="J84" s="145">
        <f>I84/I88</f>
        <v>6.4398380133098036E-3</v>
      </c>
      <c r="K84" s="145"/>
      <c r="L84" s="143">
        <f>ROUND(H84*S88,2)</f>
        <v>1367.06</v>
      </c>
      <c r="M84" s="144">
        <f>L84*E84</f>
        <v>16404.72</v>
      </c>
      <c r="N84" s="144">
        <f>M84-I84</f>
        <v>1207.7999999999993</v>
      </c>
      <c r="O84" s="145">
        <f>IF(I84=0,0,N84/I84)</f>
        <v>7.9476630790976013E-2</v>
      </c>
      <c r="P84" s="145">
        <f>M84/M$88</f>
        <v>6.4393527079694294E-3</v>
      </c>
      <c r="Q84" s="146">
        <f>P84-J84</f>
        <v>-4.8530534037423412E-7</v>
      </c>
      <c r="R84" s="146"/>
      <c r="T84" s="4">
        <f>L84/H84-1</f>
        <v>7.9476630790975999E-2</v>
      </c>
    </row>
    <row r="85" spans="1:20" x14ac:dyDescent="0.25">
      <c r="A85" s="27">
        <f t="shared" si="1"/>
        <v>66</v>
      </c>
      <c r="D85" s="2" t="s">
        <v>73</v>
      </c>
      <c r="E85" s="142">
        <v>60000</v>
      </c>
      <c r="F85" s="143">
        <v>7.4</v>
      </c>
      <c r="G85" s="144">
        <f t="shared" ref="G85" si="85">F85*E85</f>
        <v>444000</v>
      </c>
      <c r="H85" s="143">
        <v>7.49</v>
      </c>
      <c r="I85" s="144">
        <f t="shared" ref="I85" si="86">H85*E85</f>
        <v>449400</v>
      </c>
      <c r="J85" s="145">
        <f>I85/I88</f>
        <v>0.19043748359413787</v>
      </c>
      <c r="K85" s="145"/>
      <c r="L85" s="143">
        <f>ROUND(H85*S88,2)</f>
        <v>8.09</v>
      </c>
      <c r="M85" s="144">
        <f t="shared" ref="M85" si="87">L85*E85</f>
        <v>485400</v>
      </c>
      <c r="N85" s="144">
        <f t="shared" ref="N85" si="88">M85-I85</f>
        <v>36000</v>
      </c>
      <c r="O85" s="145">
        <f t="shared" ref="O85" si="89">IF(I85=0,0,N85/I85)</f>
        <v>8.0106809078771699E-2</v>
      </c>
      <c r="P85" s="145">
        <f>M85/M$88</f>
        <v>0.19053429771726435</v>
      </c>
      <c r="Q85" s="146">
        <f t="shared" ref="Q85" si="90">P85-J85</f>
        <v>9.6814123126481855E-5</v>
      </c>
      <c r="R85" s="146"/>
      <c r="T85" s="4">
        <f>L85/H85-1</f>
        <v>8.0106809078771546E-2</v>
      </c>
    </row>
    <row r="86" spans="1:20" x14ac:dyDescent="0.25">
      <c r="A86" s="27">
        <f t="shared" si="1"/>
        <v>67</v>
      </c>
      <c r="D86" s="2" t="s">
        <v>74</v>
      </c>
      <c r="E86" s="142">
        <v>2147</v>
      </c>
      <c r="F86" s="143">
        <v>10.3</v>
      </c>
      <c r="G86" s="144">
        <f t="shared" ref="G86" si="91">F86*E86</f>
        <v>22114.100000000002</v>
      </c>
      <c r="H86" s="143">
        <v>9.98</v>
      </c>
      <c r="I86" s="144">
        <f t="shared" ref="I86" si="92">H86*E86</f>
        <v>21427.06</v>
      </c>
      <c r="J86" s="145">
        <f>I86/I88</f>
        <v>9.0799185296408721E-3</v>
      </c>
      <c r="K86" s="145"/>
      <c r="L86" s="143">
        <f>ROUND(H86*S88,2)</f>
        <v>10.77</v>
      </c>
      <c r="M86" s="144">
        <f t="shared" ref="M86" si="93">L86*E86</f>
        <v>23123.19</v>
      </c>
      <c r="N86" s="144">
        <f t="shared" ref="N86" si="94">M86-I86</f>
        <v>1696.1299999999974</v>
      </c>
      <c r="O86" s="145">
        <f t="shared" ref="O86" si="95">IF(I86=0,0,N86/I86)</f>
        <v>7.9158316633266404E-2</v>
      </c>
      <c r="P86" s="145">
        <f>M86/M$88</f>
        <v>9.0765569996556841E-3</v>
      </c>
      <c r="Q86" s="146">
        <f t="shared" ref="Q86" si="96">P86-J86</f>
        <v>-3.3615299851880165E-6</v>
      </c>
      <c r="R86" s="146"/>
      <c r="T86" s="4">
        <f>L86/H86-1</f>
        <v>7.9158316633266335E-2</v>
      </c>
    </row>
    <row r="87" spans="1:20" x14ac:dyDescent="0.25">
      <c r="A87" s="27">
        <f t="shared" si="1"/>
        <v>68</v>
      </c>
      <c r="D87" s="2" t="s">
        <v>44</v>
      </c>
      <c r="E87" s="142">
        <v>34137467</v>
      </c>
      <c r="F87" s="138">
        <v>4.3290000000000002E-2</v>
      </c>
      <c r="G87" s="144">
        <f t="shared" ref="G87" si="97">F87*E87</f>
        <v>1477810.94643</v>
      </c>
      <c r="H87" s="138">
        <v>5.4890000000000001E-2</v>
      </c>
      <c r="I87" s="144">
        <f t="shared" ref="I87" si="98">H87*E87</f>
        <v>1873805.56363</v>
      </c>
      <c r="J87" s="145">
        <f>I87/I88</f>
        <v>0.7940427598629114</v>
      </c>
      <c r="K87" s="145"/>
      <c r="L87" s="147">
        <f>ROUND(H87*S88,5)</f>
        <v>5.9249999999999997E-2</v>
      </c>
      <c r="M87" s="144">
        <f t="shared" ref="M87" si="99">L87*E87</f>
        <v>2022644.9197499999</v>
      </c>
      <c r="N87" s="144">
        <f t="shared" ref="N87" si="100">M87-I87</f>
        <v>148839.35611999989</v>
      </c>
      <c r="O87" s="145">
        <f t="shared" ref="O87" si="101">IF(I87=0,0,N87/I87)</f>
        <v>7.9431590453634487E-2</v>
      </c>
      <c r="P87" s="145">
        <f>M87/M$88</f>
        <v>0.79394979257511067</v>
      </c>
      <c r="Q87" s="146">
        <f t="shared" ref="Q87" si="102">P87-J87</f>
        <v>-9.296728780072705E-5</v>
      </c>
      <c r="R87" s="146"/>
      <c r="T87" s="4">
        <f>L87/H87-1</f>
        <v>7.943159045363446E-2</v>
      </c>
    </row>
    <row r="88" spans="1:20" s="5" customFormat="1" ht="20.45" customHeight="1" x14ac:dyDescent="0.25">
      <c r="A88" s="27">
        <f t="shared" si="1"/>
        <v>69</v>
      </c>
      <c r="C88" s="13"/>
      <c r="D88" s="15" t="s">
        <v>6</v>
      </c>
      <c r="E88" s="15"/>
      <c r="F88" s="15"/>
      <c r="G88" s="148">
        <f>SUM(G84:G87)</f>
        <v>1959121.96643</v>
      </c>
      <c r="H88" s="15"/>
      <c r="I88" s="148">
        <f>SUM(I84:I87)</f>
        <v>2359829.5436300002</v>
      </c>
      <c r="J88" s="149">
        <f>SUM(J84:J87)</f>
        <v>1</v>
      </c>
      <c r="K88" s="150">
        <f>I88+Summary!I19</f>
        <v>2547381.2536300002</v>
      </c>
      <c r="L88" s="15"/>
      <c r="M88" s="148">
        <f>SUM(M84:M87)</f>
        <v>2547572.8297499996</v>
      </c>
      <c r="N88" s="148">
        <f>SUM(N84:N87)</f>
        <v>187743.28611999989</v>
      </c>
      <c r="O88" s="149">
        <f t="shared" ref="O88" si="103">N88/I88</f>
        <v>7.9557986137932815E-2</v>
      </c>
      <c r="P88" s="149">
        <f>SUM(P84:P87)</f>
        <v>1.0000000000000002</v>
      </c>
      <c r="Q88" s="151">
        <f t="shared" ref="Q88" si="104">P88-J88</f>
        <v>0</v>
      </c>
      <c r="R88" s="152">
        <f>M88-K88</f>
        <v>191.57611999940127</v>
      </c>
      <c r="S88" s="86">
        <f>K88/I88</f>
        <v>1.0794768039523308</v>
      </c>
    </row>
    <row r="89" spans="1:20" x14ac:dyDescent="0.25">
      <c r="A89" s="27">
        <f t="shared" ref="A89:A161" si="105">A88+1</f>
        <v>70</v>
      </c>
      <c r="D89" s="2" t="s">
        <v>26</v>
      </c>
      <c r="E89" s="2"/>
      <c r="F89" s="2"/>
      <c r="G89" s="144">
        <v>370047.98113807343</v>
      </c>
      <c r="H89" s="2"/>
      <c r="I89" s="33">
        <f>G89-($H$169*E87)</f>
        <v>-25946.636061926547</v>
      </c>
      <c r="J89" s="2"/>
      <c r="K89" s="33"/>
      <c r="L89" s="2"/>
      <c r="M89" s="144">
        <f>I89</f>
        <v>-25946.636061926547</v>
      </c>
      <c r="N89" s="144">
        <f t="shared" ref="N89:N91" si="106">M89-I89</f>
        <v>0</v>
      </c>
      <c r="O89" s="143">
        <v>0</v>
      </c>
      <c r="P89" s="2"/>
      <c r="Q89" s="2"/>
      <c r="R89" s="2"/>
    </row>
    <row r="90" spans="1:20" x14ac:dyDescent="0.25">
      <c r="A90" s="27">
        <f t="shared" si="105"/>
        <v>71</v>
      </c>
      <c r="D90" s="2" t="s">
        <v>27</v>
      </c>
      <c r="E90" s="2"/>
      <c r="F90" s="2"/>
      <c r="G90" s="144">
        <v>314233</v>
      </c>
      <c r="H90" s="2"/>
      <c r="I90" s="33">
        <f t="shared" ref="I90:I92" si="107">G90</f>
        <v>314233</v>
      </c>
      <c r="J90" s="2"/>
      <c r="K90" s="2"/>
      <c r="L90" s="2"/>
      <c r="M90" s="144">
        <f t="shared" ref="M90:M92" si="108">I90</f>
        <v>314233</v>
      </c>
      <c r="N90" s="144">
        <f t="shared" si="106"/>
        <v>0</v>
      </c>
      <c r="O90" s="143">
        <v>0</v>
      </c>
      <c r="P90" s="2"/>
      <c r="Q90" s="2"/>
      <c r="R90" s="2"/>
    </row>
    <row r="91" spans="1:20" x14ac:dyDescent="0.25">
      <c r="A91" s="27">
        <f t="shared" si="105"/>
        <v>72</v>
      </c>
      <c r="D91" s="2" t="s">
        <v>29</v>
      </c>
      <c r="E91" s="2"/>
      <c r="F91" s="2"/>
      <c r="G91" s="144">
        <v>0</v>
      </c>
      <c r="H91" s="2"/>
      <c r="I91" s="33">
        <f t="shared" si="107"/>
        <v>0</v>
      </c>
      <c r="J91" s="2"/>
      <c r="K91" s="2"/>
      <c r="L91" s="2"/>
      <c r="M91" s="144">
        <f t="shared" si="108"/>
        <v>0</v>
      </c>
      <c r="N91" s="144">
        <f t="shared" si="106"/>
        <v>0</v>
      </c>
      <c r="O91" s="143">
        <v>0</v>
      </c>
      <c r="P91" s="2"/>
      <c r="Q91" s="2"/>
      <c r="R91" s="2"/>
    </row>
    <row r="92" spans="1:20" x14ac:dyDescent="0.25">
      <c r="A92" s="27">
        <f t="shared" si="105"/>
        <v>73</v>
      </c>
      <c r="D92" s="2" t="s">
        <v>37</v>
      </c>
      <c r="E92" s="2"/>
      <c r="F92" s="2"/>
      <c r="G92" s="144">
        <v>0</v>
      </c>
      <c r="H92" s="2"/>
      <c r="I92" s="33">
        <f t="shared" si="107"/>
        <v>0</v>
      </c>
      <c r="J92" s="2"/>
      <c r="K92" s="2"/>
      <c r="L92" s="2"/>
      <c r="M92" s="144">
        <f t="shared" si="108"/>
        <v>0</v>
      </c>
      <c r="N92" s="144"/>
      <c r="O92" s="143"/>
      <c r="P92" s="2"/>
      <c r="Q92" s="2"/>
      <c r="R92" s="2"/>
    </row>
    <row r="93" spans="1:20" x14ac:dyDescent="0.25">
      <c r="A93" s="27">
        <f t="shared" si="105"/>
        <v>74</v>
      </c>
      <c r="D93" s="11" t="s">
        <v>8</v>
      </c>
      <c r="E93" s="11"/>
      <c r="F93" s="11"/>
      <c r="G93" s="154">
        <f>SUM(G89:G92)</f>
        <v>684280.98113807337</v>
      </c>
      <c r="H93" s="11"/>
      <c r="I93" s="154">
        <f>SUM(I89:I92)</f>
        <v>288286.36393807345</v>
      </c>
      <c r="J93" s="11"/>
      <c r="K93" s="11"/>
      <c r="L93" s="11"/>
      <c r="M93" s="154">
        <f>SUM(M89:M92)</f>
        <v>288286.36393807345</v>
      </c>
      <c r="N93" s="154">
        <f t="shared" ref="N93:N95" si="109">M93-I93</f>
        <v>0</v>
      </c>
      <c r="O93" s="155">
        <f t="shared" ref="O93" si="110">N93-J93</f>
        <v>0</v>
      </c>
      <c r="P93" s="2"/>
      <c r="Q93" s="2"/>
      <c r="R93" s="2"/>
    </row>
    <row r="94" spans="1:20" s="5" customFormat="1" ht="26.45" customHeight="1" thickBot="1" x14ac:dyDescent="0.25">
      <c r="A94" s="27">
        <f t="shared" si="105"/>
        <v>75</v>
      </c>
      <c r="C94" s="13"/>
      <c r="D94" s="6" t="s">
        <v>19</v>
      </c>
      <c r="E94" s="6"/>
      <c r="F94" s="6"/>
      <c r="G94" s="156">
        <f>G88+G93</f>
        <v>2643402.9475680734</v>
      </c>
      <c r="H94" s="6"/>
      <c r="I94" s="157">
        <f>I93+I88</f>
        <v>2648115.9075680738</v>
      </c>
      <c r="J94" s="6"/>
      <c r="K94" s="6"/>
      <c r="L94" s="6"/>
      <c r="M94" s="158">
        <f>M93+M88</f>
        <v>2835859.1936880732</v>
      </c>
      <c r="N94" s="158">
        <f t="shared" si="109"/>
        <v>187743.28611999936</v>
      </c>
      <c r="O94" s="159">
        <f>N94/I94</f>
        <v>7.0896929240690021E-2</v>
      </c>
      <c r="P94" s="2"/>
      <c r="Q94" s="2"/>
      <c r="R94" s="2"/>
      <c r="S94" s="86"/>
    </row>
    <row r="95" spans="1:20" ht="15.75" thickTop="1" x14ac:dyDescent="0.25">
      <c r="A95" s="27">
        <f t="shared" si="105"/>
        <v>76</v>
      </c>
      <c r="D95" s="2" t="s">
        <v>18</v>
      </c>
      <c r="E95" s="143">
        <f>E87/E84</f>
        <v>2844788.9166666665</v>
      </c>
      <c r="F95" s="2"/>
      <c r="G95" s="114">
        <f>G94/E84</f>
        <v>220283.57896400613</v>
      </c>
      <c r="H95" s="2"/>
      <c r="I95" s="114">
        <f>I94/E84</f>
        <v>220676.32563067283</v>
      </c>
      <c r="J95" s="2"/>
      <c r="K95" s="2"/>
      <c r="L95" s="2"/>
      <c r="M95" s="114">
        <f>M94/E84</f>
        <v>236321.5994740061</v>
      </c>
      <c r="N95" s="114">
        <f t="shared" si="109"/>
        <v>15645.273843333271</v>
      </c>
      <c r="O95" s="145">
        <f>N95/I95</f>
        <v>7.0896929240689979E-2</v>
      </c>
      <c r="P95" s="2"/>
      <c r="Q95" s="2"/>
      <c r="R95" s="2"/>
    </row>
    <row r="96" spans="1:20" ht="15.75" thickBot="1" x14ac:dyDescent="0.3">
      <c r="A96" s="27">
        <f t="shared" si="105"/>
        <v>77</v>
      </c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1:20" x14ac:dyDescent="0.25">
      <c r="A97" s="27">
        <f t="shared" si="105"/>
        <v>78</v>
      </c>
      <c r="B97" s="95" t="s">
        <v>101</v>
      </c>
      <c r="C97" s="115">
        <v>22</v>
      </c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</row>
    <row r="98" spans="1:20" x14ac:dyDescent="0.25">
      <c r="A98" s="27">
        <f t="shared" si="105"/>
        <v>79</v>
      </c>
      <c r="C98" s="2"/>
      <c r="D98" s="88" t="s">
        <v>17</v>
      </c>
      <c r="E98" s="2">
        <v>12</v>
      </c>
      <c r="F98" s="143">
        <v>47.38</v>
      </c>
      <c r="G98" s="144">
        <f>F98*E98</f>
        <v>568.56000000000006</v>
      </c>
      <c r="H98" s="143">
        <v>47.38</v>
      </c>
      <c r="I98" s="144">
        <f>H98*E98</f>
        <v>568.56000000000006</v>
      </c>
      <c r="J98" s="145">
        <f>I98/I103</f>
        <v>7.4569103583852596E-3</v>
      </c>
      <c r="K98" s="145"/>
      <c r="L98" s="143">
        <f>ROUND(H98*S103,2)</f>
        <v>49.07</v>
      </c>
      <c r="M98" s="144">
        <f>L98*E98</f>
        <v>588.84</v>
      </c>
      <c r="N98" s="144">
        <f>M98-I98</f>
        <v>20.279999999999973</v>
      </c>
      <c r="O98" s="145">
        <f>IF(I98=0,0,N98/I98)</f>
        <v>3.5669058674546172E-2</v>
      </c>
      <c r="P98" s="145">
        <f>M98/M$88</f>
        <v>2.3113765114922527E-4</v>
      </c>
      <c r="Q98" s="146">
        <f>P98-J98</f>
        <v>-7.2257727072360346E-3</v>
      </c>
      <c r="R98" s="146"/>
      <c r="T98" s="4">
        <f>L98/H98-1</f>
        <v>3.5669058674546061E-2</v>
      </c>
    </row>
    <row r="99" spans="1:20" x14ac:dyDescent="0.25">
      <c r="A99" s="27">
        <f t="shared" si="105"/>
        <v>80</v>
      </c>
      <c r="D99" s="88" t="s">
        <v>82</v>
      </c>
      <c r="E99" s="142">
        <v>240000</v>
      </c>
      <c r="F99" s="138">
        <v>7.1379999999999999E-2</v>
      </c>
      <c r="G99" s="144">
        <f t="shared" ref="G99:G102" si="111">F99*E99</f>
        <v>17131.2</v>
      </c>
      <c r="H99" s="138">
        <v>8.2979999999999998E-2</v>
      </c>
      <c r="I99" s="144">
        <f t="shared" ref="I99:I102" si="112">H99*E99</f>
        <v>19915.2</v>
      </c>
      <c r="J99" s="145">
        <f>I99/I103</f>
        <v>0.26119646329202567</v>
      </c>
      <c r="K99" s="145"/>
      <c r="L99" s="138">
        <f>ROUND(H99*S103,5)</f>
        <v>8.5940000000000003E-2</v>
      </c>
      <c r="M99" s="144">
        <f t="shared" ref="M99:M102" si="113">L99*E99</f>
        <v>20625.600000000002</v>
      </c>
      <c r="N99" s="144">
        <f t="shared" ref="N99:N102" si="114">M99-I99</f>
        <v>710.40000000000146</v>
      </c>
      <c r="O99" s="145">
        <f t="shared" ref="O99:O102" si="115">IF(I99=0,0,N99/I99)</f>
        <v>3.5671246083393664E-2</v>
      </c>
      <c r="P99" s="145">
        <f>M99/M$88</f>
        <v>8.0961767840898383E-3</v>
      </c>
      <c r="Q99" s="146">
        <f t="shared" ref="Q99:Q103" si="116">P99-J99</f>
        <v>-0.25310028650793581</v>
      </c>
      <c r="R99" s="146"/>
      <c r="T99" s="4">
        <f>L99/H99-1</f>
        <v>3.5671246083393671E-2</v>
      </c>
    </row>
    <row r="100" spans="1:20" x14ac:dyDescent="0.25">
      <c r="A100" s="27">
        <f t="shared" si="105"/>
        <v>81</v>
      </c>
      <c r="D100" s="88" t="s">
        <v>83</v>
      </c>
      <c r="E100" s="142">
        <v>240000</v>
      </c>
      <c r="F100" s="138">
        <v>6.4780000000000004E-2</v>
      </c>
      <c r="G100" s="144">
        <f t="shared" ref="G100" si="117">F100*E100</f>
        <v>15547.2</v>
      </c>
      <c r="H100" s="138">
        <v>7.6380000000000003E-2</v>
      </c>
      <c r="I100" s="144">
        <f t="shared" ref="I100" si="118">H100*E100</f>
        <v>18331.2</v>
      </c>
      <c r="J100" s="145">
        <f>I100/I103</f>
        <v>0.24042161805549433</v>
      </c>
      <c r="K100" s="145"/>
      <c r="L100" s="138">
        <f>ROUND(H100*S103,5)</f>
        <v>7.9100000000000004E-2</v>
      </c>
      <c r="M100" s="144">
        <f t="shared" ref="M100" si="119">L100*E100</f>
        <v>18984</v>
      </c>
      <c r="N100" s="144">
        <f t="shared" ref="N100" si="120">M100-I100</f>
        <v>652.79999999999927</v>
      </c>
      <c r="O100" s="145">
        <f t="shared" ref="O100" si="121">IF(I100=0,0,N100/I100)</f>
        <v>3.5611416601204461E-2</v>
      </c>
      <c r="P100" s="145">
        <f>M100/M$88</f>
        <v>7.4517987389051219E-3</v>
      </c>
      <c r="Q100" s="146">
        <f t="shared" ref="Q100" si="122">P100-J100</f>
        <v>-0.23296981931658922</v>
      </c>
      <c r="R100" s="146"/>
      <c r="T100" s="4">
        <f>L100/H100-1</f>
        <v>3.5611416601204482E-2</v>
      </c>
    </row>
    <row r="101" spans="1:20" x14ac:dyDescent="0.25">
      <c r="A101" s="27">
        <f>A99+1</f>
        <v>81</v>
      </c>
      <c r="D101" s="88" t="s">
        <v>84</v>
      </c>
      <c r="E101" s="142">
        <v>322784</v>
      </c>
      <c r="F101" s="138">
        <v>5.8189999999999999E-2</v>
      </c>
      <c r="G101" s="144">
        <f t="shared" si="111"/>
        <v>18782.80096</v>
      </c>
      <c r="H101" s="138">
        <v>6.9790000000000005E-2</v>
      </c>
      <c r="I101" s="144">
        <f t="shared" si="112"/>
        <v>22527.095360000003</v>
      </c>
      <c r="J101" s="145">
        <f>I101/I103</f>
        <v>0.29545260084127711</v>
      </c>
      <c r="K101" s="145"/>
      <c r="L101" s="138">
        <f>ROUND(H101*S103,5)</f>
        <v>7.2279999999999997E-2</v>
      </c>
      <c r="M101" s="144">
        <f t="shared" si="113"/>
        <v>23330.827519999999</v>
      </c>
      <c r="N101" s="144">
        <f t="shared" si="114"/>
        <v>803.73215999999593</v>
      </c>
      <c r="O101" s="145">
        <f t="shared" si="115"/>
        <v>3.5678463963318342E-2</v>
      </c>
      <c r="P101" s="145">
        <f>M101/M$88</f>
        <v>9.1580610562130692E-3</v>
      </c>
      <c r="Q101" s="146">
        <f t="shared" si="116"/>
        <v>-0.28629453978506403</v>
      </c>
      <c r="R101" s="146"/>
      <c r="T101" s="4">
        <f>L101/H101-1</f>
        <v>3.5678463963318308E-2</v>
      </c>
    </row>
    <row r="102" spans="1:20" x14ac:dyDescent="0.25">
      <c r="A102" s="27">
        <f t="shared" si="105"/>
        <v>82</v>
      </c>
      <c r="D102" s="88" t="s">
        <v>73</v>
      </c>
      <c r="E102" s="142">
        <v>2400</v>
      </c>
      <c r="F102" s="143">
        <v>6.21</v>
      </c>
      <c r="G102" s="144">
        <f t="shared" si="111"/>
        <v>14904</v>
      </c>
      <c r="H102" s="143">
        <v>6.21</v>
      </c>
      <c r="I102" s="144">
        <f t="shared" si="112"/>
        <v>14904</v>
      </c>
      <c r="J102" s="145">
        <f>I102/I103</f>
        <v>0.19547240745281746</v>
      </c>
      <c r="K102" s="145"/>
      <c r="L102" s="143">
        <f>ROUND(H102*S103,5)</f>
        <v>6.4311999999999996</v>
      </c>
      <c r="M102" s="144">
        <f t="shared" si="113"/>
        <v>15434.88</v>
      </c>
      <c r="N102" s="144">
        <f t="shared" si="114"/>
        <v>530.8799999999992</v>
      </c>
      <c r="O102" s="145">
        <f t="shared" si="115"/>
        <v>3.5619967793880783E-2</v>
      </c>
      <c r="P102" s="145">
        <f>M102/M$88</f>
        <v>6.0586609418010898E-3</v>
      </c>
      <c r="Q102" s="146">
        <f t="shared" si="116"/>
        <v>-0.18941374651101636</v>
      </c>
      <c r="R102" s="146"/>
      <c r="T102" s="4">
        <f>L102/H102-1</f>
        <v>3.561996779388088E-2</v>
      </c>
    </row>
    <row r="103" spans="1:20" s="5" customFormat="1" ht="20.45" customHeight="1" x14ac:dyDescent="0.25">
      <c r="A103" s="27">
        <f t="shared" si="105"/>
        <v>83</v>
      </c>
      <c r="C103" s="13"/>
      <c r="D103" s="15" t="s">
        <v>6</v>
      </c>
      <c r="E103" s="15"/>
      <c r="F103" s="15"/>
      <c r="G103" s="148">
        <f>SUM(G98:G102)</f>
        <v>66933.760960000014</v>
      </c>
      <c r="H103" s="15"/>
      <c r="I103" s="148">
        <f>SUM(I98:I102)</f>
        <v>76246.055360000013</v>
      </c>
      <c r="J103" s="149">
        <f>SUM(J98:J102)</f>
        <v>0.99999999999999978</v>
      </c>
      <c r="K103" s="150">
        <f>I103+Summary!I14</f>
        <v>78961.955360000007</v>
      </c>
      <c r="L103" s="15"/>
      <c r="M103" s="148">
        <f>SUM(M98:M102)</f>
        <v>78964.147519999999</v>
      </c>
      <c r="N103" s="148">
        <f>SUM(N98:N102)</f>
        <v>2718.0921599999956</v>
      </c>
      <c r="O103" s="149">
        <f t="shared" ref="O103" si="123">N103/I103</f>
        <v>3.5648954521861773E-2</v>
      </c>
      <c r="P103" s="149">
        <f>SUM(P98:P102)</f>
        <v>3.0995835172158342E-2</v>
      </c>
      <c r="Q103" s="151">
        <f t="shared" si="116"/>
        <v>-0.96900416482784146</v>
      </c>
      <c r="R103" s="152">
        <f>M103-K103</f>
        <v>2.1921599999914179</v>
      </c>
      <c r="S103" s="86">
        <f>K103/I103</f>
        <v>1.0356202033951358</v>
      </c>
    </row>
    <row r="104" spans="1:20" x14ac:dyDescent="0.25">
      <c r="A104" s="27">
        <f t="shared" si="105"/>
        <v>84</v>
      </c>
      <c r="D104" s="2" t="s">
        <v>26</v>
      </c>
      <c r="E104" s="2"/>
      <c r="F104" s="2"/>
      <c r="G104" s="144">
        <v>8647.4647892112171</v>
      </c>
      <c r="H104" s="2"/>
      <c r="I104" s="33">
        <f>G104-($H$169*(E101+E100+E99))</f>
        <v>-664.82961078878179</v>
      </c>
      <c r="J104" s="2"/>
      <c r="K104" s="33"/>
      <c r="L104" s="2"/>
      <c r="M104" s="144">
        <f>I104</f>
        <v>-664.82961078878179</v>
      </c>
      <c r="N104" s="144">
        <f t="shared" ref="N104:N106" si="124">M104-I104</f>
        <v>0</v>
      </c>
      <c r="O104" s="143">
        <v>0</v>
      </c>
      <c r="P104" s="2"/>
      <c r="Q104" s="2"/>
      <c r="R104" s="2"/>
    </row>
    <row r="105" spans="1:20" x14ac:dyDescent="0.25">
      <c r="A105" s="27">
        <f t="shared" si="105"/>
        <v>85</v>
      </c>
      <c r="D105" s="2" t="s">
        <v>27</v>
      </c>
      <c r="E105" s="2"/>
      <c r="F105" s="2"/>
      <c r="G105" s="144">
        <v>8300.864963867436</v>
      </c>
      <c r="H105" s="2"/>
      <c r="I105" s="33">
        <f t="shared" ref="I105:I107" si="125">G105</f>
        <v>8300.864963867436</v>
      </c>
      <c r="J105" s="2"/>
      <c r="K105" s="2"/>
      <c r="L105" s="2"/>
      <c r="M105" s="144">
        <f t="shared" ref="M105:M107" si="126">I105</f>
        <v>8300.864963867436</v>
      </c>
      <c r="N105" s="144">
        <f t="shared" si="124"/>
        <v>0</v>
      </c>
      <c r="O105" s="143">
        <v>0</v>
      </c>
      <c r="P105" s="2"/>
      <c r="Q105" s="2"/>
      <c r="R105" s="2"/>
    </row>
    <row r="106" spans="1:20" x14ac:dyDescent="0.25">
      <c r="A106" s="27">
        <f t="shared" si="105"/>
        <v>86</v>
      </c>
      <c r="D106" s="2" t="s">
        <v>29</v>
      </c>
      <c r="E106" s="2"/>
      <c r="F106" s="2"/>
      <c r="G106" s="144">
        <v>0</v>
      </c>
      <c r="H106" s="2"/>
      <c r="I106" s="33">
        <f t="shared" si="125"/>
        <v>0</v>
      </c>
      <c r="J106" s="2"/>
      <c r="K106" s="2"/>
      <c r="L106" s="2"/>
      <c r="M106" s="144">
        <f t="shared" si="126"/>
        <v>0</v>
      </c>
      <c r="N106" s="144">
        <f t="shared" si="124"/>
        <v>0</v>
      </c>
      <c r="O106" s="143">
        <v>0</v>
      </c>
      <c r="P106" s="2"/>
      <c r="Q106" s="2"/>
      <c r="R106" s="2"/>
    </row>
    <row r="107" spans="1:20" x14ac:dyDescent="0.25">
      <c r="A107" s="27">
        <f t="shared" si="105"/>
        <v>87</v>
      </c>
      <c r="D107" s="2" t="s">
        <v>37</v>
      </c>
      <c r="E107" s="2"/>
      <c r="F107" s="2"/>
      <c r="G107" s="144">
        <v>0</v>
      </c>
      <c r="H107" s="2"/>
      <c r="I107" s="33">
        <f t="shared" si="125"/>
        <v>0</v>
      </c>
      <c r="J107" s="2"/>
      <c r="K107" s="2"/>
      <c r="L107" s="2"/>
      <c r="M107" s="144">
        <f t="shared" si="126"/>
        <v>0</v>
      </c>
      <c r="N107" s="144"/>
      <c r="O107" s="143"/>
      <c r="P107" s="2"/>
      <c r="Q107" s="2"/>
      <c r="R107" s="2"/>
    </row>
    <row r="108" spans="1:20" x14ac:dyDescent="0.25">
      <c r="A108" s="27">
        <f t="shared" si="105"/>
        <v>88</v>
      </c>
      <c r="D108" s="11" t="s">
        <v>8</v>
      </c>
      <c r="E108" s="11"/>
      <c r="F108" s="11"/>
      <c r="G108" s="154">
        <f>SUM(G104:G107)</f>
        <v>16948.329753078651</v>
      </c>
      <c r="H108" s="11"/>
      <c r="I108" s="154">
        <f>SUM(I104:I107)</f>
        <v>7636.0353530786542</v>
      </c>
      <c r="J108" s="11"/>
      <c r="K108" s="11"/>
      <c r="L108" s="11"/>
      <c r="M108" s="154">
        <f>SUM(M104:M107)</f>
        <v>7636.0353530786542</v>
      </c>
      <c r="N108" s="154">
        <f t="shared" ref="N108:N110" si="127">M108-I108</f>
        <v>0</v>
      </c>
      <c r="O108" s="155">
        <f t="shared" ref="O108" si="128">N108-J108</f>
        <v>0</v>
      </c>
      <c r="P108" s="2"/>
      <c r="Q108" s="2"/>
      <c r="R108" s="2"/>
    </row>
    <row r="109" spans="1:20" s="5" customFormat="1" ht="26.45" customHeight="1" thickBot="1" x14ac:dyDescent="0.25">
      <c r="A109" s="27">
        <f t="shared" si="105"/>
        <v>89</v>
      </c>
      <c r="C109" s="13"/>
      <c r="D109" s="6" t="s">
        <v>19</v>
      </c>
      <c r="E109" s="6"/>
      <c r="F109" s="6"/>
      <c r="G109" s="156">
        <f>G103+G108</f>
        <v>83882.090713078665</v>
      </c>
      <c r="H109" s="6"/>
      <c r="I109" s="157">
        <f>I108+I103</f>
        <v>83882.090713078665</v>
      </c>
      <c r="J109" s="6"/>
      <c r="K109" s="6"/>
      <c r="L109" s="6"/>
      <c r="M109" s="158">
        <f>M108+M103</f>
        <v>86600.182873078651</v>
      </c>
      <c r="N109" s="158">
        <f t="shared" si="127"/>
        <v>2718.0921599999856</v>
      </c>
      <c r="O109" s="159">
        <f>N109/I109</f>
        <v>3.2403724524431625E-2</v>
      </c>
      <c r="P109" s="2"/>
      <c r="Q109" s="2"/>
      <c r="R109" s="2"/>
      <c r="S109" s="86"/>
    </row>
    <row r="110" spans="1:20" ht="15.75" thickTop="1" x14ac:dyDescent="0.25">
      <c r="A110" s="27">
        <f t="shared" si="105"/>
        <v>90</v>
      </c>
      <c r="D110" s="2" t="s">
        <v>18</v>
      </c>
      <c r="E110" s="143">
        <f>E102/E98</f>
        <v>200</v>
      </c>
      <c r="F110" s="2"/>
      <c r="G110" s="114">
        <f>G109/E98</f>
        <v>6990.1742260898891</v>
      </c>
      <c r="H110" s="2"/>
      <c r="I110" s="114">
        <f>I109/E98</f>
        <v>6990.1742260898891</v>
      </c>
      <c r="J110" s="2"/>
      <c r="K110" s="2"/>
      <c r="L110" s="2"/>
      <c r="M110" s="114">
        <f>M109/E98</f>
        <v>7216.6819060898879</v>
      </c>
      <c r="N110" s="114">
        <f t="shared" si="127"/>
        <v>226.5076799999988</v>
      </c>
      <c r="O110" s="145">
        <f>N110/I110</f>
        <v>3.2403724524431625E-2</v>
      </c>
      <c r="P110" s="2"/>
      <c r="Q110" s="2"/>
      <c r="R110" s="2"/>
    </row>
    <row r="111" spans="1:20" ht="15.75" thickBot="1" x14ac:dyDescent="0.3">
      <c r="A111" s="27">
        <f t="shared" si="105"/>
        <v>91</v>
      </c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1:20" x14ac:dyDescent="0.25">
      <c r="A112" s="27">
        <f>A96+1</f>
        <v>78</v>
      </c>
      <c r="B112" s="20" t="s">
        <v>76</v>
      </c>
      <c r="C112" s="21">
        <v>3</v>
      </c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</row>
    <row r="113" spans="1:20" x14ac:dyDescent="0.25">
      <c r="A113" s="27">
        <f t="shared" si="105"/>
        <v>79</v>
      </c>
      <c r="B113" s="24"/>
      <c r="C113" s="23"/>
      <c r="D113" s="2" t="s">
        <v>64</v>
      </c>
      <c r="E113" s="142">
        <v>12301</v>
      </c>
      <c r="F113" s="143">
        <v>10.33</v>
      </c>
      <c r="G113" s="144">
        <f t="shared" ref="G113" si="129">F113*E113</f>
        <v>127069.33</v>
      </c>
      <c r="H113" s="143">
        <v>10.78</v>
      </c>
      <c r="I113" s="144">
        <f t="shared" ref="I113" si="130">H113*E113</f>
        <v>132604.78</v>
      </c>
      <c r="J113" s="145">
        <f t="shared" ref="J113:J121" si="131">I113/I$122</f>
        <v>0.20680967586106846</v>
      </c>
      <c r="K113" s="145"/>
      <c r="L113" s="143">
        <f t="shared" ref="L113:L121" si="132">ROUND(H113*S$122,2)</f>
        <v>11.16</v>
      </c>
      <c r="M113" s="144">
        <f t="shared" ref="M113" si="133">L113*E113</f>
        <v>137279.16</v>
      </c>
      <c r="N113" s="144">
        <f t="shared" ref="N113" si="134">M113-I113</f>
        <v>4674.3800000000047</v>
      </c>
      <c r="O113" s="145">
        <f t="shared" ref="O113" si="135">IF(I113=0,0,N113/I113)</f>
        <v>3.5250463821892432E-2</v>
      </c>
      <c r="P113" s="145">
        <f t="shared" ref="P113:P121" si="136">M113/M$122</f>
        <v>0.20678872809557639</v>
      </c>
      <c r="Q113" s="146">
        <f t="shared" ref="Q113" si="137">P113-J113</f>
        <v>-2.0947765492079773E-5</v>
      </c>
      <c r="R113" s="146"/>
      <c r="T113" s="4">
        <f>L113/H113-1</f>
        <v>3.5250463821892453E-2</v>
      </c>
    </row>
    <row r="114" spans="1:20" x14ac:dyDescent="0.25">
      <c r="A114" s="27">
        <f t="shared" si="105"/>
        <v>80</v>
      </c>
      <c r="B114" s="24"/>
      <c r="C114" s="23"/>
      <c r="D114" s="2" t="s">
        <v>65</v>
      </c>
      <c r="E114" s="142">
        <v>1140</v>
      </c>
      <c r="F114" s="143">
        <v>15.11</v>
      </c>
      <c r="G114" s="144">
        <f t="shared" ref="G114:G117" si="138">F114*E114</f>
        <v>17225.399999999998</v>
      </c>
      <c r="H114" s="143">
        <v>16.12</v>
      </c>
      <c r="I114" s="144">
        <f t="shared" ref="I114:I117" si="139">H114*E114</f>
        <v>18376.800000000003</v>
      </c>
      <c r="J114" s="145">
        <f t="shared" si="131"/>
        <v>2.8660354863253676E-2</v>
      </c>
      <c r="K114" s="145"/>
      <c r="L114" s="143">
        <f t="shared" si="132"/>
        <v>16.690000000000001</v>
      </c>
      <c r="M114" s="144">
        <f t="shared" ref="M114:M117" si="140">L114*E114</f>
        <v>19026.600000000002</v>
      </c>
      <c r="N114" s="144">
        <f t="shared" ref="N114:N117" si="141">M114-I114</f>
        <v>649.79999999999927</v>
      </c>
      <c r="O114" s="145">
        <f t="shared" ref="O114:O117" si="142">IF(I114=0,0,N114/I114)</f>
        <v>3.5359801488833699E-2</v>
      </c>
      <c r="P114" s="145">
        <f t="shared" si="136"/>
        <v>2.8660478502223453E-2</v>
      </c>
      <c r="Q114" s="146">
        <f t="shared" ref="Q114:Q117" si="143">P114-J114</f>
        <v>1.2363896977757305E-7</v>
      </c>
      <c r="R114" s="146"/>
      <c r="T114" s="4">
        <f t="shared" ref="T114:T121" si="144">L114/H114-1</f>
        <v>3.5359801488833664E-2</v>
      </c>
    </row>
    <row r="115" spans="1:20" x14ac:dyDescent="0.25">
      <c r="A115" s="27">
        <f t="shared" si="105"/>
        <v>81</v>
      </c>
      <c r="B115" s="24"/>
      <c r="C115" s="23"/>
      <c r="D115" s="2" t="s">
        <v>66</v>
      </c>
      <c r="E115" s="142">
        <v>510</v>
      </c>
      <c r="F115" s="143">
        <v>13.96</v>
      </c>
      <c r="G115" s="144">
        <f t="shared" si="138"/>
        <v>7119.6</v>
      </c>
      <c r="H115" s="143">
        <v>14.41</v>
      </c>
      <c r="I115" s="144">
        <f t="shared" si="139"/>
        <v>7349.1</v>
      </c>
      <c r="J115" s="145">
        <f t="shared" si="131"/>
        <v>1.146161540232998E-2</v>
      </c>
      <c r="K115" s="145"/>
      <c r="L115" s="143">
        <f t="shared" si="132"/>
        <v>14.92</v>
      </c>
      <c r="M115" s="144">
        <f t="shared" si="140"/>
        <v>7609.2</v>
      </c>
      <c r="N115" s="144">
        <f t="shared" si="141"/>
        <v>260.09999999999945</v>
      </c>
      <c r="O115" s="145">
        <f t="shared" si="142"/>
        <v>3.5392088827203252E-2</v>
      </c>
      <c r="P115" s="145">
        <f t="shared" si="136"/>
        <v>1.1462022275084286E-2</v>
      </c>
      <c r="Q115" s="146">
        <f t="shared" si="143"/>
        <v>4.0687275430599523E-7</v>
      </c>
      <c r="R115" s="146"/>
      <c r="T115" s="4">
        <f t="shared" si="144"/>
        <v>3.5392088827203239E-2</v>
      </c>
    </row>
    <row r="116" spans="1:20" x14ac:dyDescent="0.25">
      <c r="A116" s="27">
        <f t="shared" si="105"/>
        <v>82</v>
      </c>
      <c r="B116" s="24"/>
      <c r="C116" s="23"/>
      <c r="D116" s="2" t="s">
        <v>67</v>
      </c>
      <c r="E116" s="142">
        <v>536</v>
      </c>
      <c r="F116" s="143">
        <v>20.73</v>
      </c>
      <c r="G116" s="144">
        <f t="shared" si="138"/>
        <v>11111.28</v>
      </c>
      <c r="H116" s="143">
        <v>22.57</v>
      </c>
      <c r="I116" s="144">
        <f t="shared" si="139"/>
        <v>12097.52</v>
      </c>
      <c r="J116" s="145">
        <f t="shared" si="131"/>
        <v>1.8867224770651503E-2</v>
      </c>
      <c r="K116" s="145"/>
      <c r="L116" s="143">
        <f t="shared" si="132"/>
        <v>23.37</v>
      </c>
      <c r="M116" s="144">
        <f t="shared" si="140"/>
        <v>12526.32</v>
      </c>
      <c r="N116" s="144">
        <f t="shared" si="141"/>
        <v>428.79999999999927</v>
      </c>
      <c r="O116" s="145">
        <f t="shared" si="142"/>
        <v>3.5445281346920633E-2</v>
      </c>
      <c r="P116" s="145">
        <f t="shared" si="136"/>
        <v>1.8868863857545312E-2</v>
      </c>
      <c r="Q116" s="146">
        <f t="shared" si="143"/>
        <v>1.6390868938093162E-6</v>
      </c>
      <c r="R116" s="146"/>
      <c r="T116" s="4">
        <f t="shared" si="144"/>
        <v>3.5445281346920821E-2</v>
      </c>
    </row>
    <row r="117" spans="1:20" x14ac:dyDescent="0.25">
      <c r="A117" s="27">
        <f t="shared" si="105"/>
        <v>83</v>
      </c>
      <c r="B117" s="24"/>
      <c r="C117" s="23"/>
      <c r="D117" s="2" t="s">
        <v>68</v>
      </c>
      <c r="E117" s="142">
        <v>12</v>
      </c>
      <c r="F117" s="143">
        <v>16.64</v>
      </c>
      <c r="G117" s="144">
        <f t="shared" si="138"/>
        <v>199.68</v>
      </c>
      <c r="H117" s="143">
        <v>17.309999999999999</v>
      </c>
      <c r="I117" s="144">
        <f t="shared" si="139"/>
        <v>207.71999999999997</v>
      </c>
      <c r="J117" s="145">
        <f t="shared" si="131"/>
        <v>3.2395895434433913E-4</v>
      </c>
      <c r="K117" s="145"/>
      <c r="L117" s="143">
        <f t="shared" si="132"/>
        <v>17.93</v>
      </c>
      <c r="M117" s="144">
        <f t="shared" si="140"/>
        <v>215.16</v>
      </c>
      <c r="N117" s="144">
        <f t="shared" si="141"/>
        <v>7.4400000000000261</v>
      </c>
      <c r="O117" s="145">
        <f t="shared" si="142"/>
        <v>3.5817446562680662E-2</v>
      </c>
      <c r="P117" s="145">
        <f t="shared" si="136"/>
        <v>3.2410354737779729E-4</v>
      </c>
      <c r="Q117" s="146">
        <f t="shared" si="143"/>
        <v>1.4459303345816001E-7</v>
      </c>
      <c r="R117" s="146"/>
      <c r="T117" s="4">
        <f t="shared" si="144"/>
        <v>3.5817446562680599E-2</v>
      </c>
    </row>
    <row r="118" spans="1:20" x14ac:dyDescent="0.25">
      <c r="A118" s="27">
        <f t="shared" si="105"/>
        <v>84</v>
      </c>
      <c r="B118" s="24"/>
      <c r="C118" s="123" t="s">
        <v>105</v>
      </c>
      <c r="D118" s="2" t="s">
        <v>69</v>
      </c>
      <c r="E118" s="142">
        <v>29006</v>
      </c>
      <c r="F118" s="143">
        <v>11.06</v>
      </c>
      <c r="G118" s="144">
        <f t="shared" ref="G118:G121" si="145">F118*E118</f>
        <v>320806.36</v>
      </c>
      <c r="H118" s="143">
        <v>11.34</v>
      </c>
      <c r="I118" s="144">
        <f t="shared" ref="I118:I121" si="146">H118*E118</f>
        <v>328928.03999999998</v>
      </c>
      <c r="J118" s="145">
        <f t="shared" si="131"/>
        <v>0.51299433801720085</v>
      </c>
      <c r="K118" s="145"/>
      <c r="L118" s="143">
        <f t="shared" si="132"/>
        <v>11.74</v>
      </c>
      <c r="M118" s="144">
        <f t="shared" ref="M118:M121" si="147">L118*E118</f>
        <v>340530.44</v>
      </c>
      <c r="N118" s="144">
        <f t="shared" ref="N118:N121" si="148">M118-I118</f>
        <v>11602.400000000023</v>
      </c>
      <c r="O118" s="145">
        <f t="shared" ref="O118:O121" si="149">IF(I118=0,0,N118/I118)</f>
        <v>3.5273368606702014E-2</v>
      </c>
      <c r="P118" s="145">
        <f t="shared" si="136"/>
        <v>0.51295372557223529</v>
      </c>
      <c r="Q118" s="146">
        <f t="shared" ref="Q118:Q121" si="150">P118-J118</f>
        <v>-4.0612444965559824E-5</v>
      </c>
      <c r="R118" s="146"/>
      <c r="T118" s="4">
        <f t="shared" si="144"/>
        <v>3.5273368606701938E-2</v>
      </c>
    </row>
    <row r="119" spans="1:20" x14ac:dyDescent="0.25">
      <c r="A119" s="27">
        <f t="shared" si="105"/>
        <v>85</v>
      </c>
      <c r="B119" s="24"/>
      <c r="C119" s="23"/>
      <c r="D119" s="2" t="s">
        <v>70</v>
      </c>
      <c r="E119" s="142">
        <v>2377</v>
      </c>
      <c r="F119" s="143">
        <v>13.78</v>
      </c>
      <c r="G119" s="144">
        <f t="shared" si="145"/>
        <v>32755.059999999998</v>
      </c>
      <c r="H119" s="143">
        <v>14.06</v>
      </c>
      <c r="I119" s="144">
        <f t="shared" si="146"/>
        <v>33420.620000000003</v>
      </c>
      <c r="J119" s="145">
        <f t="shared" si="131"/>
        <v>5.2122612693719962E-2</v>
      </c>
      <c r="K119" s="145"/>
      <c r="L119" s="143">
        <f t="shared" si="132"/>
        <v>14.56</v>
      </c>
      <c r="M119" s="144">
        <f t="shared" si="147"/>
        <v>34609.120000000003</v>
      </c>
      <c r="N119" s="144">
        <f t="shared" si="148"/>
        <v>1188.5</v>
      </c>
      <c r="O119" s="145">
        <f t="shared" si="149"/>
        <v>3.556187766714082E-2</v>
      </c>
      <c r="P119" s="145">
        <f t="shared" si="136"/>
        <v>5.213301061360788E-2</v>
      </c>
      <c r="Q119" s="146">
        <f t="shared" si="150"/>
        <v>1.0397919887918106E-5</v>
      </c>
      <c r="R119" s="146"/>
      <c r="T119" s="4">
        <f t="shared" si="144"/>
        <v>3.5561877667140918E-2</v>
      </c>
    </row>
    <row r="120" spans="1:20" x14ac:dyDescent="0.25">
      <c r="A120" s="27">
        <f t="shared" si="105"/>
        <v>86</v>
      </c>
      <c r="B120" s="24"/>
      <c r="C120" s="23"/>
      <c r="D120" s="2" t="s">
        <v>71</v>
      </c>
      <c r="E120" s="142">
        <v>2441</v>
      </c>
      <c r="F120" s="143">
        <v>15.03</v>
      </c>
      <c r="G120" s="144">
        <f t="shared" si="145"/>
        <v>36688.229999999996</v>
      </c>
      <c r="H120" s="143">
        <v>15.46</v>
      </c>
      <c r="I120" s="144">
        <f t="shared" si="146"/>
        <v>37737.86</v>
      </c>
      <c r="J120" s="145">
        <f t="shared" si="131"/>
        <v>5.8855756137074257E-2</v>
      </c>
      <c r="K120" s="145"/>
      <c r="L120" s="143">
        <f t="shared" si="132"/>
        <v>16.010000000000002</v>
      </c>
      <c r="M120" s="144">
        <f t="shared" si="147"/>
        <v>39080.410000000003</v>
      </c>
      <c r="N120" s="144">
        <f t="shared" si="148"/>
        <v>1342.5500000000029</v>
      </c>
      <c r="O120" s="145">
        <f t="shared" si="149"/>
        <v>3.5575679172057E-2</v>
      </c>
      <c r="P120" s="145">
        <f t="shared" si="136"/>
        <v>5.8868281808787615E-2</v>
      </c>
      <c r="Q120" s="146">
        <f t="shared" si="150"/>
        <v>1.2525671713357889E-5</v>
      </c>
      <c r="R120" s="146"/>
      <c r="T120" s="4">
        <f t="shared" si="144"/>
        <v>3.5575679172056951E-2</v>
      </c>
    </row>
    <row r="121" spans="1:20" x14ac:dyDescent="0.25">
      <c r="A121" s="27">
        <f t="shared" si="105"/>
        <v>87</v>
      </c>
      <c r="B121" s="24"/>
      <c r="C121" s="23"/>
      <c r="D121" s="2" t="s">
        <v>72</v>
      </c>
      <c r="E121" s="142">
        <v>3310</v>
      </c>
      <c r="F121" s="143">
        <v>20.48</v>
      </c>
      <c r="G121" s="144">
        <f t="shared" si="145"/>
        <v>67788.800000000003</v>
      </c>
      <c r="H121" s="143">
        <v>21.29</v>
      </c>
      <c r="I121" s="144">
        <f t="shared" si="146"/>
        <v>70469.899999999994</v>
      </c>
      <c r="J121" s="145">
        <f t="shared" si="131"/>
        <v>0.10990446330035696</v>
      </c>
      <c r="K121" s="145"/>
      <c r="L121" s="143">
        <f t="shared" si="132"/>
        <v>22.05</v>
      </c>
      <c r="M121" s="144">
        <f t="shared" si="147"/>
        <v>72985.5</v>
      </c>
      <c r="N121" s="144">
        <f t="shared" si="148"/>
        <v>2515.6000000000058</v>
      </c>
      <c r="O121" s="145">
        <f t="shared" si="149"/>
        <v>3.5697510568342028E-2</v>
      </c>
      <c r="P121" s="145">
        <f t="shared" si="136"/>
        <v>0.10994078572756193</v>
      </c>
      <c r="Q121" s="146">
        <f t="shared" si="150"/>
        <v>3.6322427204971142E-5</v>
      </c>
      <c r="R121" s="146"/>
      <c r="T121" s="4">
        <f t="shared" si="144"/>
        <v>3.5697510568341917E-2</v>
      </c>
    </row>
    <row r="122" spans="1:20" s="5" customFormat="1" ht="24.6" customHeight="1" x14ac:dyDescent="0.25">
      <c r="A122" s="27">
        <f t="shared" si="105"/>
        <v>88</v>
      </c>
      <c r="C122" s="13"/>
      <c r="D122" s="15" t="s">
        <v>6</v>
      </c>
      <c r="E122" s="163"/>
      <c r="F122" s="15"/>
      <c r="G122" s="148">
        <f>SUM(G113:G121)</f>
        <v>620763.74000000011</v>
      </c>
      <c r="H122" s="15"/>
      <c r="I122" s="148">
        <f>SUM(I113:I121)</f>
        <v>641192.34</v>
      </c>
      <c r="J122" s="149">
        <f>SUM(J113:J121)</f>
        <v>1</v>
      </c>
      <c r="K122" s="150">
        <f>I122+Summary!I15</f>
        <v>664031.71</v>
      </c>
      <c r="L122" s="15"/>
      <c r="M122" s="148">
        <f>SUM(M113:M121)</f>
        <v>663861.91</v>
      </c>
      <c r="N122" s="148">
        <f>SUM(N113:N121)</f>
        <v>22669.570000000036</v>
      </c>
      <c r="O122" s="149">
        <f t="shared" ref="O122" si="151">N122/I122</f>
        <v>3.5355335030983114E-2</v>
      </c>
      <c r="P122" s="149">
        <f>SUM(P113:P121)</f>
        <v>0.99999999999999989</v>
      </c>
      <c r="Q122" s="151">
        <f t="shared" ref="Q122" si="152">P122-J122</f>
        <v>0</v>
      </c>
      <c r="R122" s="152">
        <f>M122-K122</f>
        <v>-169.79999999993015</v>
      </c>
      <c r="S122" s="86">
        <f>K122/I122</f>
        <v>1.0356201541646615</v>
      </c>
    </row>
    <row r="123" spans="1:20" x14ac:dyDescent="0.25">
      <c r="A123" s="27">
        <f t="shared" si="105"/>
        <v>89</v>
      </c>
      <c r="D123" s="2" t="s">
        <v>26</v>
      </c>
      <c r="E123" s="2"/>
      <c r="F123" s="2"/>
      <c r="G123" s="144">
        <v>19378.758382400003</v>
      </c>
      <c r="H123" s="2"/>
      <c r="I123" s="33">
        <f>G123-($H$169*E122)</f>
        <v>19378.758382400003</v>
      </c>
      <c r="J123" s="2"/>
      <c r="K123" s="33"/>
      <c r="L123" s="2"/>
      <c r="M123" s="144">
        <f>I123</f>
        <v>19378.758382400003</v>
      </c>
      <c r="N123" s="144">
        <f>M123-I123</f>
        <v>0</v>
      </c>
      <c r="O123" s="143">
        <v>0</v>
      </c>
      <c r="P123" s="2"/>
      <c r="Q123" s="2"/>
      <c r="R123" s="2"/>
    </row>
    <row r="124" spans="1:20" x14ac:dyDescent="0.25">
      <c r="A124" s="27">
        <f t="shared" si="105"/>
        <v>90</v>
      </c>
      <c r="D124" s="2" t="s">
        <v>27</v>
      </c>
      <c r="E124" s="2"/>
      <c r="F124" s="2"/>
      <c r="G124" s="144">
        <v>61648.501157656145</v>
      </c>
      <c r="H124" s="2"/>
      <c r="I124" s="33">
        <f>G124</f>
        <v>61648.501157656145</v>
      </c>
      <c r="J124" s="2"/>
      <c r="K124" s="2"/>
      <c r="L124" s="2"/>
      <c r="M124" s="144">
        <f t="shared" ref="M124:M125" si="153">I124</f>
        <v>61648.501157656145</v>
      </c>
      <c r="N124" s="144">
        <f>M124-I124</f>
        <v>0</v>
      </c>
      <c r="O124" s="143">
        <v>0</v>
      </c>
      <c r="P124" s="2"/>
      <c r="Q124" s="2"/>
      <c r="R124" s="2"/>
    </row>
    <row r="125" spans="1:20" x14ac:dyDescent="0.25">
      <c r="A125" s="27">
        <f t="shared" si="105"/>
        <v>91</v>
      </c>
      <c r="D125" s="2" t="s">
        <v>29</v>
      </c>
      <c r="E125" s="2"/>
      <c r="F125" s="2"/>
      <c r="G125" s="144">
        <v>0</v>
      </c>
      <c r="H125" s="2"/>
      <c r="I125" s="33">
        <v>0</v>
      </c>
      <c r="J125" s="2"/>
      <c r="K125" s="2"/>
      <c r="L125" s="2"/>
      <c r="M125" s="144">
        <f t="shared" si="153"/>
        <v>0</v>
      </c>
      <c r="N125" s="144">
        <f>M125-I125</f>
        <v>0</v>
      </c>
      <c r="O125" s="143">
        <v>0</v>
      </c>
      <c r="P125" s="2"/>
      <c r="Q125" s="2"/>
      <c r="R125" s="2"/>
    </row>
    <row r="126" spans="1:20" x14ac:dyDescent="0.25">
      <c r="A126" s="27">
        <f t="shared" si="105"/>
        <v>92</v>
      </c>
      <c r="D126" s="2" t="s">
        <v>37</v>
      </c>
      <c r="E126" s="2"/>
      <c r="F126" s="2"/>
      <c r="G126" s="144"/>
      <c r="H126" s="2"/>
      <c r="I126" s="33"/>
      <c r="J126" s="2"/>
      <c r="K126" s="2"/>
      <c r="L126" s="2"/>
      <c r="M126" s="144"/>
      <c r="N126" s="144"/>
      <c r="O126" s="143"/>
      <c r="P126" s="2"/>
      <c r="Q126" s="2"/>
      <c r="R126" s="2"/>
    </row>
    <row r="127" spans="1:20" x14ac:dyDescent="0.25">
      <c r="A127" s="27">
        <f t="shared" si="105"/>
        <v>93</v>
      </c>
      <c r="D127" s="11" t="s">
        <v>8</v>
      </c>
      <c r="E127" s="11"/>
      <c r="F127" s="11"/>
      <c r="G127" s="154">
        <f>SUM(G123:G125)</f>
        <v>81027.25954005614</v>
      </c>
      <c r="H127" s="11"/>
      <c r="I127" s="154">
        <f>SUM(I123:I125)</f>
        <v>81027.25954005614</v>
      </c>
      <c r="J127" s="11"/>
      <c r="K127" s="11"/>
      <c r="L127" s="11"/>
      <c r="M127" s="154">
        <f>SUM(M123:M125)</f>
        <v>81027.25954005614</v>
      </c>
      <c r="N127" s="154">
        <f>M127-I127</f>
        <v>0</v>
      </c>
      <c r="O127" s="155">
        <f>N127-J127</f>
        <v>0</v>
      </c>
      <c r="P127" s="2"/>
      <c r="Q127" s="2"/>
      <c r="R127" s="2"/>
    </row>
    <row r="128" spans="1:20" s="5" customFormat="1" ht="26.45" customHeight="1" thickBot="1" x14ac:dyDescent="0.25">
      <c r="A128" s="27">
        <f t="shared" si="105"/>
        <v>94</v>
      </c>
      <c r="C128" s="13"/>
      <c r="D128" s="6" t="s">
        <v>19</v>
      </c>
      <c r="E128" s="6"/>
      <c r="F128" s="6"/>
      <c r="G128" s="156">
        <f>G122+G127</f>
        <v>701790.99954005622</v>
      </c>
      <c r="H128" s="6"/>
      <c r="I128" s="157">
        <f>I127+I122</f>
        <v>722219.59954005608</v>
      </c>
      <c r="J128" s="6"/>
      <c r="K128" s="6"/>
      <c r="L128" s="6"/>
      <c r="M128" s="158">
        <f>M127+M122</f>
        <v>744889.16954005614</v>
      </c>
      <c r="N128" s="158">
        <f>M128-I128</f>
        <v>22669.570000000065</v>
      </c>
      <c r="O128" s="159">
        <f>N128/I128</f>
        <v>3.1388749369910658E-2</v>
      </c>
      <c r="P128" s="2"/>
      <c r="Q128" s="2"/>
      <c r="R128" s="2"/>
      <c r="S128" s="86"/>
    </row>
    <row r="129" spans="1:20" ht="15.75" thickTop="1" x14ac:dyDescent="0.25">
      <c r="A129" s="27">
        <f t="shared" si="105"/>
        <v>95</v>
      </c>
      <c r="E129" s="108"/>
      <c r="G129" s="107"/>
      <c r="I129" s="107"/>
      <c r="M129" s="107"/>
      <c r="N129" s="107"/>
      <c r="O129" s="98"/>
    </row>
    <row r="130" spans="1:20" x14ac:dyDescent="0.25">
      <c r="A130" s="27">
        <f t="shared" si="105"/>
        <v>96</v>
      </c>
      <c r="B130" s="16"/>
      <c r="C130" s="17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</row>
    <row r="131" spans="1:20" x14ac:dyDescent="0.25">
      <c r="A131" s="27">
        <f t="shared" si="105"/>
        <v>97</v>
      </c>
    </row>
    <row r="132" spans="1:20" s="5" customFormat="1" ht="19.899999999999999" customHeight="1" x14ac:dyDescent="0.25">
      <c r="A132" s="27">
        <f t="shared" si="105"/>
        <v>98</v>
      </c>
      <c r="B132" s="5" t="s">
        <v>28</v>
      </c>
      <c r="C132" s="13"/>
      <c r="D132" s="15" t="s">
        <v>6</v>
      </c>
      <c r="E132" s="101"/>
      <c r="F132" s="101"/>
      <c r="G132" s="109">
        <f>G10+G22+G47+G60+G74+G122+G88+G34+G103</f>
        <v>41256960.511033334</v>
      </c>
      <c r="H132" s="109"/>
      <c r="I132" s="109">
        <f>I10+I22+I47+I60+I74+I122+I88+I34+I103</f>
        <v>50507174.738772601</v>
      </c>
      <c r="J132" s="101"/>
      <c r="K132" s="101"/>
      <c r="L132" s="101"/>
      <c r="M132" s="109">
        <f>M10+M22+M47+M60+M74+M122+M88+M34+M103</f>
        <v>52800151.810113721</v>
      </c>
      <c r="N132" s="109">
        <f>N10+N22+N47+N60+N74+N122+N88+N34+N103</f>
        <v>2292977.0713411309</v>
      </c>
      <c r="O132" s="102">
        <f>N132/I132</f>
        <v>4.5399036536900014E-2</v>
      </c>
      <c r="P132" s="110"/>
      <c r="Q132" s="110"/>
      <c r="R132" s="110"/>
      <c r="S132" s="86"/>
    </row>
    <row r="133" spans="1:20" x14ac:dyDescent="0.25">
      <c r="A133" s="27">
        <f t="shared" si="105"/>
        <v>99</v>
      </c>
      <c r="D133" s="2" t="s">
        <v>26</v>
      </c>
      <c r="G133" s="23">
        <f t="shared" ref="G133:I138" si="154">G11+G23+G48+G61+G75+G123+G89+G35+G104</f>
        <v>4886310.9899999984</v>
      </c>
      <c r="H133" s="23"/>
      <c r="I133" s="23">
        <f t="shared" si="154"/>
        <v>-453717.35360000009</v>
      </c>
      <c r="M133" s="23">
        <f t="shared" ref="M133:N133" si="155">M11+M23+M48+M61+M75+M123+M89+M35+M104</f>
        <v>-453717.35360000009</v>
      </c>
      <c r="N133" s="23">
        <f t="shared" si="155"/>
        <v>0</v>
      </c>
    </row>
    <row r="134" spans="1:20" x14ac:dyDescent="0.25">
      <c r="A134" s="27">
        <f t="shared" si="105"/>
        <v>100</v>
      </c>
      <c r="D134" s="2" t="s">
        <v>27</v>
      </c>
      <c r="G134" s="23">
        <f t="shared" si="154"/>
        <v>5321501.1490331721</v>
      </c>
      <c r="H134" s="23"/>
      <c r="I134" s="23">
        <f t="shared" si="154"/>
        <v>5321501.1490331721</v>
      </c>
      <c r="M134" s="23">
        <f t="shared" ref="M134:N134" si="156">M12+M24+M49+M62+M76+M124+M90+M36+M105</f>
        <v>5321501.1490331721</v>
      </c>
      <c r="N134" s="23">
        <f t="shared" si="156"/>
        <v>0</v>
      </c>
    </row>
    <row r="135" spans="1:20" x14ac:dyDescent="0.25">
      <c r="A135" s="27">
        <f t="shared" si="105"/>
        <v>101</v>
      </c>
      <c r="D135" s="2" t="s">
        <v>29</v>
      </c>
      <c r="G135" s="23">
        <f t="shared" si="154"/>
        <v>27533.166666666672</v>
      </c>
      <c r="H135" s="23"/>
      <c r="I135" s="23">
        <f t="shared" si="154"/>
        <v>27533.166666666672</v>
      </c>
      <c r="M135" s="23">
        <f t="shared" ref="M135:N135" si="157">M13+M25+M50+M63+M77+M125+M91+M37+M106</f>
        <v>27533.166666666672</v>
      </c>
      <c r="N135" s="23">
        <f t="shared" si="157"/>
        <v>0</v>
      </c>
    </row>
    <row r="136" spans="1:20" x14ac:dyDescent="0.25">
      <c r="A136" s="27">
        <f t="shared" si="105"/>
        <v>102</v>
      </c>
      <c r="D136" s="2" t="s">
        <v>37</v>
      </c>
      <c r="G136" s="23">
        <f t="shared" si="154"/>
        <v>0</v>
      </c>
      <c r="I136" s="23">
        <f t="shared" si="154"/>
        <v>0</v>
      </c>
      <c r="M136" s="23">
        <f t="shared" ref="M136:N136" si="158">M14+M26+M51+M64+M78+M126+M92+M38+M107</f>
        <v>0</v>
      </c>
      <c r="N136" s="23">
        <f t="shared" si="158"/>
        <v>0</v>
      </c>
      <c r="O136" s="92"/>
    </row>
    <row r="137" spans="1:20" x14ac:dyDescent="0.25">
      <c r="A137" s="27">
        <f t="shared" si="105"/>
        <v>103</v>
      </c>
      <c r="D137" s="11" t="s">
        <v>8</v>
      </c>
      <c r="E137" s="103"/>
      <c r="F137" s="103"/>
      <c r="G137" s="111">
        <f t="shared" si="154"/>
        <v>10235345.305699838</v>
      </c>
      <c r="H137" s="111"/>
      <c r="I137" s="111">
        <f t="shared" si="154"/>
        <v>4895316.9620998381</v>
      </c>
      <c r="J137" s="103"/>
      <c r="K137" s="103"/>
      <c r="L137" s="103"/>
      <c r="M137" s="111">
        <f t="shared" ref="M137:N137" si="159">M15+M27+M52+M65+M79+M127+M93+M39+M108</f>
        <v>4895316.9620998381</v>
      </c>
      <c r="N137" s="111">
        <f t="shared" si="159"/>
        <v>0</v>
      </c>
      <c r="O137" s="103"/>
    </row>
    <row r="138" spans="1:20" s="5" customFormat="1" ht="21" customHeight="1" thickBot="1" x14ac:dyDescent="0.3">
      <c r="A138" s="27">
        <f t="shared" si="105"/>
        <v>104</v>
      </c>
      <c r="C138" s="13"/>
      <c r="D138" s="6" t="s">
        <v>19</v>
      </c>
      <c r="E138" s="104"/>
      <c r="F138" s="104"/>
      <c r="G138" s="105">
        <f t="shared" si="154"/>
        <v>51492305.816733167</v>
      </c>
      <c r="H138" s="105"/>
      <c r="I138" s="105">
        <f t="shared" si="154"/>
        <v>55402491.700872429</v>
      </c>
      <c r="J138" s="104"/>
      <c r="K138" s="104"/>
      <c r="L138" s="104"/>
      <c r="M138" s="105">
        <f t="shared" ref="M138:N138" si="160">M16+M28+M53+M66+M80+M128+M94+M40+M109</f>
        <v>57695468.772213578</v>
      </c>
      <c r="N138" s="105">
        <f t="shared" si="160"/>
        <v>2292977.0713411332</v>
      </c>
      <c r="O138" s="106">
        <f>N138/I138</f>
        <v>4.1387616349844163E-2</v>
      </c>
      <c r="P138" s="110"/>
      <c r="Q138" s="110"/>
      <c r="R138" s="110"/>
      <c r="S138" s="86"/>
    </row>
    <row r="139" spans="1:20" ht="15.75" thickTop="1" x14ac:dyDescent="0.25">
      <c r="A139" s="27">
        <f t="shared" si="105"/>
        <v>105</v>
      </c>
    </row>
    <row r="140" spans="1:20" x14ac:dyDescent="0.25">
      <c r="A140" s="27">
        <f t="shared" si="105"/>
        <v>106</v>
      </c>
      <c r="D140" s="2" t="s">
        <v>35</v>
      </c>
      <c r="N140" s="23">
        <f>N138-Summary!L3</f>
        <v>309.00555012980476</v>
      </c>
    </row>
    <row r="141" spans="1:20" x14ac:dyDescent="0.25">
      <c r="A141" s="27">
        <f t="shared" si="105"/>
        <v>107</v>
      </c>
      <c r="B141" s="1" t="s">
        <v>75</v>
      </c>
      <c r="D141" s="16"/>
      <c r="E141" s="112"/>
      <c r="F141" s="112"/>
      <c r="G141" s="112"/>
      <c r="H141" s="112"/>
      <c r="I141" s="112"/>
      <c r="J141" s="112"/>
      <c r="K141" s="112"/>
      <c r="L141" s="112"/>
      <c r="M141" s="112"/>
      <c r="N141" s="113"/>
      <c r="O141" s="112"/>
      <c r="P141" s="112"/>
      <c r="Q141" s="112"/>
      <c r="R141" s="112"/>
    </row>
    <row r="142" spans="1:20" ht="15.75" thickBot="1" x14ac:dyDescent="0.3">
      <c r="A142" s="27">
        <f t="shared" si="105"/>
        <v>108</v>
      </c>
      <c r="D142" s="12"/>
      <c r="E142" s="72"/>
      <c r="F142" s="72"/>
      <c r="G142" s="72"/>
    </row>
    <row r="143" spans="1:20" x14ac:dyDescent="0.25">
      <c r="A143" s="27">
        <f t="shared" si="105"/>
        <v>109</v>
      </c>
      <c r="B143" s="20" t="s">
        <v>85</v>
      </c>
      <c r="C143" s="21">
        <v>33</v>
      </c>
      <c r="D143" s="20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95"/>
    </row>
    <row r="144" spans="1:20" ht="15" customHeight="1" thickBot="1" x14ac:dyDescent="0.3">
      <c r="A144" s="27">
        <f t="shared" si="105"/>
        <v>110</v>
      </c>
      <c r="D144" s="2" t="s">
        <v>86</v>
      </c>
      <c r="E144" s="96"/>
      <c r="F144" s="92"/>
      <c r="G144" s="97"/>
      <c r="H144" s="138">
        <v>6.9709999999999994E-2</v>
      </c>
      <c r="I144" s="97"/>
      <c r="J144" s="98"/>
      <c r="K144" s="98"/>
      <c r="L144" s="93">
        <f>H144*S144</f>
        <v>7.2874766836987293E-2</v>
      </c>
      <c r="M144" s="97"/>
      <c r="N144" s="97"/>
      <c r="O144" s="98"/>
      <c r="P144" s="98"/>
      <c r="Q144" s="99"/>
      <c r="R144" s="99"/>
      <c r="S144" s="80">
        <f>(1+$O$132)</f>
        <v>1.0453990365368999</v>
      </c>
      <c r="T144" s="4">
        <f t="shared" ref="T144" si="161">L144/H144-1</f>
        <v>4.5399036536899917E-2</v>
      </c>
    </row>
    <row r="145" spans="1:20" x14ac:dyDescent="0.25">
      <c r="A145" s="27">
        <f t="shared" si="105"/>
        <v>111</v>
      </c>
      <c r="B145" s="20" t="s">
        <v>87</v>
      </c>
      <c r="C145" s="21" t="s">
        <v>88</v>
      </c>
      <c r="D145" s="20"/>
      <c r="E145" s="95"/>
      <c r="F145" s="95"/>
      <c r="G145" s="95"/>
      <c r="H145" s="20"/>
      <c r="I145" s="95"/>
      <c r="J145" s="95"/>
      <c r="K145" s="95"/>
      <c r="L145" s="95"/>
      <c r="M145" s="95"/>
      <c r="N145" s="95"/>
      <c r="O145" s="95"/>
      <c r="P145" s="95"/>
      <c r="Q145" s="95"/>
      <c r="R145" s="95"/>
    </row>
    <row r="146" spans="1:20" ht="12.6" customHeight="1" x14ac:dyDescent="0.25">
      <c r="A146" s="27">
        <f t="shared" si="105"/>
        <v>112</v>
      </c>
      <c r="D146" s="2" t="s">
        <v>91</v>
      </c>
      <c r="E146" s="96"/>
      <c r="F146" s="92"/>
      <c r="G146" s="97"/>
      <c r="H146" s="143">
        <v>3530.38</v>
      </c>
      <c r="I146" s="97"/>
      <c r="J146" s="98"/>
      <c r="K146" s="98"/>
      <c r="L146" s="92">
        <f>H146*S146</f>
        <v>3811.249923101635</v>
      </c>
      <c r="M146" s="97"/>
      <c r="N146" s="97"/>
      <c r="O146" s="98"/>
      <c r="P146" s="98"/>
      <c r="Q146" s="99"/>
      <c r="R146" s="99"/>
      <c r="S146" s="80">
        <f>(1+$O$88)</f>
        <v>1.0795579861379327</v>
      </c>
      <c r="T146" s="4">
        <f t="shared" ref="T146" si="162">L146/H146-1</f>
        <v>7.9557986137932746E-2</v>
      </c>
    </row>
    <row r="147" spans="1:20" ht="12.6" customHeight="1" x14ac:dyDescent="0.25">
      <c r="A147" s="27">
        <f t="shared" si="105"/>
        <v>113</v>
      </c>
      <c r="D147" s="2" t="s">
        <v>92</v>
      </c>
      <c r="E147" s="96"/>
      <c r="F147" s="92"/>
      <c r="G147" s="97"/>
      <c r="H147" s="143">
        <v>5603.59</v>
      </c>
      <c r="I147" s="97"/>
      <c r="J147" s="98"/>
      <c r="K147" s="98"/>
      <c r="L147" s="92">
        <f>H147*S147</f>
        <v>6049.4003355426585</v>
      </c>
      <c r="M147" s="97"/>
      <c r="N147" s="97"/>
      <c r="O147" s="98"/>
      <c r="P147" s="98"/>
      <c r="Q147" s="99"/>
      <c r="R147" s="99"/>
      <c r="S147" s="80">
        <f>S146</f>
        <v>1.0795579861379327</v>
      </c>
      <c r="T147" s="4">
        <f t="shared" ref="T147:T150" si="163">L147/H147-1</f>
        <v>7.9557986137932746E-2</v>
      </c>
    </row>
    <row r="148" spans="1:20" x14ac:dyDescent="0.25">
      <c r="A148" s="27">
        <f t="shared" si="105"/>
        <v>114</v>
      </c>
      <c r="D148" s="2" t="s">
        <v>73</v>
      </c>
      <c r="E148" s="96"/>
      <c r="F148" s="100"/>
      <c r="G148" s="97"/>
      <c r="H148" s="143">
        <v>7.49</v>
      </c>
      <c r="I148" s="97"/>
      <c r="J148" s="98"/>
      <c r="K148" s="98"/>
      <c r="L148" s="92">
        <f>L71</f>
        <v>8.09</v>
      </c>
      <c r="M148" s="97"/>
      <c r="N148" s="97"/>
      <c r="O148" s="98"/>
      <c r="P148" s="98"/>
      <c r="Q148" s="99"/>
      <c r="R148" s="99"/>
      <c r="S148" s="80">
        <f t="shared" ref="S148:S150" si="164">S147</f>
        <v>1.0795579861379327</v>
      </c>
      <c r="T148" s="4">
        <f t="shared" si="163"/>
        <v>8.0106809078771546E-2</v>
      </c>
    </row>
    <row r="149" spans="1:20" x14ac:dyDescent="0.25">
      <c r="A149" s="27">
        <f t="shared" si="105"/>
        <v>115</v>
      </c>
      <c r="D149" s="2" t="s">
        <v>74</v>
      </c>
      <c r="E149" s="96"/>
      <c r="F149" s="100"/>
      <c r="G149" s="97"/>
      <c r="H149" s="143">
        <v>9.98</v>
      </c>
      <c r="I149" s="97"/>
      <c r="J149" s="98"/>
      <c r="K149" s="98"/>
      <c r="L149" s="92">
        <f>L72</f>
        <v>10.77</v>
      </c>
      <c r="M149" s="97"/>
      <c r="N149" s="97"/>
      <c r="O149" s="98"/>
      <c r="P149" s="98"/>
      <c r="Q149" s="99"/>
      <c r="R149" s="99"/>
      <c r="S149" s="80">
        <f t="shared" si="164"/>
        <v>1.0795579861379327</v>
      </c>
      <c r="T149" s="4">
        <f t="shared" si="163"/>
        <v>7.9158316633266335E-2</v>
      </c>
    </row>
    <row r="150" spans="1:20" ht="15.75" thickBot="1" x14ac:dyDescent="0.3">
      <c r="A150" s="27">
        <f t="shared" si="105"/>
        <v>116</v>
      </c>
      <c r="D150" s="2" t="s">
        <v>84</v>
      </c>
      <c r="E150" s="96"/>
      <c r="F150" s="100"/>
      <c r="G150" s="97"/>
      <c r="H150" s="147">
        <v>5.4280000000000002E-2</v>
      </c>
      <c r="I150" s="97"/>
      <c r="J150" s="98"/>
      <c r="K150" s="98"/>
      <c r="L150" s="94">
        <f>H150*S150</f>
        <v>5.8598407487566992E-2</v>
      </c>
      <c r="M150" s="97"/>
      <c r="N150" s="97"/>
      <c r="O150" s="98"/>
      <c r="P150" s="98"/>
      <c r="Q150" s="99"/>
      <c r="R150" s="99"/>
      <c r="S150" s="80">
        <f t="shared" si="164"/>
        <v>1.0795579861379327</v>
      </c>
      <c r="T150" s="4">
        <f t="shared" si="163"/>
        <v>7.9557986137932746E-2</v>
      </c>
    </row>
    <row r="151" spans="1:20" x14ac:dyDescent="0.25">
      <c r="A151" s="27">
        <f t="shared" si="105"/>
        <v>117</v>
      </c>
      <c r="B151" s="20" t="s">
        <v>87</v>
      </c>
      <c r="C151" s="21" t="s">
        <v>93</v>
      </c>
      <c r="D151" s="20"/>
      <c r="E151" s="95"/>
      <c r="F151" s="95"/>
      <c r="G151" s="95"/>
      <c r="H151" s="20"/>
      <c r="I151" s="95"/>
      <c r="J151" s="95"/>
      <c r="K151" s="95"/>
      <c r="L151" s="95"/>
      <c r="M151" s="95"/>
      <c r="N151" s="95"/>
      <c r="O151" s="95"/>
      <c r="P151" s="95"/>
      <c r="Q151" s="95"/>
      <c r="R151" s="95"/>
    </row>
    <row r="152" spans="1:20" ht="12.6" customHeight="1" x14ac:dyDescent="0.25">
      <c r="A152" s="27">
        <f t="shared" si="105"/>
        <v>118</v>
      </c>
      <c r="D152" s="2" t="s">
        <v>17</v>
      </c>
      <c r="E152" s="96"/>
      <c r="F152" s="92"/>
      <c r="G152" s="97"/>
      <c r="H152" s="143">
        <v>633.80999999999995</v>
      </c>
      <c r="I152" s="97"/>
      <c r="J152" s="98"/>
      <c r="K152" s="98"/>
      <c r="L152" s="92">
        <f>H152*S152</f>
        <v>684.13451399999985</v>
      </c>
      <c r="M152" s="97"/>
      <c r="N152" s="97"/>
      <c r="O152" s="98"/>
      <c r="P152" s="98"/>
      <c r="Q152" s="99"/>
      <c r="R152" s="99"/>
      <c r="S152" s="80">
        <v>1.0793999999999999</v>
      </c>
      <c r="T152" s="4">
        <f t="shared" ref="T152:T154" si="165">L152/H152-1</f>
        <v>7.9399999999999915E-2</v>
      </c>
    </row>
    <row r="153" spans="1:20" ht="12.6" customHeight="1" x14ac:dyDescent="0.25">
      <c r="A153" s="27">
        <f t="shared" si="105"/>
        <v>119</v>
      </c>
      <c r="D153" s="2" t="s">
        <v>44</v>
      </c>
      <c r="E153" s="96"/>
      <c r="F153" s="92"/>
      <c r="G153" s="97"/>
      <c r="H153" s="138">
        <v>6.139E-2</v>
      </c>
      <c r="I153" s="97"/>
      <c r="J153" s="98"/>
      <c r="K153" s="98"/>
      <c r="L153" s="92">
        <f>H153*S153</f>
        <v>6.6264365999999991E-2</v>
      </c>
      <c r="M153" s="97"/>
      <c r="N153" s="97"/>
      <c r="O153" s="98"/>
      <c r="P153" s="98"/>
      <c r="Q153" s="99"/>
      <c r="R153" s="99"/>
      <c r="S153" s="80">
        <f>S152</f>
        <v>1.0793999999999999</v>
      </c>
      <c r="T153" s="4">
        <f t="shared" si="165"/>
        <v>7.9399999999999915E-2</v>
      </c>
    </row>
    <row r="154" spans="1:20" ht="15.75" thickBot="1" x14ac:dyDescent="0.3">
      <c r="A154" s="27">
        <f t="shared" si="105"/>
        <v>120</v>
      </c>
      <c r="D154" s="2" t="s">
        <v>45</v>
      </c>
      <c r="E154" s="96"/>
      <c r="F154" s="100"/>
      <c r="G154" s="97"/>
      <c r="H154" s="143">
        <v>7.49</v>
      </c>
      <c r="I154" s="97"/>
      <c r="J154" s="98"/>
      <c r="K154" s="98"/>
      <c r="L154" s="92">
        <f>L148</f>
        <v>8.09</v>
      </c>
      <c r="M154" s="97"/>
      <c r="N154" s="97"/>
      <c r="O154" s="98"/>
      <c r="P154" s="98"/>
      <c r="Q154" s="99"/>
      <c r="R154" s="99"/>
      <c r="S154" s="84">
        <f>S153</f>
        <v>1.0793999999999999</v>
      </c>
      <c r="T154" s="4">
        <f t="shared" si="165"/>
        <v>8.0106809078771546E-2</v>
      </c>
    </row>
    <row r="155" spans="1:20" x14ac:dyDescent="0.25">
      <c r="A155" s="27">
        <f t="shared" si="105"/>
        <v>121</v>
      </c>
      <c r="B155" s="20" t="s">
        <v>87</v>
      </c>
      <c r="C155" s="21" t="s">
        <v>94</v>
      </c>
      <c r="D155" s="20"/>
      <c r="E155" s="95"/>
      <c r="F155" s="95"/>
      <c r="G155" s="95"/>
      <c r="H155" s="20"/>
      <c r="I155" s="95"/>
      <c r="J155" s="95"/>
      <c r="K155" s="95"/>
      <c r="L155" s="95"/>
      <c r="M155" s="95"/>
      <c r="N155" s="95"/>
      <c r="O155" s="95"/>
      <c r="P155" s="95"/>
      <c r="Q155" s="95"/>
      <c r="R155" s="95"/>
    </row>
    <row r="156" spans="1:20" ht="12.6" customHeight="1" x14ac:dyDescent="0.25">
      <c r="A156" s="27">
        <f t="shared" si="105"/>
        <v>122</v>
      </c>
      <c r="D156" s="2" t="s">
        <v>17</v>
      </c>
      <c r="E156" s="96"/>
      <c r="F156" s="92"/>
      <c r="G156" s="97"/>
      <c r="H156" s="143">
        <v>1266.43</v>
      </c>
      <c r="I156" s="97"/>
      <c r="J156" s="98"/>
      <c r="K156" s="98"/>
      <c r="L156" s="92">
        <f>H156*S156</f>
        <v>1366.9845419999999</v>
      </c>
      <c r="M156" s="97"/>
      <c r="N156" s="97"/>
      <c r="O156" s="98"/>
      <c r="P156" s="98"/>
      <c r="Q156" s="99"/>
      <c r="R156" s="99"/>
      <c r="S156" s="80">
        <f>S152</f>
        <v>1.0793999999999999</v>
      </c>
      <c r="T156" s="4">
        <f t="shared" ref="T156:T158" si="166">L156/H156-1</f>
        <v>7.9399999999999915E-2</v>
      </c>
    </row>
    <row r="157" spans="1:20" ht="12.6" customHeight="1" x14ac:dyDescent="0.25">
      <c r="A157" s="27">
        <f t="shared" si="105"/>
        <v>123</v>
      </c>
      <c r="D157" s="2" t="s">
        <v>44</v>
      </c>
      <c r="E157" s="96"/>
      <c r="F157" s="92"/>
      <c r="G157" s="97"/>
      <c r="H157" s="138">
        <v>5.4890000000000001E-2</v>
      </c>
      <c r="I157" s="97"/>
      <c r="J157" s="98"/>
      <c r="K157" s="98"/>
      <c r="L157" s="92">
        <f>H157*S157</f>
        <v>5.9248265999999994E-2</v>
      </c>
      <c r="M157" s="97"/>
      <c r="N157" s="97"/>
      <c r="O157" s="98"/>
      <c r="P157" s="98"/>
      <c r="Q157" s="99"/>
      <c r="R157" s="99"/>
      <c r="S157" s="80">
        <f t="shared" ref="S157:S158" si="167">S153</f>
        <v>1.0793999999999999</v>
      </c>
      <c r="T157" s="4">
        <f t="shared" si="166"/>
        <v>7.9399999999999915E-2</v>
      </c>
    </row>
    <row r="158" spans="1:20" ht="15.75" thickBot="1" x14ac:dyDescent="0.3">
      <c r="A158" s="27">
        <f t="shared" si="105"/>
        <v>124</v>
      </c>
      <c r="D158" s="2" t="s">
        <v>45</v>
      </c>
      <c r="E158" s="96"/>
      <c r="F158" s="100"/>
      <c r="G158" s="97"/>
      <c r="H158" s="143">
        <v>7.49</v>
      </c>
      <c r="I158" s="97"/>
      <c r="J158" s="98"/>
      <c r="K158" s="98"/>
      <c r="L158" s="92">
        <f>L148</f>
        <v>8.09</v>
      </c>
      <c r="M158" s="97"/>
      <c r="N158" s="97"/>
      <c r="O158" s="98"/>
      <c r="P158" s="98"/>
      <c r="Q158" s="99"/>
      <c r="R158" s="99"/>
      <c r="S158" s="80">
        <f t="shared" si="167"/>
        <v>1.0793999999999999</v>
      </c>
      <c r="T158" s="4">
        <f t="shared" si="166"/>
        <v>8.0106809078771546E-2</v>
      </c>
    </row>
    <row r="159" spans="1:20" x14ac:dyDescent="0.25">
      <c r="A159" s="27">
        <f t="shared" si="105"/>
        <v>125</v>
      </c>
      <c r="B159" s="20" t="s">
        <v>87</v>
      </c>
      <c r="C159" s="21" t="s">
        <v>95</v>
      </c>
      <c r="D159" s="20"/>
      <c r="E159" s="95"/>
      <c r="F159" s="95"/>
      <c r="G159" s="95"/>
      <c r="H159" s="20"/>
      <c r="I159" s="95"/>
      <c r="J159" s="95"/>
      <c r="K159" s="95"/>
      <c r="L159" s="95"/>
      <c r="M159" s="95"/>
      <c r="N159" s="95"/>
      <c r="O159" s="95"/>
      <c r="P159" s="95"/>
      <c r="Q159" s="95"/>
      <c r="R159" s="95"/>
    </row>
    <row r="160" spans="1:20" ht="12.6" customHeight="1" x14ac:dyDescent="0.25">
      <c r="A160" s="27">
        <f t="shared" si="105"/>
        <v>126</v>
      </c>
      <c r="D160" s="2" t="s">
        <v>91</v>
      </c>
      <c r="E160" s="96"/>
      <c r="F160" s="92"/>
      <c r="G160" s="97"/>
      <c r="H160" s="143">
        <v>3530.38</v>
      </c>
      <c r="I160" s="97"/>
      <c r="J160" s="98"/>
      <c r="K160" s="98"/>
      <c r="L160" s="92">
        <f>H160*S160</f>
        <v>3810.692172</v>
      </c>
      <c r="M160" s="97"/>
      <c r="N160" s="97"/>
      <c r="O160" s="98"/>
      <c r="P160" s="98"/>
      <c r="Q160" s="99"/>
      <c r="R160" s="99"/>
      <c r="S160" s="80">
        <f>S156</f>
        <v>1.0793999999999999</v>
      </c>
      <c r="T160" s="4">
        <f t="shared" ref="T160:T162" si="168">L160/H160-1</f>
        <v>7.9399999999999915E-2</v>
      </c>
    </row>
    <row r="161" spans="1:20" ht="12.6" customHeight="1" x14ac:dyDescent="0.25">
      <c r="A161" s="27">
        <f t="shared" si="105"/>
        <v>127</v>
      </c>
      <c r="D161" s="2" t="s">
        <v>92</v>
      </c>
      <c r="E161" s="96"/>
      <c r="F161" s="92"/>
      <c r="G161" s="97"/>
      <c r="H161" s="143">
        <v>5603.59</v>
      </c>
      <c r="I161" s="97"/>
      <c r="J161" s="98"/>
      <c r="K161" s="98"/>
      <c r="L161" s="92">
        <f>H161*S161</f>
        <v>6048.5150459999995</v>
      </c>
      <c r="M161" s="97"/>
      <c r="N161" s="97"/>
      <c r="O161" s="98"/>
      <c r="P161" s="98"/>
      <c r="Q161" s="99"/>
      <c r="R161" s="99"/>
      <c r="S161" s="80">
        <f>S156</f>
        <v>1.0793999999999999</v>
      </c>
      <c r="T161" s="4">
        <f t="shared" si="168"/>
        <v>7.9399999999999915E-2</v>
      </c>
    </row>
    <row r="162" spans="1:20" x14ac:dyDescent="0.25">
      <c r="A162" s="27">
        <f t="shared" ref="A162:A167" si="169">A161+1</f>
        <v>128</v>
      </c>
      <c r="D162" s="2" t="s">
        <v>73</v>
      </c>
      <c r="E162" s="96"/>
      <c r="F162" s="100"/>
      <c r="G162" s="97"/>
      <c r="H162" s="143">
        <v>7.49</v>
      </c>
      <c r="I162" s="97"/>
      <c r="J162" s="98"/>
      <c r="K162" s="98"/>
      <c r="L162" s="92">
        <f>L148</f>
        <v>8.09</v>
      </c>
      <c r="M162" s="97"/>
      <c r="N162" s="97"/>
      <c r="O162" s="98"/>
      <c r="P162" s="98"/>
      <c r="Q162" s="99"/>
      <c r="R162" s="99"/>
      <c r="S162" s="84">
        <f>S156</f>
        <v>1.0793999999999999</v>
      </c>
      <c r="T162" s="4">
        <f t="shared" si="168"/>
        <v>8.0106809078771546E-2</v>
      </c>
    </row>
    <row r="163" spans="1:20" ht="15.75" thickBot="1" x14ac:dyDescent="0.3">
      <c r="A163" s="27">
        <f t="shared" si="169"/>
        <v>129</v>
      </c>
      <c r="D163" s="2" t="s">
        <v>84</v>
      </c>
      <c r="E163" s="96"/>
      <c r="F163" s="100"/>
      <c r="G163" s="97"/>
      <c r="H163" s="147">
        <v>5.4280000000000002E-2</v>
      </c>
      <c r="I163" s="97"/>
      <c r="J163" s="98"/>
      <c r="K163" s="98"/>
      <c r="L163" s="94">
        <f>H163*S163</f>
        <v>5.8589831999999994E-2</v>
      </c>
      <c r="M163" s="97"/>
      <c r="N163" s="97"/>
      <c r="O163" s="98"/>
      <c r="P163" s="98"/>
      <c r="Q163" s="99"/>
      <c r="R163" s="99"/>
      <c r="S163" s="84">
        <f>S156</f>
        <v>1.0793999999999999</v>
      </c>
      <c r="T163" s="4">
        <f t="shared" ref="T163" si="170">L163/H163-1</f>
        <v>7.9399999999999915E-2</v>
      </c>
    </row>
    <row r="164" spans="1:20" x14ac:dyDescent="0.25">
      <c r="A164" s="27">
        <f t="shared" si="169"/>
        <v>130</v>
      </c>
      <c r="B164" s="95" t="s">
        <v>113</v>
      </c>
      <c r="C164" s="115"/>
      <c r="D164" s="95"/>
      <c r="E164" s="95"/>
      <c r="F164" s="95"/>
      <c r="G164" s="20"/>
      <c r="H164" s="20"/>
      <c r="I164" s="95"/>
      <c r="J164" s="95"/>
      <c r="K164" s="95"/>
      <c r="L164" s="95"/>
      <c r="M164" s="95"/>
      <c r="N164" s="95"/>
      <c r="O164" s="95"/>
      <c r="P164" s="95"/>
      <c r="Q164" s="95"/>
      <c r="R164" s="95"/>
      <c r="T164" s="4"/>
    </row>
    <row r="165" spans="1:20" x14ac:dyDescent="0.25">
      <c r="A165" s="27">
        <f t="shared" si="169"/>
        <v>131</v>
      </c>
      <c r="B165" s="88"/>
      <c r="C165" s="72"/>
      <c r="D165" s="88" t="s">
        <v>114</v>
      </c>
      <c r="E165" s="73"/>
      <c r="F165" s="100"/>
      <c r="G165" s="165"/>
      <c r="H165" s="117">
        <v>4.2</v>
      </c>
      <c r="I165" s="166"/>
      <c r="J165" s="119"/>
      <c r="K165" s="98"/>
      <c r="L165" s="167">
        <f>6.2</f>
        <v>6.2</v>
      </c>
      <c r="M165" s="166"/>
      <c r="N165" s="166"/>
      <c r="O165" s="119"/>
      <c r="P165" s="119"/>
      <c r="Q165" s="99"/>
      <c r="R165" s="99"/>
      <c r="T165" s="4"/>
    </row>
    <row r="166" spans="1:20" x14ac:dyDescent="0.25">
      <c r="A166" s="27">
        <f t="shared" si="169"/>
        <v>132</v>
      </c>
      <c r="B166" s="88"/>
      <c r="C166" s="72"/>
      <c r="D166" s="88" t="s">
        <v>115</v>
      </c>
      <c r="E166" s="73"/>
      <c r="F166" s="100"/>
      <c r="G166" s="168"/>
      <c r="H166" s="169">
        <v>4.9000000000000004</v>
      </c>
      <c r="I166" s="166"/>
      <c r="J166" s="119"/>
      <c r="K166" s="98"/>
      <c r="L166" s="170">
        <f>6.9</f>
        <v>6.9</v>
      </c>
      <c r="M166" s="166"/>
      <c r="N166" s="166"/>
      <c r="O166" s="119"/>
      <c r="P166" s="119"/>
      <c r="Q166" s="99"/>
      <c r="R166" s="99"/>
      <c r="T166" s="4"/>
    </row>
    <row r="167" spans="1:20" x14ac:dyDescent="0.25">
      <c r="A167" s="27">
        <f t="shared" si="169"/>
        <v>133</v>
      </c>
      <c r="B167" s="88"/>
      <c r="C167" s="72"/>
      <c r="D167" s="88" t="s">
        <v>116</v>
      </c>
      <c r="H167" s="169">
        <v>5.6</v>
      </c>
      <c r="L167" s="170">
        <f>7.6</f>
        <v>7.6</v>
      </c>
    </row>
    <row r="168" spans="1:20" x14ac:dyDescent="0.25">
      <c r="A168" s="27"/>
      <c r="B168" s="88"/>
      <c r="C168" s="72"/>
      <c r="D168" s="88"/>
      <c r="H168" s="169"/>
      <c r="L168" s="170"/>
    </row>
    <row r="169" spans="1:20" x14ac:dyDescent="0.25">
      <c r="A169" s="27"/>
      <c r="G169" s="88" t="s">
        <v>100</v>
      </c>
      <c r="H169" s="100">
        <v>1.1599999999999999E-2</v>
      </c>
      <c r="I169" s="88" t="s">
        <v>112</v>
      </c>
    </row>
    <row r="173" spans="1:20" x14ac:dyDescent="0.25">
      <c r="E173" s="108">
        <f>E9+E21+E33+E45+E59+E73+E87+E99+E100+E101</f>
        <v>460347271</v>
      </c>
    </row>
    <row r="174" spans="1:20" x14ac:dyDescent="0.25">
      <c r="E174" s="88">
        <v>456235216</v>
      </c>
    </row>
    <row r="175" spans="1:20" x14ac:dyDescent="0.25">
      <c r="E175" s="119">
        <f>E173/E174-1</f>
        <v>9.0130153390000078E-3</v>
      </c>
    </row>
    <row r="178" spans="5:5" x14ac:dyDescent="0.25">
      <c r="E178" s="108">
        <f>E8+E20+E32+E44+E57+E58+E98</f>
        <v>482020.66666666669</v>
      </c>
    </row>
  </sheetData>
  <phoneticPr fontId="8" type="noConversion"/>
  <printOptions horizontalCentered="1"/>
  <pageMargins left="0.7" right="0.7" top="0.75" bottom="0.75" header="0.3" footer="0.3"/>
  <pageSetup scale="48" fitToHeight="6" orientation="landscape" r:id="rId1"/>
  <headerFooter>
    <oddHeader>&amp;R&amp;"Arial,Bold"&amp;10Exhibit 4
Page &amp;P of &amp;N</oddHeader>
  </headerFooter>
  <rowBreaks count="3" manualBreakCount="3">
    <brk id="55" max="17" man="1"/>
    <brk id="96" max="17" man="1"/>
    <brk id="140" max="17" man="1"/>
  </rowBreaks>
  <colBreaks count="1" manualBreakCount="1">
    <brk id="15" max="164" man="1"/>
  </colBreaks>
  <ignoredErrors>
    <ignoredError sqref="M10 L162 N112:N131 O60 O88 O122 N43:N96 N21:N30 N10:N1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FD2D1-0261-4B16-940C-DD9AB8DBD482}">
  <sheetPr>
    <pageSetUpPr fitToPage="1"/>
  </sheetPr>
  <dimension ref="A1:J100"/>
  <sheetViews>
    <sheetView view="pageBreakPreview" topLeftCell="A40" zoomScaleNormal="85" zoomScaleSheetLayoutView="100" workbookViewId="0">
      <selection activeCell="A73" sqref="A73:XFD73"/>
    </sheetView>
  </sheetViews>
  <sheetFormatPr defaultColWidth="8.85546875" defaultRowHeight="12.75" x14ac:dyDescent="0.2"/>
  <cols>
    <col min="1" max="1" width="1.7109375" style="2" customWidth="1"/>
    <col min="2" max="2" width="1.28515625" style="2" customWidth="1"/>
    <col min="3" max="3" width="8" style="12" customWidth="1"/>
    <col min="4" max="4" width="39.140625" style="12" bestFit="1" customWidth="1"/>
    <col min="5" max="5" width="33.7109375" style="2" bestFit="1" customWidth="1"/>
    <col min="6" max="6" width="14.7109375" style="2" customWidth="1"/>
    <col min="7" max="7" width="12.5703125" style="2" customWidth="1"/>
    <col min="8" max="8" width="10" style="2" bestFit="1" customWidth="1"/>
    <col min="9" max="16384" width="8.85546875" style="2"/>
  </cols>
  <sheetData>
    <row r="1" spans="1:10" x14ac:dyDescent="0.2">
      <c r="A1" s="1" t="str">
        <f>Summary!A1</f>
        <v>SHELBY ENERGY COOPERATIVE</v>
      </c>
    </row>
    <row r="2" spans="1:10" x14ac:dyDescent="0.2">
      <c r="A2" s="1" t="s">
        <v>96</v>
      </c>
    </row>
    <row r="4" spans="1:10" x14ac:dyDescent="0.2">
      <c r="C4" s="53" t="s">
        <v>56</v>
      </c>
      <c r="D4" s="52"/>
      <c r="E4" s="52" t="s">
        <v>2</v>
      </c>
      <c r="F4" s="56" t="s">
        <v>42</v>
      </c>
      <c r="G4" s="56" t="s">
        <v>43</v>
      </c>
      <c r="H4" s="56" t="s">
        <v>97</v>
      </c>
      <c r="I4" s="56" t="s">
        <v>16</v>
      </c>
    </row>
    <row r="5" spans="1:10" x14ac:dyDescent="0.2">
      <c r="C5" s="12">
        <f>'Billing Detail'!C7</f>
        <v>12</v>
      </c>
      <c r="D5" s="75" t="str">
        <f>'Billing Detail'!B7</f>
        <v>Residential Service</v>
      </c>
    </row>
    <row r="6" spans="1:10" x14ac:dyDescent="0.2">
      <c r="D6" s="75"/>
      <c r="E6" s="2" t="str">
        <f>'Billing Detail'!D8</f>
        <v>Customer Charge</v>
      </c>
      <c r="F6" s="54">
        <f>'Billing Detail'!H8</f>
        <v>25.3</v>
      </c>
      <c r="G6" s="54">
        <f>'Billing Detail'!L8</f>
        <v>26.2</v>
      </c>
      <c r="H6" s="114">
        <f>G6-F6</f>
        <v>0.89999999999999858</v>
      </c>
      <c r="I6" s="4">
        <f>H6/F6</f>
        <v>3.5573122529644209E-2</v>
      </c>
      <c r="J6" s="4"/>
    </row>
    <row r="7" spans="1:10" x14ac:dyDescent="0.2">
      <c r="D7" s="75"/>
      <c r="E7" s="2" t="str">
        <f>'Billing Detail'!D9</f>
        <v>Energy Charge per kWh</v>
      </c>
      <c r="F7" s="55">
        <f>'Billing Detail'!H9</f>
        <v>0.11042</v>
      </c>
      <c r="G7" s="55">
        <f>'Billing Detail'!L9</f>
        <v>0.11434999999999999</v>
      </c>
      <c r="H7" s="114">
        <f t="shared" ref="H7:H68" si="0">G7-F7</f>
        <v>3.9299999999999891E-3</v>
      </c>
      <c r="I7" s="4">
        <f t="shared" ref="I7:I68" si="1">H7/F7</f>
        <v>3.5591378373482967E-2</v>
      </c>
      <c r="J7" s="4"/>
    </row>
    <row r="8" spans="1:10" x14ac:dyDescent="0.2">
      <c r="C8" s="12">
        <f>'Billing Detail'!C19</f>
        <v>9</v>
      </c>
      <c r="D8" s="75" t="str">
        <f>'Billing Detail'!B19</f>
        <v>Off Peak Retail Marketing (ETS)</v>
      </c>
      <c r="F8" s="54"/>
      <c r="G8" s="54"/>
      <c r="H8" s="114"/>
      <c r="I8" s="4"/>
      <c r="J8" s="4"/>
    </row>
    <row r="9" spans="1:10" x14ac:dyDescent="0.2">
      <c r="D9" s="75"/>
      <c r="E9" s="2" t="str">
        <f>'Billing Detail'!D21</f>
        <v>Energy Charge per kWh</v>
      </c>
      <c r="F9" s="55">
        <f>'Billing Detail'!H21</f>
        <v>7.2239999999999999E-2</v>
      </c>
      <c r="G9" s="55">
        <f>'Billing Detail'!L21</f>
        <v>7.4810000000000001E-2</v>
      </c>
      <c r="H9" s="114">
        <f t="shared" si="0"/>
        <v>2.5700000000000028E-3</v>
      </c>
      <c r="I9" s="4">
        <f t="shared" si="1"/>
        <v>3.5575858250276898E-2</v>
      </c>
      <c r="J9" s="4"/>
    </row>
    <row r="10" spans="1:10" x14ac:dyDescent="0.2">
      <c r="C10" s="12">
        <f>'Billing Detail'!C43</f>
        <v>2</v>
      </c>
      <c r="D10" s="75" t="str">
        <f>'Billing Detail'!B43</f>
        <v>Large Power Service &gt; 50 kW</v>
      </c>
      <c r="F10" s="55"/>
      <c r="G10" s="55"/>
      <c r="H10" s="114"/>
      <c r="I10" s="4"/>
      <c r="J10" s="4"/>
    </row>
    <row r="11" spans="1:10" x14ac:dyDescent="0.2">
      <c r="D11" s="75"/>
      <c r="E11" s="2" t="str">
        <f>'Billing Detail'!D44</f>
        <v>Customer Charge</v>
      </c>
      <c r="F11" s="54">
        <f>'Billing Detail'!H44</f>
        <v>53.84</v>
      </c>
      <c r="G11" s="54">
        <f>'Billing Detail'!L44</f>
        <v>55.76</v>
      </c>
      <c r="H11" s="114">
        <f t="shared" si="0"/>
        <v>1.9199999999999946</v>
      </c>
      <c r="I11" s="4">
        <f t="shared" si="1"/>
        <v>3.5661218424962747E-2</v>
      </c>
      <c r="J11" s="4"/>
    </row>
    <row r="12" spans="1:10" x14ac:dyDescent="0.2">
      <c r="D12" s="75"/>
      <c r="E12" s="2" t="str">
        <f>'Billing Detail'!D45</f>
        <v>Energy Charge per kWh</v>
      </c>
      <c r="F12" s="55">
        <f>'Billing Detail'!H45</f>
        <v>7.2819878565399884E-2</v>
      </c>
      <c r="G12" s="55">
        <f>'Billing Detail'!L45</f>
        <v>7.5410000000000005E-2</v>
      </c>
      <c r="H12" s="114">
        <f t="shared" si="0"/>
        <v>2.5901214346001206E-3</v>
      </c>
      <c r="I12" s="4">
        <f t="shared" si="1"/>
        <v>3.5568878795560199E-2</v>
      </c>
      <c r="J12" s="4"/>
    </row>
    <row r="13" spans="1:10" x14ac:dyDescent="0.2">
      <c r="D13" s="75"/>
      <c r="E13" s="2" t="str">
        <f>'Billing Detail'!D46</f>
        <v>Demand Charge per kW</v>
      </c>
      <c r="F13" s="54">
        <f>'Billing Detail'!H46</f>
        <v>6.52</v>
      </c>
      <c r="G13" s="54">
        <f>'Billing Detail'!L46</f>
        <v>6.7522399999999996</v>
      </c>
      <c r="H13" s="114">
        <f t="shared" si="0"/>
        <v>0.23224</v>
      </c>
      <c r="I13" s="4">
        <f t="shared" si="1"/>
        <v>3.561963190184049E-2</v>
      </c>
      <c r="J13" s="4"/>
    </row>
    <row r="14" spans="1:10" x14ac:dyDescent="0.2">
      <c r="C14" s="12">
        <f>'Billing Detail'!C56</f>
        <v>11</v>
      </c>
      <c r="D14" s="75" t="str">
        <f>'Billing Detail'!B56</f>
        <v>General Service &lt; 50kW</v>
      </c>
      <c r="F14" s="54"/>
      <c r="G14" s="54"/>
      <c r="H14" s="114"/>
      <c r="I14" s="4"/>
      <c r="J14" s="4"/>
    </row>
    <row r="15" spans="1:10" x14ac:dyDescent="0.2">
      <c r="D15" s="75"/>
      <c r="E15" s="2" t="str">
        <f>'Billing Detail'!D57</f>
        <v>Customer Charge Single Phase</v>
      </c>
      <c r="F15" s="54">
        <f>'Billing Detail'!H57</f>
        <v>33.549999999999997</v>
      </c>
      <c r="G15" s="54">
        <f>'Billing Detail'!L57</f>
        <v>34.75</v>
      </c>
      <c r="H15" s="114">
        <f t="shared" si="0"/>
        <v>1.2000000000000028</v>
      </c>
      <c r="I15" s="4">
        <f t="shared" si="1"/>
        <v>3.5767511177347333E-2</v>
      </c>
      <c r="J15" s="4"/>
    </row>
    <row r="16" spans="1:10" x14ac:dyDescent="0.2">
      <c r="D16" s="75"/>
      <c r="E16" s="2" t="str">
        <f>'Billing Detail'!D58</f>
        <v>Customer Charge Three Phase</v>
      </c>
      <c r="F16" s="54">
        <f>'Billing Detail'!H58</f>
        <v>52.41</v>
      </c>
      <c r="G16" s="54">
        <f>'Billing Detail'!L58</f>
        <v>54.28</v>
      </c>
      <c r="H16" s="114">
        <f t="shared" si="0"/>
        <v>1.8700000000000045</v>
      </c>
      <c r="I16" s="4">
        <f t="shared" si="1"/>
        <v>3.5680213699675722E-2</v>
      </c>
      <c r="J16" s="4"/>
    </row>
    <row r="17" spans="3:10" x14ac:dyDescent="0.2">
      <c r="D17" s="75"/>
      <c r="E17" s="2" t="str">
        <f>'Billing Detail'!D59</f>
        <v>Energy Charge per kWh</v>
      </c>
      <c r="F17" s="55">
        <f>'Billing Detail'!H59</f>
        <v>9.1443764000000011E-2</v>
      </c>
      <c r="G17" s="55">
        <f>'Billing Detail'!L59</f>
        <v>9.4700000000000006E-2</v>
      </c>
      <c r="H17" s="114">
        <f t="shared" si="0"/>
        <v>3.2562359999999957E-3</v>
      </c>
      <c r="I17" s="4">
        <f t="shared" si="1"/>
        <v>3.560916411970963E-2</v>
      </c>
      <c r="J17" s="4"/>
    </row>
    <row r="18" spans="3:10" x14ac:dyDescent="0.2">
      <c r="C18" s="12" t="str">
        <f>'Billing Detail'!C69</f>
        <v>B1</v>
      </c>
      <c r="D18" s="75" t="str">
        <f>'Billing Detail'!B69</f>
        <v>Large Industrial Rate (500 kW to 4,999 kW)</v>
      </c>
      <c r="F18" s="55"/>
      <c r="G18" s="55"/>
      <c r="H18" s="114"/>
      <c r="I18" s="4"/>
      <c r="J18" s="4"/>
    </row>
    <row r="19" spans="3:10" x14ac:dyDescent="0.2">
      <c r="D19" s="75"/>
      <c r="E19" s="2" t="str">
        <f>'Billing Detail'!D70</f>
        <v>Customer Charge</v>
      </c>
      <c r="F19" s="54">
        <f>'Billing Detail'!H70</f>
        <v>633.6</v>
      </c>
      <c r="G19" s="54">
        <f>'Billing Detail'!L70</f>
        <v>683.96</v>
      </c>
      <c r="H19" s="114">
        <f t="shared" si="0"/>
        <v>50.360000000000014</v>
      </c>
      <c r="I19" s="4">
        <f t="shared" si="1"/>
        <v>7.9482323232323251E-2</v>
      </c>
      <c r="J19" s="4"/>
    </row>
    <row r="20" spans="3:10" x14ac:dyDescent="0.2">
      <c r="D20" s="75"/>
      <c r="E20" s="2" t="str">
        <f>'Billing Detail'!D71</f>
        <v>Demand Charge - Contract per kW</v>
      </c>
      <c r="F20" s="54">
        <f>'Billing Detail'!H71</f>
        <v>7.49</v>
      </c>
      <c r="G20" s="54">
        <f>'Billing Detail'!L71</f>
        <v>8.09</v>
      </c>
      <c r="H20" s="114">
        <f t="shared" si="0"/>
        <v>0.59999999999999964</v>
      </c>
      <c r="I20" s="4">
        <f t="shared" si="1"/>
        <v>8.0106809078771643E-2</v>
      </c>
      <c r="J20" s="4"/>
    </row>
    <row r="21" spans="3:10" x14ac:dyDescent="0.2">
      <c r="D21" s="75"/>
      <c r="E21" s="2" t="str">
        <f>'Billing Detail'!D72</f>
        <v>Demand Charge - Excess per kW</v>
      </c>
      <c r="F21" s="54">
        <f>'Billing Detail'!H72</f>
        <v>9.98</v>
      </c>
      <c r="G21" s="54">
        <f>'Billing Detail'!L72</f>
        <v>10.77</v>
      </c>
      <c r="H21" s="114">
        <f t="shared" si="0"/>
        <v>0.78999999999999915</v>
      </c>
      <c r="I21" s="4">
        <f t="shared" si="1"/>
        <v>7.9158316633266446E-2</v>
      </c>
      <c r="J21" s="4"/>
    </row>
    <row r="22" spans="3:10" x14ac:dyDescent="0.2">
      <c r="D22" s="75"/>
      <c r="E22" s="2" t="str">
        <f>'Billing Detail'!D73</f>
        <v>Energy Charge per kWh</v>
      </c>
      <c r="F22" s="55">
        <f>'Billing Detail'!H73</f>
        <v>6.139E-2</v>
      </c>
      <c r="G22" s="55">
        <f>'Billing Detail'!L73</f>
        <v>6.6269999999999996E-2</v>
      </c>
      <c r="H22" s="114">
        <f t="shared" si="0"/>
        <v>4.8799999999999955E-3</v>
      </c>
      <c r="I22" s="4">
        <f t="shared" si="1"/>
        <v>7.9491773904544635E-2</v>
      </c>
      <c r="J22" s="4"/>
    </row>
    <row r="23" spans="3:10" x14ac:dyDescent="0.2">
      <c r="C23" s="12" t="str">
        <f>'Billing Detail'!C83</f>
        <v>B2</v>
      </c>
      <c r="D23" s="75" t="str">
        <f>'Billing Detail'!B83</f>
        <v>Large Industrial Rate (5,000 kW to 9,999 kW)</v>
      </c>
      <c r="F23" s="54"/>
      <c r="G23" s="54"/>
      <c r="H23" s="114"/>
      <c r="I23" s="4"/>
      <c r="J23" s="4"/>
    </row>
    <row r="24" spans="3:10" x14ac:dyDescent="0.2">
      <c r="D24" s="75"/>
      <c r="E24" s="2" t="str">
        <f>'Billing Detail'!D84</f>
        <v>Customer Charge</v>
      </c>
      <c r="F24" s="54">
        <f>'Billing Detail'!H84</f>
        <v>1266.4100000000001</v>
      </c>
      <c r="G24" s="54">
        <f>'Billing Detail'!L84</f>
        <v>1367.06</v>
      </c>
      <c r="H24" s="114">
        <f t="shared" si="0"/>
        <v>100.64999999999986</v>
      </c>
      <c r="I24" s="4">
        <f t="shared" si="1"/>
        <v>7.9476630790975958E-2</v>
      </c>
      <c r="J24" s="4"/>
    </row>
    <row r="25" spans="3:10" x14ac:dyDescent="0.2">
      <c r="D25" s="75"/>
      <c r="E25" s="2" t="str">
        <f>'Billing Detail'!D85</f>
        <v>Demand Charge - Contract per kW</v>
      </c>
      <c r="F25" s="54">
        <f>'Billing Detail'!H85</f>
        <v>7.49</v>
      </c>
      <c r="G25" s="54">
        <f>'Billing Detail'!L85</f>
        <v>8.09</v>
      </c>
      <c r="H25" s="114">
        <f t="shared" si="0"/>
        <v>0.59999999999999964</v>
      </c>
      <c r="I25" s="4">
        <f t="shared" si="1"/>
        <v>8.0106809078771643E-2</v>
      </c>
      <c r="J25" s="4"/>
    </row>
    <row r="26" spans="3:10" x14ac:dyDescent="0.2">
      <c r="D26" s="75"/>
      <c r="E26" s="2" t="str">
        <f>'Billing Detail'!D86</f>
        <v>Demand Charge - Excess per kW</v>
      </c>
      <c r="F26" s="54">
        <f>'Billing Detail'!H86</f>
        <v>9.98</v>
      </c>
      <c r="G26" s="54">
        <f>'Billing Detail'!L86</f>
        <v>10.77</v>
      </c>
      <c r="H26" s="114">
        <f t="shared" si="0"/>
        <v>0.78999999999999915</v>
      </c>
      <c r="I26" s="4">
        <f t="shared" si="1"/>
        <v>7.9158316633266446E-2</v>
      </c>
      <c r="J26" s="4"/>
    </row>
    <row r="27" spans="3:10" x14ac:dyDescent="0.2">
      <c r="D27" s="75"/>
      <c r="E27" s="2" t="str">
        <f>'Billing Detail'!D87</f>
        <v>Energy Charge per kWh</v>
      </c>
      <c r="F27" s="55">
        <f>'Billing Detail'!H87</f>
        <v>5.4890000000000001E-2</v>
      </c>
      <c r="G27" s="55">
        <f>'Billing Detail'!L87</f>
        <v>5.9249999999999997E-2</v>
      </c>
      <c r="H27" s="114">
        <f t="shared" si="0"/>
        <v>4.3599999999999958E-3</v>
      </c>
      <c r="I27" s="4">
        <f t="shared" si="1"/>
        <v>7.943159045363446E-2</v>
      </c>
      <c r="J27" s="4"/>
    </row>
    <row r="28" spans="3:10" x14ac:dyDescent="0.2">
      <c r="C28" s="12">
        <f>'Billing Detail'!C112</f>
        <v>3</v>
      </c>
      <c r="D28" s="75" t="str">
        <f>'Billing Detail'!B112</f>
        <v>Outdoor &amp; Street Lighting</v>
      </c>
      <c r="F28" s="54"/>
      <c r="G28" s="54"/>
      <c r="H28" s="114"/>
      <c r="I28" s="4"/>
      <c r="J28" s="4"/>
    </row>
    <row r="29" spans="3:10" x14ac:dyDescent="0.2">
      <c r="D29" s="124">
        <v>3</v>
      </c>
      <c r="E29" s="2" t="str">
        <f>'Billing Detail'!D113</f>
        <v>100 Watt Outdoor Light</v>
      </c>
      <c r="F29" s="54">
        <f>'Billing Detail'!H113</f>
        <v>10.78</v>
      </c>
      <c r="G29" s="54">
        <f>'Billing Detail'!L113</f>
        <v>11.16</v>
      </c>
      <c r="H29" s="114">
        <f t="shared" si="0"/>
        <v>0.38000000000000078</v>
      </c>
      <c r="I29" s="4">
        <f t="shared" si="1"/>
        <v>3.5250463821892467E-2</v>
      </c>
      <c r="J29" s="4"/>
    </row>
    <row r="30" spans="3:10" x14ac:dyDescent="0.2">
      <c r="D30" s="124">
        <v>3</v>
      </c>
      <c r="E30" s="2" t="str">
        <f>'Billing Detail'!D114</f>
        <v>250 Watt Directional Flood</v>
      </c>
      <c r="F30" s="54">
        <f>'Billing Detail'!H114</f>
        <v>16.12</v>
      </c>
      <c r="G30" s="54">
        <f>'Billing Detail'!L114</f>
        <v>16.690000000000001</v>
      </c>
      <c r="H30" s="114">
        <f t="shared" si="0"/>
        <v>0.57000000000000028</v>
      </c>
      <c r="I30" s="4">
        <f t="shared" si="1"/>
        <v>3.5359801488833761E-2</v>
      </c>
      <c r="J30" s="4"/>
    </row>
    <row r="31" spans="3:10" x14ac:dyDescent="0.2">
      <c r="D31" s="124">
        <v>3</v>
      </c>
      <c r="E31" s="2" t="str">
        <f>'Billing Detail'!D115</f>
        <v>100 Watt Decorative Colonial</v>
      </c>
      <c r="F31" s="54">
        <f>'Billing Detail'!H115</f>
        <v>14.41</v>
      </c>
      <c r="G31" s="54">
        <f>'Billing Detail'!L115</f>
        <v>14.92</v>
      </c>
      <c r="H31" s="114">
        <f t="shared" si="0"/>
        <v>0.50999999999999979</v>
      </c>
      <c r="I31" s="4">
        <f t="shared" si="1"/>
        <v>3.5392088827203315E-2</v>
      </c>
      <c r="J31" s="4"/>
    </row>
    <row r="32" spans="3:10" x14ac:dyDescent="0.2">
      <c r="D32" s="124">
        <v>3</v>
      </c>
      <c r="E32" s="2" t="str">
        <f>'Billing Detail'!D116</f>
        <v>400 Watt Directional Flood</v>
      </c>
      <c r="F32" s="54">
        <f>'Billing Detail'!H116</f>
        <v>22.57</v>
      </c>
      <c r="G32" s="54">
        <f>'Billing Detail'!L116</f>
        <v>23.37</v>
      </c>
      <c r="H32" s="114">
        <f t="shared" si="0"/>
        <v>0.80000000000000071</v>
      </c>
      <c r="I32" s="4">
        <f t="shared" si="1"/>
        <v>3.5445281346920723E-2</v>
      </c>
      <c r="J32" s="4"/>
    </row>
    <row r="33" spans="3:10" x14ac:dyDescent="0.2">
      <c r="D33" s="124">
        <v>3</v>
      </c>
      <c r="E33" s="2" t="str">
        <f>'Billing Detail'!D117</f>
        <v>150 Watt Decorative Acorn</v>
      </c>
      <c r="F33" s="54">
        <f>'Billing Detail'!H117</f>
        <v>17.309999999999999</v>
      </c>
      <c r="G33" s="54">
        <f>'Billing Detail'!L117</f>
        <v>17.93</v>
      </c>
      <c r="H33" s="114">
        <f t="shared" si="0"/>
        <v>0.62000000000000099</v>
      </c>
      <c r="I33" s="4">
        <f t="shared" si="1"/>
        <v>3.5817446562680592E-2</v>
      </c>
      <c r="J33" s="4"/>
    </row>
    <row r="34" spans="3:10" x14ac:dyDescent="0.2">
      <c r="D34" s="124" t="s">
        <v>105</v>
      </c>
      <c r="E34" s="2" t="str">
        <f>'Billing Detail'!D118</f>
        <v>Standard</v>
      </c>
      <c r="F34" s="54">
        <f>'Billing Detail'!H118</f>
        <v>11.34</v>
      </c>
      <c r="G34" s="54">
        <f>'Billing Detail'!L118</f>
        <v>11.74</v>
      </c>
      <c r="H34" s="114">
        <f t="shared" si="0"/>
        <v>0.40000000000000036</v>
      </c>
      <c r="I34" s="4">
        <f t="shared" si="1"/>
        <v>3.5273368606701973E-2</v>
      </c>
      <c r="J34" s="4"/>
    </row>
    <row r="35" spans="3:10" x14ac:dyDescent="0.2">
      <c r="D35" s="124" t="s">
        <v>105</v>
      </c>
      <c r="E35" s="2" t="str">
        <f>'Billing Detail'!D119</f>
        <v>Decorative Colonial</v>
      </c>
      <c r="F35" s="54">
        <f>'Billing Detail'!H119</f>
        <v>14.06</v>
      </c>
      <c r="G35" s="54">
        <f>'Billing Detail'!L119</f>
        <v>14.56</v>
      </c>
      <c r="H35" s="114">
        <f t="shared" si="0"/>
        <v>0.5</v>
      </c>
      <c r="I35" s="4">
        <f t="shared" si="1"/>
        <v>3.556187766714082E-2</v>
      </c>
      <c r="J35" s="4"/>
    </row>
    <row r="36" spans="3:10" x14ac:dyDescent="0.2">
      <c r="D36" s="124" t="s">
        <v>105</v>
      </c>
      <c r="E36" s="2" t="str">
        <f>'Billing Detail'!D120</f>
        <v>Cobra Head</v>
      </c>
      <c r="F36" s="54">
        <f>'Billing Detail'!H120</f>
        <v>15.46</v>
      </c>
      <c r="G36" s="54">
        <f>'Billing Detail'!L120</f>
        <v>16.010000000000002</v>
      </c>
      <c r="H36" s="114">
        <f t="shared" si="0"/>
        <v>0.55000000000000071</v>
      </c>
      <c r="I36" s="4">
        <f t="shared" si="1"/>
        <v>3.5575679172056965E-2</v>
      </c>
      <c r="J36" s="4"/>
    </row>
    <row r="37" spans="3:10" x14ac:dyDescent="0.2">
      <c r="D37" s="124" t="s">
        <v>105</v>
      </c>
      <c r="E37" s="2" t="str">
        <f>'Billing Detail'!D121</f>
        <v>Directional Flood Light</v>
      </c>
      <c r="F37" s="54">
        <f>'Billing Detail'!H121</f>
        <v>21.29</v>
      </c>
      <c r="G37" s="54">
        <f>'Billing Detail'!L121</f>
        <v>22.05</v>
      </c>
      <c r="H37" s="114">
        <f t="shared" si="0"/>
        <v>0.76000000000000156</v>
      </c>
      <c r="I37" s="4">
        <f t="shared" si="1"/>
        <v>3.5697510568342021E-2</v>
      </c>
      <c r="J37" s="4"/>
    </row>
    <row r="38" spans="3:10" x14ac:dyDescent="0.2">
      <c r="C38" s="12">
        <v>15</v>
      </c>
      <c r="D38" s="75" t="s">
        <v>79</v>
      </c>
      <c r="F38" s="54"/>
      <c r="G38" s="54"/>
      <c r="H38" s="114"/>
      <c r="I38" s="4"/>
      <c r="J38" s="4"/>
    </row>
    <row r="39" spans="3:10" x14ac:dyDescent="0.2">
      <c r="D39" s="2"/>
      <c r="E39" s="2" t="s">
        <v>80</v>
      </c>
      <c r="F39" s="54">
        <f>'Billing Detail'!H32</f>
        <v>0.83</v>
      </c>
      <c r="G39" s="54">
        <f>'Billing Detail'!L32</f>
        <v>0.86</v>
      </c>
      <c r="H39" s="114">
        <f t="shared" si="0"/>
        <v>3.0000000000000027E-2</v>
      </c>
      <c r="I39" s="4">
        <f t="shared" si="1"/>
        <v>3.6144578313253045E-2</v>
      </c>
      <c r="J39" s="4"/>
    </row>
    <row r="40" spans="3:10" x14ac:dyDescent="0.2">
      <c r="D40" s="2"/>
      <c r="E40" s="2" t="s">
        <v>44</v>
      </c>
      <c r="F40" s="55">
        <f>'Billing Detail'!H33</f>
        <v>0.11042</v>
      </c>
      <c r="G40" s="55">
        <f>'Billing Detail'!L33</f>
        <v>0.11434999999999999</v>
      </c>
      <c r="H40" s="116">
        <f t="shared" si="0"/>
        <v>3.9299999999999891E-3</v>
      </c>
      <c r="I40" s="4">
        <f t="shared" si="1"/>
        <v>3.5591378373482967E-2</v>
      </c>
      <c r="J40" s="4"/>
    </row>
    <row r="41" spans="3:10" x14ac:dyDescent="0.2">
      <c r="D41" s="2"/>
      <c r="E41" s="2" t="s">
        <v>81</v>
      </c>
      <c r="F41" s="54">
        <f>'Billing Detail'!H37</f>
        <v>0.1</v>
      </c>
      <c r="G41" s="54">
        <f>'Billing Detail'!L37</f>
        <v>0.1</v>
      </c>
      <c r="H41" s="114">
        <f t="shared" si="0"/>
        <v>0</v>
      </c>
      <c r="I41" s="4">
        <f t="shared" si="1"/>
        <v>0</v>
      </c>
      <c r="J41" s="4"/>
    </row>
    <row r="42" spans="3:10" x14ac:dyDescent="0.2">
      <c r="C42" s="12">
        <f>'Billing Detail'!C97</f>
        <v>22</v>
      </c>
      <c r="D42" s="75" t="str">
        <f>'Billing Detail'!B97</f>
        <v>Optional TOD Demand</v>
      </c>
      <c r="F42" s="54"/>
      <c r="G42" s="54"/>
      <c r="H42" s="114"/>
      <c r="I42" s="4"/>
      <c r="J42" s="4"/>
    </row>
    <row r="43" spans="3:10" x14ac:dyDescent="0.2">
      <c r="D43" s="75"/>
      <c r="E43" s="2" t="str">
        <f>'Billing Detail'!D98</f>
        <v>Customer Charge</v>
      </c>
      <c r="F43" s="54">
        <f>'Billing Detail'!H98</f>
        <v>47.38</v>
      </c>
      <c r="G43" s="54">
        <f>'Billing Detail'!L98</f>
        <v>49.07</v>
      </c>
      <c r="H43" s="114">
        <f t="shared" si="0"/>
        <v>1.6899999999999977</v>
      </c>
      <c r="I43" s="4">
        <f t="shared" si="1"/>
        <v>3.5669058674546172E-2</v>
      </c>
      <c r="J43" s="4"/>
    </row>
    <row r="44" spans="3:10" x14ac:dyDescent="0.2">
      <c r="D44" s="75"/>
      <c r="E44" s="2" t="str">
        <f>'Billing Detail'!D99</f>
        <v>Energy Charge per kWh - First 100</v>
      </c>
      <c r="F44" s="55">
        <f>'Billing Detail'!H99</f>
        <v>8.2979999999999998E-2</v>
      </c>
      <c r="G44" s="55">
        <f>'Billing Detail'!L99</f>
        <v>8.5940000000000003E-2</v>
      </c>
      <c r="H44" s="116">
        <f t="shared" si="0"/>
        <v>2.9600000000000043E-3</v>
      </c>
      <c r="I44" s="4">
        <f t="shared" si="1"/>
        <v>3.5671246083393643E-2</v>
      </c>
      <c r="J44" s="4"/>
    </row>
    <row r="45" spans="3:10" x14ac:dyDescent="0.2">
      <c r="D45" s="75"/>
      <c r="E45" s="2" t="str">
        <f>'Billing Detail'!D100</f>
        <v>Energy Charge per kWh - Next 100</v>
      </c>
      <c r="F45" s="55">
        <f>'Billing Detail'!H100</f>
        <v>7.6380000000000003E-2</v>
      </c>
      <c r="G45" s="55">
        <f>'Billing Detail'!L100</f>
        <v>7.9100000000000004E-2</v>
      </c>
      <c r="H45" s="116">
        <f t="shared" si="0"/>
        <v>2.7200000000000002E-3</v>
      </c>
      <c r="I45" s="4">
        <f t="shared" si="1"/>
        <v>3.5611416601204503E-2</v>
      </c>
      <c r="J45" s="4"/>
    </row>
    <row r="46" spans="3:10" x14ac:dyDescent="0.2">
      <c r="D46" s="75"/>
      <c r="E46" s="2" t="str">
        <f>'Billing Detail'!D101</f>
        <v>Energy Charge per kWh - All Over 200</v>
      </c>
      <c r="F46" s="55">
        <f>'Billing Detail'!H101</f>
        <v>6.9790000000000005E-2</v>
      </c>
      <c r="G46" s="55">
        <f>'Billing Detail'!L101</f>
        <v>7.2279999999999997E-2</v>
      </c>
      <c r="H46" s="116">
        <f t="shared" si="0"/>
        <v>2.4899999999999922E-3</v>
      </c>
      <c r="I46" s="4">
        <f t="shared" si="1"/>
        <v>3.5678463963318412E-2</v>
      </c>
      <c r="J46" s="4"/>
    </row>
    <row r="47" spans="3:10" ht="13.15" customHeight="1" x14ac:dyDescent="0.2">
      <c r="D47" s="82"/>
      <c r="E47" s="2" t="str">
        <f>'Billing Detail'!D102</f>
        <v>Demand Charge - Contract per kW</v>
      </c>
      <c r="F47" s="117">
        <f>'Billing Detail'!H102</f>
        <v>6.21</v>
      </c>
      <c r="G47" s="117">
        <f>'Billing Detail'!L102</f>
        <v>6.4311999999999996</v>
      </c>
      <c r="H47" s="117">
        <f t="shared" si="0"/>
        <v>0.22119999999999962</v>
      </c>
      <c r="I47" s="4">
        <f t="shared" si="1"/>
        <v>3.5619967793880776E-2</v>
      </c>
      <c r="J47" s="4"/>
    </row>
    <row r="48" spans="3:10" ht="13.15" customHeight="1" x14ac:dyDescent="0.2">
      <c r="C48" s="12">
        <f>'Billing Detail'!C143</f>
        <v>33</v>
      </c>
      <c r="D48" s="83" t="str">
        <f>'Billing Detail'!B143</f>
        <v>Special Outdoor Lighting</v>
      </c>
      <c r="H48" s="114"/>
      <c r="I48" s="4"/>
      <c r="J48" s="4"/>
    </row>
    <row r="49" spans="3:10" ht="13.15" customHeight="1" x14ac:dyDescent="0.2">
      <c r="D49" s="83"/>
      <c r="E49" s="2" t="str">
        <f>'Billing Detail'!D144</f>
        <v>Energy Rate</v>
      </c>
      <c r="F49" s="55">
        <f>'Billing Detail'!H144</f>
        <v>6.9709999999999994E-2</v>
      </c>
      <c r="G49" s="55">
        <f>'Billing Detail'!L144</f>
        <v>7.2874766836987293E-2</v>
      </c>
      <c r="H49" s="114">
        <f t="shared" si="0"/>
        <v>3.1647668369872983E-3</v>
      </c>
      <c r="I49" s="4">
        <f t="shared" si="1"/>
        <v>4.5399036536899993E-2</v>
      </c>
      <c r="J49" s="4"/>
    </row>
    <row r="50" spans="3:10" ht="13.15" customHeight="1" x14ac:dyDescent="0.2">
      <c r="C50" s="12" t="str">
        <f>'Billing Detail'!C145</f>
        <v>B3</v>
      </c>
      <c r="D50" s="83" t="str">
        <f>'Billing Detail'!B145</f>
        <v>Large Industrial Rate</v>
      </c>
      <c r="F50" s="54"/>
      <c r="G50" s="54"/>
      <c r="H50" s="114"/>
      <c r="I50" s="4"/>
      <c r="J50" s="4"/>
    </row>
    <row r="51" spans="3:10" ht="13.15" customHeight="1" x14ac:dyDescent="0.2">
      <c r="D51" s="83"/>
      <c r="E51" s="2" t="str">
        <f>'Billing Detail'!D146</f>
        <v>Customer Charge Transformer 10,000 - 14,999 kVA</v>
      </c>
      <c r="F51" s="54">
        <f>'Billing Detail'!H146</f>
        <v>3530.38</v>
      </c>
      <c r="G51" s="54">
        <f>'Billing Detail'!L146</f>
        <v>3811.249923101635</v>
      </c>
      <c r="H51" s="114">
        <f t="shared" si="0"/>
        <v>280.86992310163487</v>
      </c>
      <c r="I51" s="4">
        <f t="shared" si="1"/>
        <v>7.9557986137932704E-2</v>
      </c>
      <c r="J51" s="4"/>
    </row>
    <row r="52" spans="3:10" ht="13.15" customHeight="1" x14ac:dyDescent="0.2">
      <c r="D52" s="83"/>
      <c r="E52" s="2" t="str">
        <f>'Billing Detail'!D147</f>
        <v>Customer Charge Transformer 15,000+ kVA</v>
      </c>
      <c r="F52" s="54">
        <f>'Billing Detail'!H147</f>
        <v>5603.59</v>
      </c>
      <c r="G52" s="54">
        <f>'Billing Detail'!L147</f>
        <v>6049.4003355426585</v>
      </c>
      <c r="H52" s="114">
        <f t="shared" si="0"/>
        <v>445.81033554265832</v>
      </c>
      <c r="I52" s="4">
        <f t="shared" si="1"/>
        <v>7.9557986137932704E-2</v>
      </c>
      <c r="J52" s="4"/>
    </row>
    <row r="53" spans="3:10" ht="13.15" customHeight="1" x14ac:dyDescent="0.2">
      <c r="D53" s="83"/>
      <c r="E53" s="2" t="str">
        <f>'Billing Detail'!D148</f>
        <v>Demand Charge - Contract per kW</v>
      </c>
      <c r="F53" s="54">
        <f>'Billing Detail'!H148</f>
        <v>7.49</v>
      </c>
      <c r="G53" s="54">
        <f>'Billing Detail'!L148</f>
        <v>8.09</v>
      </c>
      <c r="H53" s="114">
        <f t="shared" si="0"/>
        <v>0.59999999999999964</v>
      </c>
      <c r="I53" s="4">
        <f t="shared" si="1"/>
        <v>8.0106809078771643E-2</v>
      </c>
      <c r="J53" s="4"/>
    </row>
    <row r="54" spans="3:10" ht="13.15" customHeight="1" x14ac:dyDescent="0.2">
      <c r="D54" s="83"/>
      <c r="E54" s="2" t="str">
        <f>'Billing Detail'!D149</f>
        <v>Demand Charge - Excess per kW</v>
      </c>
      <c r="F54" s="54">
        <f>'Billing Detail'!H149</f>
        <v>9.98</v>
      </c>
      <c r="G54" s="54">
        <f>'Billing Detail'!L149</f>
        <v>10.77</v>
      </c>
      <c r="H54" s="114">
        <f t="shared" si="0"/>
        <v>0.78999999999999915</v>
      </c>
      <c r="I54" s="4">
        <f t="shared" si="1"/>
        <v>7.9158316633266446E-2</v>
      </c>
      <c r="J54" s="4"/>
    </row>
    <row r="55" spans="3:10" ht="13.15" customHeight="1" x14ac:dyDescent="0.2">
      <c r="D55" s="83"/>
      <c r="E55" s="2" t="str">
        <f>'Billing Detail'!D150</f>
        <v>Energy Charge per kWh - All Over 200</v>
      </c>
      <c r="F55" s="55">
        <f>'Billing Detail'!H150</f>
        <v>5.4280000000000002E-2</v>
      </c>
      <c r="G55" s="55">
        <f>'Billing Detail'!L150</f>
        <v>5.8598407487566992E-2</v>
      </c>
      <c r="H55" s="114">
        <f t="shared" si="0"/>
        <v>4.3184074875669901E-3</v>
      </c>
      <c r="I55" s="4">
        <f t="shared" si="1"/>
        <v>7.955798613793276E-2</v>
      </c>
      <c r="J55" s="4"/>
    </row>
    <row r="56" spans="3:10" ht="13.15" customHeight="1" x14ac:dyDescent="0.2">
      <c r="C56" s="12" t="str">
        <f>'Billing Detail'!C151</f>
        <v>C1</v>
      </c>
      <c r="D56" s="83" t="str">
        <f>'Billing Detail'!B151</f>
        <v>Large Industrial Rate</v>
      </c>
      <c r="F56" s="54"/>
      <c r="G56" s="54"/>
      <c r="H56" s="114"/>
      <c r="I56" s="4"/>
      <c r="J56" s="4"/>
    </row>
    <row r="57" spans="3:10" ht="13.15" customHeight="1" x14ac:dyDescent="0.2">
      <c r="D57" s="83"/>
      <c r="E57" s="2" t="str">
        <f>'Billing Detail'!D152</f>
        <v>Customer Charge</v>
      </c>
      <c r="F57" s="54">
        <f>'Billing Detail'!H152</f>
        <v>633.80999999999995</v>
      </c>
      <c r="G57" s="54">
        <f>'Billing Detail'!L152</f>
        <v>684.13451399999985</v>
      </c>
      <c r="H57" s="114">
        <f t="shared" si="0"/>
        <v>50.324513999999908</v>
      </c>
      <c r="I57" s="4">
        <f t="shared" si="1"/>
        <v>7.939999999999986E-2</v>
      </c>
      <c r="J57" s="4"/>
    </row>
    <row r="58" spans="3:10" ht="13.15" customHeight="1" x14ac:dyDescent="0.2">
      <c r="D58" s="83"/>
      <c r="E58" s="2" t="str">
        <f>'Billing Detail'!D153</f>
        <v>Energy Charge per kWh</v>
      </c>
      <c r="F58" s="55">
        <f>'Billing Detail'!H153</f>
        <v>6.139E-2</v>
      </c>
      <c r="G58" s="55">
        <f>'Billing Detail'!L153</f>
        <v>6.6264365999999991E-2</v>
      </c>
      <c r="H58" s="114">
        <f t="shared" si="0"/>
        <v>4.8743659999999911E-3</v>
      </c>
      <c r="I58" s="4">
        <f t="shared" si="1"/>
        <v>7.939999999999986E-2</v>
      </c>
      <c r="J58" s="4"/>
    </row>
    <row r="59" spans="3:10" ht="13.15" customHeight="1" x14ac:dyDescent="0.2">
      <c r="D59" s="83"/>
      <c r="E59" s="2" t="str">
        <f>'Billing Detail'!D154</f>
        <v>Demand Charge per kW</v>
      </c>
      <c r="F59" s="54">
        <f>'Billing Detail'!H154</f>
        <v>7.49</v>
      </c>
      <c r="G59" s="54">
        <f>'Billing Detail'!L154</f>
        <v>8.09</v>
      </c>
      <c r="H59" s="114">
        <f t="shared" si="0"/>
        <v>0.59999999999999964</v>
      </c>
      <c r="I59" s="4">
        <f t="shared" si="1"/>
        <v>8.0106809078771643E-2</v>
      </c>
      <c r="J59" s="4"/>
    </row>
    <row r="60" spans="3:10" ht="13.15" customHeight="1" x14ac:dyDescent="0.2">
      <c r="C60" s="12" t="str">
        <f>'Billing Detail'!C155</f>
        <v>C2</v>
      </c>
      <c r="D60" s="83" t="str">
        <f>'Billing Detail'!B155</f>
        <v>Large Industrial Rate</v>
      </c>
      <c r="F60" s="54"/>
      <c r="G60" s="54"/>
      <c r="H60" s="114"/>
      <c r="I60" s="4"/>
      <c r="J60" s="4"/>
    </row>
    <row r="61" spans="3:10" ht="13.15" customHeight="1" x14ac:dyDescent="0.2">
      <c r="D61" s="83"/>
      <c r="E61" s="2" t="str">
        <f>'Billing Detail'!D156</f>
        <v>Customer Charge</v>
      </c>
      <c r="F61" s="54">
        <f>'Billing Detail'!H156</f>
        <v>1266.43</v>
      </c>
      <c r="G61" s="54">
        <f>'Billing Detail'!L156</f>
        <v>1366.9845419999999</v>
      </c>
      <c r="H61" s="114">
        <f t="shared" si="0"/>
        <v>100.55454199999986</v>
      </c>
      <c r="I61" s="4">
        <f t="shared" si="1"/>
        <v>7.9399999999999887E-2</v>
      </c>
      <c r="J61" s="4"/>
    </row>
    <row r="62" spans="3:10" ht="13.15" customHeight="1" x14ac:dyDescent="0.2">
      <c r="D62" s="83"/>
      <c r="E62" s="2" t="str">
        <f>'Billing Detail'!D157</f>
        <v>Energy Charge per kWh</v>
      </c>
      <c r="F62" s="55">
        <f>'Billing Detail'!H157</f>
        <v>5.4890000000000001E-2</v>
      </c>
      <c r="G62" s="55">
        <f>'Billing Detail'!L157</f>
        <v>5.9248265999999994E-2</v>
      </c>
      <c r="H62" s="114">
        <f t="shared" si="0"/>
        <v>4.3582659999999926E-3</v>
      </c>
      <c r="I62" s="4">
        <f t="shared" si="1"/>
        <v>7.939999999999986E-2</v>
      </c>
      <c r="J62" s="4"/>
    </row>
    <row r="63" spans="3:10" ht="13.15" customHeight="1" x14ac:dyDescent="0.2">
      <c r="D63" s="83"/>
      <c r="E63" s="2" t="str">
        <f>'Billing Detail'!D158</f>
        <v>Demand Charge per kW</v>
      </c>
      <c r="F63" s="54">
        <f>'Billing Detail'!H158</f>
        <v>7.49</v>
      </c>
      <c r="G63" s="54">
        <f>'Billing Detail'!L158</f>
        <v>8.09</v>
      </c>
      <c r="H63" s="114">
        <f t="shared" si="0"/>
        <v>0.59999999999999964</v>
      </c>
      <c r="I63" s="4">
        <f t="shared" si="1"/>
        <v>8.0106809078771643E-2</v>
      </c>
      <c r="J63" s="4"/>
    </row>
    <row r="64" spans="3:10" ht="13.15" customHeight="1" x14ac:dyDescent="0.2">
      <c r="C64" s="12" t="str">
        <f>'Billing Detail'!C159</f>
        <v>C3</v>
      </c>
      <c r="D64" s="83" t="str">
        <f>'Billing Detail'!B159</f>
        <v>Large Industrial Rate</v>
      </c>
      <c r="F64" s="54"/>
      <c r="G64" s="54"/>
      <c r="H64" s="114"/>
      <c r="I64" s="4"/>
      <c r="J64" s="4"/>
    </row>
    <row r="65" spans="3:10" ht="13.15" customHeight="1" x14ac:dyDescent="0.2">
      <c r="D65" s="83"/>
      <c r="E65" s="2" t="str">
        <f>'Billing Detail'!D160</f>
        <v>Customer Charge Transformer 10,000 - 14,999 kVA</v>
      </c>
      <c r="F65" s="54">
        <f>'Billing Detail'!H160</f>
        <v>3530.38</v>
      </c>
      <c r="G65" s="54">
        <f>'Billing Detail'!L160</f>
        <v>3810.692172</v>
      </c>
      <c r="H65" s="114">
        <f t="shared" si="0"/>
        <v>280.31217199999992</v>
      </c>
      <c r="I65" s="4">
        <f t="shared" si="1"/>
        <v>7.9399999999999971E-2</v>
      </c>
      <c r="J65" s="4"/>
    </row>
    <row r="66" spans="3:10" ht="13.15" customHeight="1" x14ac:dyDescent="0.2">
      <c r="D66" s="83"/>
      <c r="E66" s="2" t="str">
        <f>'Billing Detail'!D161</f>
        <v>Customer Charge Transformer 15,000+ kVA</v>
      </c>
      <c r="F66" s="54">
        <f>'Billing Detail'!H161</f>
        <v>5603.59</v>
      </c>
      <c r="G66" s="54">
        <f>'Billing Detail'!L161</f>
        <v>6048.5150459999995</v>
      </c>
      <c r="H66" s="114">
        <f t="shared" si="0"/>
        <v>444.92504599999938</v>
      </c>
      <c r="I66" s="4">
        <f t="shared" si="1"/>
        <v>7.9399999999999887E-2</v>
      </c>
      <c r="J66" s="4"/>
    </row>
    <row r="67" spans="3:10" ht="13.15" customHeight="1" x14ac:dyDescent="0.2">
      <c r="E67" s="2" t="str">
        <f>'Billing Detail'!D162</f>
        <v>Demand Charge - Contract per kW</v>
      </c>
      <c r="F67" s="54">
        <f>'Billing Detail'!H162</f>
        <v>7.49</v>
      </c>
      <c r="G67" s="54">
        <f>'Billing Detail'!L162</f>
        <v>8.09</v>
      </c>
      <c r="H67" s="114">
        <f t="shared" si="0"/>
        <v>0.59999999999999964</v>
      </c>
      <c r="I67" s="4">
        <f t="shared" si="1"/>
        <v>8.0106809078771643E-2</v>
      </c>
      <c r="J67" s="4"/>
    </row>
    <row r="68" spans="3:10" ht="13.15" customHeight="1" x14ac:dyDescent="0.2">
      <c r="E68" s="2" t="str">
        <f>'Billing Detail'!D163</f>
        <v>Energy Charge per kWh - All Over 200</v>
      </c>
      <c r="F68" s="55">
        <f>'Billing Detail'!H163</f>
        <v>5.4280000000000002E-2</v>
      </c>
      <c r="G68" s="55">
        <f>'Billing Detail'!L163</f>
        <v>5.8589831999999994E-2</v>
      </c>
      <c r="H68" s="114">
        <f t="shared" si="0"/>
        <v>4.3098319999999926E-3</v>
      </c>
      <c r="I68" s="4">
        <f t="shared" si="1"/>
        <v>7.939999999999986E-2</v>
      </c>
      <c r="J68" s="4"/>
    </row>
    <row r="69" spans="3:10" ht="13.15" customHeight="1" x14ac:dyDescent="0.2">
      <c r="D69" s="83" t="str">
        <f>'Billing Detail'!B164</f>
        <v>Interruptible Service</v>
      </c>
      <c r="F69" s="55"/>
      <c r="G69" s="55"/>
      <c r="H69" s="114"/>
      <c r="I69" s="4"/>
      <c r="J69" s="4"/>
    </row>
    <row r="70" spans="3:10" ht="13.15" customHeight="1" x14ac:dyDescent="0.2">
      <c r="E70" s="2" t="str">
        <f>'Billing Detail'!D165</f>
        <v>Demand Credit per kW - 200 Hrs</v>
      </c>
      <c r="F70" s="54">
        <f>'Billing Detail'!H165</f>
        <v>4.2</v>
      </c>
      <c r="G70" s="54">
        <f>'Billing Detail'!L165</f>
        <v>6.2</v>
      </c>
      <c r="H70" s="114"/>
      <c r="I70" s="4"/>
      <c r="J70" s="4"/>
    </row>
    <row r="71" spans="3:10" ht="13.15" customHeight="1" x14ac:dyDescent="0.2">
      <c r="E71" s="2" t="str">
        <f>'Billing Detail'!D166</f>
        <v>Demand Credit per kW - 300 Hrs</v>
      </c>
      <c r="F71" s="54">
        <f>'Billing Detail'!H166</f>
        <v>4.9000000000000004</v>
      </c>
      <c r="G71" s="54">
        <f>'Billing Detail'!L166</f>
        <v>6.9</v>
      </c>
    </row>
    <row r="72" spans="3:10" ht="13.15" customHeight="1" x14ac:dyDescent="0.2">
      <c r="E72" s="2" t="str">
        <f>'Billing Detail'!D167</f>
        <v>Demand Credit per kW - 400 Hrs</v>
      </c>
      <c r="F72" s="54">
        <f>'Billing Detail'!H167</f>
        <v>5.6</v>
      </c>
      <c r="G72" s="54">
        <f>'Billing Detail'!L167</f>
        <v>7.6</v>
      </c>
    </row>
    <row r="73" spans="3:10" ht="13.15" customHeight="1" x14ac:dyDescent="0.2">
      <c r="F73" s="54"/>
      <c r="G73" s="54"/>
    </row>
    <row r="74" spans="3:10" ht="41.45" customHeight="1" x14ac:dyDescent="0.2">
      <c r="C74" s="171" t="s">
        <v>47</v>
      </c>
      <c r="D74" s="171"/>
      <c r="E74" s="171"/>
      <c r="F74" s="171"/>
      <c r="G74" s="171"/>
    </row>
    <row r="75" spans="3:10" x14ac:dyDescent="0.2">
      <c r="D75" s="2"/>
      <c r="F75" s="172" t="s">
        <v>48</v>
      </c>
      <c r="G75" s="172"/>
    </row>
    <row r="76" spans="3:10" x14ac:dyDescent="0.2">
      <c r="C76" s="71" t="s">
        <v>49</v>
      </c>
      <c r="D76" s="61"/>
      <c r="E76" s="62"/>
      <c r="F76" s="63" t="s">
        <v>50</v>
      </c>
      <c r="G76" s="63" t="s">
        <v>51</v>
      </c>
    </row>
    <row r="77" spans="3:10" x14ac:dyDescent="0.2">
      <c r="C77" s="72">
        <f>Summary!C9</f>
        <v>12</v>
      </c>
      <c r="D77" s="3" t="str">
        <f>Summary!B9</f>
        <v>Residential Service</v>
      </c>
      <c r="F77" s="64">
        <f>Summary!L9</f>
        <v>930439.80131999962</v>
      </c>
      <c r="G77" s="65">
        <f>Summary!N9</f>
        <v>3.2696794446977616E-2</v>
      </c>
    </row>
    <row r="78" spans="3:10" x14ac:dyDescent="0.2">
      <c r="C78" s="72">
        <f>Summary!C10</f>
        <v>9</v>
      </c>
      <c r="D78" s="3" t="str">
        <f>Summary!B10</f>
        <v>Off Peak Retail Marketing (ETS)</v>
      </c>
      <c r="F78" s="64">
        <f>Summary!L10</f>
        <v>350.82042000000183</v>
      </c>
      <c r="G78" s="65">
        <f>Summary!N10</f>
        <v>3.2153320159804523E-2</v>
      </c>
      <c r="H78" s="1"/>
    </row>
    <row r="79" spans="3:10" x14ac:dyDescent="0.2">
      <c r="C79" s="72">
        <f>Summary!C11</f>
        <v>15</v>
      </c>
      <c r="D79" s="3" t="str">
        <f>Summary!B11</f>
        <v>Prepay Service</v>
      </c>
      <c r="F79" s="64">
        <f>Summary!L11</f>
        <v>60309.337669999863</v>
      </c>
      <c r="G79" s="65">
        <f>Summary!N11</f>
        <v>3.2186126777137933E-2</v>
      </c>
      <c r="H79" s="1"/>
    </row>
    <row r="80" spans="3:10" x14ac:dyDescent="0.2">
      <c r="C80" s="72">
        <f>Summary!C12</f>
        <v>2</v>
      </c>
      <c r="D80" s="3" t="str">
        <f>Summary!B12</f>
        <v>Large Power Service &gt; 50 kW</v>
      </c>
      <c r="F80" s="64">
        <f>Summary!L12</f>
        <v>202726.11978040021</v>
      </c>
      <c r="G80" s="65">
        <f>Summary!N12</f>
        <v>3.243853040311228E-2</v>
      </c>
      <c r="H80" s="1"/>
    </row>
    <row r="81" spans="3:8" x14ac:dyDescent="0.2">
      <c r="C81" s="72">
        <f>Summary!C13</f>
        <v>11</v>
      </c>
      <c r="D81" s="3" t="str">
        <f>Summary!B13</f>
        <v>General Service &lt; 50kW</v>
      </c>
      <c r="F81" s="64">
        <f>Summary!L13</f>
        <v>178009.32283073186</v>
      </c>
      <c r="G81" s="65">
        <f>Summary!N13</f>
        <v>3.2505781144320234E-2</v>
      </c>
      <c r="H81" s="1"/>
    </row>
    <row r="82" spans="3:8" x14ac:dyDescent="0.2">
      <c r="C82" s="72" t="str">
        <f>Summary!C18</f>
        <v>B1</v>
      </c>
      <c r="D82" s="3" t="str">
        <f>Summary!B18</f>
        <v>Large Industrial Rate (500 kW to 4,999 kW)</v>
      </c>
      <c r="F82" s="64">
        <f>Summary!L18</f>
        <v>708010.72103999939</v>
      </c>
      <c r="G82" s="65">
        <f>Summary!N18</f>
        <v>7.165225638366457E-2</v>
      </c>
      <c r="H82" s="1"/>
    </row>
    <row r="83" spans="3:8" x14ac:dyDescent="0.2">
      <c r="C83" s="72" t="str">
        <f>Summary!C19</f>
        <v>B2</v>
      </c>
      <c r="D83" s="3" t="str">
        <f>Summary!B19</f>
        <v>Large Industrial Rate (5,000 kW to 9,999 kW)</v>
      </c>
      <c r="F83" s="64">
        <f>Summary!L19</f>
        <v>187743.28611999989</v>
      </c>
      <c r="G83" s="65">
        <f>Summary!N19</f>
        <v>7.0896929240690021E-2</v>
      </c>
      <c r="H83" s="1"/>
    </row>
    <row r="84" spans="3:8" x14ac:dyDescent="0.2">
      <c r="C84" s="72">
        <f>Summary!C14</f>
        <v>22</v>
      </c>
      <c r="D84" s="3" t="str">
        <f>Summary!B14</f>
        <v>Optional TOD Demand</v>
      </c>
      <c r="F84" s="64">
        <f>Summary!L14</f>
        <v>2718.0921599999956</v>
      </c>
      <c r="G84" s="65">
        <f>Summary!N14</f>
        <v>3.2403724524431625E-2</v>
      </c>
      <c r="H84" s="1"/>
    </row>
    <row r="85" spans="3:8" x14ac:dyDescent="0.2">
      <c r="C85" s="72">
        <f>Summary!C15</f>
        <v>3</v>
      </c>
      <c r="D85" s="3" t="str">
        <f>Summary!B15</f>
        <v>Outdoor &amp; Street Lighting</v>
      </c>
      <c r="F85" s="64">
        <f>Summary!L15</f>
        <v>22669.570000000065</v>
      </c>
      <c r="G85" s="65">
        <f>Summary!N15</f>
        <v>3.1388749369910658E-2</v>
      </c>
      <c r="H85" s="1"/>
    </row>
    <row r="86" spans="3:8" x14ac:dyDescent="0.2">
      <c r="C86" s="76" t="s">
        <v>52</v>
      </c>
      <c r="D86" s="34"/>
      <c r="E86" s="34"/>
      <c r="F86" s="66">
        <f>Summary!L31</f>
        <v>2292977.0713411272</v>
      </c>
      <c r="G86" s="67">
        <f>Summary!N31</f>
        <v>4.1387616349844045E-2</v>
      </c>
    </row>
    <row r="87" spans="3:8" x14ac:dyDescent="0.2">
      <c r="C87" s="72"/>
      <c r="D87" s="2"/>
      <c r="F87" s="68"/>
      <c r="G87" s="69"/>
    </row>
    <row r="88" spans="3:8" x14ac:dyDescent="0.2">
      <c r="D88" s="2"/>
    </row>
    <row r="89" spans="3:8" ht="40.15" customHeight="1" x14ac:dyDescent="0.2">
      <c r="C89" s="173" t="s">
        <v>53</v>
      </c>
      <c r="D89" s="173"/>
      <c r="E89" s="173"/>
      <c r="F89" s="173"/>
      <c r="G89" s="173"/>
      <c r="H89" s="136"/>
    </row>
    <row r="90" spans="3:8" x14ac:dyDescent="0.2">
      <c r="D90" s="2"/>
      <c r="E90" s="70" t="s">
        <v>18</v>
      </c>
      <c r="F90" s="172" t="s">
        <v>48</v>
      </c>
      <c r="G90" s="172"/>
    </row>
    <row r="91" spans="3:8" x14ac:dyDescent="0.2">
      <c r="C91" s="71" t="s">
        <v>49</v>
      </c>
      <c r="D91" s="62"/>
      <c r="E91" s="71" t="s">
        <v>54</v>
      </c>
      <c r="F91" s="63" t="s">
        <v>50</v>
      </c>
      <c r="G91" s="63" t="s">
        <v>51</v>
      </c>
    </row>
    <row r="92" spans="3:8" x14ac:dyDescent="0.2">
      <c r="C92" s="12">
        <f>Summary!C9</f>
        <v>12</v>
      </c>
      <c r="D92" s="79" t="str">
        <f>Summary!B9</f>
        <v>Residential Service</v>
      </c>
      <c r="E92" s="73">
        <f>'Billing Detail'!E17</f>
        <v>1264.4768236986197</v>
      </c>
      <c r="F92" s="54">
        <f>'Billing Detail'!N17</f>
        <v>5.8693939171355964</v>
      </c>
      <c r="G92" s="4">
        <f>Summary!N9</f>
        <v>3.2696794446977616E-2</v>
      </c>
    </row>
    <row r="93" spans="3:8" x14ac:dyDescent="0.2">
      <c r="C93" s="12">
        <f>Summary!C10</f>
        <v>9</v>
      </c>
      <c r="D93" s="79" t="str">
        <f>Summary!B10</f>
        <v>Off Peak Retail Marketing (ETS)</v>
      </c>
      <c r="E93" s="74">
        <f>'Billing Detail'!E29</f>
        <v>710.96875</v>
      </c>
      <c r="F93" s="54">
        <f>'Billing Detail'!N29</f>
        <v>1.8271896875000095</v>
      </c>
      <c r="G93" s="4">
        <f>Summary!N10</f>
        <v>3.2153320159804523E-2</v>
      </c>
    </row>
    <row r="94" spans="3:8" x14ac:dyDescent="0.2">
      <c r="C94" s="12">
        <f>Summary!C11</f>
        <v>15</v>
      </c>
      <c r="D94" s="79" t="str">
        <f>Summary!B11</f>
        <v>Prepay Service</v>
      </c>
      <c r="E94" s="74">
        <f>'Billing Detail'!E41</f>
        <v>48.102418295510262</v>
      </c>
      <c r="F94" s="54">
        <f>'Billing Detail'!N41</f>
        <v>0.21904250390135527</v>
      </c>
      <c r="G94" s="4">
        <f>Summary!N11</f>
        <v>3.2186126777137933E-2</v>
      </c>
    </row>
    <row r="95" spans="3:8" x14ac:dyDescent="0.2">
      <c r="C95" s="12">
        <f>Summary!C12</f>
        <v>2</v>
      </c>
      <c r="D95" s="79" t="str">
        <f>Summary!B12</f>
        <v>Large Power Service &gt; 50 kW</v>
      </c>
      <c r="E95" s="73">
        <f>'Billing Detail'!E54</f>
        <v>80025.25043114544</v>
      </c>
      <c r="F95" s="54">
        <f>'Billing Detail'!N54</f>
        <v>260.90877706615356</v>
      </c>
      <c r="G95" s="4">
        <f>Summary!N12</f>
        <v>3.243853040311228E-2</v>
      </c>
    </row>
    <row r="96" spans="3:8" x14ac:dyDescent="0.2">
      <c r="C96" s="12">
        <f>Summary!C13</f>
        <v>11</v>
      </c>
      <c r="D96" s="79" t="str">
        <f>Summary!B13</f>
        <v>General Service &lt; 50kW</v>
      </c>
      <c r="E96" s="73">
        <f>'Billing Detail'!E67</f>
        <v>829.67564325963474</v>
      </c>
      <c r="F96" s="54">
        <f>'Billing Detail'!N67</f>
        <v>4.0283627787623999</v>
      </c>
      <c r="G96" s="4">
        <f>Summary!N13</f>
        <v>3.2505781144320234E-2</v>
      </c>
    </row>
    <row r="97" spans="3:7" x14ac:dyDescent="0.2">
      <c r="C97" s="12" t="str">
        <f>Summary!C18</f>
        <v>B1</v>
      </c>
      <c r="D97" s="79" t="str">
        <f>Summary!B18</f>
        <v>Large Industrial Rate (500 kW to 4,999 kW)</v>
      </c>
      <c r="E97" s="73">
        <f>'Billing Detail'!E81</f>
        <v>723777.45512820513</v>
      </c>
      <c r="F97" s="54">
        <f>'Billing Detail'!N81</f>
        <v>4538.530263076922</v>
      </c>
      <c r="G97" s="4">
        <f>Summary!N18</f>
        <v>7.165225638366457E-2</v>
      </c>
    </row>
    <row r="98" spans="3:7" x14ac:dyDescent="0.2">
      <c r="C98" s="12" t="str">
        <f>Summary!C19</f>
        <v>B2</v>
      </c>
      <c r="D98" s="79" t="str">
        <f>Summary!B19</f>
        <v>Large Industrial Rate (5,000 kW to 9,999 kW)</v>
      </c>
      <c r="E98" s="73">
        <f>'Billing Detail'!E95</f>
        <v>2844788.9166666665</v>
      </c>
      <c r="F98" s="54">
        <f>'Billing Detail'!N95</f>
        <v>15645.273843333271</v>
      </c>
      <c r="G98" s="4">
        <f>Summary!N19</f>
        <v>7.0896929240690021E-2</v>
      </c>
    </row>
    <row r="99" spans="3:7" x14ac:dyDescent="0.2">
      <c r="C99" s="12">
        <f>Summary!C14</f>
        <v>22</v>
      </c>
      <c r="D99" s="79" t="str">
        <f>Summary!B14</f>
        <v>Optional TOD Demand</v>
      </c>
      <c r="E99" s="73">
        <f>'Billing Detail'!E110</f>
        <v>200</v>
      </c>
      <c r="F99" s="54">
        <f>'Billing Detail'!N110</f>
        <v>226.5076799999988</v>
      </c>
      <c r="G99" s="4">
        <f>Summary!N14</f>
        <v>3.2403724524431625E-2</v>
      </c>
    </row>
    <row r="100" spans="3:7" x14ac:dyDescent="0.2">
      <c r="C100" s="12">
        <f>Summary!C15</f>
        <v>3</v>
      </c>
      <c r="D100" s="79" t="str">
        <f>Summary!B15</f>
        <v>Outdoor &amp; Street Lighting</v>
      </c>
      <c r="E100" s="78" t="s">
        <v>55</v>
      </c>
      <c r="F100" s="77" t="s">
        <v>55</v>
      </c>
      <c r="G100" s="4">
        <f>Summary!N15</f>
        <v>3.1388749369910658E-2</v>
      </c>
    </row>
  </sheetData>
  <mergeCells count="4">
    <mergeCell ref="C74:G74"/>
    <mergeCell ref="F75:G75"/>
    <mergeCell ref="F90:G90"/>
    <mergeCell ref="C89:G89"/>
  </mergeCells>
  <printOptions horizontalCentered="1"/>
  <pageMargins left="0.7" right="0.7" top="0.75" bottom="0.75" header="0.3" footer="0.3"/>
  <pageSetup paperSize="9" scale="78" orientation="portrait" r:id="rId1"/>
  <headerFooter>
    <oddHeader>&amp;R&amp;"Arial,Bold"&amp;10Exhibit 3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Summary</vt:lpstr>
      <vt:lpstr>Billing Detail</vt:lpstr>
      <vt:lpstr>Notice Table</vt:lpstr>
      <vt:lpstr>'Billing Detail'!Print_Area</vt:lpstr>
      <vt:lpstr>'Notice Table'!Print_Area</vt:lpstr>
      <vt:lpstr>Summary!Print_Area</vt:lpstr>
      <vt:lpstr>'Billing Detail'!Print_Titles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Wolfram</dc:creator>
  <cp:lastModifiedBy>John Wolfram</cp:lastModifiedBy>
  <cp:lastPrinted>2025-07-30T18:36:39Z</cp:lastPrinted>
  <dcterms:created xsi:type="dcterms:W3CDTF">2021-02-09T02:13:44Z</dcterms:created>
  <dcterms:modified xsi:type="dcterms:W3CDTF">2025-12-04T14:20:40Z</dcterms:modified>
</cp:coreProperties>
</file>