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ac385686f0d07d2/Documents/CATALYST Consulting/Clients/EKPC/A-EKPC 2025 Pass Thru Cases/Nolin/Analysis/"/>
    </mc:Choice>
  </mc:AlternateContent>
  <xr:revisionPtr revIDLastSave="103" documentId="8_{11122AD8-A9F7-464A-84B4-0A050812C697}" xr6:coauthVersionLast="47" xr6:coauthVersionMax="47" xr10:uidLastSave="{98303DD6-1CFE-4B94-8B7E-D85D29B72876}"/>
  <bookViews>
    <workbookView xWindow="-120" yWindow="-120" windowWidth="29040" windowHeight="15720" activeTab="1" xr2:uid="{5A56C961-47FC-4CB4-AEDD-3C6FC9A16749}"/>
  </bookViews>
  <sheets>
    <sheet name="Summary" sheetId="2" r:id="rId1"/>
    <sheet name="Billing Detail" sheetId="1" r:id="rId2"/>
    <sheet name="Notice Table" sheetId="3" r:id="rId3"/>
  </sheets>
  <definedNames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0</definedName>
    <definedName name="_AtRisk_SimSetting_ReportsList" hidden="1">0</definedName>
    <definedName name="_AtRisk_SimSetting_SimNameCount" hidden="1">0</definedName>
    <definedName name="_AtRisk_SimSetting_SmartSensitivityAnalysisEnabled" hidden="1">TRUE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xlnm.Print_Area" localSheetId="1">'Billing Detail'!$A$1:$R$171</definedName>
    <definedName name="_xlnm.Print_Area" localSheetId="2">'Notice Table'!$A$1:$G$91</definedName>
    <definedName name="_xlnm.Print_Area" localSheetId="0">Summary!$A$1:$O$33</definedName>
    <definedName name="_xlnm.Print_Titles" localSheetId="1">'Billing Detail'!$1:$5</definedName>
    <definedName name="_xlnm.Print_Titles" localSheetId="2">'Notice Table'!$1:$4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FALSE</definedName>
    <definedName name="RiskNumIterations" hidden="1">500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TRUE</definedName>
    <definedName name="RiskUseDifferentSeedForEachSim" hidden="1">FALSE</definedName>
    <definedName name="RiskUseFixedSeed" hidden="1">FALSE</definedName>
    <definedName name="RiskUseMultipleCPUs" hidden="1">FALSE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87" i="1" l="1"/>
  <c r="E86" i="1"/>
  <c r="E49" i="3"/>
  <c r="F49" i="3"/>
  <c r="E50" i="3"/>
  <c r="E51" i="3"/>
  <c r="E52" i="3"/>
  <c r="E53" i="3"/>
  <c r="F53" i="3"/>
  <c r="G100" i="1"/>
  <c r="G99" i="1"/>
  <c r="G98" i="1"/>
  <c r="I98" i="1"/>
  <c r="O98" i="1"/>
  <c r="G97" i="1"/>
  <c r="H100" i="1"/>
  <c r="I100" i="1" s="1"/>
  <c r="O100" i="1" s="1"/>
  <c r="H99" i="1"/>
  <c r="I99" i="1" s="1"/>
  <c r="O99" i="1" s="1"/>
  <c r="H98" i="1"/>
  <c r="F51" i="3" s="1"/>
  <c r="H97" i="1"/>
  <c r="F50" i="3" s="1"/>
  <c r="G96" i="1"/>
  <c r="H96" i="1"/>
  <c r="I96" i="1" s="1"/>
  <c r="F52" i="3" l="1"/>
  <c r="I97" i="1"/>
  <c r="O97" i="1" s="1"/>
  <c r="O96" i="1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25" i="3"/>
  <c r="G73" i="1"/>
  <c r="H73" i="1"/>
  <c r="I73" i="1" s="1"/>
  <c r="G74" i="1"/>
  <c r="H74" i="1"/>
  <c r="I74" i="1" s="1"/>
  <c r="G75" i="1"/>
  <c r="H75" i="1"/>
  <c r="I75" i="1" s="1"/>
  <c r="G76" i="1"/>
  <c r="H76" i="1"/>
  <c r="I76" i="1" s="1"/>
  <c r="G77" i="1"/>
  <c r="H77" i="1"/>
  <c r="I77" i="1" s="1"/>
  <c r="G78" i="1"/>
  <c r="H78" i="1"/>
  <c r="F31" i="3" s="1"/>
  <c r="G79" i="1"/>
  <c r="H79" i="1"/>
  <c r="I79" i="1" s="1"/>
  <c r="G80" i="1"/>
  <c r="H80" i="1"/>
  <c r="F33" i="3" s="1"/>
  <c r="G81" i="1"/>
  <c r="H81" i="1"/>
  <c r="I81" i="1" s="1"/>
  <c r="G82" i="1"/>
  <c r="H82" i="1"/>
  <c r="I82" i="1" s="1"/>
  <c r="G83" i="1"/>
  <c r="H83" i="1"/>
  <c r="F36" i="3" s="1"/>
  <c r="G84" i="1"/>
  <c r="H84" i="1"/>
  <c r="I84" i="1" s="1"/>
  <c r="G85" i="1"/>
  <c r="H85" i="1"/>
  <c r="F38" i="3" s="1"/>
  <c r="G86" i="1"/>
  <c r="H86" i="1"/>
  <c r="I86" i="1" s="1"/>
  <c r="G87" i="1"/>
  <c r="H87" i="1"/>
  <c r="I87" i="1" s="1"/>
  <c r="G88" i="1"/>
  <c r="H88" i="1"/>
  <c r="F41" i="3" s="1"/>
  <c r="G89" i="1"/>
  <c r="H89" i="1"/>
  <c r="I89" i="1" s="1"/>
  <c r="G90" i="1"/>
  <c r="H90" i="1"/>
  <c r="F43" i="3" s="1"/>
  <c r="G91" i="1"/>
  <c r="H91" i="1"/>
  <c r="I91" i="1" s="1"/>
  <c r="G92" i="1"/>
  <c r="H92" i="1"/>
  <c r="F45" i="3" s="1"/>
  <c r="G93" i="1"/>
  <c r="H93" i="1"/>
  <c r="F46" i="3" s="1"/>
  <c r="G94" i="1"/>
  <c r="H94" i="1"/>
  <c r="F47" i="3" s="1"/>
  <c r="G95" i="1"/>
  <c r="H95" i="1"/>
  <c r="I95" i="1" s="1"/>
  <c r="O95" i="1" s="1"/>
  <c r="H72" i="1"/>
  <c r="E90" i="3"/>
  <c r="F90" i="3"/>
  <c r="E91" i="3"/>
  <c r="F91" i="3"/>
  <c r="F89" i="3"/>
  <c r="E89" i="3"/>
  <c r="D88" i="3"/>
  <c r="L169" i="1"/>
  <c r="G91" i="3" s="1"/>
  <c r="L168" i="1"/>
  <c r="G90" i="3" s="1"/>
  <c r="L167" i="1"/>
  <c r="G89" i="3" s="1"/>
  <c r="S163" i="1"/>
  <c r="S164" i="1" s="1"/>
  <c r="S165" i="1" s="1"/>
  <c r="S159" i="1"/>
  <c r="S161" i="1" s="1"/>
  <c r="S155" i="1"/>
  <c r="S156" i="1" s="1"/>
  <c r="S157" i="1" s="1"/>
  <c r="E179" i="1"/>
  <c r="F35" i="3" l="1"/>
  <c r="F30" i="3"/>
  <c r="F28" i="3"/>
  <c r="F42" i="3"/>
  <c r="F32" i="3"/>
  <c r="F48" i="3"/>
  <c r="F40" i="3"/>
  <c r="F27" i="3"/>
  <c r="F44" i="3"/>
  <c r="F37" i="3"/>
  <c r="F29" i="3"/>
  <c r="F34" i="3"/>
  <c r="F26" i="3"/>
  <c r="F39" i="3"/>
  <c r="I80" i="1"/>
  <c r="I85" i="1"/>
  <c r="I92" i="1"/>
  <c r="I90" i="1"/>
  <c r="H90" i="3"/>
  <c r="I90" i="3" s="1"/>
  <c r="H89" i="3"/>
  <c r="I89" i="3" s="1"/>
  <c r="H91" i="3"/>
  <c r="I91" i="3" s="1"/>
  <c r="I94" i="1"/>
  <c r="I93" i="1"/>
  <c r="I88" i="1"/>
  <c r="I83" i="1"/>
  <c r="I78" i="1"/>
  <c r="S160" i="1"/>
  <c r="L4" i="2"/>
  <c r="L113" i="1"/>
  <c r="A19" i="2"/>
  <c r="A20" i="2" s="1"/>
  <c r="A15" i="2"/>
  <c r="I19" i="2"/>
  <c r="E175" i="1"/>
  <c r="E176" i="1" s="1"/>
  <c r="E177" i="1" s="1"/>
  <c r="I115" i="1"/>
  <c r="I63" i="1"/>
  <c r="I49" i="1"/>
  <c r="I36" i="1"/>
  <c r="I23" i="1"/>
  <c r="I11" i="1"/>
  <c r="I18" i="2" l="1"/>
  <c r="G12" i="1"/>
  <c r="V34" i="1" l="1"/>
  <c r="V33" i="1"/>
  <c r="F58" i="3" l="1"/>
  <c r="E58" i="3"/>
  <c r="F57" i="3"/>
  <c r="E57" i="3"/>
  <c r="G56" i="3"/>
  <c r="F56" i="3"/>
  <c r="E56" i="3"/>
  <c r="H56" i="3" l="1"/>
  <c r="I56" i="3" s="1"/>
  <c r="G58" i="3"/>
  <c r="H58" i="3" s="1"/>
  <c r="I58" i="3" s="1"/>
  <c r="M111" i="1" l="1"/>
  <c r="I112" i="1"/>
  <c r="I111" i="1"/>
  <c r="I113" i="1"/>
  <c r="I110" i="1"/>
  <c r="E21" i="3"/>
  <c r="F21" i="3"/>
  <c r="E22" i="3"/>
  <c r="F22" i="3"/>
  <c r="E23" i="3"/>
  <c r="F23" i="3"/>
  <c r="E61" i="3"/>
  <c r="F61" i="3"/>
  <c r="E63" i="3"/>
  <c r="F63" i="3"/>
  <c r="E64" i="3"/>
  <c r="F64" i="3"/>
  <c r="E66" i="3"/>
  <c r="F66" i="3"/>
  <c r="E67" i="3"/>
  <c r="F67" i="3"/>
  <c r="E68" i="3"/>
  <c r="F68" i="3"/>
  <c r="E69" i="3"/>
  <c r="F69" i="3"/>
  <c r="E71" i="3"/>
  <c r="F71" i="3"/>
  <c r="E72" i="3"/>
  <c r="F72" i="3"/>
  <c r="E73" i="3"/>
  <c r="F73" i="3"/>
  <c r="E74" i="3"/>
  <c r="F74" i="3"/>
  <c r="E76" i="3"/>
  <c r="F76" i="3"/>
  <c r="E77" i="3"/>
  <c r="F77" i="3"/>
  <c r="E78" i="3"/>
  <c r="F78" i="3"/>
  <c r="E79" i="3"/>
  <c r="F79" i="3"/>
  <c r="E81" i="3"/>
  <c r="F81" i="3"/>
  <c r="E82" i="3"/>
  <c r="F82" i="3"/>
  <c r="E83" i="3"/>
  <c r="F83" i="3"/>
  <c r="E85" i="3"/>
  <c r="F85" i="3"/>
  <c r="E86" i="3"/>
  <c r="F86" i="3"/>
  <c r="E87" i="3"/>
  <c r="F87" i="3"/>
  <c r="F60" i="3"/>
  <c r="E60" i="3"/>
  <c r="C62" i="3"/>
  <c r="D62" i="3"/>
  <c r="C65" i="3"/>
  <c r="D65" i="3"/>
  <c r="C70" i="3"/>
  <c r="D70" i="3"/>
  <c r="C75" i="3"/>
  <c r="D75" i="3"/>
  <c r="C80" i="3"/>
  <c r="D80" i="3"/>
  <c r="C84" i="3"/>
  <c r="D84" i="3"/>
  <c r="C59" i="3"/>
  <c r="D59" i="3"/>
  <c r="T111" i="1" l="1"/>
  <c r="M112" i="1" l="1"/>
  <c r="G57" i="3"/>
  <c r="H57" i="3" s="1"/>
  <c r="I57" i="3" s="1"/>
  <c r="N111" i="1"/>
  <c r="O111" i="1" s="1"/>
  <c r="E121" i="1"/>
  <c r="E114" i="3" s="1"/>
  <c r="E69" i="1"/>
  <c r="E112" i="3" s="1"/>
  <c r="E55" i="1"/>
  <c r="E111" i="3" s="1"/>
  <c r="E42" i="1"/>
  <c r="E110" i="3" s="1"/>
  <c r="E29" i="1"/>
  <c r="E109" i="3" s="1"/>
  <c r="G127" i="1" l="1"/>
  <c r="N129" i="1"/>
  <c r="G129" i="1"/>
  <c r="F13" i="1"/>
  <c r="G13" i="1" s="1"/>
  <c r="G128" i="1" s="1"/>
  <c r="G8" i="1"/>
  <c r="I102" i="1"/>
  <c r="M102" i="1" s="1"/>
  <c r="I103" i="1"/>
  <c r="I59" i="1"/>
  <c r="F46" i="1"/>
  <c r="F45" i="1"/>
  <c r="F9" i="1"/>
  <c r="F21" i="1"/>
  <c r="G126" i="1" l="1"/>
  <c r="I126" i="1"/>
  <c r="E17" i="1"/>
  <c r="E108" i="3" s="1"/>
  <c r="G55" i="3"/>
  <c r="F55" i="3"/>
  <c r="E55" i="3"/>
  <c r="C54" i="3"/>
  <c r="D54" i="3"/>
  <c r="F25" i="3"/>
  <c r="C24" i="3"/>
  <c r="D24" i="3"/>
  <c r="F20" i="3"/>
  <c r="E20" i="3"/>
  <c r="C19" i="3"/>
  <c r="D19" i="3"/>
  <c r="E17" i="3"/>
  <c r="F17" i="3"/>
  <c r="E18" i="3"/>
  <c r="F18" i="3"/>
  <c r="F16" i="3"/>
  <c r="E16" i="3"/>
  <c r="C15" i="3"/>
  <c r="D15" i="3"/>
  <c r="E13" i="3"/>
  <c r="F13" i="3"/>
  <c r="E14" i="3"/>
  <c r="F14" i="3"/>
  <c r="F12" i="3"/>
  <c r="E12" i="3"/>
  <c r="C11" i="3"/>
  <c r="D11" i="3"/>
  <c r="E10" i="3"/>
  <c r="F10" i="3"/>
  <c r="F9" i="3"/>
  <c r="E9" i="3"/>
  <c r="C8" i="3"/>
  <c r="D8" i="3"/>
  <c r="E7" i="3"/>
  <c r="F7" i="3"/>
  <c r="F6" i="3"/>
  <c r="E6" i="3"/>
  <c r="C5" i="3"/>
  <c r="D5" i="3"/>
  <c r="A1" i="3"/>
  <c r="H55" i="3" l="1"/>
  <c r="I55" i="3" s="1"/>
  <c r="L31" i="2"/>
  <c r="G18" i="2"/>
  <c r="C18" i="2"/>
  <c r="B18" i="2"/>
  <c r="G119" i="1"/>
  <c r="I118" i="1"/>
  <c r="M118" i="1" s="1"/>
  <c r="I117" i="1"/>
  <c r="M117" i="1" s="1"/>
  <c r="N117" i="1" s="1"/>
  <c r="I116" i="1"/>
  <c r="M116" i="1" s="1"/>
  <c r="N116" i="1" s="1"/>
  <c r="M115" i="1"/>
  <c r="D102" i="3" l="1"/>
  <c r="D114" i="3"/>
  <c r="C114" i="3"/>
  <c r="C102" i="3"/>
  <c r="G114" i="1"/>
  <c r="I114" i="1"/>
  <c r="J111" i="1" s="1"/>
  <c r="N115" i="1"/>
  <c r="M119" i="1"/>
  <c r="I119" i="1"/>
  <c r="G120" i="1" l="1"/>
  <c r="G121" i="1" s="1"/>
  <c r="D18" i="2"/>
  <c r="K114" i="1"/>
  <c r="E18" i="2"/>
  <c r="J113" i="1"/>
  <c r="J112" i="1"/>
  <c r="J110" i="1"/>
  <c r="I120" i="1"/>
  <c r="I121" i="1" s="1"/>
  <c r="N119" i="1"/>
  <c r="O119" i="1" s="1"/>
  <c r="S114" i="1" l="1"/>
  <c r="T113" i="1" s="1"/>
  <c r="J114" i="1"/>
  <c r="M113" i="1" l="1"/>
  <c r="N113" i="1" s="1"/>
  <c r="O113" i="1" s="1"/>
  <c r="T110" i="1"/>
  <c r="M110" i="1"/>
  <c r="N110" i="1" l="1"/>
  <c r="O110" i="1" l="1"/>
  <c r="C14" i="2"/>
  <c r="D99" i="3" l="1"/>
  <c r="D111" i="3"/>
  <c r="I60" i="1"/>
  <c r="G60" i="1"/>
  <c r="I21" i="1"/>
  <c r="G21" i="1"/>
  <c r="I46" i="1" l="1"/>
  <c r="G46" i="1"/>
  <c r="I33" i="1"/>
  <c r="G33" i="1"/>
  <c r="A8" i="1" l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8" i="1" s="1"/>
  <c r="A89" i="1" s="1"/>
  <c r="A90" i="1" s="1"/>
  <c r="A91" i="1" s="1"/>
  <c r="A92" i="1" s="1"/>
  <c r="A93" i="1" s="1"/>
  <c r="A94" i="1" s="1"/>
  <c r="A95" i="1" s="1"/>
  <c r="A96" i="1" l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I66" i="1"/>
  <c r="M66" i="1" s="1"/>
  <c r="I65" i="1"/>
  <c r="M65" i="1" s="1"/>
  <c r="I64" i="1"/>
  <c r="M64" i="1" s="1"/>
  <c r="I52" i="1"/>
  <c r="M52" i="1" s="1"/>
  <c r="I51" i="1"/>
  <c r="M51" i="1" s="1"/>
  <c r="I50" i="1"/>
  <c r="M50" i="1" s="1"/>
  <c r="I39" i="1"/>
  <c r="M39" i="1" s="1"/>
  <c r="I37" i="1"/>
  <c r="I26" i="1"/>
  <c r="M26" i="1" s="1"/>
  <c r="I25" i="1"/>
  <c r="M25" i="1" s="1"/>
  <c r="I24" i="1"/>
  <c r="M24" i="1" s="1"/>
  <c r="I14" i="1"/>
  <c r="I13" i="1"/>
  <c r="I12" i="1"/>
  <c r="B27" i="2"/>
  <c r="I127" i="1" l="1"/>
  <c r="I129" i="1"/>
  <c r="E27" i="2" s="1"/>
  <c r="M13" i="1"/>
  <c r="M12" i="1"/>
  <c r="M14" i="1"/>
  <c r="M129" i="1" s="1"/>
  <c r="I27" i="1"/>
  <c r="I53" i="1"/>
  <c r="M37" i="1"/>
  <c r="G40" i="1"/>
  <c r="I38" i="1"/>
  <c r="M38" i="1" s="1"/>
  <c r="G15" i="1"/>
  <c r="G67" i="1"/>
  <c r="D27" i="2"/>
  <c r="G53" i="1"/>
  <c r="G27" i="1"/>
  <c r="I128" i="1" l="1"/>
  <c r="I130" i="1" s="1"/>
  <c r="J27" i="2"/>
  <c r="I15" i="1"/>
  <c r="I67" i="1"/>
  <c r="I40" i="1"/>
  <c r="E26" i="2" l="1"/>
  <c r="E25" i="2"/>
  <c r="D26" i="2"/>
  <c r="D25" i="2"/>
  <c r="C13" i="2"/>
  <c r="C19" i="2"/>
  <c r="C15" i="2"/>
  <c r="B15" i="2"/>
  <c r="B19" i="2"/>
  <c r="B14" i="2"/>
  <c r="B13" i="2"/>
  <c r="C12" i="2"/>
  <c r="C11" i="2"/>
  <c r="B12" i="2"/>
  <c r="B11" i="2"/>
  <c r="N51" i="1"/>
  <c r="N50" i="1"/>
  <c r="M49" i="1"/>
  <c r="I47" i="1"/>
  <c r="G47" i="1"/>
  <c r="I45" i="1"/>
  <c r="G45" i="1"/>
  <c r="N25" i="1"/>
  <c r="N24" i="1"/>
  <c r="M23" i="1"/>
  <c r="I20" i="1"/>
  <c r="G20" i="1"/>
  <c r="N37" i="1"/>
  <c r="M36" i="1"/>
  <c r="I34" i="1"/>
  <c r="G34" i="1"/>
  <c r="I32" i="1"/>
  <c r="G32" i="1"/>
  <c r="N65" i="1"/>
  <c r="N64" i="1"/>
  <c r="M63" i="1"/>
  <c r="I61" i="1"/>
  <c r="J59" i="1" s="1"/>
  <c r="I58" i="1"/>
  <c r="C113" i="3" l="1"/>
  <c r="C101" i="3"/>
  <c r="C96" i="3"/>
  <c r="C108" i="3"/>
  <c r="D101" i="3"/>
  <c r="D113" i="3"/>
  <c r="C109" i="3"/>
  <c r="C97" i="3"/>
  <c r="D112" i="3"/>
  <c r="D100" i="3"/>
  <c r="D108" i="3"/>
  <c r="D96" i="3"/>
  <c r="D110" i="3"/>
  <c r="D98" i="3"/>
  <c r="D97" i="3"/>
  <c r="D109" i="3"/>
  <c r="C110" i="3"/>
  <c r="C98" i="3"/>
  <c r="C99" i="3"/>
  <c r="C111" i="3"/>
  <c r="C100" i="3"/>
  <c r="C112" i="3"/>
  <c r="N23" i="1"/>
  <c r="M27" i="1"/>
  <c r="N63" i="1"/>
  <c r="M67" i="1"/>
  <c r="N49" i="1"/>
  <c r="M53" i="1"/>
  <c r="N36" i="1"/>
  <c r="M40" i="1"/>
  <c r="N40" i="1" s="1"/>
  <c r="O40" i="1" s="1"/>
  <c r="G130" i="1"/>
  <c r="E24" i="2"/>
  <c r="E28" i="2" s="1"/>
  <c r="G48" i="1"/>
  <c r="D14" i="2" s="1"/>
  <c r="D24" i="2"/>
  <c r="D28" i="2" s="1"/>
  <c r="G22" i="1"/>
  <c r="D12" i="2" s="1"/>
  <c r="I48" i="1"/>
  <c r="I22" i="1"/>
  <c r="G35" i="1"/>
  <c r="N38" i="1"/>
  <c r="I35" i="1"/>
  <c r="J34" i="1" s="1"/>
  <c r="I62" i="1"/>
  <c r="K62" i="1" s="1"/>
  <c r="G62" i="1"/>
  <c r="G72" i="1"/>
  <c r="G101" i="1" s="1"/>
  <c r="I72" i="1"/>
  <c r="I101" i="1" s="1"/>
  <c r="G106" i="1"/>
  <c r="M104" i="1"/>
  <c r="M128" i="1" s="1"/>
  <c r="M103" i="1"/>
  <c r="M127" i="1" s="1"/>
  <c r="B25" i="2"/>
  <c r="B26" i="2"/>
  <c r="B24" i="2"/>
  <c r="M11" i="1"/>
  <c r="M126" i="1" s="1"/>
  <c r="I9" i="1"/>
  <c r="I8" i="1"/>
  <c r="G9" i="1"/>
  <c r="A2" i="1"/>
  <c r="A1" i="1"/>
  <c r="A11" i="2"/>
  <c r="A12" i="2" s="1"/>
  <c r="A13" i="2" s="1"/>
  <c r="A14" i="2" s="1"/>
  <c r="A16" i="2" s="1"/>
  <c r="A17" i="2" s="1"/>
  <c r="A18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J100" i="1" l="1"/>
  <c r="J96" i="1"/>
  <c r="J98" i="1"/>
  <c r="J99" i="1"/>
  <c r="J97" i="1"/>
  <c r="M130" i="1"/>
  <c r="M15" i="1"/>
  <c r="N102" i="1"/>
  <c r="J21" i="1"/>
  <c r="E14" i="2"/>
  <c r="J46" i="1"/>
  <c r="N103" i="1"/>
  <c r="N104" i="1"/>
  <c r="J26" i="2"/>
  <c r="J47" i="1"/>
  <c r="J33" i="1"/>
  <c r="J61" i="1"/>
  <c r="J60" i="1"/>
  <c r="J45" i="1"/>
  <c r="J32" i="1"/>
  <c r="J58" i="1"/>
  <c r="J20" i="1"/>
  <c r="G54" i="1"/>
  <c r="G55" i="1" s="1"/>
  <c r="G28" i="1"/>
  <c r="G29" i="1" s="1"/>
  <c r="N12" i="1"/>
  <c r="J25" i="2"/>
  <c r="N13" i="1"/>
  <c r="G41" i="1"/>
  <c r="G42" i="1" s="1"/>
  <c r="D13" i="2"/>
  <c r="I54" i="1"/>
  <c r="I55" i="1" s="1"/>
  <c r="G68" i="1"/>
  <c r="G69" i="1" s="1"/>
  <c r="D19" i="2"/>
  <c r="I68" i="1"/>
  <c r="I69" i="1" s="1"/>
  <c r="E19" i="2"/>
  <c r="I41" i="1"/>
  <c r="I42" i="1" s="1"/>
  <c r="E13" i="2"/>
  <c r="I28" i="1"/>
  <c r="I29" i="1" s="1"/>
  <c r="E12" i="2"/>
  <c r="N53" i="1"/>
  <c r="O53" i="1" s="1"/>
  <c r="N27" i="1"/>
  <c r="O27" i="1" s="1"/>
  <c r="N67" i="1"/>
  <c r="O67" i="1" s="1"/>
  <c r="G10" i="1"/>
  <c r="I10" i="1"/>
  <c r="I106" i="1"/>
  <c r="N11" i="1"/>
  <c r="J80" i="1" l="1"/>
  <c r="J77" i="1"/>
  <c r="J85" i="1"/>
  <c r="J87" i="1"/>
  <c r="J90" i="1"/>
  <c r="J82" i="1"/>
  <c r="J92" i="1"/>
  <c r="J79" i="1"/>
  <c r="J75" i="1"/>
  <c r="J81" i="1"/>
  <c r="J89" i="1"/>
  <c r="J86" i="1"/>
  <c r="J76" i="1"/>
  <c r="J91" i="1"/>
  <c r="J84" i="1"/>
  <c r="J74" i="1"/>
  <c r="J95" i="1"/>
  <c r="J73" i="1"/>
  <c r="J94" i="1"/>
  <c r="J93" i="1"/>
  <c r="J88" i="1"/>
  <c r="J83" i="1"/>
  <c r="J78" i="1"/>
  <c r="G19" i="2"/>
  <c r="N126" i="1"/>
  <c r="N127" i="1"/>
  <c r="N128" i="1"/>
  <c r="G125" i="1"/>
  <c r="G131" i="1" s="1"/>
  <c r="G12" i="2"/>
  <c r="I125" i="1"/>
  <c r="I131" i="1" s="1"/>
  <c r="G13" i="2"/>
  <c r="G14" i="2"/>
  <c r="D15" i="2"/>
  <c r="J62" i="1"/>
  <c r="J48" i="1"/>
  <c r="J24" i="2"/>
  <c r="J28" i="2" s="1"/>
  <c r="J35" i="1"/>
  <c r="E15" i="2"/>
  <c r="J22" i="1"/>
  <c r="J9" i="1"/>
  <c r="J8" i="1"/>
  <c r="G107" i="1"/>
  <c r="E11" i="2"/>
  <c r="G16" i="1"/>
  <c r="D11" i="2"/>
  <c r="J72" i="1"/>
  <c r="I107" i="1"/>
  <c r="M106" i="1"/>
  <c r="I16" i="1"/>
  <c r="I17" i="1" s="1"/>
  <c r="N15" i="1"/>
  <c r="J101" i="1" l="1"/>
  <c r="N130" i="1"/>
  <c r="G11" i="2"/>
  <c r="G15" i="2"/>
  <c r="D16" i="2"/>
  <c r="D21" i="2" s="1"/>
  <c r="E16" i="2"/>
  <c r="E21" i="2" s="1"/>
  <c r="G17" i="1"/>
  <c r="N106" i="1"/>
  <c r="O106" i="1" s="1"/>
  <c r="J10" i="1"/>
  <c r="D30" i="2" l="1"/>
  <c r="D32" i="2" s="1"/>
  <c r="D33" i="2" s="1"/>
  <c r="G16" i="2"/>
  <c r="G21" i="2" s="1"/>
  <c r="F11" i="2"/>
  <c r="F14" i="2"/>
  <c r="F12" i="2"/>
  <c r="F15" i="2"/>
  <c r="F16" i="2"/>
  <c r="F13" i="2"/>
  <c r="H13" i="2" l="1"/>
  <c r="I13" i="2" s="1"/>
  <c r="K35" i="1" s="1"/>
  <c r="S35" i="1" s="1"/>
  <c r="L33" i="1" s="1"/>
  <c r="G13" i="3" s="1"/>
  <c r="H13" i="3" s="1"/>
  <c r="I13" i="3" s="1"/>
  <c r="H14" i="2"/>
  <c r="I14" i="2" s="1"/>
  <c r="K48" i="1" s="1"/>
  <c r="S48" i="1" s="1"/>
  <c r="L47" i="1" s="1"/>
  <c r="G18" i="3" s="1"/>
  <c r="H18" i="3" s="1"/>
  <c r="I18" i="3" s="1"/>
  <c r="H12" i="2"/>
  <c r="I12" i="2" s="1"/>
  <c r="K22" i="1" s="1"/>
  <c r="S22" i="1" s="1"/>
  <c r="H11" i="2"/>
  <c r="I11" i="2" s="1"/>
  <c r="K10" i="1" s="1"/>
  <c r="S10" i="1" s="1"/>
  <c r="L9" i="1" s="1"/>
  <c r="H15" i="2"/>
  <c r="I15" i="2" s="1"/>
  <c r="K101" i="1" s="1"/>
  <c r="S101" i="1" s="1"/>
  <c r="E30" i="2"/>
  <c r="L96" i="1" l="1"/>
  <c r="G49" i="3" s="1"/>
  <c r="H49" i="3" s="1"/>
  <c r="I49" i="3" s="1"/>
  <c r="L99" i="1"/>
  <c r="G52" i="3" s="1"/>
  <c r="H52" i="3" s="1"/>
  <c r="I52" i="3" s="1"/>
  <c r="L97" i="1"/>
  <c r="G50" i="3" s="1"/>
  <c r="H50" i="3" s="1"/>
  <c r="I50" i="3" s="1"/>
  <c r="L100" i="1"/>
  <c r="G53" i="3" s="1"/>
  <c r="H53" i="3" s="1"/>
  <c r="I53" i="3" s="1"/>
  <c r="L98" i="1"/>
  <c r="G51" i="3" s="1"/>
  <c r="H51" i="3" s="1"/>
  <c r="I51" i="3" s="1"/>
  <c r="L76" i="1"/>
  <c r="G29" i="3" s="1"/>
  <c r="L79" i="1"/>
  <c r="G32" i="3" s="1"/>
  <c r="L82" i="1"/>
  <c r="G35" i="3" s="1"/>
  <c r="L84" i="1"/>
  <c r="G37" i="3" s="1"/>
  <c r="L89" i="1"/>
  <c r="G42" i="3" s="1"/>
  <c r="L92" i="1"/>
  <c r="G45" i="3" s="1"/>
  <c r="L95" i="1"/>
  <c r="G48" i="3" s="1"/>
  <c r="L74" i="1"/>
  <c r="G27" i="3" s="1"/>
  <c r="L81" i="1"/>
  <c r="G34" i="3" s="1"/>
  <c r="L73" i="1"/>
  <c r="G26" i="3" s="1"/>
  <c r="L88" i="1"/>
  <c r="G41" i="3" s="1"/>
  <c r="L94" i="1"/>
  <c r="G47" i="3" s="1"/>
  <c r="L91" i="1"/>
  <c r="G44" i="3" s="1"/>
  <c r="L78" i="1"/>
  <c r="G31" i="3" s="1"/>
  <c r="L80" i="1"/>
  <c r="G33" i="3" s="1"/>
  <c r="L87" i="1"/>
  <c r="G40" i="3" s="1"/>
  <c r="L85" i="1"/>
  <c r="G38" i="3" s="1"/>
  <c r="L77" i="1"/>
  <c r="G30" i="3" s="1"/>
  <c r="L75" i="1"/>
  <c r="G28" i="3" s="1"/>
  <c r="L90" i="1"/>
  <c r="G43" i="3" s="1"/>
  <c r="L93" i="1"/>
  <c r="G46" i="3" s="1"/>
  <c r="L86" i="1"/>
  <c r="G39" i="3" s="1"/>
  <c r="L83" i="1"/>
  <c r="G36" i="3" s="1"/>
  <c r="S62" i="1"/>
  <c r="L58" i="1" s="1"/>
  <c r="L8" i="1"/>
  <c r="T8" i="1" s="1"/>
  <c r="L45" i="1"/>
  <c r="G16" i="3" s="1"/>
  <c r="H16" i="3" s="1"/>
  <c r="I16" i="3" s="1"/>
  <c r="L46" i="1"/>
  <c r="G17" i="3" s="1"/>
  <c r="H17" i="3" s="1"/>
  <c r="I17" i="3" s="1"/>
  <c r="L34" i="1"/>
  <c r="G14" i="3" s="1"/>
  <c r="H14" i="3" s="1"/>
  <c r="I14" i="3" s="1"/>
  <c r="L32" i="1"/>
  <c r="G12" i="3" s="1"/>
  <c r="H12" i="3" s="1"/>
  <c r="I12" i="3" s="1"/>
  <c r="I16" i="2"/>
  <c r="I21" i="2" s="1"/>
  <c r="L72" i="1"/>
  <c r="M72" i="1" s="1"/>
  <c r="G7" i="3"/>
  <c r="H7" i="3" s="1"/>
  <c r="I7" i="3" s="1"/>
  <c r="T112" i="1"/>
  <c r="M33" i="1"/>
  <c r="T33" i="1"/>
  <c r="T9" i="1"/>
  <c r="M9" i="1"/>
  <c r="N9" i="1" s="1"/>
  <c r="O9" i="1" s="1"/>
  <c r="M47" i="1"/>
  <c r="T47" i="1"/>
  <c r="T96" i="1" l="1"/>
  <c r="M96" i="1"/>
  <c r="N96" i="1" s="1"/>
  <c r="T98" i="1"/>
  <c r="M98" i="1"/>
  <c r="T100" i="1"/>
  <c r="M100" i="1"/>
  <c r="T97" i="1"/>
  <c r="M97" i="1"/>
  <c r="T99" i="1"/>
  <c r="M99" i="1"/>
  <c r="N72" i="1"/>
  <c r="O72" i="1" s="1"/>
  <c r="M94" i="1"/>
  <c r="N94" i="1" s="1"/>
  <c r="O94" i="1" s="1"/>
  <c r="T94" i="1"/>
  <c r="M90" i="1"/>
  <c r="N90" i="1" s="1"/>
  <c r="O90" i="1" s="1"/>
  <c r="T90" i="1"/>
  <c r="M85" i="1"/>
  <c r="N85" i="1" s="1"/>
  <c r="O85" i="1" s="1"/>
  <c r="T85" i="1"/>
  <c r="H42" i="3"/>
  <c r="I42" i="3" s="1"/>
  <c r="M88" i="1"/>
  <c r="N88" i="1" s="1"/>
  <c r="O88" i="1" s="1"/>
  <c r="T88" i="1"/>
  <c r="H47" i="3"/>
  <c r="I47" i="3" s="1"/>
  <c r="M89" i="1"/>
  <c r="N89" i="1" s="1"/>
  <c r="O89" i="1" s="1"/>
  <c r="T89" i="1"/>
  <c r="M83" i="1"/>
  <c r="N83" i="1" s="1"/>
  <c r="O83" i="1" s="1"/>
  <c r="T83" i="1"/>
  <c r="H39" i="3"/>
  <c r="I39" i="3" s="1"/>
  <c r="M87" i="1"/>
  <c r="N87" i="1" s="1"/>
  <c r="O87" i="1" s="1"/>
  <c r="H46" i="3"/>
  <c r="I46" i="3" s="1"/>
  <c r="T87" i="1"/>
  <c r="H33" i="3"/>
  <c r="I33" i="3" s="1"/>
  <c r="H45" i="3"/>
  <c r="I45" i="3" s="1"/>
  <c r="M91" i="1"/>
  <c r="N91" i="1" s="1"/>
  <c r="O91" i="1" s="1"/>
  <c r="T91" i="1"/>
  <c r="M93" i="1"/>
  <c r="N93" i="1" s="1"/>
  <c r="O93" i="1" s="1"/>
  <c r="T93" i="1"/>
  <c r="M92" i="1"/>
  <c r="N92" i="1" s="1"/>
  <c r="O92" i="1" s="1"/>
  <c r="T92" i="1"/>
  <c r="M86" i="1"/>
  <c r="N86" i="1" s="1"/>
  <c r="O86" i="1" s="1"/>
  <c r="H44" i="3"/>
  <c r="I44" i="3" s="1"/>
  <c r="T86" i="1"/>
  <c r="M73" i="1"/>
  <c r="N73" i="1" s="1"/>
  <c r="O73" i="1" s="1"/>
  <c r="T73" i="1"/>
  <c r="H26" i="3"/>
  <c r="I26" i="3" s="1"/>
  <c r="H48" i="3"/>
  <c r="I48" i="3" s="1"/>
  <c r="H40" i="3"/>
  <c r="I40" i="3" s="1"/>
  <c r="M82" i="1"/>
  <c r="N82" i="1" s="1"/>
  <c r="O82" i="1" s="1"/>
  <c r="T82" i="1"/>
  <c r="H38" i="3"/>
  <c r="I38" i="3" s="1"/>
  <c r="M74" i="1"/>
  <c r="N74" i="1" s="1"/>
  <c r="O74" i="1" s="1"/>
  <c r="H27" i="3"/>
  <c r="I27" i="3" s="1"/>
  <c r="T74" i="1"/>
  <c r="M79" i="1"/>
  <c r="N79" i="1" s="1"/>
  <c r="O79" i="1" s="1"/>
  <c r="T79" i="1"/>
  <c r="H34" i="3"/>
  <c r="I34" i="3" s="1"/>
  <c r="H36" i="3"/>
  <c r="I36" i="3" s="1"/>
  <c r="H28" i="3"/>
  <c r="I28" i="3" s="1"/>
  <c r="M80" i="1"/>
  <c r="N80" i="1" s="1"/>
  <c r="O80" i="1" s="1"/>
  <c r="T80" i="1"/>
  <c r="H35" i="3"/>
  <c r="I35" i="3" s="1"/>
  <c r="M84" i="1"/>
  <c r="N84" i="1" s="1"/>
  <c r="O84" i="1" s="1"/>
  <c r="T84" i="1"/>
  <c r="H41" i="3"/>
  <c r="I41" i="3" s="1"/>
  <c r="M75" i="1"/>
  <c r="N75" i="1" s="1"/>
  <c r="O75" i="1" s="1"/>
  <c r="H29" i="3"/>
  <c r="I29" i="3" s="1"/>
  <c r="T75" i="1"/>
  <c r="M81" i="1"/>
  <c r="N81" i="1" s="1"/>
  <c r="O81" i="1" s="1"/>
  <c r="H37" i="3"/>
  <c r="I37" i="3" s="1"/>
  <c r="T81" i="1"/>
  <c r="H43" i="3"/>
  <c r="I43" i="3" s="1"/>
  <c r="M77" i="1"/>
  <c r="N77" i="1" s="1"/>
  <c r="O77" i="1" s="1"/>
  <c r="H31" i="3"/>
  <c r="I31" i="3" s="1"/>
  <c r="T77" i="1"/>
  <c r="M78" i="1"/>
  <c r="N78" i="1" s="1"/>
  <c r="O78" i="1" s="1"/>
  <c r="H32" i="3"/>
  <c r="I32" i="3" s="1"/>
  <c r="T78" i="1"/>
  <c r="M95" i="1"/>
  <c r="N95" i="1" s="1"/>
  <c r="T95" i="1"/>
  <c r="M76" i="1"/>
  <c r="N76" i="1" s="1"/>
  <c r="O76" i="1" s="1"/>
  <c r="H30" i="3"/>
  <c r="I30" i="3" s="1"/>
  <c r="T76" i="1"/>
  <c r="L61" i="1"/>
  <c r="G23" i="3" s="1"/>
  <c r="H23" i="3" s="1"/>
  <c r="I23" i="3" s="1"/>
  <c r="T34" i="1"/>
  <c r="G6" i="3"/>
  <c r="H6" i="3" s="1"/>
  <c r="I6" i="3" s="1"/>
  <c r="M34" i="1"/>
  <c r="N34" i="1" s="1"/>
  <c r="O34" i="1" s="1"/>
  <c r="G20" i="3"/>
  <c r="H20" i="3" s="1"/>
  <c r="I20" i="3" s="1"/>
  <c r="T58" i="1"/>
  <c r="M58" i="1"/>
  <c r="N58" i="1" s="1"/>
  <c r="G25" i="3"/>
  <c r="H25" i="3" s="1"/>
  <c r="I25" i="3" s="1"/>
  <c r="T72" i="1"/>
  <c r="L60" i="1"/>
  <c r="G22" i="3" s="1"/>
  <c r="H22" i="3" s="1"/>
  <c r="I22" i="3" s="1"/>
  <c r="L59" i="1"/>
  <c r="M32" i="1"/>
  <c r="M8" i="1"/>
  <c r="N8" i="1" s="1"/>
  <c r="M45" i="1"/>
  <c r="N45" i="1" s="1"/>
  <c r="O45" i="1" s="1"/>
  <c r="T32" i="1"/>
  <c r="T46" i="1"/>
  <c r="M46" i="1"/>
  <c r="N46" i="1" s="1"/>
  <c r="O46" i="1" s="1"/>
  <c r="N112" i="1"/>
  <c r="M114" i="1"/>
  <c r="P111" i="1" s="1"/>
  <c r="Q111" i="1" s="1"/>
  <c r="N33" i="1"/>
  <c r="O33" i="1" s="1"/>
  <c r="N47" i="1"/>
  <c r="O47" i="1" s="1"/>
  <c r="N98" i="1" l="1"/>
  <c r="N97" i="1"/>
  <c r="N100" i="1"/>
  <c r="N99" i="1"/>
  <c r="M101" i="1"/>
  <c r="P97" i="1" s="1"/>
  <c r="Q97" i="1" s="1"/>
  <c r="M61" i="1"/>
  <c r="N61" i="1" s="1"/>
  <c r="O61" i="1" s="1"/>
  <c r="T61" i="1"/>
  <c r="M35" i="1"/>
  <c r="P34" i="1" s="1"/>
  <c r="Q34" i="1" s="1"/>
  <c r="G21" i="3"/>
  <c r="H21" i="3" s="1"/>
  <c r="I21" i="3" s="1"/>
  <c r="L150" i="1"/>
  <c r="M10" i="1"/>
  <c r="M16" i="1" s="1"/>
  <c r="O112" i="1"/>
  <c r="N114" i="1"/>
  <c r="T59" i="1"/>
  <c r="M59" i="1"/>
  <c r="N59" i="1" s="1"/>
  <c r="O59" i="1" s="1"/>
  <c r="T60" i="1"/>
  <c r="M60" i="1"/>
  <c r="N60" i="1" s="1"/>
  <c r="O60" i="1" s="1"/>
  <c r="N32" i="1"/>
  <c r="O32" i="1" s="1"/>
  <c r="M48" i="1"/>
  <c r="J14" i="2" s="1"/>
  <c r="O14" i="2" s="1"/>
  <c r="O58" i="1"/>
  <c r="O8" i="1"/>
  <c r="N10" i="1"/>
  <c r="N48" i="1"/>
  <c r="O48" i="1" s="1"/>
  <c r="P110" i="1"/>
  <c r="P113" i="1"/>
  <c r="Q113" i="1" s="1"/>
  <c r="P112" i="1"/>
  <c r="Q112" i="1" s="1"/>
  <c r="J18" i="2"/>
  <c r="R114" i="1"/>
  <c r="M120" i="1"/>
  <c r="M121" i="1" s="1"/>
  <c r="N121" i="1" s="1"/>
  <c r="F114" i="3" s="1"/>
  <c r="P96" i="1" l="1"/>
  <c r="Q96" i="1" s="1"/>
  <c r="P98" i="1"/>
  <c r="Q98" i="1" s="1"/>
  <c r="P100" i="1"/>
  <c r="Q100" i="1" s="1"/>
  <c r="P99" i="1"/>
  <c r="Q99" i="1" s="1"/>
  <c r="P92" i="1"/>
  <c r="Q92" i="1" s="1"/>
  <c r="P81" i="1"/>
  <c r="Q81" i="1" s="1"/>
  <c r="P77" i="1"/>
  <c r="Q77" i="1" s="1"/>
  <c r="P93" i="1"/>
  <c r="Q93" i="1" s="1"/>
  <c r="P95" i="1"/>
  <c r="Q95" i="1" s="1"/>
  <c r="P83" i="1"/>
  <c r="Q83" i="1" s="1"/>
  <c r="P73" i="1"/>
  <c r="Q73" i="1" s="1"/>
  <c r="P75" i="1"/>
  <c r="Q75" i="1" s="1"/>
  <c r="P78" i="1"/>
  <c r="Q78" i="1" s="1"/>
  <c r="P94" i="1"/>
  <c r="Q94" i="1" s="1"/>
  <c r="P80" i="1"/>
  <c r="Q80" i="1" s="1"/>
  <c r="P87" i="1"/>
  <c r="Q87" i="1" s="1"/>
  <c r="P74" i="1"/>
  <c r="Q74" i="1" s="1"/>
  <c r="P90" i="1"/>
  <c r="Q90" i="1" s="1"/>
  <c r="P85" i="1"/>
  <c r="Q85" i="1" s="1"/>
  <c r="P79" i="1"/>
  <c r="Q79" i="1" s="1"/>
  <c r="P89" i="1"/>
  <c r="Q89" i="1" s="1"/>
  <c r="P84" i="1"/>
  <c r="Q84" i="1" s="1"/>
  <c r="P76" i="1"/>
  <c r="Q76" i="1" s="1"/>
  <c r="P91" i="1"/>
  <c r="Q91" i="1" s="1"/>
  <c r="P86" i="1"/>
  <c r="Q86" i="1" s="1"/>
  <c r="P88" i="1"/>
  <c r="Q88" i="1" s="1"/>
  <c r="P82" i="1"/>
  <c r="Q82" i="1" s="1"/>
  <c r="O18" i="2"/>
  <c r="P8" i="1"/>
  <c r="Q8" i="1" s="1"/>
  <c r="R10" i="1"/>
  <c r="P33" i="1"/>
  <c r="Q33" i="1" s="1"/>
  <c r="P32" i="1"/>
  <c r="Q32" i="1" s="1"/>
  <c r="M41" i="1"/>
  <c r="M42" i="1" s="1"/>
  <c r="N42" i="1" s="1"/>
  <c r="J13" i="2"/>
  <c r="O13" i="2" s="1"/>
  <c r="R35" i="1"/>
  <c r="P9" i="1"/>
  <c r="Q9" i="1" s="1"/>
  <c r="J11" i="2"/>
  <c r="O11" i="2" s="1"/>
  <c r="L164" i="1"/>
  <c r="G86" i="3" s="1"/>
  <c r="H86" i="3" s="1"/>
  <c r="I86" i="3" s="1"/>
  <c r="L156" i="1"/>
  <c r="G78" i="3" s="1"/>
  <c r="H78" i="3" s="1"/>
  <c r="I78" i="3" s="1"/>
  <c r="L160" i="1"/>
  <c r="G82" i="3" s="1"/>
  <c r="H82" i="3" s="1"/>
  <c r="I82" i="3" s="1"/>
  <c r="G72" i="3"/>
  <c r="H72" i="3" s="1"/>
  <c r="I72" i="3" s="1"/>
  <c r="P46" i="1"/>
  <c r="Q46" i="1" s="1"/>
  <c r="P72" i="1"/>
  <c r="R101" i="1"/>
  <c r="J15" i="2"/>
  <c r="L15" i="2" s="1"/>
  <c r="M107" i="1"/>
  <c r="N107" i="1" s="1"/>
  <c r="O107" i="1" s="1"/>
  <c r="N15" i="2" s="1"/>
  <c r="G101" i="3" s="1"/>
  <c r="M62" i="1"/>
  <c r="P60" i="1" s="1"/>
  <c r="Q60" i="1" s="1"/>
  <c r="N101" i="1"/>
  <c r="O101" i="1" s="1"/>
  <c r="N35" i="1"/>
  <c r="L13" i="2" s="1"/>
  <c r="M54" i="1"/>
  <c r="M55" i="1" s="1"/>
  <c r="N55" i="1" s="1"/>
  <c r="F111" i="3" s="1"/>
  <c r="N62" i="1"/>
  <c r="O62" i="1" s="1"/>
  <c r="S149" i="1" s="1"/>
  <c r="P45" i="1"/>
  <c r="Q45" i="1" s="1"/>
  <c r="P47" i="1"/>
  <c r="Q47" i="1" s="1"/>
  <c r="R48" i="1"/>
  <c r="L14" i="2"/>
  <c r="K18" i="2"/>
  <c r="O114" i="1"/>
  <c r="L18" i="2"/>
  <c r="P114" i="1"/>
  <c r="Q114" i="1" s="1"/>
  <c r="Q110" i="1"/>
  <c r="N120" i="1"/>
  <c r="O120" i="1" s="1"/>
  <c r="N18" i="2" s="1"/>
  <c r="O10" i="1"/>
  <c r="L11" i="2"/>
  <c r="M17" i="1"/>
  <c r="N17" i="1" s="1"/>
  <c r="N16" i="1"/>
  <c r="O16" i="1" s="1"/>
  <c r="N11" i="2" s="1"/>
  <c r="P101" i="1" l="1"/>
  <c r="Q72" i="1"/>
  <c r="S150" i="1"/>
  <c r="S151" i="1" s="1"/>
  <c r="S152" i="1" s="1"/>
  <c r="F102" i="3"/>
  <c r="N41" i="1"/>
  <c r="O41" i="1" s="1"/>
  <c r="N13" i="2" s="1"/>
  <c r="G98" i="3" s="1"/>
  <c r="P10" i="1"/>
  <c r="Q10" i="1" s="1"/>
  <c r="P35" i="1"/>
  <c r="Q35" i="1" s="1"/>
  <c r="G114" i="3"/>
  <c r="G102" i="3"/>
  <c r="M68" i="1"/>
  <c r="N68" i="1" s="1"/>
  <c r="O68" i="1" s="1"/>
  <c r="N19" i="2" s="1"/>
  <c r="G112" i="3" s="1"/>
  <c r="R62" i="1"/>
  <c r="P59" i="1"/>
  <c r="Q59" i="1" s="1"/>
  <c r="P61" i="1"/>
  <c r="Q61" i="1" s="1"/>
  <c r="J19" i="2"/>
  <c r="O19" i="2" s="1"/>
  <c r="P58" i="1"/>
  <c r="Q58" i="1" s="1"/>
  <c r="O15" i="2"/>
  <c r="O55" i="1"/>
  <c r="O35" i="1"/>
  <c r="N54" i="1"/>
  <c r="O54" i="1" s="1"/>
  <c r="N14" i="2" s="1"/>
  <c r="G99" i="3" s="1"/>
  <c r="G113" i="3"/>
  <c r="P48" i="1"/>
  <c r="Q48" i="1" s="1"/>
  <c r="L19" i="2"/>
  <c r="M19" i="2" s="1"/>
  <c r="M15" i="2"/>
  <c r="F101" i="3"/>
  <c r="M13" i="2"/>
  <c r="F98" i="3"/>
  <c r="G96" i="3"/>
  <c r="G108" i="3"/>
  <c r="M14" i="2"/>
  <c r="F99" i="3"/>
  <c r="O42" i="1"/>
  <c r="F110" i="3"/>
  <c r="O17" i="1"/>
  <c r="F108" i="3"/>
  <c r="M11" i="2"/>
  <c r="F96" i="3"/>
  <c r="Q101" i="1"/>
  <c r="M18" i="2"/>
  <c r="G110" i="3" l="1"/>
  <c r="M69" i="1"/>
  <c r="N69" i="1" s="1"/>
  <c r="O69" i="1" s="1"/>
  <c r="G100" i="3"/>
  <c r="P62" i="1"/>
  <c r="Q62" i="1" s="1"/>
  <c r="G111" i="3"/>
  <c r="F100" i="3"/>
  <c r="L20" i="1"/>
  <c r="M20" i="1" s="1"/>
  <c r="L21" i="1"/>
  <c r="M21" i="1" s="1"/>
  <c r="F112" i="3" l="1"/>
  <c r="G9" i="3"/>
  <c r="H9" i="3" s="1"/>
  <c r="I9" i="3" s="1"/>
  <c r="T21" i="1"/>
  <c r="G10" i="3"/>
  <c r="H10" i="3" s="1"/>
  <c r="I10" i="3" s="1"/>
  <c r="N20" i="1"/>
  <c r="N21" i="1"/>
  <c r="O21" i="1" s="1"/>
  <c r="O20" i="1" l="1"/>
  <c r="N22" i="1"/>
  <c r="M22" i="1"/>
  <c r="M125" i="1" s="1"/>
  <c r="M131" i="1" s="1"/>
  <c r="P20" i="1" l="1"/>
  <c r="Q20" i="1" s="1"/>
  <c r="M28" i="1"/>
  <c r="N28" i="1" s="1"/>
  <c r="O28" i="1" s="1"/>
  <c r="N12" i="2" s="1"/>
  <c r="P21" i="1"/>
  <c r="Q21" i="1" s="1"/>
  <c r="J12" i="2"/>
  <c r="O12" i="2" s="1"/>
  <c r="N125" i="1"/>
  <c r="N131" i="1" s="1"/>
  <c r="R22" i="1"/>
  <c r="G109" i="3" l="1"/>
  <c r="G97" i="3"/>
  <c r="O22" i="1"/>
  <c r="J16" i="2"/>
  <c r="J21" i="2" s="1"/>
  <c r="L12" i="2"/>
  <c r="M29" i="1"/>
  <c r="N29" i="1" s="1"/>
  <c r="P22" i="1"/>
  <c r="Q22" i="1" s="1"/>
  <c r="M12" i="2" l="1"/>
  <c r="F97" i="3"/>
  <c r="O29" i="1"/>
  <c r="F109" i="3"/>
  <c r="O125" i="1"/>
  <c r="L16" i="2"/>
  <c r="L21" i="2" s="1"/>
  <c r="K12" i="2"/>
  <c r="O16" i="2"/>
  <c r="O21" i="2" s="1"/>
  <c r="K11" i="2"/>
  <c r="K16" i="2"/>
  <c r="K14" i="2"/>
  <c r="K15" i="2"/>
  <c r="K13" i="2"/>
  <c r="N133" i="1"/>
  <c r="J30" i="2"/>
  <c r="L30" i="2" s="1"/>
  <c r="F103" i="3" s="1"/>
  <c r="M16" i="2" l="1"/>
  <c r="S147" i="1"/>
  <c r="L147" i="1" s="1"/>
  <c r="G69" i="3" s="1"/>
  <c r="H69" i="3" s="1"/>
  <c r="I69" i="3" s="1"/>
  <c r="S144" i="1"/>
  <c r="S141" i="1"/>
  <c r="L149" i="1"/>
  <c r="G71" i="3" s="1"/>
  <c r="H71" i="3" s="1"/>
  <c r="I71" i="3" s="1"/>
  <c r="S146" i="1"/>
  <c r="S139" i="1"/>
  <c r="S145" i="1"/>
  <c r="S138" i="1"/>
  <c r="L138" i="1" s="1"/>
  <c r="L151" i="1"/>
  <c r="G73" i="3" s="1"/>
  <c r="H73" i="3" s="1"/>
  <c r="I73" i="3" s="1"/>
  <c r="S142" i="1"/>
  <c r="O131" i="1"/>
  <c r="L32" i="2"/>
  <c r="L33" i="2" s="1"/>
  <c r="N30" i="2"/>
  <c r="G103" i="3" s="1"/>
  <c r="T138" i="1" l="1"/>
  <c r="G60" i="3"/>
  <c r="H60" i="3" s="1"/>
  <c r="I60" i="3" s="1"/>
  <c r="L165" i="1"/>
  <c r="L142" i="1"/>
  <c r="L154" i="1"/>
  <c r="L141" i="1"/>
  <c r="L155" i="1"/>
  <c r="L159" i="1"/>
  <c r="L145" i="1"/>
  <c r="T150" i="1"/>
  <c r="T160" i="1"/>
  <c r="L163" i="1"/>
  <c r="L139" i="1"/>
  <c r="L144" i="1"/>
  <c r="T156" i="1"/>
  <c r="L146" i="1"/>
  <c r="L152" i="1"/>
  <c r="G74" i="3" s="1"/>
  <c r="H74" i="3" s="1"/>
  <c r="I74" i="3" s="1"/>
  <c r="L161" i="1"/>
  <c r="T164" i="1"/>
  <c r="L157" i="1"/>
  <c r="G79" i="3" s="1"/>
  <c r="H79" i="3" s="1"/>
  <c r="I79" i="3" s="1"/>
  <c r="T149" i="1"/>
  <c r="T151" i="1"/>
  <c r="T147" i="1"/>
  <c r="M21" i="2"/>
  <c r="T157" i="1" l="1"/>
  <c r="T139" i="1"/>
  <c r="G61" i="3"/>
  <c r="H61" i="3" s="1"/>
  <c r="I61" i="3" s="1"/>
  <c r="T154" i="1"/>
  <c r="G76" i="3"/>
  <c r="H76" i="3" s="1"/>
  <c r="I76" i="3" s="1"/>
  <c r="T146" i="1"/>
  <c r="G68" i="3"/>
  <c r="H68" i="3" s="1"/>
  <c r="I68" i="3" s="1"/>
  <c r="T161" i="1"/>
  <c r="G83" i="3"/>
  <c r="H83" i="3" s="1"/>
  <c r="I83" i="3" s="1"/>
  <c r="T165" i="1"/>
  <c r="G87" i="3"/>
  <c r="H87" i="3" s="1"/>
  <c r="I87" i="3" s="1"/>
  <c r="T155" i="1"/>
  <c r="G77" i="3"/>
  <c r="H77" i="3" s="1"/>
  <c r="I77" i="3" s="1"/>
  <c r="T141" i="1"/>
  <c r="G63" i="3"/>
  <c r="H63" i="3" s="1"/>
  <c r="I63" i="3" s="1"/>
  <c r="T142" i="1"/>
  <c r="G64" i="3"/>
  <c r="H64" i="3" s="1"/>
  <c r="I64" i="3" s="1"/>
  <c r="T159" i="1"/>
  <c r="G81" i="3"/>
  <c r="H81" i="3" s="1"/>
  <c r="I81" i="3" s="1"/>
  <c r="T144" i="1"/>
  <c r="G66" i="3"/>
  <c r="H66" i="3" s="1"/>
  <c r="I66" i="3" s="1"/>
  <c r="T163" i="1"/>
  <c r="G85" i="3"/>
  <c r="H85" i="3" s="1"/>
  <c r="I85" i="3" s="1"/>
  <c r="T152" i="1"/>
  <c r="T145" i="1"/>
  <c r="G67" i="3"/>
  <c r="H67" i="3" s="1"/>
  <c r="I67" i="3" s="1"/>
</calcChain>
</file>

<file path=xl/sharedStrings.xml><?xml version="1.0" encoding="utf-8"?>
<sst xmlns="http://schemas.openxmlformats.org/spreadsheetml/2006/main" count="242" uniqueCount="134">
  <si>
    <t>Billing Analysis for Pass-Through Rate Increase</t>
  </si>
  <si>
    <t>#</t>
  </si>
  <si>
    <t>Item</t>
  </si>
  <si>
    <t>Present Revenue</t>
  </si>
  <si>
    <t>Proposed Revenue</t>
  </si>
  <si>
    <t>Base Rates</t>
  </si>
  <si>
    <t>Total Base Rates</t>
  </si>
  <si>
    <t>Riders</t>
  </si>
  <si>
    <t>Total Riders</t>
  </si>
  <si>
    <t>Total Revenue</t>
  </si>
  <si>
    <t>Target Revenue</t>
  </si>
  <si>
    <t>Code</t>
  </si>
  <si>
    <t>Classification</t>
  </si>
  <si>
    <t>Billing Component</t>
  </si>
  <si>
    <t>Billing Units</t>
  </si>
  <si>
    <t>Increase $</t>
  </si>
  <si>
    <t>%</t>
  </si>
  <si>
    <t>Customer Charge</t>
  </si>
  <si>
    <t>Average</t>
  </si>
  <si>
    <t>TOTAL REVENUE</t>
  </si>
  <si>
    <t>Present Share</t>
  </si>
  <si>
    <t>Proposed Rate</t>
  </si>
  <si>
    <t>Proposed Share</t>
  </si>
  <si>
    <t xml:space="preserve">       Present Rate</t>
  </si>
  <si>
    <t xml:space="preserve">            Present Revenue</t>
  </si>
  <si>
    <t>Share Variance</t>
  </si>
  <si>
    <t xml:space="preserve">    FAC</t>
  </si>
  <si>
    <t xml:space="preserve">    ES</t>
  </si>
  <si>
    <t>TOTALS</t>
  </si>
  <si>
    <t xml:space="preserve">    Misc Adj</t>
  </si>
  <si>
    <t>Lighting</t>
  </si>
  <si>
    <t>Allocation Revenue</t>
  </si>
  <si>
    <t>Allocation Share</t>
  </si>
  <si>
    <t>Allocated Increase</t>
  </si>
  <si>
    <t>Per Unit Rate Change</t>
  </si>
  <si>
    <t>Rounding</t>
  </si>
  <si>
    <t xml:space="preserve">Total Revenue Increase Allocated by East Kentucky Power Cooperative:   </t>
  </si>
  <si>
    <t>Rate Rounding Variance</t>
  </si>
  <si>
    <t>Rate Variance</t>
  </si>
  <si>
    <t xml:space="preserve">    Other</t>
  </si>
  <si>
    <t xml:space="preserve">    Prepay Daily Charges</t>
  </si>
  <si>
    <t>Special</t>
  </si>
  <si>
    <t>TOTAL Base Rates</t>
  </si>
  <si>
    <t>SubTotal Base Rates</t>
  </si>
  <si>
    <t xml:space="preserve">Total Rate G Revenue Increase Allocated by East Kentucky Power Cooperative:   </t>
  </si>
  <si>
    <t xml:space="preserve">Remaining Revenue Increase Allocated by East Kentucky Power Cooperative:   </t>
  </si>
  <si>
    <t>Base %</t>
  </si>
  <si>
    <t>Total %</t>
  </si>
  <si>
    <t>Base Rate Increase</t>
  </si>
  <si>
    <t>Present</t>
  </si>
  <si>
    <t>Proposed</t>
  </si>
  <si>
    <t>Energy Charge per kWh</t>
  </si>
  <si>
    <t>Demand Charge over 10 KW per kW</t>
  </si>
  <si>
    <t>Demand Charge per kW</t>
  </si>
  <si>
    <t>NOLIN RECC</t>
  </si>
  <si>
    <t>AGC Automotive</t>
  </si>
  <si>
    <t>Residential</t>
  </si>
  <si>
    <t>Commercial</t>
  </si>
  <si>
    <t>Large Power</t>
  </si>
  <si>
    <t>Industrial</t>
  </si>
  <si>
    <t>Demand Charge -Contract per kW</t>
  </si>
  <si>
    <t>Demand Charge - Excess per kW</t>
  </si>
  <si>
    <t>5,6</t>
  </si>
  <si>
    <t>Target Share</t>
  </si>
  <si>
    <t>The amount of the change requested in both dollar amounts and percentage change for each customer classification to which the proposed rates will apply is set forth below:</t>
  </si>
  <si>
    <t>Increase</t>
  </si>
  <si>
    <t>Rate</t>
  </si>
  <si>
    <t>Dollars</t>
  </si>
  <si>
    <t>Percent</t>
  </si>
  <si>
    <t>Total</t>
  </si>
  <si>
    <t>The amount of the average usage and the effect upon the average bill for each customer classification to which the proposed rates will apply is set forth below:</t>
  </si>
  <si>
    <t>Usage (kWh)</t>
  </si>
  <si>
    <t>NA</t>
  </si>
  <si>
    <t>RATES WITH NO CURRENT MEMBERS</t>
  </si>
  <si>
    <t>Interruptible Credit per kW</t>
  </si>
  <si>
    <t>Seasonal TOD</t>
  </si>
  <si>
    <t>Consumer Charge New Substation</t>
  </si>
  <si>
    <t>Demand - Contract per kW</t>
  </si>
  <si>
    <t>Member Cost of Service Charge</t>
  </si>
  <si>
    <t>Consumer Charge Existing Sub</t>
  </si>
  <si>
    <t>Industrial C</t>
  </si>
  <si>
    <t>Consumer Charge</t>
  </si>
  <si>
    <t>Demand - Excess per kW</t>
  </si>
  <si>
    <t>Same as 9</t>
  </si>
  <si>
    <t>Present &amp; Proposed Rates</t>
  </si>
  <si>
    <t xml:space="preserve">          2023 Revenue</t>
  </si>
  <si>
    <t>Incr</t>
  </si>
  <si>
    <t>FAC Roll-In &gt;</t>
  </si>
  <si>
    <t>2023 Rate</t>
  </si>
  <si>
    <t xml:space="preserve">Total Rate B Revenue Increase Allocated by East Kentucky Power Cooperative:   </t>
  </si>
  <si>
    <t>Same as EKPC Rate C</t>
  </si>
  <si>
    <t>2023 Revenue</t>
  </si>
  <si>
    <t>FAC Roll In</t>
  </si>
  <si>
    <t>Interruptible Service</t>
  </si>
  <si>
    <t>Demand Credit per kW - 200 Hrs</t>
  </si>
  <si>
    <t>Demand Credit per kW - 300 Hrs</t>
  </si>
  <si>
    <t>Demand Credit per kW - 400 Hrs</t>
  </si>
  <si>
    <t>S5-SL 100W HPS</t>
  </si>
  <si>
    <t>S6-SL ORN AP 27,500 HPS</t>
  </si>
  <si>
    <t>S6-SL ORN AP 50,000 HPS</t>
  </si>
  <si>
    <t>S5-DFL 100W HPS EP</t>
  </si>
  <si>
    <t>12A</t>
  </si>
  <si>
    <t>S5-DFL 70 WATT LED EP</t>
  </si>
  <si>
    <t>S5-DFL 250W HPS EP</t>
  </si>
  <si>
    <t>13A</t>
  </si>
  <si>
    <t>S5-DFL-108 WAT LED EP</t>
  </si>
  <si>
    <t>S5-DFL 400W HPS EP</t>
  </si>
  <si>
    <t>14A</t>
  </si>
  <si>
    <t>S5-DFL 208W LED EP</t>
  </si>
  <si>
    <t>S5-400W CONTEMPORARY UG</t>
  </si>
  <si>
    <t>1A</t>
  </si>
  <si>
    <t>S5-SL 70W LED</t>
  </si>
  <si>
    <t>S6-20' SANTA ROSA FP COLONIAL</t>
  </si>
  <si>
    <t>S5-ORN UG 400W</t>
  </si>
  <si>
    <t>S5-20' FP  COLONIAL SANTA ROSA 150W HPS</t>
  </si>
  <si>
    <t>S6-20'FP COLONIAL CONSTPD</t>
  </si>
  <si>
    <t>S6-SL CITY WP 100W</t>
  </si>
  <si>
    <t>4A</t>
  </si>
  <si>
    <t>S6-SL CITY WP-LED 70W</t>
  </si>
  <si>
    <t>S6-SL WP 250W HPS</t>
  </si>
  <si>
    <t>5A</t>
  </si>
  <si>
    <t>S6-SL WP 108W LED</t>
  </si>
  <si>
    <t>S6-SL WP 400W HPS</t>
  </si>
  <si>
    <t>6A</t>
  </si>
  <si>
    <t>S6-SL WP 208W LED</t>
  </si>
  <si>
    <t>S5-LANT/COLONIAL100W UG</t>
  </si>
  <si>
    <t>S6-SL ORN UG 400W</t>
  </si>
  <si>
    <t>S6-SL ORN AP 100W</t>
  </si>
  <si>
    <t>30' Fiberglass Pole for UG only</t>
  </si>
  <si>
    <t>25' Wood Pole for OH only</t>
  </si>
  <si>
    <t>30' Wood Pole for OH only</t>
  </si>
  <si>
    <t>25' Wood Pole for UG only</t>
  </si>
  <si>
    <t>Santa Rosa Contemp 150W HPS for UG only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</si>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</sst>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0.000000"/>
    <numFmt numFmtId="167" formatCode="0.00000"/>
    <numFmt numFmtId="168" formatCode="_(* #,##0.00000_);_(* \(#,##0.00000\);_(* &quot;-&quot;??_);_(@_)"/>
    <numFmt numFmtId="169" formatCode="_(* #,##0.000000_);_(* \(#,##0.000000\);_(* &quot;-&quot;??_);_(@_)"/>
    <numFmt numFmtId="170" formatCode="0.00000%"/>
    <numFmt numFmtId="171" formatCode="_(&quot;$&quot;* #,##0.00000_);_(&quot;$&quot;* \(#,##0.00000\);_(&quot;$&quot;* &quot;-&quot;??_);_(@_)"/>
    <numFmt numFmtId="172" formatCode="&quot;$&quot;#,##0.00"/>
    <numFmt numFmtId="173" formatCode="_(* #,##0.0000_);_(* \(#,##0.0000\);_(* &quot;-&quot;??_);_(@_)"/>
    <numFmt numFmtId="174" formatCode="_(&quot;$&quot;* #,##0.000000_);_(&quot;$&quot;* \(#,##0.000000\);_(&quot;$&quot;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0000FF"/>
      <name val="Arial"/>
      <family val="2"/>
    </font>
    <font>
      <i/>
      <sz val="10"/>
      <color theme="1"/>
      <name val="Arial"/>
      <family val="2"/>
    </font>
    <font>
      <i/>
      <u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u/>
      <sz val="10"/>
      <color theme="1"/>
      <name val="Arial"/>
      <family val="2"/>
    </font>
    <font>
      <i/>
      <sz val="10"/>
      <name val="Arial"/>
      <family val="2"/>
    </font>
    <font>
      <sz val="10"/>
      <color rgb="FF7030A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159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0" xfId="0" applyFont="1"/>
    <xf numFmtId="0" fontId="3" fillId="0" borderId="0" xfId="0" applyFont="1" applyAlignment="1">
      <alignment horizontal="left"/>
    </xf>
    <xf numFmtId="10" fontId="3" fillId="0" borderId="0" xfId="3" applyNumberFormat="1" applyFont="1"/>
    <xf numFmtId="0" fontId="3" fillId="0" borderId="0" xfId="0" applyFont="1" applyAlignment="1">
      <alignment vertical="center"/>
    </xf>
    <xf numFmtId="0" fontId="3" fillId="0" borderId="3" xfId="0" applyFont="1" applyBorder="1" applyAlignment="1">
      <alignment vertical="center"/>
    </xf>
    <xf numFmtId="0" fontId="2" fillId="0" borderId="4" xfId="0" applyFont="1" applyBorder="1" applyAlignment="1">
      <alignment horizontal="left" wrapText="1"/>
    </xf>
    <xf numFmtId="0" fontId="2" fillId="0" borderId="4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4" xfId="0" applyFont="1" applyBorder="1" applyAlignment="1">
      <alignment horizontal="right" wrapText="1"/>
    </xf>
    <xf numFmtId="165" fontId="3" fillId="0" borderId="0" xfId="0" applyNumberFormat="1" applyFont="1"/>
    <xf numFmtId="43" fontId="3" fillId="0" borderId="0" xfId="1" applyFont="1"/>
    <xf numFmtId="0" fontId="3" fillId="0" borderId="5" xfId="0" applyFont="1" applyBorder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2" fillId="0" borderId="4" xfId="0" applyFont="1" applyBorder="1" applyAlignment="1">
      <alignment wrapText="1"/>
    </xf>
    <xf numFmtId="0" fontId="3" fillId="0" borderId="5" xfId="0" applyFont="1" applyBorder="1" applyAlignment="1">
      <alignment vertical="center"/>
    </xf>
    <xf numFmtId="165" fontId="7" fillId="0" borderId="5" xfId="2" applyNumberFormat="1" applyFont="1" applyFill="1" applyBorder="1" applyAlignment="1">
      <alignment vertical="center"/>
    </xf>
    <xf numFmtId="0" fontId="3" fillId="4" borderId="0" xfId="0" applyFont="1" applyFill="1"/>
    <xf numFmtId="0" fontId="3" fillId="4" borderId="0" xfId="0" applyFont="1" applyFill="1" applyAlignment="1">
      <alignment horizontal="center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3" fillId="0" borderId="6" xfId="0" applyFont="1" applyBorder="1"/>
    <xf numFmtId="0" fontId="3" fillId="0" borderId="6" xfId="0" applyFont="1" applyBorder="1" applyAlignment="1">
      <alignment horizontal="center"/>
    </xf>
    <xf numFmtId="0" fontId="5" fillId="0" borderId="0" xfId="0" applyFont="1" applyAlignment="1">
      <alignment horizontal="right"/>
    </xf>
    <xf numFmtId="165" fontId="7" fillId="0" borderId="0" xfId="0" applyNumberFormat="1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/>
    </xf>
    <xf numFmtId="168" fontId="3" fillId="0" borderId="0" xfId="1" applyNumberFormat="1" applyFont="1"/>
    <xf numFmtId="0" fontId="6" fillId="0" borderId="0" xfId="0" applyFont="1"/>
    <xf numFmtId="164" fontId="3" fillId="0" borderId="0" xfId="1" applyNumberFormat="1" applyFont="1" applyAlignment="1"/>
    <xf numFmtId="9" fontId="3" fillId="0" borderId="0" xfId="3" applyFont="1" applyAlignment="1"/>
    <xf numFmtId="10" fontId="3" fillId="0" borderId="0" xfId="3" applyNumberFormat="1" applyFont="1" applyAlignment="1"/>
    <xf numFmtId="165" fontId="3" fillId="0" borderId="0" xfId="2" applyNumberFormat="1" applyFont="1" applyAlignment="1"/>
    <xf numFmtId="165" fontId="4" fillId="0" borderId="0" xfId="2" applyNumberFormat="1" applyFont="1" applyAlignment="1"/>
    <xf numFmtId="0" fontId="3" fillId="0" borderId="2" xfId="0" applyFont="1" applyBorder="1"/>
    <xf numFmtId="165" fontId="3" fillId="0" borderId="2" xfId="2" applyNumberFormat="1" applyFont="1" applyBorder="1" applyAlignment="1"/>
    <xf numFmtId="10" fontId="3" fillId="0" borderId="2" xfId="3" applyNumberFormat="1" applyFont="1" applyBorder="1" applyAlignment="1"/>
    <xf numFmtId="165" fontId="3" fillId="0" borderId="2" xfId="0" applyNumberFormat="1" applyFont="1" applyBorder="1"/>
    <xf numFmtId="165" fontId="3" fillId="0" borderId="0" xfId="2" applyNumberFormat="1" applyFont="1" applyBorder="1" applyAlignment="1"/>
    <xf numFmtId="10" fontId="3" fillId="0" borderId="0" xfId="3" applyNumberFormat="1" applyFont="1" applyBorder="1" applyAlignment="1"/>
    <xf numFmtId="165" fontId="3" fillId="0" borderId="5" xfId="2" applyNumberFormat="1" applyFont="1" applyBorder="1" applyAlignment="1"/>
    <xf numFmtId="10" fontId="3" fillId="0" borderId="5" xfId="3" applyNumberFormat="1" applyFont="1" applyBorder="1" applyAlignment="1"/>
    <xf numFmtId="164" fontId="3" fillId="3" borderId="0" xfId="1" applyNumberFormat="1" applyFont="1" applyFill="1" applyAlignment="1"/>
    <xf numFmtId="0" fontId="3" fillId="3" borderId="0" xfId="0" applyFont="1" applyFill="1"/>
    <xf numFmtId="165" fontId="3" fillId="3" borderId="0" xfId="2" applyNumberFormat="1" applyFont="1" applyFill="1" applyAlignment="1"/>
    <xf numFmtId="0" fontId="3" fillId="3" borderId="2" xfId="0" applyFont="1" applyFill="1" applyBorder="1"/>
    <xf numFmtId="165" fontId="3" fillId="3" borderId="2" xfId="2" applyNumberFormat="1" applyFont="1" applyFill="1" applyBorder="1" applyAlignment="1"/>
    <xf numFmtId="0" fontId="3" fillId="0" borderId="3" xfId="0" applyFont="1" applyBorder="1"/>
    <xf numFmtId="165" fontId="3" fillId="0" borderId="3" xfId="0" applyNumberFormat="1" applyFont="1" applyBorder="1"/>
    <xf numFmtId="165" fontId="3" fillId="0" borderId="3" xfId="2" applyNumberFormat="1" applyFont="1" applyBorder="1" applyAlignment="1"/>
    <xf numFmtId="9" fontId="3" fillId="0" borderId="3" xfId="3" applyFont="1" applyBorder="1" applyAlignment="1"/>
    <xf numFmtId="10" fontId="3" fillId="0" borderId="3" xfId="3" applyNumberFormat="1" applyFont="1" applyBorder="1" applyAlignment="1"/>
    <xf numFmtId="0" fontId="3" fillId="3" borderId="4" xfId="0" applyFont="1" applyFill="1" applyBorder="1"/>
    <xf numFmtId="0" fontId="3" fillId="2" borderId="0" xfId="0" applyFont="1" applyFill="1"/>
    <xf numFmtId="0" fontId="2" fillId="0" borderId="4" xfId="0" applyFont="1" applyBorder="1"/>
    <xf numFmtId="0" fontId="2" fillId="0" borderId="4" xfId="0" applyFont="1" applyBorder="1" applyAlignment="1">
      <alignment horizontal="center"/>
    </xf>
    <xf numFmtId="44" fontId="3" fillId="0" borderId="0" xfId="2" applyFont="1"/>
    <xf numFmtId="171" fontId="3" fillId="0" borderId="0" xfId="2" applyNumberFormat="1" applyFont="1"/>
    <xf numFmtId="0" fontId="2" fillId="0" borderId="4" xfId="0" applyFont="1" applyBorder="1" applyAlignment="1">
      <alignment horizontal="right"/>
    </xf>
    <xf numFmtId="0" fontId="3" fillId="0" borderId="0" xfId="0" applyFont="1" applyAlignment="1">
      <alignment horizontal="right"/>
    </xf>
    <xf numFmtId="0" fontId="8" fillId="0" borderId="4" xfId="0" applyFont="1" applyBorder="1" applyAlignment="1">
      <alignment horizontal="left"/>
    </xf>
    <xf numFmtId="0" fontId="8" fillId="0" borderId="4" xfId="0" applyFont="1" applyBorder="1"/>
    <xf numFmtId="0" fontId="3" fillId="0" borderId="4" xfId="0" applyFont="1" applyBorder="1"/>
    <xf numFmtId="0" fontId="2" fillId="0" borderId="5" xfId="0" applyFont="1" applyBorder="1" applyAlignment="1">
      <alignment horizontal="right"/>
    </xf>
    <xf numFmtId="0" fontId="7" fillId="0" borderId="0" xfId="0" applyFont="1" applyAlignment="1">
      <alignment horizontal="left"/>
    </xf>
    <xf numFmtId="165" fontId="3" fillId="0" borderId="0" xfId="2" applyNumberFormat="1" applyFont="1" applyBorder="1" applyAlignment="1">
      <alignment horizontal="right"/>
    </xf>
    <xf numFmtId="10" fontId="3" fillId="0" borderId="0" xfId="3" applyNumberFormat="1" applyFont="1" applyBorder="1" applyAlignment="1">
      <alignment horizontal="right"/>
    </xf>
    <xf numFmtId="0" fontId="7" fillId="0" borderId="2" xfId="0" applyFont="1" applyBorder="1" applyAlignment="1">
      <alignment horizontal="left"/>
    </xf>
    <xf numFmtId="165" fontId="3" fillId="0" borderId="2" xfId="2" applyNumberFormat="1" applyFont="1" applyBorder="1"/>
    <xf numFmtId="10" fontId="3" fillId="0" borderId="2" xfId="3" applyNumberFormat="1" applyFont="1" applyBorder="1"/>
    <xf numFmtId="0" fontId="8" fillId="0" borderId="0" xfId="0" applyFont="1" applyAlignment="1">
      <alignment horizontal="center"/>
    </xf>
    <xf numFmtId="0" fontId="7" fillId="0" borderId="0" xfId="0" applyFont="1"/>
    <xf numFmtId="43" fontId="7" fillId="0" borderId="0" xfId="1" applyFont="1" applyAlignment="1">
      <alignment horizontal="center"/>
    </xf>
    <xf numFmtId="172" fontId="3" fillId="0" borderId="0" xfId="0" applyNumberFormat="1" applyFont="1"/>
    <xf numFmtId="164" fontId="7" fillId="0" borderId="0" xfId="1" applyNumberFormat="1" applyFont="1" applyAlignment="1">
      <alignment horizontal="right"/>
    </xf>
    <xf numFmtId="172" fontId="3" fillId="0" borderId="0" xfId="0" applyNumberFormat="1" applyFont="1" applyAlignment="1">
      <alignment horizontal="right"/>
    </xf>
    <xf numFmtId="0" fontId="3" fillId="0" borderId="2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8" fillId="0" borderId="4" xfId="0" applyFont="1" applyBorder="1" applyAlignment="1">
      <alignment horizontal="center"/>
    </xf>
    <xf numFmtId="10" fontId="3" fillId="0" borderId="0" xfId="3" applyNumberFormat="1" applyFont="1" applyAlignment="1">
      <alignment horizontal="right"/>
    </xf>
    <xf numFmtId="169" fontId="3" fillId="0" borderId="0" xfId="1" applyNumberFormat="1" applyFont="1" applyAlignment="1">
      <alignment vertical="center"/>
    </xf>
    <xf numFmtId="0" fontId="9" fillId="0" borderId="0" xfId="0" applyFont="1"/>
    <xf numFmtId="173" fontId="7" fillId="0" borderId="0" xfId="1" applyNumberFormat="1" applyFont="1" applyAlignment="1">
      <alignment vertical="center"/>
    </xf>
    <xf numFmtId="0" fontId="9" fillId="0" borderId="0" xfId="0" applyFont="1" applyAlignment="1">
      <alignment horizontal="left"/>
    </xf>
    <xf numFmtId="0" fontId="3" fillId="5" borderId="0" xfId="0" applyFont="1" applyFill="1"/>
    <xf numFmtId="165" fontId="7" fillId="0" borderId="0" xfId="2" applyNumberFormat="1" applyFont="1" applyFill="1" applyAlignment="1">
      <alignment horizontal="center"/>
    </xf>
    <xf numFmtId="10" fontId="7" fillId="0" borderId="0" xfId="3" applyNumberFormat="1" applyFont="1" applyFill="1" applyAlignment="1"/>
    <xf numFmtId="165" fontId="7" fillId="0" borderId="0" xfId="2" applyNumberFormat="1" applyFont="1" applyFill="1" applyAlignment="1"/>
    <xf numFmtId="165" fontId="7" fillId="0" borderId="2" xfId="2" applyNumberFormat="1" applyFont="1" applyFill="1" applyBorder="1" applyAlignment="1"/>
    <xf numFmtId="10" fontId="7" fillId="0" borderId="2" xfId="3" applyNumberFormat="1" applyFont="1" applyFill="1" applyBorder="1" applyAlignment="1"/>
    <xf numFmtId="165" fontId="7" fillId="0" borderId="0" xfId="2" applyNumberFormat="1" applyFont="1" applyFill="1" applyBorder="1" applyAlignment="1"/>
    <xf numFmtId="10" fontId="7" fillId="0" borderId="0" xfId="3" applyNumberFormat="1" applyFont="1" applyFill="1" applyBorder="1" applyAlignment="1"/>
    <xf numFmtId="0" fontId="10" fillId="0" borderId="0" xfId="0" applyFont="1" applyAlignment="1">
      <alignment horizontal="left"/>
    </xf>
    <xf numFmtId="17" fontId="10" fillId="0" borderId="0" xfId="0" applyNumberFormat="1" applyFont="1" applyAlignment="1">
      <alignment horizontal="left"/>
    </xf>
    <xf numFmtId="43" fontId="7" fillId="0" borderId="0" xfId="1" applyFont="1"/>
    <xf numFmtId="169" fontId="7" fillId="0" borderId="0" xfId="1" applyNumberFormat="1" applyFont="1"/>
    <xf numFmtId="0" fontId="8" fillId="0" borderId="0" xfId="0" applyFont="1" applyAlignment="1">
      <alignment horizontal="right"/>
    </xf>
    <xf numFmtId="0" fontId="8" fillId="0" borderId="4" xfId="0" applyFont="1" applyBorder="1" applyAlignment="1">
      <alignment horizontal="right" wrapText="1"/>
    </xf>
    <xf numFmtId="0" fontId="8" fillId="0" borderId="4" xfId="0" applyFont="1" applyBorder="1" applyAlignment="1">
      <alignment horizontal="center" wrapText="1"/>
    </xf>
    <xf numFmtId="0" fontId="8" fillId="0" borderId="0" xfId="0" applyFont="1" applyAlignment="1">
      <alignment horizontal="right" wrapText="1"/>
    </xf>
    <xf numFmtId="0" fontId="8" fillId="0" borderId="0" xfId="0" applyFont="1" applyAlignment="1">
      <alignment horizontal="center" wrapText="1"/>
    </xf>
    <xf numFmtId="0" fontId="7" fillId="0" borderId="6" xfId="0" applyFont="1" applyBorder="1"/>
    <xf numFmtId="164" fontId="7" fillId="0" borderId="0" xfId="1" applyNumberFormat="1" applyFont="1"/>
    <xf numFmtId="43" fontId="7" fillId="0" borderId="0" xfId="1" applyFont="1" applyFill="1"/>
    <xf numFmtId="165" fontId="7" fillId="0" borderId="0" xfId="2" applyNumberFormat="1" applyFont="1"/>
    <xf numFmtId="10" fontId="7" fillId="0" borderId="0" xfId="3" applyNumberFormat="1" applyFont="1"/>
    <xf numFmtId="10" fontId="7" fillId="0" borderId="0" xfId="3" applyNumberFormat="1" applyFont="1" applyFill="1"/>
    <xf numFmtId="10" fontId="7" fillId="0" borderId="0" xfId="0" applyNumberFormat="1" applyFont="1"/>
    <xf numFmtId="168" fontId="7" fillId="0" borderId="0" xfId="1" applyNumberFormat="1" applyFont="1" applyFill="1"/>
    <xf numFmtId="167" fontId="7" fillId="0" borderId="0" xfId="0" applyNumberFormat="1" applyFont="1"/>
    <xf numFmtId="0" fontId="7" fillId="0" borderId="5" xfId="0" applyFont="1" applyBorder="1" applyAlignment="1">
      <alignment vertical="center"/>
    </xf>
    <xf numFmtId="165" fontId="7" fillId="0" borderId="5" xfId="2" applyNumberFormat="1" applyFont="1" applyBorder="1" applyAlignment="1">
      <alignment vertical="center"/>
    </xf>
    <xf numFmtId="10" fontId="7" fillId="0" borderId="5" xfId="3" applyNumberFormat="1" applyFont="1" applyBorder="1" applyAlignment="1">
      <alignment vertical="center"/>
    </xf>
    <xf numFmtId="165" fontId="7" fillId="0" borderId="5" xfId="3" applyNumberFormat="1" applyFont="1" applyFill="1" applyBorder="1" applyAlignment="1">
      <alignment vertical="center"/>
    </xf>
    <xf numFmtId="10" fontId="7" fillId="0" borderId="5" xfId="0" applyNumberFormat="1" applyFont="1" applyBorder="1" applyAlignment="1">
      <alignment vertical="center"/>
    </xf>
    <xf numFmtId="44" fontId="7" fillId="0" borderId="5" xfId="2" applyFont="1" applyBorder="1" applyAlignment="1">
      <alignment vertical="center"/>
    </xf>
    <xf numFmtId="170" fontId="7" fillId="0" borderId="0" xfId="3" applyNumberFormat="1" applyFont="1"/>
    <xf numFmtId="0" fontId="7" fillId="0" borderId="5" xfId="0" applyFont="1" applyBorder="1"/>
    <xf numFmtId="165" fontId="7" fillId="0" borderId="5" xfId="2" applyNumberFormat="1" applyFont="1" applyBorder="1"/>
    <xf numFmtId="43" fontId="7" fillId="0" borderId="5" xfId="1" applyFont="1" applyBorder="1"/>
    <xf numFmtId="0" fontId="7" fillId="0" borderId="3" xfId="0" applyFont="1" applyBorder="1" applyAlignment="1">
      <alignment vertical="center"/>
    </xf>
    <xf numFmtId="165" fontId="7" fillId="0" borderId="3" xfId="2" applyNumberFormat="1" applyFont="1" applyBorder="1" applyAlignment="1">
      <alignment vertical="center"/>
    </xf>
    <xf numFmtId="165" fontId="7" fillId="0" borderId="3" xfId="0" applyNumberFormat="1" applyFont="1" applyBorder="1" applyAlignment="1">
      <alignment vertical="center"/>
    </xf>
    <xf numFmtId="10" fontId="7" fillId="0" borderId="3" xfId="3" applyNumberFormat="1" applyFont="1" applyBorder="1" applyAlignment="1">
      <alignment vertical="center"/>
    </xf>
    <xf numFmtId="44" fontId="7" fillId="0" borderId="0" xfId="0" applyNumberFormat="1" applyFont="1"/>
    <xf numFmtId="166" fontId="7" fillId="0" borderId="0" xfId="0" applyNumberFormat="1" applyFont="1"/>
    <xf numFmtId="0" fontId="7" fillId="4" borderId="0" xfId="0" applyFont="1" applyFill="1"/>
    <xf numFmtId="165" fontId="7" fillId="0" borderId="5" xfId="0" applyNumberFormat="1" applyFont="1" applyBorder="1" applyAlignment="1">
      <alignment vertical="center"/>
    </xf>
    <xf numFmtId="0" fontId="7" fillId="0" borderId="0" xfId="0" applyFont="1" applyAlignment="1">
      <alignment vertical="center"/>
    </xf>
    <xf numFmtId="165" fontId="7" fillId="0" borderId="5" xfId="0" applyNumberFormat="1" applyFont="1" applyBorder="1"/>
    <xf numFmtId="165" fontId="7" fillId="4" borderId="0" xfId="0" applyNumberFormat="1" applyFont="1" applyFill="1"/>
    <xf numFmtId="43" fontId="10" fillId="0" borderId="0" xfId="1" applyFont="1" applyFill="1"/>
    <xf numFmtId="165" fontId="7" fillId="0" borderId="0" xfId="2" applyNumberFormat="1" applyFont="1" applyFill="1"/>
    <xf numFmtId="169" fontId="5" fillId="0" borderId="0" xfId="1" applyNumberFormat="1" applyFont="1"/>
    <xf numFmtId="169" fontId="5" fillId="0" borderId="0" xfId="1" applyNumberFormat="1" applyFont="1" applyBorder="1"/>
    <xf numFmtId="164" fontId="7" fillId="0" borderId="0" xfId="1" applyNumberFormat="1" applyFont="1" applyFill="1"/>
    <xf numFmtId="164" fontId="3" fillId="0" borderId="0" xfId="1" applyNumberFormat="1" applyFont="1"/>
    <xf numFmtId="0" fontId="8" fillId="0" borderId="0" xfId="0" applyFont="1" applyAlignment="1">
      <alignment vertical="top" wrapText="1"/>
    </xf>
    <xf numFmtId="173" fontId="3" fillId="0" borderId="0" xfId="1" applyNumberFormat="1" applyFont="1"/>
    <xf numFmtId="6" fontId="7" fillId="0" borderId="1" xfId="0" applyNumberFormat="1" applyFont="1" applyBorder="1"/>
    <xf numFmtId="168" fontId="7" fillId="0" borderId="0" xfId="1" applyNumberFormat="1" applyFont="1"/>
    <xf numFmtId="165" fontId="7" fillId="0" borderId="5" xfId="2" applyNumberFormat="1" applyFont="1" applyFill="1" applyBorder="1"/>
    <xf numFmtId="165" fontId="7" fillId="0" borderId="3" xfId="2" applyNumberFormat="1" applyFont="1" applyFill="1" applyBorder="1" applyAlignment="1">
      <alignment vertical="center"/>
    </xf>
    <xf numFmtId="164" fontId="7" fillId="0" borderId="0" xfId="0" applyNumberFormat="1" applyFont="1"/>
    <xf numFmtId="6" fontId="4" fillId="2" borderId="1" xfId="0" applyNumberFormat="1" applyFont="1" applyFill="1" applyBorder="1"/>
    <xf numFmtId="43" fontId="4" fillId="0" borderId="0" xfId="1" applyFont="1" applyFill="1"/>
    <xf numFmtId="166" fontId="11" fillId="0" borderId="0" xfId="0" applyNumberFormat="1" applyFont="1"/>
    <xf numFmtId="0" fontId="7" fillId="0" borderId="6" xfId="0" applyFont="1" applyBorder="1" applyAlignment="1">
      <alignment horizontal="center"/>
    </xf>
    <xf numFmtId="174" fontId="3" fillId="0" borderId="0" xfId="2" applyNumberFormat="1" applyFont="1"/>
    <xf numFmtId="171" fontId="4" fillId="0" borderId="0" xfId="2" applyNumberFormat="1" applyFont="1"/>
    <xf numFmtId="43" fontId="4" fillId="0" borderId="0" xfId="1" applyFont="1"/>
    <xf numFmtId="164" fontId="7" fillId="0" borderId="5" xfId="0" applyNumberFormat="1" applyFont="1" applyBorder="1" applyAlignment="1">
      <alignment vertical="center"/>
    </xf>
    <xf numFmtId="0" fontId="3" fillId="0" borderId="0" xfId="0" quotePrefix="1" applyFont="1" applyAlignment="1">
      <alignment horizontal="center"/>
    </xf>
    <xf numFmtId="0" fontId="8" fillId="0" borderId="0" xfId="0" applyFont="1" applyAlignment="1">
      <alignment horizontal="left" vertical="top" wrapText="1"/>
    </xf>
    <xf numFmtId="0" fontId="2" fillId="0" borderId="4" xfId="0" applyFont="1" applyBorder="1" applyAlignment="1">
      <alignment horizontal="center"/>
    </xf>
  </cellXfs>
  <cellStyles count="5">
    <cellStyle name="Comma" xfId="1" builtinId="3"/>
    <cellStyle name="Currency" xfId="2" builtinId="4"/>
    <cellStyle name="Normal" xfId="0" builtinId="0"/>
    <cellStyle name="Normal 2" xfId="4" xr:uid="{07BB8BC8-C5A2-4D23-8181-BEF9162D0260}"/>
    <cellStyle name="Percent" xfId="3" builtinId="5"/>
  </cellStyles>
  <dxfs count="0"/>
  <tableStyles count="0" defaultTableStyle="TableStyleMedium2" defaultPivotStyle="PivotStyleLight16"/>
  <colors>
    <mruColors>
      <color rgb="FFFFFFCC"/>
      <color rgb="FF0000FF"/>
      <color rgb="FFFFCC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AA6C87-2D74-4DCB-9000-40376CA871FF}">
  <sheetPr>
    <pageSetUpPr fitToPage="1"/>
  </sheetPr>
  <dimension ref="A1:V36"/>
  <sheetViews>
    <sheetView view="pageBreakPreview" zoomScaleNormal="75" zoomScaleSheetLayoutView="100" workbookViewId="0">
      <selection activeCell="P1" sqref="P1:Q5"/>
    </sheetView>
  </sheetViews>
  <sheetFormatPr defaultColWidth="8.85546875" defaultRowHeight="12.75" x14ac:dyDescent="0.2"/>
  <cols>
    <col min="1" max="1" width="7.85546875" style="2" customWidth="1"/>
    <col min="2" max="2" width="22.42578125" style="2" bestFit="1" customWidth="1"/>
    <col min="3" max="3" width="7.28515625" style="2" bestFit="1" customWidth="1"/>
    <col min="4" max="4" width="19.85546875" style="2" hidden="1" customWidth="1"/>
    <col min="5" max="13" width="13.5703125" style="2" customWidth="1"/>
    <col min="14" max="14" width="7.7109375" style="2" bestFit="1" customWidth="1"/>
    <col min="15" max="15" width="12.28515625" style="2" customWidth="1"/>
    <col min="16" max="16" width="28" style="2" customWidth="1"/>
    <col min="17" max="17" width="13.7109375" style="2" customWidth="1"/>
    <col min="18" max="18" width="19" style="2" customWidth="1"/>
    <col min="19" max="19" width="10.28515625" style="2" customWidth="1"/>
    <col min="20" max="20" width="15.5703125" style="2" bestFit="1" customWidth="1"/>
    <col min="21" max="21" width="8.5703125" style="2" bestFit="1" customWidth="1"/>
    <col min="22" max="22" width="9.28515625" style="2" customWidth="1"/>
    <col min="23" max="16384" width="8.85546875" style="2"/>
  </cols>
  <sheetData>
    <row r="1" spans="1:22" x14ac:dyDescent="0.2">
      <c r="A1" s="1" t="s">
        <v>54</v>
      </c>
    </row>
    <row r="2" spans="1:22" x14ac:dyDescent="0.2">
      <c r="A2" s="1" t="s">
        <v>0</v>
      </c>
      <c r="P2" s="63"/>
      <c r="Q2" s="140"/>
    </row>
    <row r="3" spans="1:22" x14ac:dyDescent="0.2">
      <c r="A3" s="1"/>
      <c r="P3" s="63"/>
      <c r="Q3" s="140"/>
    </row>
    <row r="4" spans="1:22" x14ac:dyDescent="0.2">
      <c r="A4" s="1"/>
      <c r="E4" s="12"/>
      <c r="K4" s="26" t="s">
        <v>36</v>
      </c>
      <c r="L4" s="143">
        <f>L5+L6+L7</f>
        <v>3031195.4404489943</v>
      </c>
      <c r="M4" s="5"/>
      <c r="P4" s="63"/>
      <c r="Q4" s="140"/>
    </row>
    <row r="5" spans="1:22" x14ac:dyDescent="0.2">
      <c r="E5" s="12"/>
      <c r="K5" s="26" t="s">
        <v>44</v>
      </c>
      <c r="L5" s="148">
        <v>438982.17090000119</v>
      </c>
      <c r="M5" s="5"/>
      <c r="P5" s="83"/>
      <c r="Q5" s="140"/>
    </row>
    <row r="6" spans="1:22" x14ac:dyDescent="0.2">
      <c r="E6" s="12"/>
      <c r="K6" s="26" t="s">
        <v>89</v>
      </c>
      <c r="L6" s="148">
        <v>83164.431815999909</v>
      </c>
      <c r="M6" s="5"/>
    </row>
    <row r="7" spans="1:22" x14ac:dyDescent="0.2">
      <c r="B7" s="3"/>
      <c r="C7" s="3"/>
      <c r="K7" s="26" t="s">
        <v>45</v>
      </c>
      <c r="L7" s="148">
        <v>2509048.8377329931</v>
      </c>
      <c r="M7" s="5"/>
      <c r="N7" s="5"/>
    </row>
    <row r="8" spans="1:22" x14ac:dyDescent="0.2">
      <c r="M8" s="5"/>
      <c r="N8" s="5"/>
    </row>
    <row r="9" spans="1:22" s="10" customFormat="1" ht="31.9" customHeight="1" x14ac:dyDescent="0.2">
      <c r="A9" s="8" t="s">
        <v>1</v>
      </c>
      <c r="B9" s="8" t="s">
        <v>2</v>
      </c>
      <c r="C9" s="8" t="s">
        <v>11</v>
      </c>
      <c r="D9" s="11" t="s">
        <v>91</v>
      </c>
      <c r="E9" s="11" t="s">
        <v>3</v>
      </c>
      <c r="F9" s="11" t="s">
        <v>20</v>
      </c>
      <c r="G9" s="11" t="s">
        <v>31</v>
      </c>
      <c r="H9" s="11" t="s">
        <v>32</v>
      </c>
      <c r="I9" s="11" t="s">
        <v>33</v>
      </c>
      <c r="J9" s="11" t="s">
        <v>4</v>
      </c>
      <c r="K9" s="11" t="s">
        <v>22</v>
      </c>
      <c r="L9" s="11" t="s">
        <v>48</v>
      </c>
      <c r="M9" s="9" t="s">
        <v>46</v>
      </c>
      <c r="N9" s="9" t="s">
        <v>47</v>
      </c>
      <c r="O9" s="11" t="s">
        <v>35</v>
      </c>
      <c r="Q9" s="2"/>
      <c r="R9" s="2"/>
      <c r="S9" s="2"/>
      <c r="T9" s="2"/>
      <c r="U9" s="2"/>
      <c r="V9" s="2"/>
    </row>
    <row r="10" spans="1:22" x14ac:dyDescent="0.2">
      <c r="A10" s="4">
        <v>1</v>
      </c>
      <c r="B10" s="32" t="s">
        <v>5</v>
      </c>
      <c r="C10" s="32"/>
      <c r="D10" s="32"/>
      <c r="E10" s="33"/>
      <c r="F10" s="34"/>
      <c r="G10" s="34"/>
      <c r="H10" s="10"/>
      <c r="I10" s="10"/>
      <c r="J10" s="33"/>
      <c r="K10" s="34"/>
      <c r="L10" s="33"/>
      <c r="M10" s="35"/>
      <c r="N10" s="35"/>
    </row>
    <row r="11" spans="1:22" x14ac:dyDescent="0.2">
      <c r="A11" s="4">
        <f>A10+1</f>
        <v>2</v>
      </c>
      <c r="B11" s="2" t="str">
        <f>'Billing Detail'!B7</f>
        <v>Residential</v>
      </c>
      <c r="C11" s="15">
        <f>'Billing Detail'!C7</f>
        <v>1</v>
      </c>
      <c r="D11" s="36">
        <f>'Billing Detail'!G10</f>
        <v>48836995.568640001</v>
      </c>
      <c r="E11" s="36">
        <f>'Billing Detail'!I10</f>
        <v>48372118.655679993</v>
      </c>
      <c r="F11" s="35">
        <f t="shared" ref="F11:F16" si="0">E11/E$16</f>
        <v>0.78309280064653097</v>
      </c>
      <c r="G11" s="89">
        <f>E11</f>
        <v>48372118.655679993</v>
      </c>
      <c r="H11" s="90">
        <f>G11/G$16</f>
        <v>0.78309280064653097</v>
      </c>
      <c r="I11" s="91">
        <f>ROUND(L$7*H11,2)</f>
        <v>1964818.08</v>
      </c>
      <c r="J11" s="36">
        <f>'Billing Detail'!M10</f>
        <v>50337722.459200002</v>
      </c>
      <c r="K11" s="35">
        <f t="shared" ref="K11:K16" si="1">J11/J$16</f>
        <v>0.78309376313945778</v>
      </c>
      <c r="L11" s="36">
        <f>'Billing Detail'!N10</f>
        <v>1965603.8035200071</v>
      </c>
      <c r="M11" s="35">
        <f>IF(E11=0,0,L11/E11)</f>
        <v>4.0635057097901175E-2</v>
      </c>
      <c r="N11" s="35">
        <f>'Billing Detail'!O16</f>
        <v>3.6275344224848023E-2</v>
      </c>
      <c r="O11" s="12">
        <f>J11-I11-E11</f>
        <v>785.72352001070976</v>
      </c>
    </row>
    <row r="12" spans="1:22" x14ac:dyDescent="0.2">
      <c r="A12" s="4">
        <f t="shared" ref="A12:A33" si="2">A11+1</f>
        <v>3</v>
      </c>
      <c r="B12" s="2" t="str">
        <f>'Billing Detail'!B19</f>
        <v>Commercial</v>
      </c>
      <c r="C12" s="15">
        <f>'Billing Detail'!C19</f>
        <v>2</v>
      </c>
      <c r="D12" s="36">
        <f>'Billing Detail'!G22</f>
        <v>4238921.5384</v>
      </c>
      <c r="E12" s="36">
        <f>'Billing Detail'!I22</f>
        <v>4204380.3728</v>
      </c>
      <c r="F12" s="35">
        <f t="shared" si="0"/>
        <v>6.8064415878808168E-2</v>
      </c>
      <c r="G12" s="89">
        <f t="shared" ref="G12:G15" si="3">E12</f>
        <v>4204380.3728</v>
      </c>
      <c r="H12" s="90">
        <f>G12/G$16</f>
        <v>6.8064415878808168E-2</v>
      </c>
      <c r="I12" s="91">
        <f t="shared" ref="I12:I15" si="4">ROUND(L$7*H12,2)</f>
        <v>170776.94</v>
      </c>
      <c r="J12" s="36">
        <f>'Billing Detail'!M22</f>
        <v>4375196.0370000005</v>
      </c>
      <c r="K12" s="35">
        <f t="shared" si="1"/>
        <v>6.8064039485778979E-2</v>
      </c>
      <c r="L12" s="36">
        <f>'Billing Detail'!N22</f>
        <v>170815.66420000012</v>
      </c>
      <c r="M12" s="35">
        <f t="shared" ref="M12:M15" si="5">IF(E12=0,0,L12/E12)</f>
        <v>4.0628023407463881E-2</v>
      </c>
      <c r="N12" s="35">
        <f>'Billing Detail'!O28</f>
        <v>3.6364182656540976E-2</v>
      </c>
      <c r="O12" s="12">
        <f t="shared" ref="O12:O16" si="6">J12-I12-E12</f>
        <v>38.724200000055134</v>
      </c>
    </row>
    <row r="13" spans="1:22" x14ac:dyDescent="0.2">
      <c r="A13" s="4">
        <f t="shared" si="2"/>
        <v>4</v>
      </c>
      <c r="B13" s="2" t="str">
        <f>'Billing Detail'!B31</f>
        <v>Large Power</v>
      </c>
      <c r="C13" s="15">
        <f>'Billing Detail'!C31</f>
        <v>3</v>
      </c>
      <c r="D13" s="36">
        <f>'Billing Detail'!G35</f>
        <v>1683042.13381</v>
      </c>
      <c r="E13" s="36">
        <f>'Billing Detail'!I35</f>
        <v>1892408.7556099999</v>
      </c>
      <c r="F13" s="35">
        <f t="shared" si="0"/>
        <v>3.063607122415422E-2</v>
      </c>
      <c r="G13" s="89">
        <f t="shared" si="3"/>
        <v>1892408.7556099999</v>
      </c>
      <c r="H13" s="90">
        <f>G13/G$16</f>
        <v>3.063607122415422E-2</v>
      </c>
      <c r="I13" s="91">
        <f t="shared" si="4"/>
        <v>76867.399999999994</v>
      </c>
      <c r="J13" s="36">
        <f>'Billing Detail'!M35</f>
        <v>1969059.7254260001</v>
      </c>
      <c r="K13" s="35">
        <f t="shared" si="1"/>
        <v>3.0632263735809462E-2</v>
      </c>
      <c r="L13" s="36">
        <f>'Billing Detail'!N35</f>
        <v>76650.969816000113</v>
      </c>
      <c r="M13" s="35">
        <f t="shared" si="5"/>
        <v>4.0504446826707056E-2</v>
      </c>
      <c r="N13" s="35">
        <f>'Billing Detail'!O41</f>
        <v>3.6552082516389459E-2</v>
      </c>
      <c r="O13" s="12">
        <f t="shared" si="6"/>
        <v>-216.43018399970606</v>
      </c>
    </row>
    <row r="14" spans="1:22" x14ac:dyDescent="0.2">
      <c r="A14" s="4">
        <f t="shared" si="2"/>
        <v>5</v>
      </c>
      <c r="B14" s="2" t="str">
        <f>'Billing Detail'!B44</f>
        <v>Industrial</v>
      </c>
      <c r="C14" s="15">
        <f>'Billing Detail'!C44</f>
        <v>4</v>
      </c>
      <c r="D14" s="36">
        <f>'Billing Detail'!G48</f>
        <v>6025582.0130399996</v>
      </c>
      <c r="E14" s="36">
        <f>'Billing Detail'!I48</f>
        <v>5923907.521519999</v>
      </c>
      <c r="F14" s="35">
        <f t="shared" si="0"/>
        <v>9.590171902163365E-2</v>
      </c>
      <c r="G14" s="89">
        <f t="shared" si="3"/>
        <v>5923907.521519999</v>
      </c>
      <c r="H14" s="90">
        <f>G14/G$16</f>
        <v>9.590171902163365E-2</v>
      </c>
      <c r="I14" s="91">
        <f t="shared" si="4"/>
        <v>240622.1</v>
      </c>
      <c r="J14" s="36">
        <f>'Billing Detail'!M48</f>
        <v>6164882.0027200002</v>
      </c>
      <c r="K14" s="35">
        <f t="shared" si="1"/>
        <v>9.5905821935699992E-2</v>
      </c>
      <c r="L14" s="36">
        <f>'Billing Detail'!N48</f>
        <v>240974.4812000012</v>
      </c>
      <c r="M14" s="35">
        <f t="shared" si="5"/>
        <v>4.0678298964763417E-2</v>
      </c>
      <c r="N14" s="35">
        <f>'Billing Detail'!O54</f>
        <v>3.6761321153532756E-2</v>
      </c>
      <c r="O14" s="12">
        <f t="shared" si="6"/>
        <v>352.38120000157505</v>
      </c>
    </row>
    <row r="15" spans="1:22" x14ac:dyDescent="0.2">
      <c r="A15" s="4">
        <f t="shared" si="2"/>
        <v>6</v>
      </c>
      <c r="B15" s="2" t="str">
        <f>'Billing Detail'!B71</f>
        <v>Lighting</v>
      </c>
      <c r="C15" s="15" t="str">
        <f>'Billing Detail'!C71</f>
        <v>5,6</v>
      </c>
      <c r="D15" s="36">
        <f>'Billing Detail'!G101</f>
        <v>1377792.9999999998</v>
      </c>
      <c r="E15" s="36">
        <f>'Billing Detail'!I101</f>
        <v>1377792.9999999998</v>
      </c>
      <c r="F15" s="35">
        <f t="shared" si="0"/>
        <v>2.2304993228873044E-2</v>
      </c>
      <c r="G15" s="89">
        <f t="shared" si="3"/>
        <v>1377792.9999999998</v>
      </c>
      <c r="H15" s="90">
        <f>G15/G$16</f>
        <v>2.2304993228873044E-2</v>
      </c>
      <c r="I15" s="91">
        <f t="shared" si="4"/>
        <v>55964.32</v>
      </c>
      <c r="J15" s="36">
        <f>'Billing Detail'!M101</f>
        <v>1433721.2700000003</v>
      </c>
      <c r="K15" s="35">
        <f t="shared" si="1"/>
        <v>2.2304111703253766E-2</v>
      </c>
      <c r="L15" s="36">
        <f t="shared" ref="L15:L16" si="7">J15-E15</f>
        <v>55928.270000000484</v>
      </c>
      <c r="M15" s="35">
        <f t="shared" si="5"/>
        <v>4.0592650710230417E-2</v>
      </c>
      <c r="N15" s="35">
        <f>'Billing Detail'!O107</f>
        <v>3.7232039610726263E-2</v>
      </c>
      <c r="O15" s="12">
        <f t="shared" si="6"/>
        <v>-36.049999999580905</v>
      </c>
    </row>
    <row r="16" spans="1:22" ht="16.149999999999999" customHeight="1" x14ac:dyDescent="0.2">
      <c r="A16" s="4">
        <f t="shared" si="2"/>
        <v>7</v>
      </c>
      <c r="B16" s="38" t="s">
        <v>43</v>
      </c>
      <c r="C16" s="38"/>
      <c r="D16" s="39">
        <f>SUM(D11:D15)</f>
        <v>62162334.25389</v>
      </c>
      <c r="E16" s="39">
        <f>SUM(E11:E15)</f>
        <v>61770608.305609986</v>
      </c>
      <c r="F16" s="40">
        <f t="shared" si="0"/>
        <v>1</v>
      </c>
      <c r="G16" s="92">
        <f>SUM(G11:G15)</f>
        <v>61770608.305609986</v>
      </c>
      <c r="H16" s="93">
        <v>1</v>
      </c>
      <c r="I16" s="92">
        <f>SUM(I11:I15)</f>
        <v>2509048.84</v>
      </c>
      <c r="J16" s="39">
        <f>SUM(J11:J15)</f>
        <v>64280581.494346008</v>
      </c>
      <c r="K16" s="40">
        <f t="shared" si="1"/>
        <v>1</v>
      </c>
      <c r="L16" s="39">
        <f t="shared" si="7"/>
        <v>2509973.1887360215</v>
      </c>
      <c r="M16" s="40">
        <f t="shared" ref="M16" si="8">L16/E16</f>
        <v>4.0633778063475318E-2</v>
      </c>
      <c r="N16" s="40"/>
      <c r="O16" s="41">
        <f t="shared" si="6"/>
        <v>924.34873601794243</v>
      </c>
    </row>
    <row r="17" spans="1:17" ht="16.149999999999999" customHeight="1" x14ac:dyDescent="0.2">
      <c r="A17" s="4">
        <f t="shared" si="2"/>
        <v>8</v>
      </c>
      <c r="D17" s="42"/>
      <c r="E17" s="42"/>
      <c r="F17" s="43"/>
      <c r="G17" s="94"/>
      <c r="H17" s="95"/>
      <c r="I17" s="94"/>
      <c r="J17" s="42"/>
      <c r="K17" s="43"/>
      <c r="L17" s="42"/>
      <c r="M17" s="43"/>
      <c r="N17" s="43"/>
      <c r="O17" s="12"/>
    </row>
    <row r="18" spans="1:17" ht="16.149999999999999" customHeight="1" x14ac:dyDescent="0.2">
      <c r="A18" s="4">
        <f t="shared" si="2"/>
        <v>9</v>
      </c>
      <c r="B18" s="2" t="str">
        <f>'Billing Detail'!B109</f>
        <v>AGC Automotive</v>
      </c>
      <c r="C18" s="2" t="str">
        <f>'Billing Detail'!C109</f>
        <v>Special</v>
      </c>
      <c r="D18" s="42">
        <f>'Billing Detail'!G114</f>
        <v>6516088.7199999988</v>
      </c>
      <c r="E18" s="42">
        <f>'Billing Detail'!I114</f>
        <v>6794436.3115000008</v>
      </c>
      <c r="F18" s="43">
        <v>1</v>
      </c>
      <c r="G18" s="91">
        <f>L6</f>
        <v>83164.431815999909</v>
      </c>
      <c r="H18" s="95">
        <v>1</v>
      </c>
      <c r="I18" s="94">
        <f>L5</f>
        <v>438982.17090000119</v>
      </c>
      <c r="J18" s="42">
        <f>'Billing Detail'!M114</f>
        <v>7233418.482400002</v>
      </c>
      <c r="K18" s="43">
        <f>J18/J18</f>
        <v>1</v>
      </c>
      <c r="L18" s="42">
        <f>'Billing Detail'!N114</f>
        <v>438982.17090000154</v>
      </c>
      <c r="M18" s="35">
        <f t="shared" ref="M18:M21" si="9">IF(E18=0,0,L18/E18)</f>
        <v>6.4609064059809831E-2</v>
      </c>
      <c r="N18" s="35">
        <f>'Billing Detail'!O120</f>
        <v>5.7811389460267523E-2</v>
      </c>
      <c r="O18" s="12">
        <f>J18-I18-E18</f>
        <v>0</v>
      </c>
    </row>
    <row r="19" spans="1:17" ht="16.149999999999999" customHeight="1" x14ac:dyDescent="0.2">
      <c r="A19" s="4">
        <f t="shared" si="2"/>
        <v>10</v>
      </c>
      <c r="B19" s="2" t="str">
        <f>'Billing Detail'!B57</f>
        <v>Industrial</v>
      </c>
      <c r="C19" s="15">
        <f>'Billing Detail'!C57</f>
        <v>9</v>
      </c>
      <c r="D19" s="36">
        <f>'Billing Detail'!G62</f>
        <v>1861086.58</v>
      </c>
      <c r="E19" s="36">
        <f>'Billing Detail'!I62</f>
        <v>885193.87206000008</v>
      </c>
      <c r="F19" s="43">
        <v>1</v>
      </c>
      <c r="G19" s="91">
        <f>E19</f>
        <v>885193.87206000008</v>
      </c>
      <c r="H19" s="95">
        <v>1</v>
      </c>
      <c r="I19" s="94">
        <f>L6</f>
        <v>83164.431815999909</v>
      </c>
      <c r="J19" s="36">
        <f>'Billing Detail'!M62</f>
        <v>968415.53238000011</v>
      </c>
      <c r="K19" s="43">
        <v>1</v>
      </c>
      <c r="L19" s="36">
        <f>'Billing Detail'!N62</f>
        <v>83221.660319999981</v>
      </c>
      <c r="M19" s="35">
        <f t="shared" si="9"/>
        <v>9.4015178987094328E-2</v>
      </c>
      <c r="N19" s="35">
        <f>'Billing Detail'!O68</f>
        <v>8.3458287544593834E-2</v>
      </c>
      <c r="O19" s="12">
        <f>J19-I19-E19</f>
        <v>57.228504000115208</v>
      </c>
    </row>
    <row r="20" spans="1:17" ht="16.149999999999999" customHeight="1" x14ac:dyDescent="0.2">
      <c r="A20" s="4">
        <f t="shared" si="2"/>
        <v>11</v>
      </c>
      <c r="D20" s="42"/>
      <c r="E20" s="42"/>
      <c r="F20" s="43"/>
      <c r="G20" s="37"/>
      <c r="H20" s="43"/>
      <c r="I20" s="42"/>
      <c r="J20" s="42"/>
      <c r="K20" s="43"/>
      <c r="L20" s="42"/>
      <c r="M20" s="35"/>
      <c r="N20" s="35"/>
      <c r="O20" s="12"/>
      <c r="Q20" s="63"/>
    </row>
    <row r="21" spans="1:17" ht="16.149999999999999" customHeight="1" x14ac:dyDescent="0.2">
      <c r="A21" s="4">
        <f t="shared" si="2"/>
        <v>12</v>
      </c>
      <c r="B21" s="14" t="s">
        <v>42</v>
      </c>
      <c r="C21" s="14"/>
      <c r="D21" s="44">
        <f>D18+D16+D19</f>
        <v>70539509.553890005</v>
      </c>
      <c r="E21" s="44">
        <f>E18+E16+E19</f>
        <v>69450238.489169985</v>
      </c>
      <c r="F21" s="44"/>
      <c r="G21" s="44">
        <f>G18+G16+G19</f>
        <v>62738966.609485984</v>
      </c>
      <c r="H21" s="44"/>
      <c r="I21" s="44">
        <f>I18+I16+I19</f>
        <v>3031195.4427160011</v>
      </c>
      <c r="J21" s="44">
        <f>J18+J16+J19</f>
        <v>72482415.509126008</v>
      </c>
      <c r="K21" s="44"/>
      <c r="L21" s="44">
        <f>L18+L16+L19</f>
        <v>3032177.019956023</v>
      </c>
      <c r="M21" s="45">
        <f t="shared" si="9"/>
        <v>4.3659706372770168E-2</v>
      </c>
      <c r="N21" s="45"/>
      <c r="O21" s="44">
        <f>O18+O16+O19</f>
        <v>981.57724001805764</v>
      </c>
    </row>
    <row r="22" spans="1:17" ht="12.6" customHeight="1" x14ac:dyDescent="0.2">
      <c r="A22" s="4">
        <f t="shared" si="2"/>
        <v>13</v>
      </c>
    </row>
    <row r="23" spans="1:17" x14ac:dyDescent="0.2">
      <c r="A23" s="4">
        <f t="shared" si="2"/>
        <v>14</v>
      </c>
      <c r="B23" s="32" t="s">
        <v>7</v>
      </c>
      <c r="C23" s="32"/>
      <c r="D23" s="32"/>
    </row>
    <row r="24" spans="1:17" x14ac:dyDescent="0.2">
      <c r="A24" s="4">
        <f t="shared" si="2"/>
        <v>15</v>
      </c>
      <c r="B24" s="2" t="str">
        <f>'Billing Detail'!D11</f>
        <v xml:space="preserve">    FAC</v>
      </c>
      <c r="D24" s="36">
        <f>'Billing Detail'!G126</f>
        <v>7346524</v>
      </c>
      <c r="E24" s="36">
        <f>'Billing Detail'!I126</f>
        <v>-394938.2130000004</v>
      </c>
      <c r="F24" s="46"/>
      <c r="G24" s="47"/>
      <c r="H24" s="47"/>
      <c r="I24" s="47"/>
      <c r="J24" s="36">
        <f>'Billing Detail'!M126</f>
        <v>-394938.2130000004</v>
      </c>
      <c r="K24" s="48"/>
      <c r="L24" s="48"/>
      <c r="M24" s="47"/>
      <c r="N24" s="47"/>
    </row>
    <row r="25" spans="1:17" x14ac:dyDescent="0.2">
      <c r="A25" s="4">
        <f t="shared" si="2"/>
        <v>16</v>
      </c>
      <c r="B25" s="2" t="str">
        <f>'Billing Detail'!D12</f>
        <v xml:space="preserve">    ES</v>
      </c>
      <c r="D25" s="36">
        <f>'Billing Detail'!G127</f>
        <v>8489847</v>
      </c>
      <c r="E25" s="36">
        <f>'Billing Detail'!I127</f>
        <v>8489847</v>
      </c>
      <c r="F25" s="47"/>
      <c r="G25" s="47"/>
      <c r="H25" s="47"/>
      <c r="I25" s="47"/>
      <c r="J25" s="36">
        <f>'Billing Detail'!M127</f>
        <v>8489847</v>
      </c>
      <c r="K25" s="48"/>
      <c r="L25" s="48"/>
      <c r="M25" s="47"/>
      <c r="N25" s="47"/>
    </row>
    <row r="26" spans="1:17" x14ac:dyDescent="0.2">
      <c r="A26" s="4">
        <f t="shared" si="2"/>
        <v>17</v>
      </c>
      <c r="B26" s="2" t="str">
        <f>'Billing Detail'!D13</f>
        <v xml:space="preserve">    Prepay Daily Charges</v>
      </c>
      <c r="D26" s="36">
        <f>'Billing Detail'!G128</f>
        <v>82695.86</v>
      </c>
      <c r="E26" s="36">
        <f>'Billing Detail'!I128</f>
        <v>82695.86</v>
      </c>
      <c r="F26" s="47"/>
      <c r="G26" s="47"/>
      <c r="H26" s="47"/>
      <c r="I26" s="47"/>
      <c r="J26" s="36">
        <f>'Billing Detail'!M128</f>
        <v>82695.86</v>
      </c>
      <c r="K26" s="48"/>
      <c r="L26" s="48"/>
      <c r="M26" s="47"/>
      <c r="N26" s="47"/>
    </row>
    <row r="27" spans="1:17" x14ac:dyDescent="0.2">
      <c r="A27" s="4">
        <f t="shared" si="2"/>
        <v>18</v>
      </c>
      <c r="B27" s="2" t="str">
        <f>'Billing Detail'!D14</f>
        <v xml:space="preserve">    Other</v>
      </c>
      <c r="D27" s="36">
        <f>'Billing Detail'!G129</f>
        <v>0</v>
      </c>
      <c r="E27" s="36">
        <f>'Billing Detail'!I129</f>
        <v>0</v>
      </c>
      <c r="F27" s="47"/>
      <c r="G27" s="47"/>
      <c r="H27" s="47"/>
      <c r="I27" s="47"/>
      <c r="J27" s="36">
        <f>'Billing Detail'!M129</f>
        <v>0</v>
      </c>
      <c r="K27" s="48"/>
      <c r="L27" s="48"/>
      <c r="M27" s="47"/>
      <c r="N27" s="56"/>
    </row>
    <row r="28" spans="1:17" x14ac:dyDescent="0.2">
      <c r="A28" s="4">
        <f t="shared" si="2"/>
        <v>19</v>
      </c>
      <c r="B28" s="38" t="s">
        <v>8</v>
      </c>
      <c r="C28" s="38"/>
      <c r="D28" s="39">
        <f>SUM(D24:D27)</f>
        <v>15919066.859999999</v>
      </c>
      <c r="E28" s="39">
        <f>SUM(E24:E27)</f>
        <v>8177604.6469999999</v>
      </c>
      <c r="F28" s="49"/>
      <c r="G28" s="49"/>
      <c r="H28" s="49"/>
      <c r="I28" s="49"/>
      <c r="J28" s="39">
        <f>SUM(J24:J27)</f>
        <v>8177604.6469999999</v>
      </c>
      <c r="K28" s="50"/>
      <c r="L28" s="50"/>
      <c r="M28" s="49"/>
      <c r="N28" s="47"/>
    </row>
    <row r="29" spans="1:17" x14ac:dyDescent="0.2">
      <c r="A29" s="4">
        <f t="shared" si="2"/>
        <v>20</v>
      </c>
    </row>
    <row r="30" spans="1:17" ht="18" customHeight="1" thickBot="1" x14ac:dyDescent="0.25">
      <c r="A30" s="4">
        <f t="shared" si="2"/>
        <v>21</v>
      </c>
      <c r="B30" s="51" t="s">
        <v>9</v>
      </c>
      <c r="C30" s="51"/>
      <c r="D30" s="52">
        <f>D21+D28</f>
        <v>86458576.413890004</v>
      </c>
      <c r="E30" s="52">
        <f>E21+E28</f>
        <v>77627843.136169985</v>
      </c>
      <c r="F30" s="53"/>
      <c r="G30" s="53"/>
      <c r="H30" s="53"/>
      <c r="I30" s="53"/>
      <c r="J30" s="52">
        <f>J21+J28</f>
        <v>80660020.156126007</v>
      </c>
      <c r="K30" s="54"/>
      <c r="L30" s="53">
        <f t="shared" ref="L30" si="10">J30-E30</f>
        <v>3032177.0199560225</v>
      </c>
      <c r="M30" s="51"/>
      <c r="N30" s="55">
        <f>L30/E30</f>
        <v>3.906043112182267E-2</v>
      </c>
    </row>
    <row r="31" spans="1:17" ht="18" customHeight="1" thickTop="1" x14ac:dyDescent="0.2">
      <c r="A31" s="4">
        <f t="shared" si="2"/>
        <v>22</v>
      </c>
      <c r="B31" s="2" t="s">
        <v>10</v>
      </c>
      <c r="D31" s="42">
        <v>81074793</v>
      </c>
      <c r="L31" s="42">
        <f>L4</f>
        <v>3031195.4404489943</v>
      </c>
    </row>
    <row r="32" spans="1:17" ht="15" customHeight="1" x14ac:dyDescent="0.2">
      <c r="A32" s="4">
        <f t="shared" si="2"/>
        <v>23</v>
      </c>
      <c r="B32" s="38" t="s">
        <v>37</v>
      </c>
      <c r="C32" s="38"/>
      <c r="D32" s="39">
        <f>D30-D31</f>
        <v>5383783.4138900042</v>
      </c>
      <c r="E32" s="38"/>
      <c r="F32" s="38"/>
      <c r="G32" s="38"/>
      <c r="H32" s="38"/>
      <c r="I32" s="38"/>
      <c r="J32" s="38"/>
      <c r="K32" s="38"/>
      <c r="L32" s="39">
        <f>L30-L31</f>
        <v>981.57950702821836</v>
      </c>
    </row>
    <row r="33" spans="1:12" ht="15" customHeight="1" x14ac:dyDescent="0.2">
      <c r="A33" s="4">
        <f t="shared" si="2"/>
        <v>24</v>
      </c>
      <c r="B33" s="2" t="s">
        <v>37</v>
      </c>
      <c r="D33" s="35">
        <f>D32/D31</f>
        <v>6.6405145356214529E-2</v>
      </c>
      <c r="L33" s="35">
        <f>L32/L31</f>
        <v>3.2382587210636024E-4</v>
      </c>
    </row>
    <row r="34" spans="1:12" x14ac:dyDescent="0.2">
      <c r="A34" s="4"/>
    </row>
    <row r="36" spans="1:12" x14ac:dyDescent="0.2">
      <c r="D36" s="12"/>
    </row>
  </sheetData>
  <printOptions horizontalCentered="1"/>
  <pageMargins left="0.7" right="0.7" top="0.75" bottom="0.75" header="0.3" footer="0.3"/>
  <pageSetup scale="68" orientation="landscape" r:id="rId1"/>
  <headerFooter>
    <oddHeader>&amp;R&amp;"Arial,Bold"&amp;10Exhibit 4
Page &amp;P of &amp;N</oddHeader>
  </headerFooter>
  <ignoredErrors>
    <ignoredError sqref="J16 F16 J11:J14 G11:G14 G15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C936A2-12A9-4965-8FFC-07FECC5A7A7C}">
  <sheetPr>
    <pageSetUpPr fitToPage="1"/>
  </sheetPr>
  <dimension ref="A1:V179"/>
  <sheetViews>
    <sheetView tabSelected="1" view="pageBreakPreview" zoomScale="91" zoomScaleNormal="75" zoomScaleSheetLayoutView="91" workbookViewId="0">
      <pane xSplit="4" ySplit="5" topLeftCell="E64" activePane="bottomRight" state="frozen"/>
      <selection activeCell="Q8" sqref="Q8"/>
      <selection pane="topRight" activeCell="Q8" sqref="Q8"/>
      <selection pane="bottomLeft" activeCell="Q8" sqref="Q8"/>
      <selection pane="bottomRight" activeCell="P3" sqref="P3"/>
    </sheetView>
  </sheetViews>
  <sheetFormatPr defaultColWidth="8.85546875" defaultRowHeight="12.75" x14ac:dyDescent="0.2"/>
  <cols>
    <col min="1" max="1" width="8.28515625" style="6" customWidth="1"/>
    <col min="2" max="2" width="18.5703125" style="2" customWidth="1"/>
    <col min="3" max="3" width="7.7109375" style="15" customWidth="1"/>
    <col min="4" max="4" width="32.85546875" style="2" bestFit="1" customWidth="1"/>
    <col min="5" max="5" width="13.7109375" style="75" bestFit="1" customWidth="1"/>
    <col min="6" max="6" width="10" style="75" customWidth="1"/>
    <col min="7" max="7" width="13.85546875" style="75" customWidth="1"/>
    <col min="8" max="8" width="11.85546875" style="75" bestFit="1" customWidth="1"/>
    <col min="9" max="9" width="15.28515625" style="75" bestFit="1" customWidth="1"/>
    <col min="10" max="10" width="8.5703125" style="75" bestFit="1" customWidth="1"/>
    <col min="11" max="11" width="13.42578125" style="75" bestFit="1" customWidth="1"/>
    <col min="12" max="12" width="9.85546875" style="75" bestFit="1" customWidth="1"/>
    <col min="13" max="13" width="13.85546875" style="75" bestFit="1" customWidth="1"/>
    <col min="14" max="14" width="19.140625" style="75" customWidth="1"/>
    <col min="15" max="15" width="7.7109375" style="75" bestFit="1" customWidth="1"/>
    <col min="16" max="16" width="9.85546875" style="75" bestFit="1" customWidth="1"/>
    <col min="17" max="17" width="9.42578125" style="75" bestFit="1" customWidth="1"/>
    <col min="18" max="18" width="11.140625" style="75" bestFit="1" customWidth="1"/>
    <col min="19" max="19" width="8.85546875" style="2" customWidth="1"/>
    <col min="20" max="20" width="14.140625" style="2" customWidth="1"/>
    <col min="21" max="21" width="8.85546875" style="2" customWidth="1"/>
    <col min="22" max="22" width="13.7109375" style="2" customWidth="1"/>
    <col min="23" max="16384" width="8.85546875" style="2"/>
  </cols>
  <sheetData>
    <row r="1" spans="1:20" x14ac:dyDescent="0.2">
      <c r="A1" s="28" t="str">
        <f>Summary!A1</f>
        <v>NOLIN RECC</v>
      </c>
      <c r="F1" s="98"/>
    </row>
    <row r="2" spans="1:20" ht="14.45" customHeight="1" x14ac:dyDescent="0.2">
      <c r="A2" s="28" t="str">
        <f>Summary!A2</f>
        <v>Billing Analysis for Pass-Through Rate Increase</v>
      </c>
      <c r="F2" s="99"/>
      <c r="G2" s="99"/>
      <c r="H2" s="99"/>
      <c r="K2" s="27"/>
      <c r="P2" s="100"/>
    </row>
    <row r="3" spans="1:20" x14ac:dyDescent="0.2">
      <c r="K3" s="27"/>
    </row>
    <row r="5" spans="1:20" ht="38.450000000000003" customHeight="1" x14ac:dyDescent="0.2">
      <c r="A5" s="17" t="s">
        <v>1</v>
      </c>
      <c r="B5" s="17" t="s">
        <v>12</v>
      </c>
      <c r="C5" s="9" t="s">
        <v>11</v>
      </c>
      <c r="D5" s="17" t="s">
        <v>13</v>
      </c>
      <c r="E5" s="101" t="s">
        <v>14</v>
      </c>
      <c r="F5" s="11" t="s">
        <v>88</v>
      </c>
      <c r="G5" s="11" t="s">
        <v>85</v>
      </c>
      <c r="H5" s="101" t="s">
        <v>23</v>
      </c>
      <c r="I5" s="101" t="s">
        <v>24</v>
      </c>
      <c r="J5" s="101" t="s">
        <v>63</v>
      </c>
      <c r="K5" s="101" t="s">
        <v>10</v>
      </c>
      <c r="L5" s="101" t="s">
        <v>21</v>
      </c>
      <c r="M5" s="101" t="s">
        <v>4</v>
      </c>
      <c r="N5" s="101" t="s">
        <v>15</v>
      </c>
      <c r="O5" s="102" t="s">
        <v>16</v>
      </c>
      <c r="P5" s="101" t="s">
        <v>22</v>
      </c>
      <c r="Q5" s="101" t="s">
        <v>25</v>
      </c>
      <c r="R5" s="101" t="s">
        <v>38</v>
      </c>
      <c r="T5" s="11" t="s">
        <v>34</v>
      </c>
    </row>
    <row r="6" spans="1:20" ht="30.6" customHeight="1" thickBot="1" x14ac:dyDescent="0.25">
      <c r="A6" s="29"/>
      <c r="B6" s="22"/>
      <c r="C6" s="23"/>
      <c r="D6" s="22"/>
      <c r="E6" s="103"/>
      <c r="F6" s="103"/>
      <c r="G6" s="103"/>
      <c r="H6" s="103"/>
      <c r="I6" s="103"/>
      <c r="J6" s="103"/>
      <c r="K6" s="103"/>
      <c r="L6" s="103"/>
      <c r="M6" s="103"/>
      <c r="N6" s="103"/>
      <c r="O6" s="104"/>
      <c r="P6" s="103"/>
      <c r="Q6" s="103"/>
      <c r="R6" s="103"/>
    </row>
    <row r="7" spans="1:20" x14ac:dyDescent="0.2">
      <c r="A7" s="30">
        <v>1</v>
      </c>
      <c r="B7" s="24" t="s">
        <v>56</v>
      </c>
      <c r="C7" s="25">
        <v>1</v>
      </c>
      <c r="D7" s="24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5"/>
      <c r="Q7" s="105"/>
      <c r="R7" s="105"/>
    </row>
    <row r="8" spans="1:20" x14ac:dyDescent="0.2">
      <c r="A8" s="30">
        <f>A7+1</f>
        <v>2</v>
      </c>
      <c r="C8" s="2"/>
      <c r="D8" s="2" t="s">
        <v>17</v>
      </c>
      <c r="E8" s="139">
        <v>387556</v>
      </c>
      <c r="F8" s="107">
        <v>13.5</v>
      </c>
      <c r="G8" s="136">
        <f>F8*E8</f>
        <v>5232006</v>
      </c>
      <c r="H8" s="98">
        <v>13.99</v>
      </c>
      <c r="I8" s="108">
        <f>H8*E8</f>
        <v>5421908.4400000004</v>
      </c>
      <c r="J8" s="109">
        <f>I8/I10</f>
        <v>0.1120874708547285</v>
      </c>
      <c r="K8" s="110"/>
      <c r="L8" s="98">
        <f>ROUND(H8*S10,2)</f>
        <v>14.56</v>
      </c>
      <c r="M8" s="108">
        <f>L8*E8</f>
        <v>5642815.3600000003</v>
      </c>
      <c r="N8" s="108">
        <f t="shared" ref="N8:N13" si="0">M8-I8</f>
        <v>220906.91999999993</v>
      </c>
      <c r="O8" s="109">
        <f>IF(I8=0,0,N8/I8)</f>
        <v>4.0743388134381685E-2</v>
      </c>
      <c r="P8" s="109">
        <f>M8/M10</f>
        <v>0.11209913926029619</v>
      </c>
      <c r="Q8" s="111">
        <f>P8-J8</f>
        <v>1.1668405567683005E-5</v>
      </c>
      <c r="R8" s="111"/>
      <c r="T8" s="5">
        <f>L8/H8-1</f>
        <v>4.0743388134381719E-2</v>
      </c>
    </row>
    <row r="9" spans="1:20" x14ac:dyDescent="0.2">
      <c r="A9" s="30">
        <f t="shared" ref="A9:A72" si="1">A8+1</f>
        <v>3</v>
      </c>
      <c r="B9" s="13"/>
      <c r="D9" s="2" t="s">
        <v>51</v>
      </c>
      <c r="E9" s="139">
        <v>414417312</v>
      </c>
      <c r="F9" s="112">
        <f>H9+0.00158</f>
        <v>0.10521999999999999</v>
      </c>
      <c r="G9" s="136">
        <f t="shared" ref="G9" si="2">F9*E9</f>
        <v>43604989.568640001</v>
      </c>
      <c r="H9" s="113">
        <v>0.10364</v>
      </c>
      <c r="I9" s="108">
        <f t="shared" ref="I9" si="3">H9*E9</f>
        <v>42950210.215679996</v>
      </c>
      <c r="J9" s="109">
        <f>I9/I10</f>
        <v>0.88791252914527152</v>
      </c>
      <c r="K9" s="110"/>
      <c r="L9" s="113">
        <f>ROUND(H9*S10,6)</f>
        <v>0.10785</v>
      </c>
      <c r="M9" s="108">
        <f t="shared" ref="M9" si="4">L9*E9</f>
        <v>44694907.099200003</v>
      </c>
      <c r="N9" s="108">
        <f t="shared" si="0"/>
        <v>1744696.8835200071</v>
      </c>
      <c r="O9" s="109">
        <f t="shared" ref="O9" si="5">IF(I9=0,0,N9/I9)</f>
        <v>4.0621381705905228E-2</v>
      </c>
      <c r="P9" s="109">
        <f>M9/M10</f>
        <v>0.88790086073970387</v>
      </c>
      <c r="Q9" s="111">
        <f t="shared" ref="Q9:Q10" si="6">P9-J9</f>
        <v>-1.1668405567655249E-5</v>
      </c>
      <c r="R9" s="111"/>
      <c r="T9" s="5">
        <f>L9/H9-1</f>
        <v>4.0621381705905124E-2</v>
      </c>
    </row>
    <row r="10" spans="1:20" s="6" customFormat="1" ht="20.45" customHeight="1" x14ac:dyDescent="0.25">
      <c r="A10" s="30">
        <f t="shared" si="1"/>
        <v>4</v>
      </c>
      <c r="C10" s="16"/>
      <c r="D10" s="18" t="s">
        <v>6</v>
      </c>
      <c r="E10" s="114"/>
      <c r="F10" s="114"/>
      <c r="G10" s="19">
        <f>SUM(G8:G9)</f>
        <v>48836995.568640001</v>
      </c>
      <c r="H10" s="114"/>
      <c r="I10" s="115">
        <f>SUM(I8:I9)</f>
        <v>48372118.655679993</v>
      </c>
      <c r="J10" s="116">
        <f>SUM(J8:J9)</f>
        <v>1</v>
      </c>
      <c r="K10" s="117">
        <f>I10+Summary!I11</f>
        <v>50336936.735679992</v>
      </c>
      <c r="L10" s="114"/>
      <c r="M10" s="19">
        <f>SUM(M8:M9)</f>
        <v>50337722.459200002</v>
      </c>
      <c r="N10" s="19">
        <f>SUM(N8:N9)</f>
        <v>1965603.8035200071</v>
      </c>
      <c r="O10" s="116">
        <f t="shared" ref="O10" si="7">N10/I10</f>
        <v>4.0635057097901175E-2</v>
      </c>
      <c r="P10" s="116">
        <f>SUM(P8:P9)</f>
        <v>1</v>
      </c>
      <c r="Q10" s="118">
        <f t="shared" si="6"/>
        <v>0</v>
      </c>
      <c r="R10" s="119">
        <f>M10-K10</f>
        <v>785.72352001070976</v>
      </c>
      <c r="S10" s="6">
        <f>K10/I10</f>
        <v>1.0406188137837391</v>
      </c>
    </row>
    <row r="11" spans="1:20" x14ac:dyDescent="0.2">
      <c r="A11" s="30">
        <f t="shared" si="1"/>
        <v>5</v>
      </c>
      <c r="D11" s="2" t="s">
        <v>26</v>
      </c>
      <c r="G11" s="136">
        <v>4671427</v>
      </c>
      <c r="I11" s="27">
        <f>G11-($H$171*E9)</f>
        <v>-218697.28160000034</v>
      </c>
      <c r="K11" s="27"/>
      <c r="M11" s="108">
        <f>I11</f>
        <v>-218697.28160000034</v>
      </c>
      <c r="N11" s="108">
        <f t="shared" si="0"/>
        <v>0</v>
      </c>
      <c r="O11" s="98">
        <v>0</v>
      </c>
      <c r="R11" s="120"/>
    </row>
    <row r="12" spans="1:20" x14ac:dyDescent="0.2">
      <c r="A12" s="30">
        <f t="shared" si="1"/>
        <v>6</v>
      </c>
      <c r="D12" s="2" t="s">
        <v>27</v>
      </c>
      <c r="G12" s="136">
        <f>5540423+409129</f>
        <v>5949552</v>
      </c>
      <c r="I12" s="27">
        <f>G12</f>
        <v>5949552</v>
      </c>
      <c r="M12" s="108">
        <f t="shared" ref="M12:M14" si="8">I12</f>
        <v>5949552</v>
      </c>
      <c r="N12" s="108">
        <f t="shared" si="0"/>
        <v>0</v>
      </c>
      <c r="O12" s="98">
        <v>0</v>
      </c>
    </row>
    <row r="13" spans="1:20" x14ac:dyDescent="0.2">
      <c r="A13" s="30">
        <f t="shared" si="1"/>
        <v>7</v>
      </c>
      <c r="D13" s="2" t="s">
        <v>40</v>
      </c>
      <c r="E13" s="139">
        <v>26142</v>
      </c>
      <c r="F13" s="75">
        <f>0.104</f>
        <v>0.104</v>
      </c>
      <c r="G13" s="136">
        <f>ROUND(F13*E13*365/12,2)</f>
        <v>82695.86</v>
      </c>
      <c r="I13" s="27">
        <f>G13</f>
        <v>82695.86</v>
      </c>
      <c r="M13" s="108">
        <f t="shared" si="8"/>
        <v>82695.86</v>
      </c>
      <c r="N13" s="108">
        <f t="shared" si="0"/>
        <v>0</v>
      </c>
      <c r="O13" s="98">
        <v>0</v>
      </c>
    </row>
    <row r="14" spans="1:20" x14ac:dyDescent="0.2">
      <c r="A14" s="30">
        <f t="shared" si="1"/>
        <v>8</v>
      </c>
      <c r="D14" s="2" t="s">
        <v>39</v>
      </c>
      <c r="G14" s="136">
        <v>0</v>
      </c>
      <c r="I14" s="27">
        <f>G14</f>
        <v>0</v>
      </c>
      <c r="M14" s="108">
        <f t="shared" si="8"/>
        <v>0</v>
      </c>
      <c r="N14" s="108"/>
      <c r="O14" s="98">
        <v>0</v>
      </c>
    </row>
    <row r="15" spans="1:20" x14ac:dyDescent="0.2">
      <c r="A15" s="30">
        <f t="shared" si="1"/>
        <v>9</v>
      </c>
      <c r="D15" s="14" t="s">
        <v>8</v>
      </c>
      <c r="E15" s="121"/>
      <c r="F15" s="121"/>
      <c r="G15" s="145">
        <f>SUM(G11:G14)</f>
        <v>10703674.859999999</v>
      </c>
      <c r="H15" s="121"/>
      <c r="I15" s="122">
        <f>SUM(I11:I14)</f>
        <v>5813550.5784</v>
      </c>
      <c r="J15" s="121"/>
      <c r="K15" s="121"/>
      <c r="L15" s="121"/>
      <c r="M15" s="122">
        <f>SUM(M11:M14)</f>
        <v>5813550.5784</v>
      </c>
      <c r="N15" s="122">
        <f>M15-I15</f>
        <v>0</v>
      </c>
      <c r="O15" s="123">
        <v>0</v>
      </c>
    </row>
    <row r="16" spans="1:20" s="6" customFormat="1" ht="26.45" customHeight="1" thickBot="1" x14ac:dyDescent="0.25">
      <c r="A16" s="30">
        <f t="shared" si="1"/>
        <v>10</v>
      </c>
      <c r="C16" s="16"/>
      <c r="D16" s="7" t="s">
        <v>19</v>
      </c>
      <c r="E16" s="124"/>
      <c r="F16" s="124"/>
      <c r="G16" s="146">
        <f>G10+G15</f>
        <v>59540670.428640001</v>
      </c>
      <c r="H16" s="124"/>
      <c r="I16" s="126">
        <f>I15+I10</f>
        <v>54185669.234079994</v>
      </c>
      <c r="J16" s="124"/>
      <c r="K16" s="124"/>
      <c r="L16" s="124"/>
      <c r="M16" s="125">
        <f>M15+M10</f>
        <v>56151273.037600003</v>
      </c>
      <c r="N16" s="125">
        <f>M16-I16</f>
        <v>1965603.8035200089</v>
      </c>
      <c r="O16" s="127">
        <f>N16/I16</f>
        <v>3.6275344224848023E-2</v>
      </c>
      <c r="P16" s="75"/>
      <c r="Q16" s="75"/>
      <c r="R16" s="75"/>
    </row>
    <row r="17" spans="1:22" ht="13.5" thickTop="1" x14ac:dyDescent="0.2">
      <c r="A17" s="30">
        <f t="shared" si="1"/>
        <v>11</v>
      </c>
      <c r="D17" s="2" t="s">
        <v>18</v>
      </c>
      <c r="E17" s="107">
        <f>E9/E8</f>
        <v>1069.3094984982815</v>
      </c>
      <c r="G17" s="128">
        <f>G16/E8</f>
        <v>153.63114086387515</v>
      </c>
      <c r="I17" s="128">
        <f>I16/E8</f>
        <v>139.81377977396812</v>
      </c>
      <c r="M17" s="128">
        <f>M16/E8</f>
        <v>144.88557276264592</v>
      </c>
      <c r="N17" s="128">
        <f>M17-I17</f>
        <v>5.0717929886777995</v>
      </c>
      <c r="O17" s="109">
        <f>N17/I17</f>
        <v>3.6275344224848106E-2</v>
      </c>
    </row>
    <row r="18" spans="1:22" ht="13.5" thickBot="1" x14ac:dyDescent="0.25">
      <c r="A18" s="30">
        <f t="shared" si="1"/>
        <v>12</v>
      </c>
    </row>
    <row r="19" spans="1:22" x14ac:dyDescent="0.2">
      <c r="A19" s="30">
        <f t="shared" si="1"/>
        <v>13</v>
      </c>
      <c r="B19" s="24" t="s">
        <v>57</v>
      </c>
      <c r="C19" s="25">
        <v>2</v>
      </c>
      <c r="D19" s="24"/>
      <c r="E19" s="105"/>
      <c r="F19" s="105"/>
      <c r="G19" s="105"/>
      <c r="H19" s="105"/>
      <c r="I19" s="105"/>
      <c r="J19" s="105"/>
      <c r="K19" s="105"/>
      <c r="L19" s="105"/>
      <c r="M19" s="105"/>
      <c r="N19" s="105"/>
      <c r="O19" s="105"/>
      <c r="P19" s="105"/>
      <c r="Q19" s="105"/>
      <c r="R19" s="105"/>
    </row>
    <row r="20" spans="1:22" x14ac:dyDescent="0.2">
      <c r="A20" s="30">
        <f t="shared" si="1"/>
        <v>14</v>
      </c>
      <c r="C20" s="2"/>
      <c r="D20" s="2" t="s">
        <v>17</v>
      </c>
      <c r="E20" s="139">
        <v>25036</v>
      </c>
      <c r="F20" s="107">
        <v>23</v>
      </c>
      <c r="G20" s="136">
        <f>F20*E20</f>
        <v>575828</v>
      </c>
      <c r="H20" s="98">
        <v>23.83</v>
      </c>
      <c r="I20" s="108">
        <f>H20*E20</f>
        <v>596607.88</v>
      </c>
      <c r="J20" s="109">
        <f>I20/I22</f>
        <v>0.14190149965015553</v>
      </c>
      <c r="K20" s="110"/>
      <c r="L20" s="98">
        <f>ROUND(H20*S22,2)</f>
        <v>24.8</v>
      </c>
      <c r="M20" s="108">
        <f>L20*E20</f>
        <v>620892.80000000005</v>
      </c>
      <c r="N20" s="108">
        <f>M20-I20</f>
        <v>24284.920000000042</v>
      </c>
      <c r="O20" s="109">
        <f>IF(I20=0,0,N20/I20)</f>
        <v>4.0704993705413417E-2</v>
      </c>
      <c r="P20" s="109">
        <f>M20/M$22</f>
        <v>0.14191199542814908</v>
      </c>
      <c r="Q20" s="111">
        <f>P20-J20</f>
        <v>1.049577799355772E-5</v>
      </c>
      <c r="R20" s="111"/>
      <c r="V20" s="57"/>
    </row>
    <row r="21" spans="1:22" x14ac:dyDescent="0.2">
      <c r="A21" s="30">
        <f t="shared" si="1"/>
        <v>15</v>
      </c>
      <c r="D21" s="2" t="s">
        <v>51</v>
      </c>
      <c r="E21" s="139">
        <v>35013320</v>
      </c>
      <c r="F21" s="113">
        <f>H21+0.00158</f>
        <v>0.10462</v>
      </c>
      <c r="G21" s="136">
        <f t="shared" ref="G21" si="9">F21*E21</f>
        <v>3663093.5384</v>
      </c>
      <c r="H21" s="113">
        <v>0.10304000000000001</v>
      </c>
      <c r="I21" s="108">
        <f t="shared" ref="I21" si="10">H21*E21</f>
        <v>3607772.4928000001</v>
      </c>
      <c r="J21" s="109">
        <f>I21/I22</f>
        <v>0.85809850034984447</v>
      </c>
      <c r="K21" s="110"/>
      <c r="L21" s="113">
        <f>ROUND(H21*S22,6)</f>
        <v>0.107225</v>
      </c>
      <c r="M21" s="108">
        <f t="shared" ref="M21" si="11">L21*E21</f>
        <v>3754303.2370000002</v>
      </c>
      <c r="N21" s="108">
        <f t="shared" ref="N21" si="12">M21-I21</f>
        <v>146530.74420000007</v>
      </c>
      <c r="O21" s="109">
        <f t="shared" ref="O21" si="13">IF(I21=0,0,N21/I21)</f>
        <v>4.0615295031055917E-2</v>
      </c>
      <c r="P21" s="109">
        <f>M21/M$22</f>
        <v>0.85808800457185086</v>
      </c>
      <c r="Q21" s="111">
        <f t="shared" ref="Q21" si="14">P21-J21</f>
        <v>-1.0495777993613231E-5</v>
      </c>
      <c r="R21" s="111"/>
      <c r="T21" s="5">
        <f>L21/H21-1</f>
        <v>4.0615295031055876E-2</v>
      </c>
      <c r="V21" s="57"/>
    </row>
    <row r="22" spans="1:22" s="6" customFormat="1" ht="20.45" customHeight="1" x14ac:dyDescent="0.25">
      <c r="A22" s="30">
        <f t="shared" si="1"/>
        <v>16</v>
      </c>
      <c r="C22" s="16"/>
      <c r="D22" s="18" t="s">
        <v>6</v>
      </c>
      <c r="E22" s="114"/>
      <c r="F22" s="114"/>
      <c r="G22" s="19">
        <f>SUM(G20:G21)</f>
        <v>4238921.5384</v>
      </c>
      <c r="H22" s="114"/>
      <c r="I22" s="115">
        <f>SUM(I20:I21)</f>
        <v>4204380.3728</v>
      </c>
      <c r="J22" s="116">
        <f>SUM(J20:J21)</f>
        <v>1</v>
      </c>
      <c r="K22" s="117">
        <f>I22+Summary!I12</f>
        <v>4375157.3128000004</v>
      </c>
      <c r="L22" s="114"/>
      <c r="M22" s="19">
        <f>SUM(M20:M21)</f>
        <v>4375196.0370000005</v>
      </c>
      <c r="N22" s="19">
        <f>SUM(N20:N21)</f>
        <v>170815.66420000012</v>
      </c>
      <c r="O22" s="116">
        <f t="shared" ref="O22" si="15">N22/I22</f>
        <v>4.0628023407463881E-2</v>
      </c>
      <c r="P22" s="116">
        <f>SUM(P20:P21)</f>
        <v>1</v>
      </c>
      <c r="Q22" s="118">
        <f t="shared" ref="Q22" si="16">P22-J22</f>
        <v>0</v>
      </c>
      <c r="R22" s="119">
        <f>M22-K22</f>
        <v>38.724200000055134</v>
      </c>
      <c r="S22" s="6">
        <f>K22/I22</f>
        <v>1.0406188129658374</v>
      </c>
    </row>
    <row r="23" spans="1:22" x14ac:dyDescent="0.2">
      <c r="A23" s="30">
        <f t="shared" si="1"/>
        <v>17</v>
      </c>
      <c r="D23" s="2" t="s">
        <v>26</v>
      </c>
      <c r="G23" s="136">
        <v>419332</v>
      </c>
      <c r="I23" s="27">
        <f>G23-($H$171*E21)</f>
        <v>6174.8240000000224</v>
      </c>
      <c r="M23" s="108">
        <f>I23</f>
        <v>6174.8240000000224</v>
      </c>
      <c r="N23" s="108">
        <f t="shared" ref="N23:N29" si="17">M23-I23</f>
        <v>0</v>
      </c>
      <c r="O23" s="98">
        <v>0</v>
      </c>
    </row>
    <row r="24" spans="1:22" x14ac:dyDescent="0.2">
      <c r="A24" s="30">
        <f t="shared" si="1"/>
        <v>18</v>
      </c>
      <c r="D24" s="2" t="s">
        <v>27</v>
      </c>
      <c r="G24" s="136">
        <v>486805</v>
      </c>
      <c r="I24" s="27">
        <f t="shared" ref="I24:I26" si="18">G24</f>
        <v>486805</v>
      </c>
      <c r="M24" s="108">
        <f t="shared" ref="M24:M26" si="19">I24</f>
        <v>486805</v>
      </c>
      <c r="N24" s="108">
        <f t="shared" si="17"/>
        <v>0</v>
      </c>
      <c r="O24" s="98">
        <v>0</v>
      </c>
    </row>
    <row r="25" spans="1:22" x14ac:dyDescent="0.2">
      <c r="A25" s="30">
        <f t="shared" si="1"/>
        <v>19</v>
      </c>
      <c r="D25" s="2" t="s">
        <v>29</v>
      </c>
      <c r="G25" s="136">
        <v>0</v>
      </c>
      <c r="I25" s="27">
        <f t="shared" si="18"/>
        <v>0</v>
      </c>
      <c r="M25" s="108">
        <f t="shared" si="19"/>
        <v>0</v>
      </c>
      <c r="N25" s="108">
        <f t="shared" si="17"/>
        <v>0</v>
      </c>
      <c r="O25" s="98">
        <v>0</v>
      </c>
    </row>
    <row r="26" spans="1:22" x14ac:dyDescent="0.2">
      <c r="A26" s="30">
        <f t="shared" si="1"/>
        <v>20</v>
      </c>
      <c r="D26" s="2" t="s">
        <v>39</v>
      </c>
      <c r="G26" s="136">
        <v>0</v>
      </c>
      <c r="I26" s="27">
        <f t="shared" si="18"/>
        <v>0</v>
      </c>
      <c r="M26" s="108">
        <f t="shared" si="19"/>
        <v>0</v>
      </c>
      <c r="N26" s="108"/>
      <c r="O26" s="98"/>
    </row>
    <row r="27" spans="1:22" x14ac:dyDescent="0.2">
      <c r="A27" s="30">
        <f t="shared" si="1"/>
        <v>21</v>
      </c>
      <c r="D27" s="14" t="s">
        <v>8</v>
      </c>
      <c r="E27" s="121"/>
      <c r="F27" s="121"/>
      <c r="G27" s="145">
        <f>SUM(G23:G26)</f>
        <v>906137</v>
      </c>
      <c r="H27" s="121"/>
      <c r="I27" s="122">
        <f>SUM(I23:I26)</f>
        <v>492979.82400000002</v>
      </c>
      <c r="J27" s="121"/>
      <c r="K27" s="121"/>
      <c r="L27" s="121"/>
      <c r="M27" s="122">
        <f>SUM(M23:M26)</f>
        <v>492979.82400000002</v>
      </c>
      <c r="N27" s="122">
        <f t="shared" si="17"/>
        <v>0</v>
      </c>
      <c r="O27" s="123">
        <f t="shared" ref="O27" si="20">N27-J27</f>
        <v>0</v>
      </c>
    </row>
    <row r="28" spans="1:22" s="6" customFormat="1" ht="26.45" customHeight="1" thickBot="1" x14ac:dyDescent="0.25">
      <c r="A28" s="30">
        <f t="shared" si="1"/>
        <v>22</v>
      </c>
      <c r="C28" s="16"/>
      <c r="D28" s="7" t="s">
        <v>19</v>
      </c>
      <c r="E28" s="124"/>
      <c r="F28" s="124"/>
      <c r="G28" s="146">
        <f>G22+G27</f>
        <v>5145058.5384</v>
      </c>
      <c r="H28" s="124"/>
      <c r="I28" s="126">
        <f>I27+I22</f>
        <v>4697360.1968</v>
      </c>
      <c r="J28" s="124"/>
      <c r="K28" s="124"/>
      <c r="L28" s="124"/>
      <c r="M28" s="125">
        <f>M27+M22</f>
        <v>4868175.8610000005</v>
      </c>
      <c r="N28" s="125">
        <f t="shared" si="17"/>
        <v>170815.66420000046</v>
      </c>
      <c r="O28" s="127">
        <f>N28/I28</f>
        <v>3.6364182656540976E-2</v>
      </c>
      <c r="P28" s="75"/>
      <c r="Q28" s="75"/>
      <c r="R28" s="75"/>
    </row>
    <row r="29" spans="1:22" ht="13.5" thickTop="1" x14ac:dyDescent="0.2">
      <c r="A29" s="30">
        <f t="shared" si="1"/>
        <v>23</v>
      </c>
      <c r="D29" s="2" t="s">
        <v>18</v>
      </c>
      <c r="E29" s="107">
        <f>E21/E20</f>
        <v>1398.5189327368589</v>
      </c>
      <c r="G29" s="128">
        <f>G28/E20</f>
        <v>205.5064123022847</v>
      </c>
      <c r="I29" s="128">
        <f>I28/E20</f>
        <v>187.62422898226555</v>
      </c>
      <c r="M29" s="128">
        <f>M28/E20</f>
        <v>194.4470307157693</v>
      </c>
      <c r="N29" s="128">
        <f t="shared" si="17"/>
        <v>6.8228017335037521</v>
      </c>
      <c r="O29" s="109">
        <f>N29/I29</f>
        <v>3.6364182656540858E-2</v>
      </c>
    </row>
    <row r="30" spans="1:22" ht="13.5" thickBot="1" x14ac:dyDescent="0.25">
      <c r="A30" s="30">
        <f t="shared" si="1"/>
        <v>24</v>
      </c>
    </row>
    <row r="31" spans="1:22" x14ac:dyDescent="0.2">
      <c r="A31" s="30">
        <f t="shared" si="1"/>
        <v>25</v>
      </c>
      <c r="B31" s="24" t="s">
        <v>58</v>
      </c>
      <c r="C31" s="25">
        <v>3</v>
      </c>
      <c r="D31" s="24"/>
      <c r="E31" s="105"/>
      <c r="F31" s="105"/>
      <c r="G31" s="105"/>
      <c r="H31" s="105"/>
      <c r="I31" s="105"/>
      <c r="J31" s="105"/>
      <c r="K31" s="105"/>
      <c r="L31" s="105"/>
      <c r="M31" s="105"/>
      <c r="N31" s="105"/>
      <c r="O31" s="105"/>
      <c r="P31" s="105"/>
      <c r="Q31" s="105"/>
      <c r="R31" s="105"/>
    </row>
    <row r="32" spans="1:22" x14ac:dyDescent="0.2">
      <c r="A32" s="30">
        <f t="shared" si="1"/>
        <v>26</v>
      </c>
      <c r="C32" s="2"/>
      <c r="D32" s="2" t="s">
        <v>17</v>
      </c>
      <c r="E32" s="139">
        <v>1089</v>
      </c>
      <c r="F32" s="107">
        <v>35</v>
      </c>
      <c r="G32" s="136">
        <f>F32*E32</f>
        <v>38115</v>
      </c>
      <c r="H32" s="98">
        <v>36.26</v>
      </c>
      <c r="I32" s="108">
        <f>H32*E32</f>
        <v>39487.14</v>
      </c>
      <c r="J32" s="109">
        <f>I32/I35</f>
        <v>2.0866073401394562E-2</v>
      </c>
      <c r="K32" s="110"/>
      <c r="L32" s="98">
        <f>ROUND(H32*S35,2)</f>
        <v>37.729999999999997</v>
      </c>
      <c r="M32" s="108">
        <f>L32*E32</f>
        <v>41087.969999999994</v>
      </c>
      <c r="N32" s="108">
        <f>M32-I32</f>
        <v>1600.8299999999945</v>
      </c>
      <c r="O32" s="109">
        <f>IF(I32=0,0,N32/I32)</f>
        <v>4.0540540540540404E-2</v>
      </c>
      <c r="P32" s="109">
        <f>M32/M$35</f>
        <v>2.0866797217697769E-2</v>
      </c>
      <c r="Q32" s="111">
        <f>P32-J32</f>
        <v>7.2381630320667023E-7</v>
      </c>
      <c r="R32" s="111"/>
      <c r="T32" s="5">
        <f>L32/H32-1</f>
        <v>4.0540540540540571E-2</v>
      </c>
    </row>
    <row r="33" spans="1:22" x14ac:dyDescent="0.2">
      <c r="A33" s="30">
        <f t="shared" si="1"/>
        <v>27</v>
      </c>
      <c r="D33" s="2" t="s">
        <v>53</v>
      </c>
      <c r="E33" s="139">
        <v>59350</v>
      </c>
      <c r="F33" s="107">
        <v>6.24</v>
      </c>
      <c r="G33" s="136">
        <f t="shared" ref="G33" si="21">F33*E33</f>
        <v>370344</v>
      </c>
      <c r="H33" s="98">
        <v>6.24</v>
      </c>
      <c r="I33" s="108">
        <f t="shared" ref="I33" si="22">H33*E33</f>
        <v>370344</v>
      </c>
      <c r="J33" s="109">
        <f>I33/I35</f>
        <v>0.19569979207828339</v>
      </c>
      <c r="K33" s="110"/>
      <c r="L33" s="98">
        <f>ROUND(H33*S35,2)</f>
        <v>6.49</v>
      </c>
      <c r="M33" s="108">
        <f t="shared" ref="M33" si="23">L33*E33</f>
        <v>385181.5</v>
      </c>
      <c r="N33" s="108">
        <f t="shared" ref="N33" si="24">M33-I33</f>
        <v>14837.5</v>
      </c>
      <c r="O33" s="109">
        <f t="shared" ref="O33" si="25">IF(I33=0,0,N33/I33)</f>
        <v>4.0064102564102567E-2</v>
      </c>
      <c r="P33" s="109">
        <f t="shared" ref="P33:P34" si="26">M33/M$35</f>
        <v>0.19561697140327583</v>
      </c>
      <c r="Q33" s="111">
        <f t="shared" ref="Q33" si="27">P33-J33</f>
        <v>-8.2820675007561073E-5</v>
      </c>
      <c r="R33" s="111"/>
      <c r="T33" s="5">
        <f>L33/H33-1</f>
        <v>4.0064102564102644E-2</v>
      </c>
      <c r="V33" s="2">
        <f>6123*12</f>
        <v>73476</v>
      </c>
    </row>
    <row r="34" spans="1:22" x14ac:dyDescent="0.2">
      <c r="A34" s="30">
        <f t="shared" si="1"/>
        <v>28</v>
      </c>
      <c r="D34" s="2" t="s">
        <v>51</v>
      </c>
      <c r="E34" s="139">
        <v>17626651</v>
      </c>
      <c r="F34" s="113">
        <v>7.2309999999999999E-2</v>
      </c>
      <c r="G34" s="136">
        <f t="shared" ref="G34" si="28">F34*E34</f>
        <v>1274583.13381</v>
      </c>
      <c r="H34" s="113">
        <v>8.4110000000000004E-2</v>
      </c>
      <c r="I34" s="108">
        <f t="shared" ref="I34" si="29">H34*E34</f>
        <v>1482577.61561</v>
      </c>
      <c r="J34" s="109">
        <f>I34/I35</f>
        <v>0.78343413452032207</v>
      </c>
      <c r="K34" s="110"/>
      <c r="L34" s="113">
        <f>ROUND(H34*S35,6)</f>
        <v>8.7526000000000007E-2</v>
      </c>
      <c r="M34" s="108">
        <f t="shared" ref="M34" si="30">L34*E34</f>
        <v>1542790.2554260001</v>
      </c>
      <c r="N34" s="108">
        <f t="shared" ref="N34:N42" si="31">M34-I34</f>
        <v>60212.639816000126</v>
      </c>
      <c r="O34" s="109">
        <f t="shared" ref="O34" si="32">IF(I34=0,0,N34/I34)</f>
        <v>4.0613482344548889E-2</v>
      </c>
      <c r="P34" s="109">
        <f t="shared" si="26"/>
        <v>0.78351623137902637</v>
      </c>
      <c r="Q34" s="111">
        <f t="shared" ref="Q34:Q35" si="33">P34-J34</f>
        <v>8.2096858704305831E-5</v>
      </c>
      <c r="R34" s="111"/>
      <c r="T34" s="5">
        <f>L34/H34-1</f>
        <v>4.0613482344548757E-2</v>
      </c>
      <c r="V34" s="2">
        <f>6001.299*6.24</f>
        <v>37448.105759999999</v>
      </c>
    </row>
    <row r="35" spans="1:22" s="6" customFormat="1" ht="20.45" customHeight="1" x14ac:dyDescent="0.25">
      <c r="A35" s="30">
        <f t="shared" si="1"/>
        <v>29</v>
      </c>
      <c r="C35" s="16"/>
      <c r="D35" s="18" t="s">
        <v>6</v>
      </c>
      <c r="E35" s="114"/>
      <c r="F35" s="114"/>
      <c r="G35" s="19">
        <f>SUM(G32:G34)</f>
        <v>1683042.13381</v>
      </c>
      <c r="H35" s="114"/>
      <c r="I35" s="115">
        <f>SUM(I32:I34)</f>
        <v>1892408.7556099999</v>
      </c>
      <c r="J35" s="116">
        <f>SUM(J32:J34)</f>
        <v>1</v>
      </c>
      <c r="K35" s="117">
        <f>I35+Summary!I13</f>
        <v>1969276.1556099998</v>
      </c>
      <c r="L35" s="114"/>
      <c r="M35" s="19">
        <f>SUM(M32:M34)</f>
        <v>1969059.7254260001</v>
      </c>
      <c r="N35" s="19">
        <f>SUM(N32:N34)</f>
        <v>76650.969816000113</v>
      </c>
      <c r="O35" s="116">
        <f t="shared" ref="O35" si="34">N35/I35</f>
        <v>4.0504446826707056E-2</v>
      </c>
      <c r="P35" s="116">
        <f>SUM(P32:P34)</f>
        <v>1</v>
      </c>
      <c r="Q35" s="118">
        <f t="shared" si="33"/>
        <v>0</v>
      </c>
      <c r="R35" s="119">
        <f>M35-K35</f>
        <v>-216.43018399970606</v>
      </c>
      <c r="S35" s="6">
        <f>K35/I35</f>
        <v>1.0406188143930999</v>
      </c>
    </row>
    <row r="36" spans="1:22" x14ac:dyDescent="0.2">
      <c r="A36" s="30">
        <f t="shared" si="1"/>
        <v>30</v>
      </c>
      <c r="D36" s="2" t="s">
        <v>26</v>
      </c>
      <c r="G36" s="136">
        <v>197019</v>
      </c>
      <c r="I36" s="27">
        <f>G36-($H$171*E34)</f>
        <v>-10975.481800000009</v>
      </c>
      <c r="M36" s="108">
        <f>I36</f>
        <v>-10975.481800000009</v>
      </c>
      <c r="N36" s="108">
        <f t="shared" si="31"/>
        <v>0</v>
      </c>
      <c r="O36" s="98">
        <v>0</v>
      </c>
    </row>
    <row r="37" spans="1:22" x14ac:dyDescent="0.2">
      <c r="A37" s="30">
        <f t="shared" si="1"/>
        <v>31</v>
      </c>
      <c r="D37" s="2" t="s">
        <v>27</v>
      </c>
      <c r="G37" s="136">
        <v>215601</v>
      </c>
      <c r="I37" s="27">
        <f t="shared" ref="I37:I39" si="35">G37</f>
        <v>215601</v>
      </c>
      <c r="M37" s="108">
        <f t="shared" ref="M37:M39" si="36">I37</f>
        <v>215601</v>
      </c>
      <c r="N37" s="108">
        <f t="shared" si="31"/>
        <v>0</v>
      </c>
      <c r="O37" s="98">
        <v>0</v>
      </c>
    </row>
    <row r="38" spans="1:22" x14ac:dyDescent="0.2">
      <c r="A38" s="30">
        <f t="shared" si="1"/>
        <v>32</v>
      </c>
      <c r="D38" s="2" t="s">
        <v>29</v>
      </c>
      <c r="G38" s="136">
        <v>0</v>
      </c>
      <c r="I38" s="27">
        <f t="shared" si="35"/>
        <v>0</v>
      </c>
      <c r="M38" s="108">
        <f t="shared" si="36"/>
        <v>0</v>
      </c>
      <c r="N38" s="108">
        <f t="shared" si="31"/>
        <v>0</v>
      </c>
      <c r="O38" s="98">
        <v>0</v>
      </c>
    </row>
    <row r="39" spans="1:22" x14ac:dyDescent="0.2">
      <c r="A39" s="30">
        <f t="shared" si="1"/>
        <v>33</v>
      </c>
      <c r="D39" s="2" t="s">
        <v>39</v>
      </c>
      <c r="G39" s="136">
        <v>0</v>
      </c>
      <c r="I39" s="27">
        <f t="shared" si="35"/>
        <v>0</v>
      </c>
      <c r="M39" s="108">
        <f t="shared" si="36"/>
        <v>0</v>
      </c>
      <c r="N39" s="108"/>
      <c r="O39" s="98"/>
    </row>
    <row r="40" spans="1:22" x14ac:dyDescent="0.2">
      <c r="A40" s="30">
        <f t="shared" si="1"/>
        <v>34</v>
      </c>
      <c r="D40" s="14" t="s">
        <v>8</v>
      </c>
      <c r="E40" s="121"/>
      <c r="F40" s="121"/>
      <c r="G40" s="145">
        <f>SUM(G36:G39)</f>
        <v>412620</v>
      </c>
      <c r="H40" s="121"/>
      <c r="I40" s="122">
        <f>SUM(I36:I39)</f>
        <v>204625.51819999999</v>
      </c>
      <c r="J40" s="121"/>
      <c r="K40" s="121"/>
      <c r="L40" s="121"/>
      <c r="M40" s="122">
        <f>SUM(M36:M39)</f>
        <v>204625.51819999999</v>
      </c>
      <c r="N40" s="122">
        <f t="shared" si="31"/>
        <v>0</v>
      </c>
      <c r="O40" s="123">
        <f t="shared" ref="O40" si="37">N40-J40</f>
        <v>0</v>
      </c>
    </row>
    <row r="41" spans="1:22" s="6" customFormat="1" ht="26.45" customHeight="1" thickBot="1" x14ac:dyDescent="0.25">
      <c r="A41" s="30">
        <f t="shared" si="1"/>
        <v>35</v>
      </c>
      <c r="C41" s="16"/>
      <c r="D41" s="7" t="s">
        <v>19</v>
      </c>
      <c r="E41" s="124"/>
      <c r="F41" s="124"/>
      <c r="G41" s="146">
        <f>G35+G40</f>
        <v>2095662.13381</v>
      </c>
      <c r="H41" s="124"/>
      <c r="I41" s="126">
        <f>I40+I35</f>
        <v>2097034.2738099999</v>
      </c>
      <c r="J41" s="124"/>
      <c r="K41" s="124"/>
      <c r="L41" s="124"/>
      <c r="M41" s="125">
        <f>M40+M35</f>
        <v>2173685.2436259999</v>
      </c>
      <c r="N41" s="125">
        <f t="shared" si="31"/>
        <v>76650.969815999968</v>
      </c>
      <c r="O41" s="127">
        <f>N41/I41</f>
        <v>3.6552082516389459E-2</v>
      </c>
      <c r="P41" s="75"/>
      <c r="Q41" s="75"/>
      <c r="R41" s="75"/>
    </row>
    <row r="42" spans="1:22" ht="13.5" thickTop="1" x14ac:dyDescent="0.2">
      <c r="A42" s="30">
        <f t="shared" si="1"/>
        <v>36</v>
      </c>
      <c r="D42" s="2" t="s">
        <v>18</v>
      </c>
      <c r="E42" s="107">
        <f>E34/E32</f>
        <v>16186.089072543618</v>
      </c>
      <c r="G42" s="128">
        <f>G41/E32</f>
        <v>1924.3913074471993</v>
      </c>
      <c r="I42" s="128">
        <f>I41/E32</f>
        <v>1925.6513074471991</v>
      </c>
      <c r="M42" s="128">
        <f>M41/E32</f>
        <v>1996.0378729348024</v>
      </c>
      <c r="N42" s="128">
        <f t="shared" si="31"/>
        <v>70.38656548760332</v>
      </c>
      <c r="O42" s="109">
        <f>N42/I42</f>
        <v>3.6552082516389486E-2</v>
      </c>
    </row>
    <row r="43" spans="1:22" ht="13.5" thickBot="1" x14ac:dyDescent="0.25">
      <c r="A43" s="30">
        <f t="shared" si="1"/>
        <v>37</v>
      </c>
    </row>
    <row r="44" spans="1:22" x14ac:dyDescent="0.2">
      <c r="A44" s="30">
        <f t="shared" si="1"/>
        <v>38</v>
      </c>
      <c r="B44" s="24" t="s">
        <v>59</v>
      </c>
      <c r="C44" s="25">
        <v>4</v>
      </c>
      <c r="D44" s="24"/>
      <c r="E44" s="105"/>
      <c r="F44" s="105"/>
      <c r="G44" s="105"/>
      <c r="H44" s="105"/>
      <c r="I44" s="105"/>
      <c r="J44" s="105"/>
      <c r="K44" s="105"/>
      <c r="L44" s="105"/>
      <c r="M44" s="105"/>
      <c r="N44" s="105"/>
      <c r="O44" s="105"/>
      <c r="P44" s="105"/>
      <c r="Q44" s="105"/>
      <c r="R44" s="105"/>
    </row>
    <row r="45" spans="1:22" x14ac:dyDescent="0.2">
      <c r="A45" s="30">
        <f t="shared" si="1"/>
        <v>39</v>
      </c>
      <c r="C45" s="2"/>
      <c r="D45" s="2" t="s">
        <v>17</v>
      </c>
      <c r="E45" s="139">
        <v>1259</v>
      </c>
      <c r="F45" s="107">
        <f>H45</f>
        <v>44.03</v>
      </c>
      <c r="G45" s="136">
        <f>F45*E45</f>
        <v>55433.770000000004</v>
      </c>
      <c r="H45" s="98">
        <v>44.03</v>
      </c>
      <c r="I45" s="108">
        <f>H45*E45</f>
        <v>55433.770000000004</v>
      </c>
      <c r="J45" s="109">
        <f>I45/I48</f>
        <v>9.3576359520508526E-3</v>
      </c>
      <c r="K45" s="110"/>
      <c r="L45" s="98">
        <f>ROUND(H45*S48,2)</f>
        <v>45.82</v>
      </c>
      <c r="M45" s="108">
        <f>L45*E45</f>
        <v>57687.38</v>
      </c>
      <c r="N45" s="108">
        <f>M45-I45</f>
        <v>2253.6099999999933</v>
      </c>
      <c r="O45" s="109">
        <f>IF(I45=0,0,N45/I45)</f>
        <v>4.0654099477628769E-2</v>
      </c>
      <c r="P45" s="109">
        <f>M45/M$48</f>
        <v>9.3574183535950588E-3</v>
      </c>
      <c r="Q45" s="111">
        <f>P45-J45</f>
        <v>-2.1759845579387427E-7</v>
      </c>
      <c r="R45" s="111"/>
    </row>
    <row r="46" spans="1:22" x14ac:dyDescent="0.2">
      <c r="A46" s="30">
        <f t="shared" si="1"/>
        <v>40</v>
      </c>
      <c r="D46" s="2" t="s">
        <v>51</v>
      </c>
      <c r="E46" s="139">
        <v>64350944</v>
      </c>
      <c r="F46" s="113">
        <f>H46+0.00158</f>
        <v>7.6659999999999992E-2</v>
      </c>
      <c r="G46" s="136">
        <f t="shared" ref="G46" si="38">F46*E46</f>
        <v>4933143.3670399999</v>
      </c>
      <c r="H46" s="113">
        <v>7.5079999999999994E-2</v>
      </c>
      <c r="I46" s="108">
        <f t="shared" ref="I46" si="39">H46*E46</f>
        <v>4831468.8755199993</v>
      </c>
      <c r="J46" s="109">
        <f>I46/I48</f>
        <v>0.81558816675792845</v>
      </c>
      <c r="K46" s="110"/>
      <c r="L46" s="129">
        <f>ROUND(H46*S48,6)</f>
        <v>7.8130000000000005E-2</v>
      </c>
      <c r="M46" s="108">
        <f t="shared" ref="M46" si="40">L46*E46</f>
        <v>5027739.2547200006</v>
      </c>
      <c r="N46" s="108">
        <f t="shared" ref="N46" si="41">M46-I46</f>
        <v>196270.37920000125</v>
      </c>
      <c r="O46" s="109">
        <f t="shared" ref="O46" si="42">IF(I46=0,0,N46/I46)</f>
        <v>4.0623335109217097E-2</v>
      </c>
      <c r="P46" s="109">
        <f t="shared" ref="P46:P47" si="43">M46/M$48</f>
        <v>0.81554509113097662</v>
      </c>
      <c r="Q46" s="111">
        <f t="shared" ref="Q46" si="44">P46-J46</f>
        <v>-4.3075626951827317E-5</v>
      </c>
      <c r="R46" s="111"/>
      <c r="T46" s="5">
        <f>L46/H46-1</f>
        <v>4.0623335109216896E-2</v>
      </c>
    </row>
    <row r="47" spans="1:22" x14ac:dyDescent="0.2">
      <c r="A47" s="30">
        <f t="shared" si="1"/>
        <v>41</v>
      </c>
      <c r="D47" s="2" t="s">
        <v>52</v>
      </c>
      <c r="E47" s="139">
        <v>202145.2</v>
      </c>
      <c r="F47" s="107">
        <v>5.13</v>
      </c>
      <c r="G47" s="136">
        <f t="shared" ref="G47" si="45">F47*E47</f>
        <v>1037004.876</v>
      </c>
      <c r="H47" s="98">
        <v>5.13</v>
      </c>
      <c r="I47" s="108">
        <f t="shared" ref="I47" si="46">H47*E47</f>
        <v>1037004.876</v>
      </c>
      <c r="J47" s="109">
        <f>I47/I48</f>
        <v>0.17505419729002081</v>
      </c>
      <c r="K47" s="110"/>
      <c r="L47" s="98">
        <f>ROUND(H47*S48,2)</f>
        <v>5.34</v>
      </c>
      <c r="M47" s="108">
        <f t="shared" ref="M47" si="47">L47*E47</f>
        <v>1079455.368</v>
      </c>
      <c r="N47" s="108">
        <f t="shared" ref="N47:N55" si="48">M47-I47</f>
        <v>42450.491999999969</v>
      </c>
      <c r="O47" s="109">
        <f t="shared" ref="O47" si="49">IF(I47=0,0,N47/I47)</f>
        <v>4.0935672514619853E-2</v>
      </c>
      <c r="P47" s="109">
        <f t="shared" si="43"/>
        <v>0.17509749051542833</v>
      </c>
      <c r="Q47" s="111">
        <f t="shared" ref="Q47:Q48" si="50">P47-J47</f>
        <v>4.3293225407525782E-5</v>
      </c>
      <c r="R47" s="111"/>
      <c r="T47" s="5">
        <f>L47/H47-1</f>
        <v>4.0935672514619936E-2</v>
      </c>
    </row>
    <row r="48" spans="1:22" s="6" customFormat="1" ht="20.45" customHeight="1" x14ac:dyDescent="0.25">
      <c r="A48" s="30">
        <f t="shared" si="1"/>
        <v>42</v>
      </c>
      <c r="C48" s="16"/>
      <c r="D48" s="18" t="s">
        <v>6</v>
      </c>
      <c r="E48" s="114"/>
      <c r="F48" s="114"/>
      <c r="G48" s="19">
        <f>SUM(G45:G47)</f>
        <v>6025582.0130399996</v>
      </c>
      <c r="H48" s="114"/>
      <c r="I48" s="115">
        <f>SUM(I45:I47)</f>
        <v>5923907.521519999</v>
      </c>
      <c r="J48" s="116">
        <f>SUM(J45:J47)</f>
        <v>1</v>
      </c>
      <c r="K48" s="117">
        <f>I48+Summary!I14</f>
        <v>6164529.6215199986</v>
      </c>
      <c r="L48" s="114"/>
      <c r="M48" s="19">
        <f>SUM(M45:M47)</f>
        <v>6164882.0027200002</v>
      </c>
      <c r="N48" s="19">
        <f>SUM(N45:N47)</f>
        <v>240974.4812000012</v>
      </c>
      <c r="O48" s="116">
        <f t="shared" ref="O48" si="51">N48/I48</f>
        <v>4.0678298964763417E-2</v>
      </c>
      <c r="P48" s="116">
        <f>SUM(P45:P47)</f>
        <v>1</v>
      </c>
      <c r="Q48" s="118">
        <f t="shared" si="50"/>
        <v>0</v>
      </c>
      <c r="R48" s="119">
        <f>M48-K48</f>
        <v>352.38120000157505</v>
      </c>
      <c r="S48" s="6">
        <f>K48/I48</f>
        <v>1.0406188143764707</v>
      </c>
    </row>
    <row r="49" spans="1:20" x14ac:dyDescent="0.2">
      <c r="A49" s="30">
        <f t="shared" si="1"/>
        <v>43</v>
      </c>
      <c r="D49" s="2" t="s">
        <v>26</v>
      </c>
      <c r="G49" s="136">
        <v>718911</v>
      </c>
      <c r="I49" s="27">
        <f>G49-($H$171*E46)</f>
        <v>-40430.139199999976</v>
      </c>
      <c r="M49" s="108">
        <f>I49</f>
        <v>-40430.139199999976</v>
      </c>
      <c r="N49" s="108">
        <f t="shared" si="48"/>
        <v>0</v>
      </c>
      <c r="O49" s="98">
        <v>0</v>
      </c>
    </row>
    <row r="50" spans="1:20" x14ac:dyDescent="0.2">
      <c r="A50" s="30">
        <f t="shared" si="1"/>
        <v>44</v>
      </c>
      <c r="D50" s="2" t="s">
        <v>27</v>
      </c>
      <c r="G50" s="136">
        <v>671632</v>
      </c>
      <c r="I50" s="27">
        <f t="shared" ref="I50:I52" si="52">G50</f>
        <v>671632</v>
      </c>
      <c r="M50" s="108">
        <f t="shared" ref="M50:M52" si="53">I50</f>
        <v>671632</v>
      </c>
      <c r="N50" s="108">
        <f t="shared" si="48"/>
        <v>0</v>
      </c>
      <c r="O50" s="98">
        <v>0</v>
      </c>
    </row>
    <row r="51" spans="1:20" x14ac:dyDescent="0.2">
      <c r="A51" s="30">
        <f t="shared" si="1"/>
        <v>45</v>
      </c>
      <c r="D51" s="2" t="s">
        <v>29</v>
      </c>
      <c r="G51" s="136">
        <v>0</v>
      </c>
      <c r="I51" s="27">
        <f t="shared" si="52"/>
        <v>0</v>
      </c>
      <c r="M51" s="108">
        <f t="shared" si="53"/>
        <v>0</v>
      </c>
      <c r="N51" s="108">
        <f t="shared" si="48"/>
        <v>0</v>
      </c>
      <c r="O51" s="98">
        <v>0</v>
      </c>
    </row>
    <row r="52" spans="1:20" x14ac:dyDescent="0.2">
      <c r="A52" s="30">
        <f t="shared" si="1"/>
        <v>46</v>
      </c>
      <c r="D52" s="2" t="s">
        <v>39</v>
      </c>
      <c r="G52" s="136">
        <v>0</v>
      </c>
      <c r="I52" s="27">
        <f t="shared" si="52"/>
        <v>0</v>
      </c>
      <c r="M52" s="108">
        <f t="shared" si="53"/>
        <v>0</v>
      </c>
      <c r="N52" s="108"/>
      <c r="O52" s="98"/>
    </row>
    <row r="53" spans="1:20" x14ac:dyDescent="0.2">
      <c r="A53" s="30">
        <f t="shared" si="1"/>
        <v>47</v>
      </c>
      <c r="D53" s="14" t="s">
        <v>8</v>
      </c>
      <c r="E53" s="121"/>
      <c r="F53" s="121"/>
      <c r="G53" s="145">
        <f>SUM(G49:G52)</f>
        <v>1390543</v>
      </c>
      <c r="H53" s="121"/>
      <c r="I53" s="122">
        <f>SUM(I49:I52)</f>
        <v>631201.86080000002</v>
      </c>
      <c r="J53" s="121"/>
      <c r="K53" s="121"/>
      <c r="L53" s="121"/>
      <c r="M53" s="122">
        <f>SUM(M49:M52)</f>
        <v>631201.86080000002</v>
      </c>
      <c r="N53" s="122">
        <f t="shared" si="48"/>
        <v>0</v>
      </c>
      <c r="O53" s="123">
        <f t="shared" ref="O53" si="54">N53-J53</f>
        <v>0</v>
      </c>
    </row>
    <row r="54" spans="1:20" s="6" customFormat="1" ht="26.45" customHeight="1" thickBot="1" x14ac:dyDescent="0.25">
      <c r="A54" s="30">
        <f t="shared" si="1"/>
        <v>48</v>
      </c>
      <c r="C54" s="16"/>
      <c r="D54" s="7" t="s">
        <v>19</v>
      </c>
      <c r="E54" s="124"/>
      <c r="F54" s="124"/>
      <c r="G54" s="146">
        <f>G48+G53</f>
        <v>7416125.0130399996</v>
      </c>
      <c r="H54" s="124"/>
      <c r="I54" s="126">
        <f>I53+I48</f>
        <v>6555109.3823199989</v>
      </c>
      <c r="J54" s="124"/>
      <c r="K54" s="124"/>
      <c r="L54" s="124"/>
      <c r="M54" s="125">
        <f>M53+M48</f>
        <v>6796083.8635200001</v>
      </c>
      <c r="N54" s="125">
        <f t="shared" si="48"/>
        <v>240974.4812000012</v>
      </c>
      <c r="O54" s="127">
        <f>N54/I54</f>
        <v>3.6761321153532756E-2</v>
      </c>
      <c r="P54" s="75"/>
      <c r="Q54" s="75"/>
      <c r="R54" s="75"/>
    </row>
    <row r="55" spans="1:20" ht="13.5" thickTop="1" x14ac:dyDescent="0.2">
      <c r="A55" s="30">
        <f t="shared" si="1"/>
        <v>49</v>
      </c>
      <c r="D55" s="2" t="s">
        <v>18</v>
      </c>
      <c r="E55" s="107">
        <f>E46/E45</f>
        <v>51112.743447180299</v>
      </c>
      <c r="G55" s="128">
        <f>G54/E45</f>
        <v>5890.4884932803807</v>
      </c>
      <c r="I55" s="128">
        <f>I54/E45</f>
        <v>5206.5999859571084</v>
      </c>
      <c r="M55" s="128">
        <f>M54/E45</f>
        <v>5398.0014801588559</v>
      </c>
      <c r="N55" s="128">
        <f t="shared" si="48"/>
        <v>191.40149420174748</v>
      </c>
      <c r="O55" s="109">
        <f>N55/I55</f>
        <v>3.6761321153532582E-2</v>
      </c>
    </row>
    <row r="56" spans="1:20" ht="13.5" thickBot="1" x14ac:dyDescent="0.25">
      <c r="A56" s="30">
        <f t="shared" si="1"/>
        <v>50</v>
      </c>
    </row>
    <row r="57" spans="1:20" x14ac:dyDescent="0.2">
      <c r="A57" s="30">
        <f t="shared" si="1"/>
        <v>51</v>
      </c>
      <c r="B57" s="24" t="s">
        <v>59</v>
      </c>
      <c r="C57" s="25">
        <v>9</v>
      </c>
      <c r="D57" s="24"/>
      <c r="E57" s="105"/>
      <c r="F57" s="105"/>
      <c r="G57" s="105"/>
      <c r="H57" s="105"/>
      <c r="I57" s="105"/>
      <c r="J57" s="105"/>
      <c r="K57" s="105"/>
      <c r="L57" s="105"/>
      <c r="M57" s="105"/>
      <c r="N57" s="105"/>
      <c r="O57" s="105"/>
      <c r="P57" s="105"/>
      <c r="Q57" s="105"/>
      <c r="R57" s="105"/>
    </row>
    <row r="58" spans="1:20" x14ac:dyDescent="0.2">
      <c r="A58" s="30">
        <f t="shared" si="1"/>
        <v>52</v>
      </c>
      <c r="C58" s="2"/>
      <c r="D58" s="2" t="s">
        <v>17</v>
      </c>
      <c r="E58" s="139">
        <v>12</v>
      </c>
      <c r="F58" s="135"/>
      <c r="G58" s="136">
        <v>10982.879999999997</v>
      </c>
      <c r="H58" s="98">
        <v>632.5</v>
      </c>
      <c r="I58" s="108">
        <f>H58*E58</f>
        <v>7590</v>
      </c>
      <c r="J58" s="109">
        <f>I58/I62</f>
        <v>8.5743928415780261E-3</v>
      </c>
      <c r="K58" s="110"/>
      <c r="L58" s="98">
        <f>ROUND(H58*S62,2)</f>
        <v>691.92</v>
      </c>
      <c r="M58" s="108">
        <f>L58*E58</f>
        <v>8303.0399999999991</v>
      </c>
      <c r="N58" s="108">
        <f>M58-I58</f>
        <v>713.03999999999905</v>
      </c>
      <c r="O58" s="109">
        <f>IF(I58=0,0,N58/I58)</f>
        <v>9.3944664031620426E-2</v>
      </c>
      <c r="P58" s="109">
        <f>M58/M$62</f>
        <v>8.5738401774641711E-3</v>
      </c>
      <c r="Q58" s="111">
        <f>P58-J58</f>
        <v>-5.5266411385507253E-7</v>
      </c>
      <c r="R58" s="111"/>
      <c r="T58" s="5">
        <f>L58/H58-1</f>
        <v>9.3944664031620384E-2</v>
      </c>
    </row>
    <row r="59" spans="1:20" x14ac:dyDescent="0.2">
      <c r="A59" s="30">
        <f t="shared" si="1"/>
        <v>53</v>
      </c>
      <c r="B59" s="32"/>
      <c r="D59" s="2" t="s">
        <v>60</v>
      </c>
      <c r="E59" s="139">
        <v>24000</v>
      </c>
      <c r="F59" s="107"/>
      <c r="G59" s="136">
        <v>380920</v>
      </c>
      <c r="H59" s="98">
        <v>6.36</v>
      </c>
      <c r="I59" s="108">
        <f t="shared" ref="I59" si="55">H59*E59</f>
        <v>152640</v>
      </c>
      <c r="J59" s="109">
        <f>I59/I61</f>
        <v>0.21054842300799104</v>
      </c>
      <c r="K59" s="110"/>
      <c r="L59" s="98">
        <f>ROUND(H59*S62,2)</f>
        <v>6.96</v>
      </c>
      <c r="M59" s="108">
        <f t="shared" ref="M59" si="56">L59*E59</f>
        <v>167040</v>
      </c>
      <c r="N59" s="108">
        <f t="shared" ref="N59" si="57">M59-I59</f>
        <v>14400</v>
      </c>
      <c r="O59" s="109">
        <f t="shared" ref="O59" si="58">IF(I59=0,0,N59/I59)</f>
        <v>9.4339622641509441E-2</v>
      </c>
      <c r="P59" s="109">
        <f t="shared" ref="P59" si="59">M59/M$62</f>
        <v>0.17248793974780505</v>
      </c>
      <c r="Q59" s="111">
        <f t="shared" ref="Q59" si="60">P59-J59</f>
        <v>-3.806048326018599E-2</v>
      </c>
      <c r="R59" s="111"/>
      <c r="T59" s="5">
        <f>L59/H59-1</f>
        <v>9.4339622641509413E-2</v>
      </c>
    </row>
    <row r="60" spans="1:20" x14ac:dyDescent="0.2">
      <c r="A60" s="30">
        <f t="shared" si="1"/>
        <v>54</v>
      </c>
      <c r="B60" s="96"/>
      <c r="D60" s="2" t="s">
        <v>61</v>
      </c>
      <c r="E60" s="139">
        <v>0</v>
      </c>
      <c r="F60" s="107"/>
      <c r="G60" s="136">
        <f t="shared" ref="G60" si="61">F60*E60</f>
        <v>0</v>
      </c>
      <c r="H60" s="98">
        <v>9.25</v>
      </c>
      <c r="I60" s="108">
        <f t="shared" ref="I60" si="62">H60*E60</f>
        <v>0</v>
      </c>
      <c r="J60" s="109">
        <f>I60/I62</f>
        <v>0</v>
      </c>
      <c r="K60" s="110"/>
      <c r="L60" s="98">
        <f>ROUND(H60*S62,2)</f>
        <v>10.119999999999999</v>
      </c>
      <c r="M60" s="108">
        <f t="shared" ref="M60" si="63">L60*E60</f>
        <v>0</v>
      </c>
      <c r="N60" s="108">
        <f t="shared" ref="N60" si="64">M60-I60</f>
        <v>0</v>
      </c>
      <c r="O60" s="109">
        <f t="shared" ref="O60" si="65">IF(I60=0,0,N60/I60)</f>
        <v>0</v>
      </c>
      <c r="P60" s="109">
        <f t="shared" ref="P60:P61" si="66">M60/M$62</f>
        <v>0</v>
      </c>
      <c r="Q60" s="111">
        <f t="shared" ref="Q60" si="67">P60-J60</f>
        <v>0</v>
      </c>
      <c r="R60" s="111"/>
      <c r="T60" s="5">
        <f>L60/H60-1</f>
        <v>9.4054054054053982E-2</v>
      </c>
    </row>
    <row r="61" spans="1:20" x14ac:dyDescent="0.2">
      <c r="A61" s="30">
        <f t="shared" si="1"/>
        <v>55</v>
      </c>
      <c r="B61" s="97"/>
      <c r="D61" s="2" t="s">
        <v>51</v>
      </c>
      <c r="E61" s="139">
        <v>10914843</v>
      </c>
      <c r="F61" s="113"/>
      <c r="G61" s="136">
        <v>1469183.7000000002</v>
      </c>
      <c r="H61" s="113">
        <v>6.6420000000000007E-2</v>
      </c>
      <c r="I61" s="108">
        <f t="shared" ref="I61" si="68">H61*E61</f>
        <v>724963.87206000008</v>
      </c>
      <c r="J61" s="109">
        <f>I61/I62</f>
        <v>0.81898880566455245</v>
      </c>
      <c r="K61" s="110"/>
      <c r="L61" s="129">
        <f>ROUND(H61*S62,6)</f>
        <v>7.2660000000000002E-2</v>
      </c>
      <c r="M61" s="108">
        <f t="shared" ref="M61" si="69">L61*E61</f>
        <v>793072.49238000007</v>
      </c>
      <c r="N61" s="108">
        <f t="shared" ref="N61:N69" si="70">M61-I61</f>
        <v>68108.620319999987</v>
      </c>
      <c r="O61" s="109">
        <f t="shared" ref="O61" si="71">IF(I61=0,0,N61/I61)</f>
        <v>9.3947606142728068E-2</v>
      </c>
      <c r="P61" s="109">
        <f t="shared" si="66"/>
        <v>0.81893822007473072</v>
      </c>
      <c r="Q61" s="111">
        <f t="shared" ref="Q61:Q62" si="72">P61-J61</f>
        <v>-5.0585589821738886E-5</v>
      </c>
      <c r="R61" s="111"/>
      <c r="T61" s="5">
        <f>L61/H61-1</f>
        <v>9.3947606142728013E-2</v>
      </c>
    </row>
    <row r="62" spans="1:20" s="6" customFormat="1" ht="20.45" customHeight="1" x14ac:dyDescent="0.25">
      <c r="A62" s="30">
        <f t="shared" si="1"/>
        <v>56</v>
      </c>
      <c r="C62" s="16"/>
      <c r="D62" s="18" t="s">
        <v>6</v>
      </c>
      <c r="E62" s="114"/>
      <c r="F62" s="114"/>
      <c r="G62" s="19">
        <f>SUM(G58:G61)</f>
        <v>1861086.58</v>
      </c>
      <c r="H62" s="114"/>
      <c r="I62" s="115">
        <f>SUM(I58:I61)</f>
        <v>885193.87206000008</v>
      </c>
      <c r="J62" s="116">
        <f>SUM(J58:J61)</f>
        <v>1.0381116215141215</v>
      </c>
      <c r="K62" s="117">
        <f>I62+Summary!I19</f>
        <v>968358.30387599999</v>
      </c>
      <c r="L62" s="114"/>
      <c r="M62" s="19">
        <f>SUM(M58:M61)</f>
        <v>968415.53238000011</v>
      </c>
      <c r="N62" s="19">
        <f>SUM(N58:N61)</f>
        <v>83221.660319999981</v>
      </c>
      <c r="O62" s="116">
        <f t="shared" ref="O62" si="73">N62/I62</f>
        <v>9.4015178987094328E-2</v>
      </c>
      <c r="P62" s="116">
        <f>SUM(P58:P61)</f>
        <v>1</v>
      </c>
      <c r="Q62" s="118">
        <f t="shared" si="72"/>
        <v>-3.8111621514121508E-2</v>
      </c>
      <c r="R62" s="119">
        <f>M62-K62</f>
        <v>57.228504000115208</v>
      </c>
      <c r="S62" s="6">
        <f>K62/I62</f>
        <v>1.0939505281735196</v>
      </c>
    </row>
    <row r="63" spans="1:20" x14ac:dyDescent="0.2">
      <c r="A63" s="30">
        <f t="shared" si="1"/>
        <v>57</v>
      </c>
      <c r="D63" s="2" t="s">
        <v>26</v>
      </c>
      <c r="G63" s="136">
        <v>125832</v>
      </c>
      <c r="I63" s="27">
        <f>G63-($H$171*E61)</f>
        <v>-2963.1474000000017</v>
      </c>
      <c r="K63" s="27"/>
      <c r="M63" s="108">
        <f>I63</f>
        <v>-2963.1474000000017</v>
      </c>
      <c r="N63" s="108">
        <f t="shared" si="70"/>
        <v>0</v>
      </c>
      <c r="O63" s="98">
        <v>0</v>
      </c>
    </row>
    <row r="64" spans="1:20" x14ac:dyDescent="0.2">
      <c r="A64" s="30">
        <f t="shared" si="1"/>
        <v>58</v>
      </c>
      <c r="D64" s="2" t="s">
        <v>27</v>
      </c>
      <c r="G64" s="136">
        <v>114934</v>
      </c>
      <c r="I64" s="27">
        <f t="shared" ref="I64:I66" si="74">G64</f>
        <v>114934</v>
      </c>
      <c r="M64" s="108">
        <f t="shared" ref="M64:M66" si="75">I64</f>
        <v>114934</v>
      </c>
      <c r="N64" s="108">
        <f t="shared" si="70"/>
        <v>0</v>
      </c>
      <c r="O64" s="98">
        <v>0</v>
      </c>
    </row>
    <row r="65" spans="1:20" x14ac:dyDescent="0.2">
      <c r="A65" s="30">
        <f t="shared" si="1"/>
        <v>59</v>
      </c>
      <c r="D65" s="2" t="s">
        <v>29</v>
      </c>
      <c r="G65" s="136">
        <v>0</v>
      </c>
      <c r="I65" s="27">
        <f t="shared" si="74"/>
        <v>0</v>
      </c>
      <c r="M65" s="108">
        <f t="shared" si="75"/>
        <v>0</v>
      </c>
      <c r="N65" s="108">
        <f t="shared" si="70"/>
        <v>0</v>
      </c>
      <c r="O65" s="98">
        <v>0</v>
      </c>
    </row>
    <row r="66" spans="1:20" x14ac:dyDescent="0.2">
      <c r="A66" s="30">
        <f t="shared" si="1"/>
        <v>60</v>
      </c>
      <c r="D66" s="2" t="s">
        <v>39</v>
      </c>
      <c r="G66" s="136">
        <v>0</v>
      </c>
      <c r="I66" s="27">
        <f t="shared" si="74"/>
        <v>0</v>
      </c>
      <c r="M66" s="108">
        <f t="shared" si="75"/>
        <v>0</v>
      </c>
      <c r="N66" s="108"/>
      <c r="O66" s="98"/>
    </row>
    <row r="67" spans="1:20" x14ac:dyDescent="0.2">
      <c r="A67" s="30">
        <f t="shared" si="1"/>
        <v>61</v>
      </c>
      <c r="D67" s="14" t="s">
        <v>8</v>
      </c>
      <c r="E67" s="121"/>
      <c r="F67" s="121"/>
      <c r="G67" s="145">
        <f>SUM(G63:G66)</f>
        <v>240766</v>
      </c>
      <c r="H67" s="121"/>
      <c r="I67" s="122">
        <f>SUM(I63:I66)</f>
        <v>111970.8526</v>
      </c>
      <c r="J67" s="121"/>
      <c r="K67" s="121"/>
      <c r="L67" s="121"/>
      <c r="M67" s="122">
        <f>SUM(M63:M66)</f>
        <v>111970.8526</v>
      </c>
      <c r="N67" s="122">
        <f t="shared" si="70"/>
        <v>0</v>
      </c>
      <c r="O67" s="123">
        <f t="shared" ref="O67" si="76">N67-J67</f>
        <v>0</v>
      </c>
    </row>
    <row r="68" spans="1:20" s="6" customFormat="1" ht="26.45" customHeight="1" thickBot="1" x14ac:dyDescent="0.25">
      <c r="A68" s="30">
        <f t="shared" si="1"/>
        <v>62</v>
      </c>
      <c r="C68" s="16"/>
      <c r="D68" s="7" t="s">
        <v>19</v>
      </c>
      <c r="E68" s="124"/>
      <c r="F68" s="124"/>
      <c r="G68" s="146">
        <f>G62+G67</f>
        <v>2101852.58</v>
      </c>
      <c r="H68" s="124"/>
      <c r="I68" s="126">
        <f>I67+I62</f>
        <v>997164.72466000007</v>
      </c>
      <c r="J68" s="124"/>
      <c r="K68" s="124"/>
      <c r="L68" s="124"/>
      <c r="M68" s="125">
        <f>M67+M62</f>
        <v>1080386.3849800001</v>
      </c>
      <c r="N68" s="125">
        <f t="shared" si="70"/>
        <v>83221.660320000025</v>
      </c>
      <c r="O68" s="127">
        <f>N68/I68</f>
        <v>8.3458287544593834E-2</v>
      </c>
      <c r="P68" s="75"/>
      <c r="Q68" s="75"/>
      <c r="R68" s="75"/>
    </row>
    <row r="69" spans="1:20" ht="13.5" thickTop="1" x14ac:dyDescent="0.2">
      <c r="A69" s="30">
        <f t="shared" si="1"/>
        <v>63</v>
      </c>
      <c r="D69" s="2" t="s">
        <v>18</v>
      </c>
      <c r="E69" s="107">
        <f>E61/E58</f>
        <v>909570.25</v>
      </c>
      <c r="G69" s="128">
        <f>G68/E58</f>
        <v>175154.38166666668</v>
      </c>
      <c r="I69" s="128">
        <f>I68/E58</f>
        <v>83097.060388333339</v>
      </c>
      <c r="M69" s="128">
        <f>M68/E58</f>
        <v>90032.198748333336</v>
      </c>
      <c r="N69" s="128">
        <f t="shared" si="70"/>
        <v>6935.1383599999972</v>
      </c>
      <c r="O69" s="109">
        <f>N69/I69</f>
        <v>8.3458287544593779E-2</v>
      </c>
    </row>
    <row r="70" spans="1:20" ht="13.5" thickBot="1" x14ac:dyDescent="0.25">
      <c r="A70" s="30">
        <f t="shared" si="1"/>
        <v>64</v>
      </c>
    </row>
    <row r="71" spans="1:20" x14ac:dyDescent="0.2">
      <c r="A71" s="30">
        <f t="shared" si="1"/>
        <v>65</v>
      </c>
      <c r="B71" s="24" t="s">
        <v>30</v>
      </c>
      <c r="C71" s="25" t="s">
        <v>62</v>
      </c>
      <c r="D71" s="24"/>
      <c r="E71" s="105"/>
      <c r="F71" s="105"/>
      <c r="G71" s="105"/>
      <c r="H71" s="105"/>
      <c r="I71" s="105"/>
      <c r="J71" s="105"/>
      <c r="K71" s="105"/>
      <c r="L71" s="105"/>
      <c r="M71" s="105"/>
      <c r="N71" s="105"/>
      <c r="O71" s="105"/>
      <c r="P71" s="105"/>
      <c r="Q71" s="105"/>
      <c r="R71" s="105"/>
    </row>
    <row r="72" spans="1:20" x14ac:dyDescent="0.2">
      <c r="A72" s="30">
        <f t="shared" si="1"/>
        <v>66</v>
      </c>
      <c r="B72" s="15">
        <v>1</v>
      </c>
      <c r="C72" s="4" t="s">
        <v>97</v>
      </c>
      <c r="E72" s="139">
        <v>18082</v>
      </c>
      <c r="F72" s="107">
        <v>10.69</v>
      </c>
      <c r="G72" s="136">
        <f t="shared" ref="G72" si="77">F72*E72</f>
        <v>193296.58</v>
      </c>
      <c r="H72" s="98">
        <f>F72</f>
        <v>10.69</v>
      </c>
      <c r="I72" s="108">
        <f t="shared" ref="I72" si="78">H72*E72</f>
        <v>193296.58</v>
      </c>
      <c r="J72" s="109">
        <f>I72/I$101</f>
        <v>0.14029435481237024</v>
      </c>
      <c r="K72" s="110"/>
      <c r="L72" s="98">
        <f>ROUND(H72*S$101,2)</f>
        <v>11.12</v>
      </c>
      <c r="M72" s="108">
        <f t="shared" ref="M72" si="79">L72*E72</f>
        <v>201071.84</v>
      </c>
      <c r="N72" s="108">
        <f t="shared" ref="N72" si="80">M72-I72</f>
        <v>7775.2600000000093</v>
      </c>
      <c r="O72" s="109">
        <f t="shared" ref="O72" si="81">IF(I72=0,0,N72/I72)</f>
        <v>4.0224508886810152E-2</v>
      </c>
      <c r="P72" s="109">
        <f>M72/M$101</f>
        <v>0.14024472134670915</v>
      </c>
      <c r="Q72" s="111">
        <f t="shared" ref="Q72" si="82">P72-J72</f>
        <v>-4.9633465661086396E-5</v>
      </c>
      <c r="R72" s="111"/>
      <c r="T72" s="5">
        <f>L72/H72-1</f>
        <v>4.0224508886810062E-2</v>
      </c>
    </row>
    <row r="73" spans="1:20" x14ac:dyDescent="0.2">
      <c r="A73" s="30">
        <f t="shared" ref="A73:A140" si="83">A72+1</f>
        <v>67</v>
      </c>
      <c r="B73" s="15">
        <v>10</v>
      </c>
      <c r="C73" s="4" t="s">
        <v>98</v>
      </c>
      <c r="E73" s="139">
        <v>408</v>
      </c>
      <c r="F73" s="107">
        <v>29.21</v>
      </c>
      <c r="G73" s="136">
        <f t="shared" ref="G73:G100" si="84">F73*E73</f>
        <v>11917.68</v>
      </c>
      <c r="H73" s="98">
        <f t="shared" ref="H73:H100" si="85">F73</f>
        <v>29.21</v>
      </c>
      <c r="I73" s="108">
        <f t="shared" ref="I73:I100" si="86">H73*E73</f>
        <v>11917.68</v>
      </c>
      <c r="J73" s="109">
        <f>I73/I$101</f>
        <v>8.6498334655496154E-3</v>
      </c>
      <c r="K73" s="110"/>
      <c r="L73" s="98">
        <f>ROUND(H73*S$101,2)</f>
        <v>30.4</v>
      </c>
      <c r="M73" s="108">
        <f t="shared" ref="M73:M100" si="87">L73*E73</f>
        <v>12403.199999999999</v>
      </c>
      <c r="N73" s="108">
        <f t="shared" ref="N73:N100" si="88">M73-I73</f>
        <v>485.51999999999862</v>
      </c>
      <c r="O73" s="109">
        <f t="shared" ref="O73:O100" si="89">IF(I73=0,0,N73/I73)</f>
        <v>4.0739472783293276E-2</v>
      </c>
      <c r="P73" s="109">
        <f>M73/M$101</f>
        <v>8.6510539109181227E-3</v>
      </c>
      <c r="Q73" s="111">
        <f t="shared" ref="Q73:Q100" si="90">P73-J73</f>
        <v>1.2204453685073918E-6</v>
      </c>
      <c r="R73" s="111"/>
      <c r="T73" s="5">
        <f t="shared" ref="T73:T100" si="91">L73/H73-1</f>
        <v>4.0739472783293262E-2</v>
      </c>
    </row>
    <row r="74" spans="1:20" x14ac:dyDescent="0.2">
      <c r="A74" s="30">
        <f t="shared" si="83"/>
        <v>68</v>
      </c>
      <c r="B74" s="15">
        <v>11</v>
      </c>
      <c r="C74" s="4" t="s">
        <v>99</v>
      </c>
      <c r="E74" s="139">
        <v>324</v>
      </c>
      <c r="F74" s="107">
        <v>33.81</v>
      </c>
      <c r="G74" s="136">
        <f t="shared" si="84"/>
        <v>10954.44</v>
      </c>
      <c r="H74" s="98">
        <f t="shared" si="85"/>
        <v>33.81</v>
      </c>
      <c r="I74" s="108">
        <f t="shared" si="86"/>
        <v>10954.44</v>
      </c>
      <c r="J74" s="109">
        <f>I74/I$101</f>
        <v>7.9507153832252039E-3</v>
      </c>
      <c r="K74" s="110"/>
      <c r="L74" s="98">
        <f>ROUND(H74*S$101,2)</f>
        <v>35.18</v>
      </c>
      <c r="M74" s="108">
        <f t="shared" si="87"/>
        <v>11398.32</v>
      </c>
      <c r="N74" s="108">
        <f t="shared" si="88"/>
        <v>443.8799999999992</v>
      </c>
      <c r="O74" s="109">
        <f t="shared" si="89"/>
        <v>4.0520556048506282E-2</v>
      </c>
      <c r="P74" s="109">
        <f>M74/M$101</f>
        <v>7.950164539304071E-3</v>
      </c>
      <c r="Q74" s="111">
        <f t="shared" si="90"/>
        <v>-5.5084392113283198E-7</v>
      </c>
      <c r="R74" s="111"/>
      <c r="T74" s="5">
        <f t="shared" si="91"/>
        <v>4.052055604850624E-2</v>
      </c>
    </row>
    <row r="75" spans="1:20" x14ac:dyDescent="0.2">
      <c r="A75" s="30">
        <f t="shared" si="83"/>
        <v>69</v>
      </c>
      <c r="B75" s="15">
        <v>12</v>
      </c>
      <c r="C75" s="4" t="s">
        <v>100</v>
      </c>
      <c r="E75" s="139">
        <v>609</v>
      </c>
      <c r="F75" s="107">
        <v>9.5399999999999991</v>
      </c>
      <c r="G75" s="136">
        <f t="shared" si="84"/>
        <v>5809.86</v>
      </c>
      <c r="H75" s="98">
        <f t="shared" si="85"/>
        <v>9.5399999999999991</v>
      </c>
      <c r="I75" s="108">
        <f t="shared" si="86"/>
        <v>5809.86</v>
      </c>
      <c r="J75" s="109">
        <f>I75/I$101</f>
        <v>4.2167872822695433E-3</v>
      </c>
      <c r="K75" s="110"/>
      <c r="L75" s="98">
        <f>ROUND(H75*S$101,2)</f>
        <v>9.93</v>
      </c>
      <c r="M75" s="108">
        <f t="shared" si="87"/>
        <v>6047.37</v>
      </c>
      <c r="N75" s="108">
        <f t="shared" si="88"/>
        <v>237.51000000000022</v>
      </c>
      <c r="O75" s="109">
        <f t="shared" si="89"/>
        <v>4.0880503144654128E-2</v>
      </c>
      <c r="P75" s="109">
        <f>M75/M$101</f>
        <v>4.2179537449423474E-3</v>
      </c>
      <c r="Q75" s="111">
        <f t="shared" si="90"/>
        <v>1.1664626728040764E-6</v>
      </c>
      <c r="R75" s="111"/>
      <c r="T75" s="5">
        <f t="shared" si="91"/>
        <v>4.088050314465419E-2</v>
      </c>
    </row>
    <row r="76" spans="1:20" x14ac:dyDescent="0.2">
      <c r="A76" s="30">
        <f t="shared" si="83"/>
        <v>70</v>
      </c>
      <c r="B76" s="15" t="s">
        <v>101</v>
      </c>
      <c r="C76" s="4" t="s">
        <v>102</v>
      </c>
      <c r="E76" s="139">
        <v>220</v>
      </c>
      <c r="F76" s="107">
        <v>17.75</v>
      </c>
      <c r="G76" s="136">
        <f t="shared" si="84"/>
        <v>3905</v>
      </c>
      <c r="H76" s="98">
        <f t="shared" si="85"/>
        <v>17.75</v>
      </c>
      <c r="I76" s="108">
        <f t="shared" si="86"/>
        <v>3905</v>
      </c>
      <c r="J76" s="109">
        <f>I76/I$101</f>
        <v>2.8342428797359259E-3</v>
      </c>
      <c r="K76" s="110"/>
      <c r="L76" s="98">
        <f>ROUND(H76*S$101,2)</f>
        <v>18.47</v>
      </c>
      <c r="M76" s="108">
        <f t="shared" si="87"/>
        <v>4063.3999999999996</v>
      </c>
      <c r="N76" s="108">
        <f t="shared" si="88"/>
        <v>158.39999999999964</v>
      </c>
      <c r="O76" s="109">
        <f t="shared" si="89"/>
        <v>4.0563380281690049E-2</v>
      </c>
      <c r="P76" s="109">
        <f>M76/M$101</f>
        <v>2.8341631564132398E-3</v>
      </c>
      <c r="Q76" s="111">
        <f t="shared" si="90"/>
        <v>-7.9723322686086479E-8</v>
      </c>
      <c r="R76" s="111"/>
      <c r="T76" s="5">
        <f t="shared" si="91"/>
        <v>4.0563380281690042E-2</v>
      </c>
    </row>
    <row r="77" spans="1:20" x14ac:dyDescent="0.2">
      <c r="A77" s="30">
        <f t="shared" si="83"/>
        <v>71</v>
      </c>
      <c r="B77" s="15">
        <v>13</v>
      </c>
      <c r="C77" s="4" t="s">
        <v>103</v>
      </c>
      <c r="E77" s="139">
        <v>1237</v>
      </c>
      <c r="F77" s="107">
        <v>16.22</v>
      </c>
      <c r="G77" s="136">
        <f t="shared" si="84"/>
        <v>20064.14</v>
      </c>
      <c r="H77" s="98">
        <f t="shared" si="85"/>
        <v>16.22</v>
      </c>
      <c r="I77" s="108">
        <f t="shared" si="86"/>
        <v>20064.14</v>
      </c>
      <c r="J77" s="109">
        <f>I77/I$101</f>
        <v>1.4562521365691364E-2</v>
      </c>
      <c r="K77" s="110"/>
      <c r="L77" s="98">
        <f>ROUND(H77*S$101,2)</f>
        <v>16.88</v>
      </c>
      <c r="M77" s="108">
        <f t="shared" si="87"/>
        <v>20880.559999999998</v>
      </c>
      <c r="N77" s="108">
        <f t="shared" si="88"/>
        <v>816.41999999999825</v>
      </c>
      <c r="O77" s="109">
        <f t="shared" si="89"/>
        <v>4.0690505548705215E-2</v>
      </c>
      <c r="P77" s="109">
        <f>M77/M$101</f>
        <v>1.4563890790292867E-2</v>
      </c>
      <c r="Q77" s="111">
        <f t="shared" si="90"/>
        <v>1.3694246015025918E-6</v>
      </c>
      <c r="R77" s="111"/>
      <c r="T77" s="5">
        <f t="shared" si="91"/>
        <v>4.0690505548705236E-2</v>
      </c>
    </row>
    <row r="78" spans="1:20" x14ac:dyDescent="0.2">
      <c r="A78" s="30">
        <f t="shared" si="83"/>
        <v>72</v>
      </c>
      <c r="B78" s="15" t="s">
        <v>104</v>
      </c>
      <c r="C78" s="4" t="s">
        <v>105</v>
      </c>
      <c r="E78" s="139">
        <v>471</v>
      </c>
      <c r="F78" s="107">
        <v>18.690000000000001</v>
      </c>
      <c r="G78" s="136">
        <f t="shared" si="84"/>
        <v>8802.99</v>
      </c>
      <c r="H78" s="98">
        <f t="shared" si="85"/>
        <v>18.690000000000001</v>
      </c>
      <c r="I78" s="108">
        <f t="shared" si="86"/>
        <v>8802.99</v>
      </c>
      <c r="J78" s="109">
        <f>I78/I$101</f>
        <v>6.3891963451694128E-3</v>
      </c>
      <c r="K78" s="110"/>
      <c r="L78" s="98">
        <f>ROUND(H78*S$101,2)</f>
        <v>19.45</v>
      </c>
      <c r="M78" s="108">
        <f t="shared" si="87"/>
        <v>9160.9499999999989</v>
      </c>
      <c r="N78" s="108">
        <f t="shared" si="88"/>
        <v>357.95999999999913</v>
      </c>
      <c r="O78" s="109">
        <f t="shared" si="89"/>
        <v>4.0663456393793374E-2</v>
      </c>
      <c r="P78" s="109">
        <f>M78/M$101</f>
        <v>6.3896310891725814E-3</v>
      </c>
      <c r="Q78" s="111">
        <f t="shared" si="90"/>
        <v>4.347440031686467E-7</v>
      </c>
      <c r="R78" s="111"/>
      <c r="T78" s="5">
        <f t="shared" si="91"/>
        <v>4.0663456393793318E-2</v>
      </c>
    </row>
    <row r="79" spans="1:20" x14ac:dyDescent="0.2">
      <c r="A79" s="30">
        <f t="shared" si="83"/>
        <v>73</v>
      </c>
      <c r="B79" s="15">
        <v>14</v>
      </c>
      <c r="C79" s="4" t="s">
        <v>106</v>
      </c>
      <c r="E79" s="139">
        <v>1939</v>
      </c>
      <c r="F79" s="107">
        <v>22.28</v>
      </c>
      <c r="G79" s="136">
        <f t="shared" si="84"/>
        <v>43200.920000000006</v>
      </c>
      <c r="H79" s="98">
        <f t="shared" si="85"/>
        <v>22.28</v>
      </c>
      <c r="I79" s="108">
        <f t="shared" si="86"/>
        <v>43200.920000000006</v>
      </c>
      <c r="J79" s="109">
        <f>I79/I$101</f>
        <v>3.1355160027667445E-2</v>
      </c>
      <c r="K79" s="110"/>
      <c r="L79" s="98">
        <f>ROUND(H79*S$101,2)</f>
        <v>23.18</v>
      </c>
      <c r="M79" s="108">
        <f t="shared" si="87"/>
        <v>44946.02</v>
      </c>
      <c r="N79" s="108">
        <f t="shared" si="88"/>
        <v>1745.0999999999913</v>
      </c>
      <c r="O79" s="109">
        <f t="shared" si="89"/>
        <v>4.0394973070017749E-2</v>
      </c>
      <c r="P79" s="109">
        <f>M79/M$101</f>
        <v>3.1349203600780778E-2</v>
      </c>
      <c r="Q79" s="111">
        <f t="shared" si="90"/>
        <v>-5.9564268866663106E-6</v>
      </c>
      <c r="R79" s="111"/>
      <c r="T79" s="5">
        <f t="shared" si="91"/>
        <v>4.0394973070017937E-2</v>
      </c>
    </row>
    <row r="80" spans="1:20" x14ac:dyDescent="0.2">
      <c r="A80" s="30">
        <f t="shared" si="83"/>
        <v>74</v>
      </c>
      <c r="B80" s="15" t="s">
        <v>107</v>
      </c>
      <c r="C80" s="4" t="s">
        <v>108</v>
      </c>
      <c r="E80" s="139">
        <v>1555</v>
      </c>
      <c r="F80" s="107">
        <v>21.26</v>
      </c>
      <c r="G80" s="136">
        <f t="shared" si="84"/>
        <v>33059.300000000003</v>
      </c>
      <c r="H80" s="98">
        <f t="shared" si="85"/>
        <v>21.26</v>
      </c>
      <c r="I80" s="108">
        <f t="shared" si="86"/>
        <v>33059.300000000003</v>
      </c>
      <c r="J80" s="109">
        <f>I80/I$101</f>
        <v>2.3994388126518287E-2</v>
      </c>
      <c r="K80" s="110"/>
      <c r="L80" s="98">
        <f>ROUND(H80*S$101,2)</f>
        <v>22.12</v>
      </c>
      <c r="M80" s="108">
        <f t="shared" si="87"/>
        <v>34396.6</v>
      </c>
      <c r="N80" s="108">
        <f t="shared" si="88"/>
        <v>1337.2999999999956</v>
      </c>
      <c r="O80" s="109">
        <f t="shared" si="89"/>
        <v>4.0451552210724231E-2</v>
      </c>
      <c r="P80" s="109">
        <f>M80/M$101</f>
        <v>2.39911346227011E-2</v>
      </c>
      <c r="Q80" s="111">
        <f t="shared" si="90"/>
        <v>-3.2535038171875585E-6</v>
      </c>
      <c r="R80" s="111"/>
      <c r="T80" s="5">
        <f t="shared" si="91"/>
        <v>4.0451552210724273E-2</v>
      </c>
    </row>
    <row r="81" spans="1:20" x14ac:dyDescent="0.2">
      <c r="A81" s="30">
        <f t="shared" si="83"/>
        <v>75</v>
      </c>
      <c r="B81" s="15">
        <v>15</v>
      </c>
      <c r="C81" s="4" t="s">
        <v>109</v>
      </c>
      <c r="E81" s="139">
        <v>60</v>
      </c>
      <c r="F81" s="107">
        <v>23.8</v>
      </c>
      <c r="G81" s="136">
        <f t="shared" si="84"/>
        <v>1428</v>
      </c>
      <c r="H81" s="98">
        <f t="shared" si="85"/>
        <v>23.8</v>
      </c>
      <c r="I81" s="108">
        <f t="shared" si="86"/>
        <v>1428</v>
      </c>
      <c r="J81" s="109">
        <f>I81/I$101</f>
        <v>1.0364401619111145E-3</v>
      </c>
      <c r="K81" s="110"/>
      <c r="L81" s="98">
        <f>ROUND(H81*S$101,2)</f>
        <v>24.77</v>
      </c>
      <c r="M81" s="108">
        <f t="shared" si="87"/>
        <v>1486.2</v>
      </c>
      <c r="N81" s="108">
        <f t="shared" si="88"/>
        <v>58.200000000000045</v>
      </c>
      <c r="O81" s="109">
        <f t="shared" si="89"/>
        <v>4.0756302521008432E-2</v>
      </c>
      <c r="P81" s="109">
        <f>M81/M$101</f>
        <v>1.0366031606687399E-3</v>
      </c>
      <c r="Q81" s="111">
        <f t="shared" si="90"/>
        <v>1.629987576253801E-7</v>
      </c>
      <c r="R81" s="111"/>
      <c r="T81" s="5">
        <f t="shared" si="91"/>
        <v>4.0756302521008259E-2</v>
      </c>
    </row>
    <row r="82" spans="1:20" x14ac:dyDescent="0.2">
      <c r="A82" s="30">
        <f t="shared" si="83"/>
        <v>76</v>
      </c>
      <c r="B82" s="15" t="s">
        <v>110</v>
      </c>
      <c r="C82" s="4" t="s">
        <v>111</v>
      </c>
      <c r="E82" s="139">
        <v>63120</v>
      </c>
      <c r="F82" s="107">
        <v>10.06</v>
      </c>
      <c r="G82" s="136">
        <f t="shared" si="84"/>
        <v>634987.20000000007</v>
      </c>
      <c r="H82" s="98">
        <f t="shared" si="85"/>
        <v>10.06</v>
      </c>
      <c r="I82" s="108">
        <f t="shared" si="86"/>
        <v>634987.20000000007</v>
      </c>
      <c r="J82" s="109">
        <f>I82/I$101</f>
        <v>0.46087271455146034</v>
      </c>
      <c r="K82" s="110"/>
      <c r="L82" s="98">
        <f>ROUND(H82*S$101,2)</f>
        <v>10.47</v>
      </c>
      <c r="M82" s="108">
        <f t="shared" si="87"/>
        <v>660866.4</v>
      </c>
      <c r="N82" s="108">
        <f t="shared" si="88"/>
        <v>25879.199999999953</v>
      </c>
      <c r="O82" s="109">
        <f t="shared" si="89"/>
        <v>4.0755467196819009E-2</v>
      </c>
      <c r="P82" s="109">
        <f>M82/M$101</f>
        <v>0.46094482507049639</v>
      </c>
      <c r="Q82" s="111">
        <f t="shared" si="90"/>
        <v>7.211051903605048E-5</v>
      </c>
      <c r="R82" s="111"/>
      <c r="T82" s="5">
        <f t="shared" si="91"/>
        <v>4.0755467196819106E-2</v>
      </c>
    </row>
    <row r="83" spans="1:20" x14ac:dyDescent="0.2">
      <c r="A83" s="30">
        <f t="shared" si="83"/>
        <v>77</v>
      </c>
      <c r="B83" s="15">
        <v>21</v>
      </c>
      <c r="C83" s="4" t="s">
        <v>112</v>
      </c>
      <c r="E83" s="139">
        <v>384</v>
      </c>
      <c r="F83" s="107">
        <v>36.729999999999997</v>
      </c>
      <c r="G83" s="136">
        <f t="shared" si="84"/>
        <v>14104.32</v>
      </c>
      <c r="H83" s="98">
        <f t="shared" si="85"/>
        <v>36.729999999999997</v>
      </c>
      <c r="I83" s="108">
        <f t="shared" si="86"/>
        <v>14104.32</v>
      </c>
      <c r="J83" s="109">
        <f>I83/I$101</f>
        <v>1.0236893350452501E-2</v>
      </c>
      <c r="K83" s="110"/>
      <c r="L83" s="98">
        <f>ROUND(H83*S$101,2)</f>
        <v>38.22</v>
      </c>
      <c r="M83" s="108">
        <f t="shared" si="87"/>
        <v>14676.48</v>
      </c>
      <c r="N83" s="108">
        <f t="shared" si="88"/>
        <v>572.15999999999985</v>
      </c>
      <c r="O83" s="109">
        <f t="shared" si="89"/>
        <v>4.056629458208548E-2</v>
      </c>
      <c r="P83" s="109">
        <f>M83/M$101</f>
        <v>1.0236634070442435E-2</v>
      </c>
      <c r="Q83" s="111">
        <f t="shared" si="90"/>
        <v>-2.592800100661985E-7</v>
      </c>
      <c r="R83" s="111"/>
      <c r="T83" s="5">
        <f t="shared" si="91"/>
        <v>4.0566294582085494E-2</v>
      </c>
    </row>
    <row r="84" spans="1:20" x14ac:dyDescent="0.2">
      <c r="A84" s="30">
        <f t="shared" si="83"/>
        <v>78</v>
      </c>
      <c r="B84" s="15">
        <v>22</v>
      </c>
      <c r="C84" s="4" t="s">
        <v>113</v>
      </c>
      <c r="E84" s="139">
        <v>12</v>
      </c>
      <c r="F84" s="107">
        <v>36.89</v>
      </c>
      <c r="G84" s="136">
        <f t="shared" si="84"/>
        <v>442.68</v>
      </c>
      <c r="H84" s="98">
        <f t="shared" si="85"/>
        <v>36.89</v>
      </c>
      <c r="I84" s="108">
        <f t="shared" si="86"/>
        <v>442.68</v>
      </c>
      <c r="J84" s="109">
        <f>I84/I$101</f>
        <v>3.2129645019244549E-4</v>
      </c>
      <c r="K84" s="110"/>
      <c r="L84" s="98">
        <f>ROUND(H84*S$101,2)</f>
        <v>38.39</v>
      </c>
      <c r="M84" s="108">
        <f t="shared" si="87"/>
        <v>460.68</v>
      </c>
      <c r="N84" s="108">
        <f t="shared" si="88"/>
        <v>18</v>
      </c>
      <c r="O84" s="109">
        <f t="shared" si="89"/>
        <v>4.0661425860666844E-2</v>
      </c>
      <c r="P84" s="109">
        <f>M84/M$101</f>
        <v>3.2131768541035868E-4</v>
      </c>
      <c r="Q84" s="111">
        <f t="shared" si="90"/>
        <v>2.1235217913186284E-8</v>
      </c>
      <c r="R84" s="111"/>
      <c r="T84" s="5">
        <f t="shared" si="91"/>
        <v>4.0661425860666789E-2</v>
      </c>
    </row>
    <row r="85" spans="1:20" x14ac:dyDescent="0.2">
      <c r="A85" s="30">
        <f t="shared" si="83"/>
        <v>79</v>
      </c>
      <c r="B85" s="15">
        <v>23</v>
      </c>
      <c r="C85" s="4" t="s">
        <v>114</v>
      </c>
      <c r="E85" s="139">
        <v>396</v>
      </c>
      <c r="F85" s="107">
        <v>35.31</v>
      </c>
      <c r="G85" s="136">
        <f t="shared" si="84"/>
        <v>13982.76</v>
      </c>
      <c r="H85" s="98">
        <f t="shared" si="85"/>
        <v>35.31</v>
      </c>
      <c r="I85" s="108">
        <f t="shared" si="86"/>
        <v>13982.76</v>
      </c>
      <c r="J85" s="109">
        <f>I85/I$101</f>
        <v>1.0148665292972169E-2</v>
      </c>
      <c r="K85" s="110"/>
      <c r="L85" s="98">
        <f>ROUND(H85*S$101,2)</f>
        <v>36.74</v>
      </c>
      <c r="M85" s="108">
        <f t="shared" si="87"/>
        <v>14549.04</v>
      </c>
      <c r="N85" s="108">
        <f t="shared" si="88"/>
        <v>566.28000000000065</v>
      </c>
      <c r="O85" s="109">
        <f t="shared" si="89"/>
        <v>4.0498442367601292E-2</v>
      </c>
      <c r="P85" s="109">
        <f>M85/M$101</f>
        <v>1.01477465002664E-2</v>
      </c>
      <c r="Q85" s="111">
        <f t="shared" si="90"/>
        <v>-9.1879270576813998E-7</v>
      </c>
      <c r="R85" s="111"/>
      <c r="T85" s="5">
        <f t="shared" si="91"/>
        <v>4.049844236760114E-2</v>
      </c>
    </row>
    <row r="86" spans="1:20" x14ac:dyDescent="0.2">
      <c r="A86" s="30">
        <f t="shared" si="83"/>
        <v>80</v>
      </c>
      <c r="B86" s="15">
        <v>25</v>
      </c>
      <c r="C86" s="4" t="s">
        <v>115</v>
      </c>
      <c r="E86" s="139">
        <f>664+73</f>
        <v>737</v>
      </c>
      <c r="F86" s="107">
        <v>10.28</v>
      </c>
      <c r="G86" s="136">
        <f t="shared" si="84"/>
        <v>7576.36</v>
      </c>
      <c r="H86" s="98">
        <f t="shared" si="85"/>
        <v>10.28</v>
      </c>
      <c r="I86" s="108">
        <f t="shared" si="86"/>
        <v>7576.36</v>
      </c>
      <c r="J86" s="109">
        <f>I86/I$101</f>
        <v>5.4989102136532853E-3</v>
      </c>
      <c r="K86" s="110"/>
      <c r="L86" s="98">
        <f>ROUND(H86*S$101,2)</f>
        <v>10.7</v>
      </c>
      <c r="M86" s="108">
        <f t="shared" si="87"/>
        <v>7885.9</v>
      </c>
      <c r="N86" s="108">
        <f t="shared" si="88"/>
        <v>309.53999999999996</v>
      </c>
      <c r="O86" s="109">
        <f t="shared" si="89"/>
        <v>4.0856031128404663E-2</v>
      </c>
      <c r="P86" s="109">
        <f>M86/M$101</f>
        <v>5.5003020217451321E-3</v>
      </c>
      <c r="Q86" s="111">
        <f t="shared" si="90"/>
        <v>1.3918080918468023E-6</v>
      </c>
      <c r="R86" s="111"/>
      <c r="T86" s="5">
        <f t="shared" si="91"/>
        <v>4.0856031128404746E-2</v>
      </c>
    </row>
    <row r="87" spans="1:20" x14ac:dyDescent="0.2">
      <c r="A87" s="30">
        <f t="shared" si="83"/>
        <v>81</v>
      </c>
      <c r="B87" s="15">
        <v>4</v>
      </c>
      <c r="C87" s="4" t="s">
        <v>116</v>
      </c>
      <c r="E87" s="139">
        <v>11115</v>
      </c>
      <c r="F87" s="107">
        <v>10.93</v>
      </c>
      <c r="G87" s="136">
        <f t="shared" si="84"/>
        <v>121486.95</v>
      </c>
      <c r="H87" s="98">
        <f t="shared" si="85"/>
        <v>10.93</v>
      </c>
      <c r="I87" s="108">
        <f t="shared" si="86"/>
        <v>121486.95</v>
      </c>
      <c r="J87" s="109">
        <f>I87/I$101</f>
        <v>8.8175037904823159E-2</v>
      </c>
      <c r="K87" s="110"/>
      <c r="L87" s="98">
        <f>ROUND(H87*S$101,2)</f>
        <v>11.37</v>
      </c>
      <c r="M87" s="108">
        <f t="shared" si="87"/>
        <v>126377.54999999999</v>
      </c>
      <c r="N87" s="108">
        <f t="shared" si="88"/>
        <v>4890.5999999999913</v>
      </c>
      <c r="O87" s="109">
        <f t="shared" si="89"/>
        <v>4.0256175663311917E-2</v>
      </c>
      <c r="P87" s="109">
        <f>M87/M$101</f>
        <v>8.8146526556029933E-2</v>
      </c>
      <c r="Q87" s="111">
        <f t="shared" si="90"/>
        <v>-2.8511348793225366E-5</v>
      </c>
      <c r="R87" s="111"/>
      <c r="T87" s="5">
        <f t="shared" si="91"/>
        <v>4.0256175663311966E-2</v>
      </c>
    </row>
    <row r="88" spans="1:20" x14ac:dyDescent="0.2">
      <c r="A88" s="30">
        <f t="shared" si="83"/>
        <v>82</v>
      </c>
      <c r="B88" s="15" t="s">
        <v>117</v>
      </c>
      <c r="C88" s="4" t="s">
        <v>118</v>
      </c>
      <c r="E88" s="139">
        <v>11783</v>
      </c>
      <c r="F88" s="107">
        <v>10.59</v>
      </c>
      <c r="G88" s="136">
        <f t="shared" si="84"/>
        <v>124781.97</v>
      </c>
      <c r="H88" s="98">
        <f t="shared" si="85"/>
        <v>10.59</v>
      </c>
      <c r="I88" s="108">
        <f t="shared" si="86"/>
        <v>124781.97</v>
      </c>
      <c r="J88" s="109">
        <f>I88/I$101</f>
        <v>9.0566558256574115E-2</v>
      </c>
      <c r="K88" s="110"/>
      <c r="L88" s="98">
        <f>ROUND(H88*S$101,2)</f>
        <v>11.02</v>
      </c>
      <c r="M88" s="108">
        <f t="shared" si="87"/>
        <v>129848.65999999999</v>
      </c>
      <c r="N88" s="108">
        <f t="shared" si="88"/>
        <v>5066.6899999999878</v>
      </c>
      <c r="O88" s="109">
        <f t="shared" si="89"/>
        <v>4.0604343720490932E-2</v>
      </c>
      <c r="P88" s="109">
        <f>M88/M$101</f>
        <v>9.0567575941730968E-2</v>
      </c>
      <c r="Q88" s="111">
        <f t="shared" si="90"/>
        <v>1.0176851568538536E-6</v>
      </c>
      <c r="R88" s="111"/>
      <c r="T88" s="5">
        <f t="shared" si="91"/>
        <v>4.0604343720491043E-2</v>
      </c>
    </row>
    <row r="89" spans="1:20" x14ac:dyDescent="0.2">
      <c r="A89" s="30">
        <f t="shared" si="83"/>
        <v>83</v>
      </c>
      <c r="B89" s="15">
        <v>5</v>
      </c>
      <c r="C89" s="4" t="s">
        <v>119</v>
      </c>
      <c r="E89" s="139">
        <v>513</v>
      </c>
      <c r="F89" s="107">
        <v>16.8</v>
      </c>
      <c r="G89" s="136">
        <f t="shared" si="84"/>
        <v>8618.4</v>
      </c>
      <c r="H89" s="98">
        <f t="shared" si="85"/>
        <v>16.8</v>
      </c>
      <c r="I89" s="108">
        <f t="shared" si="86"/>
        <v>8618.4</v>
      </c>
      <c r="J89" s="109">
        <f>I89/I$101</f>
        <v>6.2552212124753143E-3</v>
      </c>
      <c r="K89" s="110"/>
      <c r="L89" s="98">
        <f>ROUND(H89*S$101,2)</f>
        <v>17.48</v>
      </c>
      <c r="M89" s="108">
        <f t="shared" si="87"/>
        <v>8967.24</v>
      </c>
      <c r="N89" s="108">
        <f t="shared" si="88"/>
        <v>348.84000000000015</v>
      </c>
      <c r="O89" s="109">
        <f t="shared" si="89"/>
        <v>4.0476190476190492E-2</v>
      </c>
      <c r="P89" s="109">
        <f>M89/M$101</f>
        <v>6.2545211455222382E-3</v>
      </c>
      <c r="Q89" s="111">
        <f t="shared" si="90"/>
        <v>-7.0006695307607558E-7</v>
      </c>
      <c r="R89" s="111"/>
      <c r="T89" s="5">
        <f t="shared" si="91"/>
        <v>4.0476190476190554E-2</v>
      </c>
    </row>
    <row r="90" spans="1:20" x14ac:dyDescent="0.2">
      <c r="A90" s="30">
        <f t="shared" si="83"/>
        <v>84</v>
      </c>
      <c r="B90" s="15" t="s">
        <v>120</v>
      </c>
      <c r="C90" s="4" t="s">
        <v>121</v>
      </c>
      <c r="E90" s="139">
        <v>57</v>
      </c>
      <c r="F90" s="107">
        <v>12.42</v>
      </c>
      <c r="G90" s="136">
        <f t="shared" si="84"/>
        <v>707.93999999999994</v>
      </c>
      <c r="H90" s="98">
        <f t="shared" si="85"/>
        <v>12.42</v>
      </c>
      <c r="I90" s="108">
        <f t="shared" si="86"/>
        <v>707.93999999999994</v>
      </c>
      <c r="J90" s="109">
        <f>I90/I$101</f>
        <v>5.1382174245332942E-4</v>
      </c>
      <c r="K90" s="110"/>
      <c r="L90" s="98">
        <f>ROUND(H90*S$101,2)</f>
        <v>12.92</v>
      </c>
      <c r="M90" s="108">
        <f t="shared" si="87"/>
        <v>736.43999999999994</v>
      </c>
      <c r="N90" s="108">
        <f t="shared" si="88"/>
        <v>28.5</v>
      </c>
      <c r="O90" s="109">
        <f t="shared" si="89"/>
        <v>4.0257648953301133E-2</v>
      </c>
      <c r="P90" s="109">
        <f>M90/M$101</f>
        <v>5.1365632596076351E-4</v>
      </c>
      <c r="Q90" s="111">
        <f t="shared" si="90"/>
        <v>-1.6541649256590889E-7</v>
      </c>
      <c r="R90" s="111"/>
      <c r="T90" s="5">
        <f t="shared" si="91"/>
        <v>4.0257648953301084E-2</v>
      </c>
    </row>
    <row r="91" spans="1:20" x14ac:dyDescent="0.2">
      <c r="A91" s="30">
        <f t="shared" si="83"/>
        <v>85</v>
      </c>
      <c r="B91" s="15">
        <v>6</v>
      </c>
      <c r="C91" s="4" t="s">
        <v>122</v>
      </c>
      <c r="E91" s="139">
        <v>454</v>
      </c>
      <c r="F91" s="107">
        <v>22.25</v>
      </c>
      <c r="G91" s="136">
        <f t="shared" si="84"/>
        <v>10101.5</v>
      </c>
      <c r="H91" s="98">
        <f t="shared" si="85"/>
        <v>22.25</v>
      </c>
      <c r="I91" s="108">
        <f t="shared" si="86"/>
        <v>10101.5</v>
      </c>
      <c r="J91" s="109">
        <f>I91/I$101</f>
        <v>7.3316528680287983E-3</v>
      </c>
      <c r="K91" s="110"/>
      <c r="L91" s="98">
        <f>ROUND(H91*S$101,2)</f>
        <v>23.15</v>
      </c>
      <c r="M91" s="108">
        <f t="shared" si="87"/>
        <v>10510.099999999999</v>
      </c>
      <c r="N91" s="108">
        <f t="shared" si="88"/>
        <v>408.59999999999854</v>
      </c>
      <c r="O91" s="109">
        <f t="shared" si="89"/>
        <v>4.044943820224705E-2</v>
      </c>
      <c r="P91" s="109">
        <f>M91/M$101</f>
        <v>7.330643842648716E-3</v>
      </c>
      <c r="Q91" s="111">
        <f t="shared" si="90"/>
        <v>-1.0090253800823165E-6</v>
      </c>
      <c r="R91" s="111"/>
      <c r="T91" s="5">
        <f t="shared" si="91"/>
        <v>4.0449438202247112E-2</v>
      </c>
    </row>
    <row r="92" spans="1:20" x14ac:dyDescent="0.2">
      <c r="A92" s="30">
        <f t="shared" si="83"/>
        <v>86</v>
      </c>
      <c r="B92" s="15" t="s">
        <v>123</v>
      </c>
      <c r="C92" s="4" t="s">
        <v>124</v>
      </c>
      <c r="E92" s="139">
        <v>141</v>
      </c>
      <c r="F92" s="107">
        <v>18.11</v>
      </c>
      <c r="G92" s="136">
        <f t="shared" si="84"/>
        <v>2553.5099999999998</v>
      </c>
      <c r="H92" s="98">
        <f t="shared" si="85"/>
        <v>18.11</v>
      </c>
      <c r="I92" s="108">
        <f t="shared" si="86"/>
        <v>2553.5099999999998</v>
      </c>
      <c r="J92" s="109">
        <f>I92/I$101</f>
        <v>1.8533335559115195E-3</v>
      </c>
      <c r="K92" s="110"/>
      <c r="L92" s="98">
        <f>ROUND(H92*S$101,2)</f>
        <v>18.850000000000001</v>
      </c>
      <c r="M92" s="108">
        <f t="shared" si="87"/>
        <v>2657.8500000000004</v>
      </c>
      <c r="N92" s="108">
        <f t="shared" si="88"/>
        <v>104.3400000000006</v>
      </c>
      <c r="O92" s="109">
        <f t="shared" si="89"/>
        <v>4.086140254003337E-2</v>
      </c>
      <c r="P92" s="109">
        <f>M92/M$101</f>
        <v>1.8538122127462055E-3</v>
      </c>
      <c r="Q92" s="111">
        <f t="shared" si="90"/>
        <v>4.7865683468597056E-7</v>
      </c>
      <c r="R92" s="111"/>
      <c r="T92" s="5">
        <f t="shared" si="91"/>
        <v>4.0861402540033342E-2</v>
      </c>
    </row>
    <row r="93" spans="1:20" x14ac:dyDescent="0.2">
      <c r="A93" s="30">
        <f t="shared" si="83"/>
        <v>87</v>
      </c>
      <c r="B93" s="15">
        <v>7</v>
      </c>
      <c r="C93" s="4" t="s">
        <v>125</v>
      </c>
      <c r="E93" s="139">
        <v>3629</v>
      </c>
      <c r="F93" s="107">
        <v>13.94</v>
      </c>
      <c r="G93" s="136">
        <f t="shared" si="84"/>
        <v>50588.259999999995</v>
      </c>
      <c r="H93" s="98">
        <f t="shared" si="85"/>
        <v>13.94</v>
      </c>
      <c r="I93" s="108">
        <f t="shared" si="86"/>
        <v>50588.259999999995</v>
      </c>
      <c r="J93" s="109">
        <f>I93/I$101</f>
        <v>3.6716879821569716E-2</v>
      </c>
      <c r="K93" s="110"/>
      <c r="L93" s="98">
        <f>ROUND(H93*S$101,2)</f>
        <v>14.51</v>
      </c>
      <c r="M93" s="108">
        <f t="shared" si="87"/>
        <v>52656.79</v>
      </c>
      <c r="N93" s="108">
        <f t="shared" si="88"/>
        <v>2068.5300000000061</v>
      </c>
      <c r="O93" s="109">
        <f t="shared" si="89"/>
        <v>4.0889526542324368E-2</v>
      </c>
      <c r="P93" s="109">
        <f>M93/M$101</f>
        <v>3.672735496209803E-2</v>
      </c>
      <c r="Q93" s="111">
        <f t="shared" si="90"/>
        <v>1.0475140528314053E-5</v>
      </c>
      <c r="R93" s="111"/>
      <c r="T93" s="5">
        <f t="shared" si="91"/>
        <v>4.0889526542324361E-2</v>
      </c>
    </row>
    <row r="94" spans="1:20" x14ac:dyDescent="0.2">
      <c r="A94" s="30">
        <f t="shared" si="83"/>
        <v>88</v>
      </c>
      <c r="B94" s="15">
        <v>8</v>
      </c>
      <c r="C94" s="4" t="s">
        <v>126</v>
      </c>
      <c r="E94" s="139">
        <v>1416</v>
      </c>
      <c r="F94" s="107">
        <v>39.14</v>
      </c>
      <c r="G94" s="136">
        <f t="shared" si="84"/>
        <v>55422.239999999998</v>
      </c>
      <c r="H94" s="98">
        <f t="shared" si="85"/>
        <v>39.14</v>
      </c>
      <c r="I94" s="108">
        <f t="shared" si="86"/>
        <v>55422.239999999998</v>
      </c>
      <c r="J94" s="109">
        <f>I94/I$101</f>
        <v>4.0225374929325382E-2</v>
      </c>
      <c r="K94" s="110"/>
      <c r="L94" s="98">
        <f>ROUND(H94*S$101,2)</f>
        <v>40.729999999999997</v>
      </c>
      <c r="M94" s="108">
        <f t="shared" si="87"/>
        <v>57673.679999999993</v>
      </c>
      <c r="N94" s="108">
        <f t="shared" si="88"/>
        <v>2251.4399999999951</v>
      </c>
      <c r="O94" s="109">
        <f t="shared" si="89"/>
        <v>4.0623403168114372E-2</v>
      </c>
      <c r="P94" s="109">
        <f>M94/M$101</f>
        <v>4.0226563702999249E-2</v>
      </c>
      <c r="Q94" s="111">
        <f t="shared" si="90"/>
        <v>1.1887736738672161E-6</v>
      </c>
      <c r="R94" s="111"/>
      <c r="T94" s="5">
        <f t="shared" si="91"/>
        <v>4.0623403168114303E-2</v>
      </c>
    </row>
    <row r="95" spans="1:20" x14ac:dyDescent="0.2">
      <c r="A95" s="30">
        <f t="shared" si="83"/>
        <v>89</v>
      </c>
      <c r="B95" s="15">
        <v>9</v>
      </c>
      <c r="C95" s="4" t="s">
        <v>127</v>
      </c>
      <c r="E95" s="139">
        <v>0</v>
      </c>
      <c r="F95" s="107">
        <v>24.3</v>
      </c>
      <c r="G95" s="136">
        <f t="shared" si="84"/>
        <v>0</v>
      </c>
      <c r="H95" s="98">
        <f t="shared" si="85"/>
        <v>24.3</v>
      </c>
      <c r="I95" s="108">
        <f t="shared" si="86"/>
        <v>0</v>
      </c>
      <c r="J95" s="109">
        <f>I95/I$101</f>
        <v>0</v>
      </c>
      <c r="K95" s="110"/>
      <c r="L95" s="98">
        <f>ROUND(H95*S$101,2)</f>
        <v>25.29</v>
      </c>
      <c r="M95" s="108">
        <f t="shared" si="87"/>
        <v>0</v>
      </c>
      <c r="N95" s="108">
        <f t="shared" si="88"/>
        <v>0</v>
      </c>
      <c r="O95" s="109">
        <f t="shared" si="89"/>
        <v>0</v>
      </c>
      <c r="P95" s="109">
        <f>M95/M$101</f>
        <v>0</v>
      </c>
      <c r="Q95" s="111">
        <f t="shared" si="90"/>
        <v>0</v>
      </c>
      <c r="R95" s="111"/>
      <c r="T95" s="5">
        <f t="shared" si="91"/>
        <v>4.0740740740740744E-2</v>
      </c>
    </row>
    <row r="96" spans="1:20" x14ac:dyDescent="0.2">
      <c r="A96" s="30">
        <f t="shared" si="83"/>
        <v>90</v>
      </c>
      <c r="B96" s="156" t="s">
        <v>133</v>
      </c>
      <c r="C96" s="4" t="s">
        <v>128</v>
      </c>
      <c r="E96" s="139">
        <v>0</v>
      </c>
      <c r="F96" s="107">
        <v>10.63</v>
      </c>
      <c r="G96" s="136">
        <f t="shared" si="84"/>
        <v>0</v>
      </c>
      <c r="H96" s="98">
        <f t="shared" si="85"/>
        <v>10.63</v>
      </c>
      <c r="I96" s="108">
        <f t="shared" si="86"/>
        <v>0</v>
      </c>
      <c r="J96" s="109">
        <f>I96/I$101</f>
        <v>0</v>
      </c>
      <c r="K96" s="110"/>
      <c r="L96" s="98">
        <f>ROUND(H96*S$101,2)</f>
        <v>11.06</v>
      </c>
      <c r="M96" s="108">
        <f t="shared" si="87"/>
        <v>0</v>
      </c>
      <c r="N96" s="108">
        <f t="shared" si="88"/>
        <v>0</v>
      </c>
      <c r="O96" s="109">
        <f t="shared" si="89"/>
        <v>0</v>
      </c>
      <c r="P96" s="109">
        <f>M96/M$101</f>
        <v>0</v>
      </c>
      <c r="Q96" s="111">
        <f t="shared" si="90"/>
        <v>0</v>
      </c>
      <c r="R96" s="111"/>
      <c r="T96" s="5">
        <f t="shared" si="91"/>
        <v>4.0451552210724273E-2</v>
      </c>
    </row>
    <row r="97" spans="1:22" x14ac:dyDescent="0.2">
      <c r="A97" s="30">
        <f t="shared" si="83"/>
        <v>91</v>
      </c>
      <c r="B97" s="156" t="s">
        <v>133</v>
      </c>
      <c r="C97" s="4" t="s">
        <v>129</v>
      </c>
      <c r="E97" s="139">
        <v>0</v>
      </c>
      <c r="F97" s="107">
        <v>2.46</v>
      </c>
      <c r="G97" s="136">
        <f t="shared" si="84"/>
        <v>0</v>
      </c>
      <c r="H97" s="98">
        <f t="shared" si="85"/>
        <v>2.46</v>
      </c>
      <c r="I97" s="108">
        <f t="shared" si="86"/>
        <v>0</v>
      </c>
      <c r="J97" s="109">
        <f>I97/I$101</f>
        <v>0</v>
      </c>
      <c r="K97" s="110"/>
      <c r="L97" s="98">
        <f>ROUND(H97*S$101,2)</f>
        <v>2.56</v>
      </c>
      <c r="M97" s="108">
        <f t="shared" si="87"/>
        <v>0</v>
      </c>
      <c r="N97" s="108">
        <f t="shared" si="88"/>
        <v>0</v>
      </c>
      <c r="O97" s="109">
        <f t="shared" si="89"/>
        <v>0</v>
      </c>
      <c r="P97" s="109">
        <f>M97/M$101</f>
        <v>0</v>
      </c>
      <c r="Q97" s="111">
        <f t="shared" si="90"/>
        <v>0</v>
      </c>
      <c r="R97" s="111"/>
      <c r="T97" s="5">
        <f t="shared" si="91"/>
        <v>4.0650406504065151E-2</v>
      </c>
    </row>
    <row r="98" spans="1:22" x14ac:dyDescent="0.2">
      <c r="A98" s="30">
        <f t="shared" si="83"/>
        <v>92</v>
      </c>
      <c r="B98" s="156" t="s">
        <v>133</v>
      </c>
      <c r="C98" s="4" t="s">
        <v>130</v>
      </c>
      <c r="E98" s="139">
        <v>0</v>
      </c>
      <c r="F98" s="107">
        <v>2.84</v>
      </c>
      <c r="G98" s="136">
        <f t="shared" si="84"/>
        <v>0</v>
      </c>
      <c r="H98" s="98">
        <f t="shared" si="85"/>
        <v>2.84</v>
      </c>
      <c r="I98" s="108">
        <f t="shared" si="86"/>
        <v>0</v>
      </c>
      <c r="J98" s="109">
        <f>I98/I$101</f>
        <v>0</v>
      </c>
      <c r="K98" s="110"/>
      <c r="L98" s="98">
        <f>ROUND(H98*S$101,2)</f>
        <v>2.96</v>
      </c>
      <c r="M98" s="108">
        <f t="shared" si="87"/>
        <v>0</v>
      </c>
      <c r="N98" s="108">
        <f t="shared" si="88"/>
        <v>0</v>
      </c>
      <c r="O98" s="109">
        <f t="shared" si="89"/>
        <v>0</v>
      </c>
      <c r="P98" s="109">
        <f>M98/M$101</f>
        <v>0</v>
      </c>
      <c r="Q98" s="111">
        <f t="shared" si="90"/>
        <v>0</v>
      </c>
      <c r="R98" s="111"/>
      <c r="T98" s="5">
        <f t="shared" si="91"/>
        <v>4.2253521126760507E-2</v>
      </c>
    </row>
    <row r="99" spans="1:22" x14ac:dyDescent="0.2">
      <c r="A99" s="30">
        <f t="shared" si="83"/>
        <v>93</v>
      </c>
      <c r="B99" s="156" t="s">
        <v>133</v>
      </c>
      <c r="C99" s="4" t="s">
        <v>131</v>
      </c>
      <c r="E99" s="139">
        <v>0</v>
      </c>
      <c r="F99" s="107">
        <v>3.44</v>
      </c>
      <c r="G99" s="136">
        <f t="shared" si="84"/>
        <v>0</v>
      </c>
      <c r="H99" s="98">
        <f t="shared" si="85"/>
        <v>3.44</v>
      </c>
      <c r="I99" s="108">
        <f t="shared" si="86"/>
        <v>0</v>
      </c>
      <c r="J99" s="109">
        <f>I99/I$101</f>
        <v>0</v>
      </c>
      <c r="K99" s="110"/>
      <c r="L99" s="98">
        <f>ROUND(H99*S$101,2)</f>
        <v>3.58</v>
      </c>
      <c r="M99" s="108">
        <f t="shared" si="87"/>
        <v>0</v>
      </c>
      <c r="N99" s="108">
        <f t="shared" si="88"/>
        <v>0</v>
      </c>
      <c r="O99" s="109">
        <f t="shared" si="89"/>
        <v>0</v>
      </c>
      <c r="P99" s="109">
        <f>M99/M$101</f>
        <v>0</v>
      </c>
      <c r="Q99" s="111">
        <f t="shared" si="90"/>
        <v>0</v>
      </c>
      <c r="R99" s="111"/>
      <c r="T99" s="5">
        <f t="shared" si="91"/>
        <v>4.0697674418604723E-2</v>
      </c>
    </row>
    <row r="100" spans="1:22" x14ac:dyDescent="0.2">
      <c r="A100" s="30">
        <f t="shared" si="83"/>
        <v>94</v>
      </c>
      <c r="B100" s="156" t="s">
        <v>133</v>
      </c>
      <c r="C100" s="4" t="s">
        <v>132</v>
      </c>
      <c r="E100" s="139">
        <v>0</v>
      </c>
      <c r="F100" s="107">
        <v>3.83</v>
      </c>
      <c r="G100" s="136">
        <f t="shared" si="84"/>
        <v>0</v>
      </c>
      <c r="H100" s="98">
        <f t="shared" si="85"/>
        <v>3.83</v>
      </c>
      <c r="I100" s="108">
        <f t="shared" si="86"/>
        <v>0</v>
      </c>
      <c r="J100" s="109">
        <f>I100/I$101</f>
        <v>0</v>
      </c>
      <c r="K100" s="110"/>
      <c r="L100" s="98">
        <f>ROUND(H100*S$101,2)</f>
        <v>3.99</v>
      </c>
      <c r="M100" s="108">
        <f t="shared" si="87"/>
        <v>0</v>
      </c>
      <c r="N100" s="108">
        <f t="shared" si="88"/>
        <v>0</v>
      </c>
      <c r="O100" s="109">
        <f t="shared" si="89"/>
        <v>0</v>
      </c>
      <c r="P100" s="109">
        <f>M100/M$101</f>
        <v>0</v>
      </c>
      <c r="Q100" s="111">
        <f t="shared" si="90"/>
        <v>0</v>
      </c>
      <c r="R100" s="111"/>
      <c r="T100" s="5">
        <f t="shared" si="91"/>
        <v>4.1775456919060039E-2</v>
      </c>
    </row>
    <row r="101" spans="1:22" s="6" customFormat="1" ht="24.6" customHeight="1" x14ac:dyDescent="0.25">
      <c r="A101" s="30">
        <f t="shared" si="83"/>
        <v>95</v>
      </c>
      <c r="C101" s="16"/>
      <c r="D101" s="18" t="s">
        <v>6</v>
      </c>
      <c r="E101" s="155"/>
      <c r="F101" s="114"/>
      <c r="G101" s="19">
        <f>SUM(G72:G100)</f>
        <v>1377792.9999999998</v>
      </c>
      <c r="H101" s="114"/>
      <c r="I101" s="115">
        <f>SUM(I72:I100)</f>
        <v>1377792.9999999998</v>
      </c>
      <c r="J101" s="116">
        <f>SUM(J72:J100)</f>
        <v>1.0000000000000004</v>
      </c>
      <c r="K101" s="117">
        <f>I101+Summary!I15</f>
        <v>1433757.3199999998</v>
      </c>
      <c r="L101" s="114"/>
      <c r="M101" s="19">
        <f>SUM(M72:M100)</f>
        <v>1433721.2700000003</v>
      </c>
      <c r="N101" s="19">
        <f>M101-I101</f>
        <v>55928.270000000484</v>
      </c>
      <c r="O101" s="116">
        <f t="shared" ref="O101" si="92">N101/I101</f>
        <v>4.0592650710230417E-2</v>
      </c>
      <c r="P101" s="116">
        <f>SUM(P72:P100)</f>
        <v>0.99999999999999978</v>
      </c>
      <c r="Q101" s="118">
        <f t="shared" ref="Q101" si="93">P101-J101</f>
        <v>0</v>
      </c>
      <c r="R101" s="119">
        <f>M101-K101</f>
        <v>-36.049999999580905</v>
      </c>
      <c r="S101" s="6">
        <f>K101/I101</f>
        <v>1.0406188157437293</v>
      </c>
    </row>
    <row r="102" spans="1:22" x14ac:dyDescent="0.2">
      <c r="A102" s="30">
        <f t="shared" si="83"/>
        <v>96</v>
      </c>
      <c r="D102" s="2" t="s">
        <v>26</v>
      </c>
      <c r="G102" s="136">
        <v>52129</v>
      </c>
      <c r="I102" s="27">
        <f>G102*1.367</f>
        <v>71260.342999999993</v>
      </c>
      <c r="M102" s="108">
        <f>I102</f>
        <v>71260.342999999993</v>
      </c>
      <c r="N102" s="108">
        <f>M102-I102</f>
        <v>0</v>
      </c>
      <c r="O102" s="98">
        <v>0</v>
      </c>
    </row>
    <row r="103" spans="1:22" x14ac:dyDescent="0.2">
      <c r="A103" s="30">
        <f t="shared" si="83"/>
        <v>97</v>
      </c>
      <c r="D103" s="2" t="s">
        <v>27</v>
      </c>
      <c r="G103" s="136">
        <v>53101</v>
      </c>
      <c r="I103" s="27">
        <f>G103</f>
        <v>53101</v>
      </c>
      <c r="M103" s="108">
        <f t="shared" ref="M103:M104" si="94">I103</f>
        <v>53101</v>
      </c>
      <c r="N103" s="108">
        <f>M103-I103</f>
        <v>0</v>
      </c>
      <c r="O103" s="98">
        <v>0</v>
      </c>
    </row>
    <row r="104" spans="1:22" x14ac:dyDescent="0.2">
      <c r="A104" s="30">
        <f t="shared" si="83"/>
        <v>98</v>
      </c>
      <c r="D104" s="2" t="s">
        <v>29</v>
      </c>
      <c r="G104" s="136">
        <v>0</v>
      </c>
      <c r="I104" s="27">
        <v>0</v>
      </c>
      <c r="M104" s="108">
        <f t="shared" si="94"/>
        <v>0</v>
      </c>
      <c r="N104" s="108">
        <f>M104-I104</f>
        <v>0</v>
      </c>
      <c r="O104" s="98">
        <v>0</v>
      </c>
    </row>
    <row r="105" spans="1:22" x14ac:dyDescent="0.2">
      <c r="A105" s="30">
        <f t="shared" si="83"/>
        <v>99</v>
      </c>
      <c r="D105" s="2" t="s">
        <v>39</v>
      </c>
      <c r="G105" s="136"/>
      <c r="I105" s="27"/>
      <c r="M105" s="108"/>
      <c r="N105" s="108"/>
      <c r="O105" s="98"/>
    </row>
    <row r="106" spans="1:22" x14ac:dyDescent="0.2">
      <c r="A106" s="30">
        <f t="shared" si="83"/>
        <v>100</v>
      </c>
      <c r="D106" s="14" t="s">
        <v>8</v>
      </c>
      <c r="E106" s="121"/>
      <c r="F106" s="121"/>
      <c r="G106" s="145">
        <f>SUM(G102:G104)</f>
        <v>105230</v>
      </c>
      <c r="H106" s="121"/>
      <c r="I106" s="122">
        <f>SUM(I102:I104)</f>
        <v>124361.34299999999</v>
      </c>
      <c r="J106" s="121"/>
      <c r="K106" s="121"/>
      <c r="L106" s="121"/>
      <c r="M106" s="122">
        <f>SUM(M102:M104)</f>
        <v>124361.34299999999</v>
      </c>
      <c r="N106" s="122">
        <f>M106-I106</f>
        <v>0</v>
      </c>
      <c r="O106" s="123">
        <f>N106-J106</f>
        <v>0</v>
      </c>
    </row>
    <row r="107" spans="1:22" s="6" customFormat="1" ht="26.45" customHeight="1" thickBot="1" x14ac:dyDescent="0.25">
      <c r="A107" s="30">
        <f t="shared" si="83"/>
        <v>101</v>
      </c>
      <c r="C107" s="16"/>
      <c r="D107" s="7" t="s">
        <v>19</v>
      </c>
      <c r="E107" s="124"/>
      <c r="F107" s="124"/>
      <c r="G107" s="146">
        <f>G101+G106</f>
        <v>1483022.9999999998</v>
      </c>
      <c r="H107" s="124"/>
      <c r="I107" s="126">
        <f>I106+I101</f>
        <v>1502154.3429999999</v>
      </c>
      <c r="J107" s="124"/>
      <c r="K107" s="124"/>
      <c r="L107" s="124"/>
      <c r="M107" s="125">
        <f>M106+M101</f>
        <v>1558082.6130000004</v>
      </c>
      <c r="N107" s="125">
        <f>M107-I107</f>
        <v>55928.270000000484</v>
      </c>
      <c r="O107" s="127">
        <f>N107/I107</f>
        <v>3.7232039610726263E-2</v>
      </c>
      <c r="P107" s="75"/>
      <c r="Q107" s="75"/>
      <c r="R107" s="75"/>
    </row>
    <row r="108" spans="1:22" ht="14.25" thickTop="1" thickBot="1" x14ac:dyDescent="0.25">
      <c r="A108" s="30">
        <f t="shared" si="83"/>
        <v>102</v>
      </c>
      <c r="G108" s="128"/>
      <c r="I108" s="128"/>
      <c r="M108" s="128"/>
      <c r="N108" s="128"/>
      <c r="O108" s="109"/>
    </row>
    <row r="109" spans="1:22" x14ac:dyDescent="0.2">
      <c r="A109" s="30">
        <f t="shared" si="83"/>
        <v>103</v>
      </c>
      <c r="B109" s="24" t="s">
        <v>55</v>
      </c>
      <c r="C109" s="24" t="s">
        <v>41</v>
      </c>
      <c r="D109" s="24"/>
      <c r="E109" s="105"/>
      <c r="F109" s="105"/>
      <c r="G109" s="105"/>
      <c r="H109" s="105"/>
      <c r="I109" s="105"/>
      <c r="J109" s="105"/>
      <c r="K109" s="105"/>
      <c r="L109" s="105"/>
      <c r="M109" s="105"/>
      <c r="N109" s="105"/>
      <c r="O109" s="105"/>
      <c r="P109" s="105"/>
      <c r="Q109" s="105"/>
      <c r="R109" s="105"/>
    </row>
    <row r="110" spans="1:22" x14ac:dyDescent="0.2">
      <c r="A110" s="30">
        <f t="shared" si="83"/>
        <v>104</v>
      </c>
      <c r="C110" s="2"/>
      <c r="D110" s="2" t="s">
        <v>17</v>
      </c>
      <c r="E110" s="139">
        <v>12</v>
      </c>
      <c r="F110" s="107">
        <v>5454</v>
      </c>
      <c r="G110" s="136">
        <v>65448</v>
      </c>
      <c r="H110" s="98">
        <v>5726.7</v>
      </c>
      <c r="I110" s="108">
        <f>H110*E110</f>
        <v>68720.399999999994</v>
      </c>
      <c r="J110" s="109">
        <f>I110/I114</f>
        <v>1.0114216522080942E-2</v>
      </c>
      <c r="K110" s="110"/>
      <c r="L110" s="149">
        <v>6013</v>
      </c>
      <c r="M110" s="108">
        <f>L110*E110</f>
        <v>72156</v>
      </c>
      <c r="N110" s="108">
        <f>M110-I110</f>
        <v>3435.6000000000058</v>
      </c>
      <c r="O110" s="109">
        <f>IF(I110=0,0,N110/I110)</f>
        <v>4.9993888277716753E-2</v>
      </c>
      <c r="P110" s="109">
        <f>M110/M$114</f>
        <v>9.975366443344378E-3</v>
      </c>
      <c r="Q110" s="111">
        <f>P110-J110</f>
        <v>-1.3885007873656353E-4</v>
      </c>
      <c r="R110" s="111"/>
      <c r="T110" s="5">
        <f t="shared" ref="T110:T113" si="95">L110/H110-1</f>
        <v>4.9993888277716669E-2</v>
      </c>
      <c r="V110" s="31"/>
    </row>
    <row r="111" spans="1:22" x14ac:dyDescent="0.2">
      <c r="A111" s="30">
        <f t="shared" si="83"/>
        <v>105</v>
      </c>
      <c r="B111" s="138"/>
      <c r="D111" s="2" t="s">
        <v>53</v>
      </c>
      <c r="E111" s="139">
        <v>199289</v>
      </c>
      <c r="F111" s="135">
        <v>6.98</v>
      </c>
      <c r="G111" s="136">
        <v>804719</v>
      </c>
      <c r="H111" s="98">
        <v>7.3</v>
      </c>
      <c r="I111" s="108">
        <f t="shared" ref="I111:I113" si="96">H111*E111</f>
        <v>1454809.7</v>
      </c>
      <c r="J111" s="110">
        <f>I111/I114</f>
        <v>0.21411779186709648</v>
      </c>
      <c r="K111" s="110"/>
      <c r="L111" s="149">
        <v>8.91</v>
      </c>
      <c r="M111" s="108">
        <f t="shared" ref="M111:M113" si="97">L111*E111</f>
        <v>1775664.99</v>
      </c>
      <c r="N111" s="108">
        <f t="shared" ref="N111" si="98">M111-I111</f>
        <v>320855.29000000004</v>
      </c>
      <c r="O111" s="109">
        <f t="shared" ref="O111" si="99">IF(I111=0,0,N111/I111)</f>
        <v>0.22054794520547949</v>
      </c>
      <c r="P111" s="109">
        <f t="shared" ref="P111" si="100">M111/M$114</f>
        <v>0.24548074942994944</v>
      </c>
      <c r="Q111" s="111">
        <f t="shared" ref="Q111" si="101">P111-J111</f>
        <v>3.1362957562852956E-2</v>
      </c>
      <c r="R111" s="111"/>
      <c r="T111" s="5">
        <f t="shared" ref="T111" si="102">L111/H111-1</f>
        <v>0.22054794520547949</v>
      </c>
    </row>
    <row r="112" spans="1:22" x14ac:dyDescent="0.2">
      <c r="A112" s="30">
        <f t="shared" si="83"/>
        <v>106</v>
      </c>
      <c r="B112" s="137"/>
      <c r="D112" s="2" t="s">
        <v>74</v>
      </c>
      <c r="E112" s="139">
        <v>115289</v>
      </c>
      <c r="F112" s="107">
        <v>-5.6</v>
      </c>
      <c r="G112" s="136">
        <v>0</v>
      </c>
      <c r="H112" s="98">
        <v>-5.6</v>
      </c>
      <c r="I112" s="108">
        <f t="shared" si="96"/>
        <v>-645618.39999999991</v>
      </c>
      <c r="J112" s="110">
        <f>I112/I114</f>
        <v>-9.5021628049887091E-2</v>
      </c>
      <c r="K112" s="110"/>
      <c r="L112" s="149">
        <v>-7.6</v>
      </c>
      <c r="M112" s="108">
        <f t="shared" si="97"/>
        <v>-876196.39999999991</v>
      </c>
      <c r="N112" s="108">
        <f t="shared" ref="N112:N117" si="103">M112-I112</f>
        <v>-230578</v>
      </c>
      <c r="O112" s="109">
        <f t="shared" ref="O112:O113" si="104">IF(I112=0,0,N112/I112)</f>
        <v>0.35714285714285721</v>
      </c>
      <c r="P112" s="109">
        <f t="shared" ref="P112:P113" si="105">M112/M$114</f>
        <v>-0.12113171692359814</v>
      </c>
      <c r="Q112" s="111">
        <f t="shared" ref="Q112:Q114" si="106">P112-J112</f>
        <v>-2.6110088873711051E-2</v>
      </c>
      <c r="R112" s="111"/>
      <c r="T112" s="5">
        <f t="shared" si="95"/>
        <v>0.35714285714285721</v>
      </c>
      <c r="V112" s="88"/>
    </row>
    <row r="113" spans="1:22" x14ac:dyDescent="0.2">
      <c r="A113" s="30">
        <f t="shared" si="83"/>
        <v>107</v>
      </c>
      <c r="B113" s="137"/>
      <c r="D113" s="2" t="s">
        <v>51</v>
      </c>
      <c r="E113" s="139">
        <v>115354350</v>
      </c>
      <c r="F113" s="129">
        <v>4.5886000000000003E-2</v>
      </c>
      <c r="G113" s="136">
        <v>5645921.7199999988</v>
      </c>
      <c r="H113" s="113">
        <v>5.1290000000000002E-2</v>
      </c>
      <c r="I113" s="108">
        <f t="shared" si="96"/>
        <v>5916524.6115000006</v>
      </c>
      <c r="J113" s="109">
        <f>I113/I114</f>
        <v>0.87078961966070967</v>
      </c>
      <c r="K113" s="110"/>
      <c r="L113" s="150">
        <f>H113*S113</f>
        <v>5.4283118862877754E-2</v>
      </c>
      <c r="M113" s="108">
        <f t="shared" si="97"/>
        <v>6261793.8924000021</v>
      </c>
      <c r="N113" s="108">
        <f t="shared" si="103"/>
        <v>345269.28090000153</v>
      </c>
      <c r="O113" s="109">
        <f t="shared" si="104"/>
        <v>5.8356772526374452E-2</v>
      </c>
      <c r="P113" s="109">
        <f t="shared" si="105"/>
        <v>0.86567560105030439</v>
      </c>
      <c r="Q113" s="111">
        <f t="shared" si="106"/>
        <v>-5.1140186104052798E-3</v>
      </c>
      <c r="R113" s="111"/>
      <c r="S113" s="142">
        <v>1.0583567725263745</v>
      </c>
      <c r="T113" s="5">
        <f t="shared" si="95"/>
        <v>5.8356772526374501E-2</v>
      </c>
      <c r="V113" s="88"/>
    </row>
    <row r="114" spans="1:22" s="6" customFormat="1" ht="20.45" customHeight="1" x14ac:dyDescent="0.25">
      <c r="A114" s="30">
        <f t="shared" si="83"/>
        <v>108</v>
      </c>
      <c r="B114" s="84"/>
      <c r="C114" s="16"/>
      <c r="D114" s="18" t="s">
        <v>6</v>
      </c>
      <c r="E114" s="114"/>
      <c r="F114" s="114"/>
      <c r="G114" s="19">
        <f>SUM(G110:G113)</f>
        <v>6516088.7199999988</v>
      </c>
      <c r="H114" s="114"/>
      <c r="I114" s="115">
        <f>SUM(I110:I113)</f>
        <v>6794436.3115000008</v>
      </c>
      <c r="J114" s="116">
        <f>SUM(J110:J113)</f>
        <v>1</v>
      </c>
      <c r="K114" s="117">
        <f>I114+Summary!I18</f>
        <v>7233418.482400002</v>
      </c>
      <c r="L114" s="114"/>
      <c r="M114" s="19">
        <f>SUM(M110:M113)</f>
        <v>7233418.482400002</v>
      </c>
      <c r="N114" s="19">
        <f>SUM(N110:N113)</f>
        <v>438982.17090000154</v>
      </c>
      <c r="O114" s="116">
        <f t="shared" ref="O114" si="107">N114/I114</f>
        <v>6.4609064059809831E-2</v>
      </c>
      <c r="P114" s="116">
        <f>SUM(P110:P113)</f>
        <v>1</v>
      </c>
      <c r="Q114" s="118">
        <f t="shared" si="106"/>
        <v>0</v>
      </c>
      <c r="R114" s="115">
        <f>M114-K114</f>
        <v>0</v>
      </c>
      <c r="S114" s="6">
        <f>K114/I114</f>
        <v>1.0646090640598098</v>
      </c>
    </row>
    <row r="115" spans="1:22" x14ac:dyDescent="0.2">
      <c r="A115" s="30">
        <f t="shared" si="83"/>
        <v>109</v>
      </c>
      <c r="D115" s="2" t="s">
        <v>26</v>
      </c>
      <c r="G115" s="136">
        <v>1161874</v>
      </c>
      <c r="I115" s="27">
        <f>G115-($H$171*E113)</f>
        <v>-199307.33000000007</v>
      </c>
      <c r="K115" s="27"/>
      <c r="M115" s="108">
        <f>I115</f>
        <v>-199307.33000000007</v>
      </c>
      <c r="N115" s="108">
        <f t="shared" si="103"/>
        <v>0</v>
      </c>
      <c r="O115" s="98">
        <v>0</v>
      </c>
    </row>
    <row r="116" spans="1:22" x14ac:dyDescent="0.2">
      <c r="A116" s="30">
        <f t="shared" si="83"/>
        <v>110</v>
      </c>
      <c r="D116" s="2" t="s">
        <v>27</v>
      </c>
      <c r="G116" s="136">
        <v>998222</v>
      </c>
      <c r="I116" s="27">
        <f t="shared" ref="I116:I118" si="108">G116</f>
        <v>998222</v>
      </c>
      <c r="M116" s="108">
        <f t="shared" ref="M116:M118" si="109">I116</f>
        <v>998222</v>
      </c>
      <c r="N116" s="108">
        <f t="shared" si="103"/>
        <v>0</v>
      </c>
      <c r="O116" s="98">
        <v>0</v>
      </c>
    </row>
    <row r="117" spans="1:22" x14ac:dyDescent="0.2">
      <c r="A117" s="30">
        <f t="shared" si="83"/>
        <v>111</v>
      </c>
      <c r="D117" s="2" t="s">
        <v>29</v>
      </c>
      <c r="G117" s="136"/>
      <c r="I117" s="27">
        <f t="shared" si="108"/>
        <v>0</v>
      </c>
      <c r="M117" s="108">
        <f t="shared" si="109"/>
        <v>0</v>
      </c>
      <c r="N117" s="108">
        <f t="shared" si="103"/>
        <v>0</v>
      </c>
      <c r="O117" s="98">
        <v>0</v>
      </c>
    </row>
    <row r="118" spans="1:22" x14ac:dyDescent="0.2">
      <c r="A118" s="30">
        <f t="shared" si="83"/>
        <v>112</v>
      </c>
      <c r="D118" s="2" t="s">
        <v>39</v>
      </c>
      <c r="G118" s="136"/>
      <c r="I118" s="27">
        <f t="shared" si="108"/>
        <v>0</v>
      </c>
      <c r="M118" s="108">
        <f t="shared" si="109"/>
        <v>0</v>
      </c>
      <c r="N118" s="108"/>
      <c r="O118" s="98"/>
    </row>
    <row r="119" spans="1:22" x14ac:dyDescent="0.2">
      <c r="A119" s="30">
        <f t="shared" si="83"/>
        <v>113</v>
      </c>
      <c r="D119" s="14" t="s">
        <v>8</v>
      </c>
      <c r="E119" s="121"/>
      <c r="F119" s="121"/>
      <c r="G119" s="145">
        <f>SUM(G115:G118)</f>
        <v>2160096</v>
      </c>
      <c r="H119" s="121"/>
      <c r="I119" s="122">
        <f>SUM(I115:I118)</f>
        <v>798914.66999999993</v>
      </c>
      <c r="J119" s="121"/>
      <c r="K119" s="121"/>
      <c r="L119" s="121"/>
      <c r="M119" s="122">
        <f>SUM(M115:M118)</f>
        <v>798914.66999999993</v>
      </c>
      <c r="N119" s="122">
        <f t="shared" ref="N119:N120" si="110">M119-I119</f>
        <v>0</v>
      </c>
      <c r="O119" s="123">
        <f t="shared" ref="O119" si="111">N119-J119</f>
        <v>0</v>
      </c>
    </row>
    <row r="120" spans="1:22" s="6" customFormat="1" ht="26.45" customHeight="1" thickBot="1" x14ac:dyDescent="0.25">
      <c r="A120" s="30">
        <f t="shared" si="83"/>
        <v>114</v>
      </c>
      <c r="C120" s="16"/>
      <c r="D120" s="7" t="s">
        <v>19</v>
      </c>
      <c r="E120" s="124"/>
      <c r="F120" s="124"/>
      <c r="G120" s="146">
        <f>G114+G119</f>
        <v>8676184.7199999988</v>
      </c>
      <c r="H120" s="124"/>
      <c r="I120" s="126">
        <f>I119+I114</f>
        <v>7593350.9815000007</v>
      </c>
      <c r="J120" s="124"/>
      <c r="K120" s="124"/>
      <c r="L120" s="124"/>
      <c r="M120" s="125">
        <f>M119+M114</f>
        <v>8032333.1524000019</v>
      </c>
      <c r="N120" s="125">
        <f t="shared" si="110"/>
        <v>438982.17090000119</v>
      </c>
      <c r="O120" s="127">
        <f>N120/I120</f>
        <v>5.7811389460267523E-2</v>
      </c>
      <c r="P120" s="75"/>
      <c r="Q120" s="75"/>
      <c r="R120" s="75"/>
    </row>
    <row r="121" spans="1:22" ht="13.5" thickTop="1" x14ac:dyDescent="0.2">
      <c r="A121" s="30">
        <f t="shared" si="83"/>
        <v>115</v>
      </c>
      <c r="E121" s="107">
        <f>E113/E110</f>
        <v>9612862.5</v>
      </c>
      <c r="G121" s="128">
        <f>G120/E110</f>
        <v>723015.3933333332</v>
      </c>
      <c r="I121" s="128">
        <f>I120/E110</f>
        <v>632779.24845833343</v>
      </c>
      <c r="M121" s="128">
        <f>M120/E110</f>
        <v>669361.09603333345</v>
      </c>
      <c r="N121" s="128">
        <f>M121-I121</f>
        <v>36581.847575000022</v>
      </c>
      <c r="O121" s="109"/>
    </row>
    <row r="122" spans="1:22" x14ac:dyDescent="0.2">
      <c r="A122" s="30">
        <f t="shared" si="83"/>
        <v>116</v>
      </c>
    </row>
    <row r="123" spans="1:22" x14ac:dyDescent="0.2">
      <c r="A123" s="30">
        <f t="shared" si="83"/>
        <v>117</v>
      </c>
      <c r="B123" s="20"/>
      <c r="C123" s="21"/>
      <c r="D123" s="20"/>
      <c r="E123" s="130"/>
      <c r="F123" s="130"/>
      <c r="G123" s="130"/>
      <c r="H123" s="130"/>
      <c r="I123" s="130"/>
      <c r="J123" s="130"/>
      <c r="K123" s="130"/>
      <c r="L123" s="130"/>
      <c r="M123" s="130"/>
      <c r="N123" s="130"/>
      <c r="O123" s="130"/>
      <c r="P123" s="130"/>
      <c r="Q123" s="130"/>
      <c r="R123" s="130"/>
    </row>
    <row r="124" spans="1:22" x14ac:dyDescent="0.2">
      <c r="A124" s="30">
        <f t="shared" si="83"/>
        <v>118</v>
      </c>
    </row>
    <row r="125" spans="1:22" s="6" customFormat="1" ht="19.899999999999999" customHeight="1" x14ac:dyDescent="0.25">
      <c r="A125" s="30">
        <f t="shared" si="83"/>
        <v>119</v>
      </c>
      <c r="B125" s="6" t="s">
        <v>28</v>
      </c>
      <c r="C125" s="16"/>
      <c r="D125" s="18" t="s">
        <v>6</v>
      </c>
      <c r="E125" s="114"/>
      <c r="F125" s="114"/>
      <c r="G125" s="131">
        <f>G10+G22+G35+G48+G62+G101+G114</f>
        <v>70539509.55388999</v>
      </c>
      <c r="H125" s="131"/>
      <c r="I125" s="131">
        <f>I10+I22+I35+I48+I62+I101+I114</f>
        <v>69450238.489169985</v>
      </c>
      <c r="J125" s="114"/>
      <c r="K125" s="114"/>
      <c r="L125" s="114"/>
      <c r="M125" s="131">
        <f>M10+M22+M35+M48+M62+M101+M114</f>
        <v>72482415.509126008</v>
      </c>
      <c r="N125" s="131">
        <f>N10+N22+N35+N48+N62+N101+N114</f>
        <v>3032177.0199560104</v>
      </c>
      <c r="O125" s="116">
        <f>N125/I125</f>
        <v>4.3659706372769988E-2</v>
      </c>
      <c r="P125" s="132"/>
      <c r="Q125" s="132"/>
      <c r="R125" s="132"/>
    </row>
    <row r="126" spans="1:22" x14ac:dyDescent="0.2">
      <c r="A126" s="30">
        <f t="shared" si="83"/>
        <v>120</v>
      </c>
      <c r="D126" s="2" t="s">
        <v>26</v>
      </c>
      <c r="G126" s="27">
        <f>G11+G23+G36+G49+G63+G102+G115</f>
        <v>7346524</v>
      </c>
      <c r="H126" s="27"/>
      <c r="I126" s="27">
        <f>I11+I23+I36+I49+I63+I102+I115</f>
        <v>-394938.2130000004</v>
      </c>
      <c r="M126" s="27">
        <f>M11+M23+M36+M49+M63+M102+M115</f>
        <v>-394938.2130000004</v>
      </c>
      <c r="N126" s="27">
        <f>N11+N23+N36+N49+N63+N102+N115</f>
        <v>0</v>
      </c>
    </row>
    <row r="127" spans="1:22" x14ac:dyDescent="0.2">
      <c r="A127" s="30">
        <f t="shared" si="83"/>
        <v>121</v>
      </c>
      <c r="D127" s="2" t="s">
        <v>27</v>
      </c>
      <c r="G127" s="27">
        <f>G12+G24+G37+G50+G64+G103+G116</f>
        <v>8489847</v>
      </c>
      <c r="H127" s="27"/>
      <c r="I127" s="27">
        <f>I12+I24+I37+I50+I64+I103+I116</f>
        <v>8489847</v>
      </c>
      <c r="M127" s="27">
        <f>M12+M24+M37+M50+M64+M103+M116</f>
        <v>8489847</v>
      </c>
      <c r="N127" s="27">
        <f>N12+N24+N37+N50+N64+N103+N116</f>
        <v>0</v>
      </c>
    </row>
    <row r="128" spans="1:22" x14ac:dyDescent="0.2">
      <c r="A128" s="30">
        <f t="shared" si="83"/>
        <v>122</v>
      </c>
      <c r="D128" s="2" t="s">
        <v>29</v>
      </c>
      <c r="G128" s="27">
        <f>G13+G25+G38+G51+G65+G104+G117</f>
        <v>82695.86</v>
      </c>
      <c r="H128" s="27"/>
      <c r="I128" s="27">
        <f>I13+I25+I38+I51+I65+I104+I117</f>
        <v>82695.86</v>
      </c>
      <c r="M128" s="27">
        <f>M13+M25+M38+M51+M65+M104+M117</f>
        <v>82695.86</v>
      </c>
      <c r="N128" s="27">
        <f>N13+N25+N38+N51+N65+N104+N117</f>
        <v>0</v>
      </c>
    </row>
    <row r="129" spans="1:20" x14ac:dyDescent="0.2">
      <c r="A129" s="30">
        <f t="shared" si="83"/>
        <v>123</v>
      </c>
      <c r="D129" s="2" t="s">
        <v>39</v>
      </c>
      <c r="G129" s="27">
        <f>G14+G26+G39+G52+G66+G105+G118</f>
        <v>0</v>
      </c>
      <c r="I129" s="27">
        <f>I14+I26+I39+I52+I66+I105+I118</f>
        <v>0</v>
      </c>
      <c r="M129" s="27">
        <f>M14+M26+M39+M52+M66+M105+M118</f>
        <v>0</v>
      </c>
      <c r="N129" s="27">
        <f>N14+N26+N39+N52+N66+N105+N118</f>
        <v>0</v>
      </c>
      <c r="O129" s="98"/>
    </row>
    <row r="130" spans="1:20" x14ac:dyDescent="0.2">
      <c r="A130" s="30">
        <f t="shared" si="83"/>
        <v>124</v>
      </c>
      <c r="D130" s="14" t="s">
        <v>8</v>
      </c>
      <c r="E130" s="121"/>
      <c r="F130" s="121"/>
      <c r="G130" s="133">
        <f>SUM(G126:G129)</f>
        <v>15919066.859999999</v>
      </c>
      <c r="H130" s="133"/>
      <c r="I130" s="133">
        <f>SUM(I126:I129)</f>
        <v>8177604.6469999999</v>
      </c>
      <c r="J130" s="121"/>
      <c r="K130" s="121"/>
      <c r="L130" s="121"/>
      <c r="M130" s="133">
        <f>SUM(M126:M129)</f>
        <v>8177604.6469999999</v>
      </c>
      <c r="N130" s="133">
        <f>SUM(N126:N129)</f>
        <v>0</v>
      </c>
      <c r="O130" s="121"/>
    </row>
    <row r="131" spans="1:20" s="6" customFormat="1" ht="21" customHeight="1" thickBot="1" x14ac:dyDescent="0.3">
      <c r="A131" s="30">
        <f t="shared" si="83"/>
        <v>125</v>
      </c>
      <c r="C131" s="16"/>
      <c r="D131" s="7" t="s">
        <v>19</v>
      </c>
      <c r="E131" s="124"/>
      <c r="F131" s="124"/>
      <c r="G131" s="126">
        <f>G130+G125</f>
        <v>86458576.413889989</v>
      </c>
      <c r="H131" s="126"/>
      <c r="I131" s="126">
        <f>I130+I125</f>
        <v>77627843.136169985</v>
      </c>
      <c r="J131" s="124"/>
      <c r="K131" s="124"/>
      <c r="L131" s="124"/>
      <c r="M131" s="126">
        <f>M130+M125</f>
        <v>80660020.156126007</v>
      </c>
      <c r="N131" s="126">
        <f>N130+N125</f>
        <v>3032177.0199560104</v>
      </c>
      <c r="O131" s="127">
        <f>N131/I131</f>
        <v>3.9060431121822517E-2</v>
      </c>
      <c r="P131" s="132"/>
      <c r="Q131" s="132"/>
      <c r="R131" s="132"/>
    </row>
    <row r="132" spans="1:20" ht="13.5" thickTop="1" x14ac:dyDescent="0.2">
      <c r="A132" s="30">
        <f t="shared" si="83"/>
        <v>126</v>
      </c>
    </row>
    <row r="133" spans="1:20" x14ac:dyDescent="0.2">
      <c r="A133" s="30">
        <f t="shared" si="83"/>
        <v>127</v>
      </c>
      <c r="D133" s="2" t="s">
        <v>37</v>
      </c>
      <c r="N133" s="27">
        <f>N131-Summary!L4</f>
        <v>981.57950701611117</v>
      </c>
    </row>
    <row r="134" spans="1:20" x14ac:dyDescent="0.2">
      <c r="A134" s="30">
        <f t="shared" si="83"/>
        <v>128</v>
      </c>
      <c r="N134" s="27"/>
    </row>
    <row r="135" spans="1:20" x14ac:dyDescent="0.2">
      <c r="A135" s="30">
        <f t="shared" si="83"/>
        <v>129</v>
      </c>
      <c r="B135" s="1" t="s">
        <v>73</v>
      </c>
      <c r="E135" s="130"/>
      <c r="F135" s="130"/>
      <c r="G135" s="130"/>
      <c r="H135" s="130"/>
      <c r="I135" s="130"/>
      <c r="J135" s="130"/>
      <c r="K135" s="130"/>
      <c r="L135" s="130"/>
      <c r="M135" s="130"/>
      <c r="N135" s="134"/>
      <c r="O135" s="130"/>
      <c r="P135" s="130"/>
      <c r="Q135" s="130"/>
      <c r="R135" s="130"/>
    </row>
    <row r="136" spans="1:20" ht="13.5" thickBot="1" x14ac:dyDescent="0.25">
      <c r="A136" s="30">
        <f t="shared" si="83"/>
        <v>130</v>
      </c>
      <c r="D136" s="15"/>
      <c r="E136" s="81"/>
      <c r="F136" s="81"/>
      <c r="G136" s="81"/>
    </row>
    <row r="137" spans="1:20" x14ac:dyDescent="0.2">
      <c r="A137" s="30">
        <f t="shared" si="83"/>
        <v>131</v>
      </c>
      <c r="B137" s="24" t="s">
        <v>59</v>
      </c>
      <c r="C137" s="25">
        <v>7</v>
      </c>
      <c r="D137" s="24"/>
      <c r="E137" s="105"/>
      <c r="F137" s="105"/>
      <c r="G137" s="105"/>
      <c r="H137" s="105"/>
      <c r="I137" s="105"/>
      <c r="J137" s="105"/>
      <c r="K137" s="105"/>
      <c r="L137" s="105"/>
      <c r="M137" s="105"/>
      <c r="N137" s="105"/>
      <c r="O137" s="105"/>
      <c r="P137" s="105"/>
      <c r="Q137" s="105"/>
      <c r="R137" s="105"/>
    </row>
    <row r="138" spans="1:20" ht="12.6" customHeight="1" x14ac:dyDescent="0.2">
      <c r="A138" s="30">
        <f t="shared" si="83"/>
        <v>132</v>
      </c>
      <c r="D138" s="2" t="s">
        <v>53</v>
      </c>
      <c r="E138" s="106"/>
      <c r="F138" s="98"/>
      <c r="G138" s="108"/>
      <c r="H138" s="98">
        <v>9.36</v>
      </c>
      <c r="I138" s="108"/>
      <c r="J138" s="109"/>
      <c r="K138" s="110"/>
      <c r="L138" s="98">
        <f>S138*H138</f>
        <v>9.7686548516491261</v>
      </c>
      <c r="M138" s="108"/>
      <c r="N138" s="108"/>
      <c r="O138" s="109"/>
      <c r="P138" s="109"/>
      <c r="Q138" s="111"/>
      <c r="R138" s="111"/>
      <c r="S138" s="86">
        <f>1+O$125</f>
        <v>1.0436597063727699</v>
      </c>
      <c r="T138" s="5">
        <f t="shared" ref="T138:T139" si="112">L138/H138-1</f>
        <v>4.3659706372769946E-2</v>
      </c>
    </row>
    <row r="139" spans="1:20" ht="13.5" thickBot="1" x14ac:dyDescent="0.25">
      <c r="A139" s="30">
        <f t="shared" si="83"/>
        <v>133</v>
      </c>
      <c r="D139" s="2" t="s">
        <v>51</v>
      </c>
      <c r="E139" s="106"/>
      <c r="F139" s="113"/>
      <c r="G139" s="108"/>
      <c r="H139" s="113">
        <v>6.855E-2</v>
      </c>
      <c r="I139" s="108"/>
      <c r="J139" s="109"/>
      <c r="K139" s="110"/>
      <c r="L139" s="113">
        <f t="shared" ref="L139:L165" si="113">S139*H139</f>
        <v>7.1542872871853375E-2</v>
      </c>
      <c r="M139" s="108"/>
      <c r="N139" s="108"/>
      <c r="O139" s="109"/>
      <c r="P139" s="109"/>
      <c r="Q139" s="111"/>
      <c r="R139" s="111"/>
      <c r="S139" s="86">
        <f t="shared" ref="S139:S147" si="114">1+O$125</f>
        <v>1.0436597063727699</v>
      </c>
      <c r="T139" s="5">
        <f t="shared" si="112"/>
        <v>4.3659706372769946E-2</v>
      </c>
    </row>
    <row r="140" spans="1:20" x14ac:dyDescent="0.2">
      <c r="A140" s="30">
        <f t="shared" si="83"/>
        <v>134</v>
      </c>
      <c r="B140" s="24" t="s">
        <v>75</v>
      </c>
      <c r="C140" s="25">
        <v>8</v>
      </c>
      <c r="D140" s="24"/>
      <c r="E140" s="105"/>
      <c r="F140" s="105"/>
      <c r="G140" s="105"/>
      <c r="H140" s="105"/>
      <c r="I140" s="105"/>
      <c r="J140" s="105"/>
      <c r="K140" s="105"/>
      <c r="L140" s="105"/>
      <c r="M140" s="105"/>
      <c r="N140" s="105"/>
      <c r="O140" s="105"/>
      <c r="P140" s="105"/>
      <c r="Q140" s="105"/>
      <c r="R140" s="105"/>
      <c r="S140" s="86"/>
    </row>
    <row r="141" spans="1:20" ht="12.6" customHeight="1" x14ac:dyDescent="0.2">
      <c r="A141" s="30">
        <f t="shared" ref="A141:A169" si="115">A140+1</f>
        <v>135</v>
      </c>
      <c r="D141" s="2" t="s">
        <v>53</v>
      </c>
      <c r="E141" s="106"/>
      <c r="F141" s="98"/>
      <c r="G141" s="108"/>
      <c r="H141" s="98">
        <v>9.25</v>
      </c>
      <c r="I141" s="108"/>
      <c r="J141" s="109"/>
      <c r="K141" s="110"/>
      <c r="L141" s="98">
        <f t="shared" si="113"/>
        <v>9.6538522839481224</v>
      </c>
      <c r="M141" s="108"/>
      <c r="N141" s="108"/>
      <c r="O141" s="109"/>
      <c r="P141" s="109"/>
      <c r="Q141" s="111"/>
      <c r="R141" s="111"/>
      <c r="S141" s="86">
        <f t="shared" si="114"/>
        <v>1.0436597063727699</v>
      </c>
      <c r="T141" s="5">
        <f t="shared" ref="T141:T142" si="116">L141/H141-1</f>
        <v>4.3659706372769946E-2</v>
      </c>
    </row>
    <row r="142" spans="1:20" ht="13.5" thickBot="1" x14ac:dyDescent="0.25">
      <c r="A142" s="30">
        <f t="shared" si="115"/>
        <v>136</v>
      </c>
      <c r="D142" s="2" t="s">
        <v>51</v>
      </c>
      <c r="E142" s="106"/>
      <c r="F142" s="113"/>
      <c r="G142" s="108"/>
      <c r="H142" s="113">
        <v>6.855E-2</v>
      </c>
      <c r="I142" s="108"/>
      <c r="J142" s="109"/>
      <c r="K142" s="110"/>
      <c r="L142" s="113">
        <f t="shared" si="113"/>
        <v>7.1542872871853375E-2</v>
      </c>
      <c r="M142" s="108"/>
      <c r="N142" s="108"/>
      <c r="O142" s="109"/>
      <c r="P142" s="109"/>
      <c r="Q142" s="111"/>
      <c r="R142" s="111"/>
      <c r="S142" s="86">
        <f t="shared" si="114"/>
        <v>1.0436597063727699</v>
      </c>
      <c r="T142" s="5">
        <f t="shared" si="116"/>
        <v>4.3659706372769946E-2</v>
      </c>
    </row>
    <row r="143" spans="1:20" x14ac:dyDescent="0.2">
      <c r="A143" s="30">
        <f t="shared" si="115"/>
        <v>137</v>
      </c>
      <c r="B143" s="24" t="s">
        <v>59</v>
      </c>
      <c r="C143" s="25">
        <v>10</v>
      </c>
      <c r="D143" s="24"/>
      <c r="E143" s="105"/>
      <c r="F143" s="105"/>
      <c r="G143" s="105"/>
      <c r="H143" s="105"/>
      <c r="I143" s="105"/>
      <c r="J143" s="105"/>
      <c r="K143" s="105"/>
      <c r="L143" s="105"/>
      <c r="M143" s="105"/>
      <c r="N143" s="105"/>
      <c r="O143" s="105"/>
      <c r="P143" s="105"/>
      <c r="Q143" s="105"/>
      <c r="R143" s="105"/>
      <c r="S143" s="86"/>
    </row>
    <row r="144" spans="1:20" ht="12.6" customHeight="1" x14ac:dyDescent="0.2">
      <c r="A144" s="30">
        <f t="shared" si="115"/>
        <v>138</v>
      </c>
      <c r="D144" s="2" t="s">
        <v>78</v>
      </c>
      <c r="E144" s="106"/>
      <c r="F144" s="98"/>
      <c r="G144" s="108"/>
      <c r="H144" s="98">
        <v>1263.4000000000001</v>
      </c>
      <c r="I144" s="108"/>
      <c r="J144" s="109"/>
      <c r="K144" s="110"/>
      <c r="L144" s="98">
        <f t="shared" si="113"/>
        <v>1318.5596730313575</v>
      </c>
      <c r="M144" s="108"/>
      <c r="N144" s="108"/>
      <c r="O144" s="109"/>
      <c r="P144" s="109"/>
      <c r="Q144" s="111"/>
      <c r="R144" s="111"/>
      <c r="S144" s="86">
        <f t="shared" si="114"/>
        <v>1.0436597063727699</v>
      </c>
      <c r="T144" s="5">
        <f t="shared" ref="T144:T147" si="117">L144/H144-1</f>
        <v>4.3659706372769946E-2</v>
      </c>
    </row>
    <row r="145" spans="1:22" x14ac:dyDescent="0.2">
      <c r="A145" s="30">
        <f t="shared" si="115"/>
        <v>139</v>
      </c>
      <c r="D145" s="2" t="s">
        <v>60</v>
      </c>
      <c r="E145" s="106"/>
      <c r="F145" s="113"/>
      <c r="G145" s="108"/>
      <c r="H145" s="98">
        <v>7.43</v>
      </c>
      <c r="I145" s="108"/>
      <c r="J145" s="109"/>
      <c r="K145" s="110"/>
      <c r="L145" s="98">
        <f t="shared" si="113"/>
        <v>7.7543916183496808</v>
      </c>
      <c r="M145" s="108"/>
      <c r="N145" s="108"/>
      <c r="O145" s="109"/>
      <c r="P145" s="109"/>
      <c r="Q145" s="111"/>
      <c r="R145" s="111"/>
      <c r="S145" s="86">
        <f t="shared" si="114"/>
        <v>1.0436597063727699</v>
      </c>
      <c r="T145" s="5">
        <f t="shared" si="117"/>
        <v>4.3659706372769946E-2</v>
      </c>
    </row>
    <row r="146" spans="1:22" x14ac:dyDescent="0.2">
      <c r="A146" s="30">
        <f t="shared" si="115"/>
        <v>140</v>
      </c>
      <c r="D146" s="2" t="s">
        <v>61</v>
      </c>
      <c r="E146" s="106"/>
      <c r="F146" s="113"/>
      <c r="G146" s="108"/>
      <c r="H146" s="98">
        <v>10.34</v>
      </c>
      <c r="I146" s="108"/>
      <c r="J146" s="109"/>
      <c r="K146" s="110"/>
      <c r="L146" s="98">
        <f t="shared" si="113"/>
        <v>10.791441363894441</v>
      </c>
      <c r="M146" s="108"/>
      <c r="N146" s="108"/>
      <c r="O146" s="109"/>
      <c r="P146" s="109"/>
      <c r="Q146" s="111"/>
      <c r="R146" s="111"/>
      <c r="S146" s="86">
        <f t="shared" si="114"/>
        <v>1.0436597063727699</v>
      </c>
      <c r="T146" s="5">
        <f t="shared" si="117"/>
        <v>4.3659706372769946E-2</v>
      </c>
    </row>
    <row r="147" spans="1:22" ht="13.5" thickBot="1" x14ac:dyDescent="0.25">
      <c r="A147" s="30">
        <f t="shared" si="115"/>
        <v>141</v>
      </c>
      <c r="D147" s="2" t="s">
        <v>51</v>
      </c>
      <c r="E147" s="106"/>
      <c r="F147" s="113"/>
      <c r="G147" s="108"/>
      <c r="H147" s="113">
        <v>5.901E-2</v>
      </c>
      <c r="I147" s="108"/>
      <c r="J147" s="109"/>
      <c r="K147" s="110"/>
      <c r="L147" s="113">
        <f t="shared" si="113"/>
        <v>6.1586359273057154E-2</v>
      </c>
      <c r="M147" s="108"/>
      <c r="N147" s="108"/>
      <c r="O147" s="109"/>
      <c r="P147" s="109"/>
      <c r="Q147" s="111"/>
      <c r="R147" s="111"/>
      <c r="S147" s="86">
        <f t="shared" si="114"/>
        <v>1.0436597063727699</v>
      </c>
      <c r="T147" s="5">
        <f t="shared" si="117"/>
        <v>4.3659706372769946E-2</v>
      </c>
    </row>
    <row r="148" spans="1:22" x14ac:dyDescent="0.2">
      <c r="A148" s="30">
        <f t="shared" si="115"/>
        <v>142</v>
      </c>
      <c r="B148" s="24" t="s">
        <v>59</v>
      </c>
      <c r="C148" s="25">
        <v>11</v>
      </c>
      <c r="D148" s="24"/>
      <c r="E148" s="105"/>
      <c r="F148" s="105"/>
      <c r="G148" s="105"/>
      <c r="H148" s="105"/>
      <c r="I148" s="105"/>
      <c r="J148" s="105"/>
      <c r="K148" s="105"/>
      <c r="L148" s="105"/>
      <c r="M148" s="105"/>
      <c r="N148" s="105"/>
      <c r="O148" s="105"/>
      <c r="P148" s="105"/>
      <c r="Q148" s="105"/>
      <c r="R148" s="105"/>
      <c r="S148" s="86"/>
    </row>
    <row r="149" spans="1:22" ht="12.6" customHeight="1" x14ac:dyDescent="0.2">
      <c r="A149" s="30">
        <f t="shared" si="115"/>
        <v>143</v>
      </c>
      <c r="D149" s="2" t="s">
        <v>81</v>
      </c>
      <c r="E149" s="106"/>
      <c r="F149" s="98"/>
      <c r="G149" s="108"/>
      <c r="H149" s="98">
        <v>1263.24</v>
      </c>
      <c r="I149" s="108"/>
      <c r="J149" s="109"/>
      <c r="K149" s="110"/>
      <c r="L149" s="98">
        <f t="shared" si="113"/>
        <v>1382.0037347036568</v>
      </c>
      <c r="M149" s="108"/>
      <c r="N149" s="108"/>
      <c r="O149" s="109"/>
      <c r="P149" s="109"/>
      <c r="Q149" s="111"/>
      <c r="R149" s="111"/>
      <c r="S149" s="86">
        <f>1+O$62</f>
        <v>1.0940151789870942</v>
      </c>
      <c r="T149" s="5">
        <f t="shared" ref="T149:T152" si="118">L149/H149-1</f>
        <v>9.4015178987094217E-2</v>
      </c>
    </row>
    <row r="150" spans="1:22" x14ac:dyDescent="0.2">
      <c r="A150" s="30">
        <f t="shared" si="115"/>
        <v>144</v>
      </c>
      <c r="D150" s="2" t="s">
        <v>77</v>
      </c>
      <c r="E150" s="106"/>
      <c r="F150" s="113"/>
      <c r="G150" s="108"/>
      <c r="H150" s="98">
        <v>6.36</v>
      </c>
      <c r="I150" s="108"/>
      <c r="J150" s="109"/>
      <c r="K150" s="110"/>
      <c r="L150" s="107">
        <f>L59</f>
        <v>6.96</v>
      </c>
      <c r="M150" s="108"/>
      <c r="N150" s="108"/>
      <c r="O150" s="109"/>
      <c r="P150" s="109"/>
      <c r="Q150" s="111"/>
      <c r="R150" s="111"/>
      <c r="S150" s="86">
        <f>S149</f>
        <v>1.0940151789870942</v>
      </c>
      <c r="T150" s="5">
        <f t="shared" si="118"/>
        <v>9.4339622641509413E-2</v>
      </c>
      <c r="V150" s="2" t="s">
        <v>83</v>
      </c>
    </row>
    <row r="151" spans="1:22" x14ac:dyDescent="0.2">
      <c r="A151" s="30">
        <f t="shared" si="115"/>
        <v>145</v>
      </c>
      <c r="D151" s="2" t="s">
        <v>82</v>
      </c>
      <c r="E151" s="106"/>
      <c r="F151" s="113"/>
      <c r="G151" s="108"/>
      <c r="H151" s="98">
        <v>9.25</v>
      </c>
      <c r="I151" s="108"/>
      <c r="J151" s="109"/>
      <c r="K151" s="110"/>
      <c r="L151" s="107">
        <f t="shared" si="113"/>
        <v>10.119640405630621</v>
      </c>
      <c r="M151" s="108"/>
      <c r="N151" s="108"/>
      <c r="O151" s="109"/>
      <c r="P151" s="109"/>
      <c r="Q151" s="111"/>
      <c r="R151" s="111"/>
      <c r="S151" s="86">
        <f>S150</f>
        <v>1.0940151789870942</v>
      </c>
      <c r="T151" s="5">
        <f t="shared" si="118"/>
        <v>9.4015178987094217E-2</v>
      </c>
    </row>
    <row r="152" spans="1:22" ht="13.5" thickBot="1" x14ac:dyDescent="0.25">
      <c r="A152" s="30">
        <f t="shared" si="115"/>
        <v>146</v>
      </c>
      <c r="D152" s="2" t="s">
        <v>51</v>
      </c>
      <c r="E152" s="106"/>
      <c r="F152" s="113"/>
      <c r="G152" s="108"/>
      <c r="H152" s="113">
        <v>5.9310000000000002E-2</v>
      </c>
      <c r="I152" s="108"/>
      <c r="J152" s="109"/>
      <c r="K152" s="110"/>
      <c r="L152" s="113">
        <f t="shared" si="113"/>
        <v>6.4886040265724559E-2</v>
      </c>
      <c r="M152" s="108"/>
      <c r="N152" s="108"/>
      <c r="O152" s="109"/>
      <c r="P152" s="109"/>
      <c r="Q152" s="111"/>
      <c r="R152" s="111"/>
      <c r="S152" s="86">
        <f>S151</f>
        <v>1.0940151789870942</v>
      </c>
      <c r="T152" s="5">
        <f t="shared" si="118"/>
        <v>9.4015178987094217E-2</v>
      </c>
    </row>
    <row r="153" spans="1:22" x14ac:dyDescent="0.2">
      <c r="A153" s="30">
        <f t="shared" si="115"/>
        <v>147</v>
      </c>
      <c r="B153" s="24" t="s">
        <v>80</v>
      </c>
      <c r="C153" s="25">
        <v>12</v>
      </c>
      <c r="D153" s="24"/>
      <c r="E153" s="105"/>
      <c r="F153" s="105"/>
      <c r="G153" s="105"/>
      <c r="H153" s="105"/>
      <c r="I153" s="105"/>
      <c r="J153" s="105"/>
      <c r="K153" s="105"/>
      <c r="L153" s="105"/>
      <c r="M153" s="105"/>
      <c r="N153" s="105"/>
      <c r="O153" s="105"/>
      <c r="P153" s="105"/>
      <c r="Q153" s="105"/>
      <c r="R153" s="105"/>
      <c r="S153" s="86"/>
    </row>
    <row r="154" spans="1:22" ht="12.6" customHeight="1" x14ac:dyDescent="0.2">
      <c r="A154" s="30">
        <f t="shared" si="115"/>
        <v>148</v>
      </c>
      <c r="D154" s="2" t="s">
        <v>76</v>
      </c>
      <c r="E154" s="106"/>
      <c r="F154" s="98"/>
      <c r="G154" s="108"/>
      <c r="H154" s="98">
        <v>1263.24</v>
      </c>
      <c r="I154" s="108"/>
      <c r="J154" s="109"/>
      <c r="K154" s="110"/>
      <c r="L154" s="107">
        <f t="shared" si="113"/>
        <v>1363.541256</v>
      </c>
      <c r="M154" s="108"/>
      <c r="N154" s="108"/>
      <c r="O154" s="109"/>
      <c r="P154" s="109"/>
      <c r="Q154" s="111"/>
      <c r="R154" s="111"/>
      <c r="S154" s="86">
        <v>1.0793999999999999</v>
      </c>
      <c r="T154" s="5">
        <f t="shared" ref="T154:T157" si="119">L154/H154-1</f>
        <v>7.9399999999999915E-2</v>
      </c>
    </row>
    <row r="155" spans="1:22" x14ac:dyDescent="0.2">
      <c r="A155" s="30">
        <f t="shared" si="115"/>
        <v>149</v>
      </c>
      <c r="D155" s="2" t="s">
        <v>79</v>
      </c>
      <c r="E155" s="106"/>
      <c r="F155" s="113"/>
      <c r="G155" s="108"/>
      <c r="H155" s="98">
        <v>632.20000000000005</v>
      </c>
      <c r="I155" s="108"/>
      <c r="J155" s="109"/>
      <c r="K155" s="110"/>
      <c r="L155" s="107">
        <f t="shared" si="113"/>
        <v>682.39667999999995</v>
      </c>
      <c r="M155" s="108"/>
      <c r="N155" s="108"/>
      <c r="O155" s="109"/>
      <c r="P155" s="109"/>
      <c r="Q155" s="111"/>
      <c r="R155" s="111"/>
      <c r="S155" s="86">
        <f>S154</f>
        <v>1.0793999999999999</v>
      </c>
      <c r="T155" s="5">
        <f t="shared" si="119"/>
        <v>7.9399999999999915E-2</v>
      </c>
    </row>
    <row r="156" spans="1:22" x14ac:dyDescent="0.2">
      <c r="A156" s="30">
        <f t="shared" si="115"/>
        <v>150</v>
      </c>
      <c r="D156" s="2" t="s">
        <v>77</v>
      </c>
      <c r="E156" s="106"/>
      <c r="F156" s="113"/>
      <c r="G156" s="108"/>
      <c r="H156" s="98">
        <v>6.36</v>
      </c>
      <c r="I156" s="108"/>
      <c r="J156" s="109"/>
      <c r="K156" s="110"/>
      <c r="L156" s="107">
        <f>L150</f>
        <v>6.96</v>
      </c>
      <c r="M156" s="108"/>
      <c r="N156" s="108"/>
      <c r="O156" s="109"/>
      <c r="P156" s="109"/>
      <c r="Q156" s="111"/>
      <c r="R156" s="111"/>
      <c r="S156" s="86">
        <f>S155</f>
        <v>1.0793999999999999</v>
      </c>
      <c r="T156" s="5">
        <f t="shared" si="119"/>
        <v>9.4339622641509413E-2</v>
      </c>
      <c r="V156" s="2" t="s">
        <v>90</v>
      </c>
    </row>
    <row r="157" spans="1:22" ht="13.5" thickBot="1" x14ac:dyDescent="0.25">
      <c r="A157" s="30">
        <f t="shared" si="115"/>
        <v>151</v>
      </c>
      <c r="D157" s="2" t="s">
        <v>51</v>
      </c>
      <c r="E157" s="106"/>
      <c r="F157" s="98"/>
      <c r="G157" s="108"/>
      <c r="H157" s="144">
        <v>6.6400000000000001E-2</v>
      </c>
      <c r="I157" s="108"/>
      <c r="J157" s="109"/>
      <c r="K157" s="110"/>
      <c r="L157" s="112">
        <f t="shared" si="113"/>
        <v>7.1672159999999999E-2</v>
      </c>
      <c r="M157" s="108"/>
      <c r="N157" s="108"/>
      <c r="O157" s="109"/>
      <c r="P157" s="109"/>
      <c r="Q157" s="111"/>
      <c r="R157" s="111"/>
      <c r="S157" s="86">
        <f>S156</f>
        <v>1.0793999999999999</v>
      </c>
      <c r="T157" s="5">
        <f t="shared" si="119"/>
        <v>7.9399999999999915E-2</v>
      </c>
    </row>
    <row r="158" spans="1:22" x14ac:dyDescent="0.2">
      <c r="A158" s="30">
        <f t="shared" si="115"/>
        <v>152</v>
      </c>
      <c r="B158" s="24" t="s">
        <v>80</v>
      </c>
      <c r="C158" s="25">
        <v>13</v>
      </c>
      <c r="D158" s="24"/>
      <c r="E158" s="105"/>
      <c r="F158" s="105"/>
      <c r="G158" s="105"/>
      <c r="H158" s="105"/>
      <c r="I158" s="105"/>
      <c r="J158" s="105"/>
      <c r="K158" s="105"/>
      <c r="L158" s="105"/>
      <c r="M158" s="105"/>
      <c r="N158" s="105"/>
      <c r="O158" s="105"/>
      <c r="P158" s="105"/>
      <c r="Q158" s="105"/>
      <c r="R158" s="105"/>
      <c r="S158" s="86"/>
    </row>
    <row r="159" spans="1:22" ht="12.6" customHeight="1" x14ac:dyDescent="0.2">
      <c r="A159" s="30">
        <f t="shared" si="115"/>
        <v>153</v>
      </c>
      <c r="D159" s="2" t="s">
        <v>17</v>
      </c>
      <c r="E159" s="106"/>
      <c r="F159" s="98"/>
      <c r="G159" s="108"/>
      <c r="H159" s="98">
        <v>1263.24</v>
      </c>
      <c r="I159" s="108"/>
      <c r="J159" s="109"/>
      <c r="K159" s="110"/>
      <c r="L159" s="107">
        <f t="shared" si="113"/>
        <v>1363.541256</v>
      </c>
      <c r="M159" s="108"/>
      <c r="N159" s="108"/>
      <c r="O159" s="109"/>
      <c r="P159" s="109"/>
      <c r="Q159" s="111"/>
      <c r="R159" s="111"/>
      <c r="S159" s="86">
        <f>S154</f>
        <v>1.0793999999999999</v>
      </c>
      <c r="T159" s="5">
        <f t="shared" ref="T159:T161" si="120">L159/H159-1</f>
        <v>7.9399999999999915E-2</v>
      </c>
    </row>
    <row r="160" spans="1:22" x14ac:dyDescent="0.2">
      <c r="A160" s="30">
        <f t="shared" si="115"/>
        <v>154</v>
      </c>
      <c r="D160" s="2" t="s">
        <v>53</v>
      </c>
      <c r="E160" s="106"/>
      <c r="F160" s="113"/>
      <c r="G160" s="108"/>
      <c r="H160" s="98">
        <v>6.36</v>
      </c>
      <c r="I160" s="108"/>
      <c r="J160" s="109"/>
      <c r="K160" s="110"/>
      <c r="L160" s="107">
        <f>L150</f>
        <v>6.96</v>
      </c>
      <c r="M160" s="108"/>
      <c r="N160" s="108"/>
      <c r="O160" s="109"/>
      <c r="P160" s="109"/>
      <c r="Q160" s="111"/>
      <c r="R160" s="111"/>
      <c r="S160" s="86">
        <f>S159</f>
        <v>1.0793999999999999</v>
      </c>
      <c r="T160" s="5">
        <f t="shared" si="120"/>
        <v>9.4339622641509413E-2</v>
      </c>
      <c r="V160" s="2" t="s">
        <v>90</v>
      </c>
    </row>
    <row r="161" spans="1:22" ht="13.5" thickBot="1" x14ac:dyDescent="0.25">
      <c r="A161" s="30">
        <f t="shared" si="115"/>
        <v>155</v>
      </c>
      <c r="D161" s="2" t="s">
        <v>51</v>
      </c>
      <c r="E161" s="106"/>
      <c r="F161" s="113"/>
      <c r="G161" s="108"/>
      <c r="H161" s="144">
        <v>6.0490000000000002E-2</v>
      </c>
      <c r="I161" s="108"/>
      <c r="J161" s="109"/>
      <c r="K161" s="110"/>
      <c r="L161" s="112">
        <f t="shared" si="113"/>
        <v>6.5292905999999998E-2</v>
      </c>
      <c r="M161" s="108"/>
      <c r="N161" s="108"/>
      <c r="O161" s="109"/>
      <c r="P161" s="109"/>
      <c r="Q161" s="111"/>
      <c r="R161" s="111"/>
      <c r="S161" s="86">
        <f>S159</f>
        <v>1.0793999999999999</v>
      </c>
      <c r="T161" s="5">
        <f t="shared" si="120"/>
        <v>7.9399999999999915E-2</v>
      </c>
    </row>
    <row r="162" spans="1:22" x14ac:dyDescent="0.2">
      <c r="A162" s="30">
        <f t="shared" si="115"/>
        <v>156</v>
      </c>
      <c r="B162" s="24" t="s">
        <v>80</v>
      </c>
      <c r="C162" s="25">
        <v>14</v>
      </c>
      <c r="D162" s="24"/>
      <c r="E162" s="105"/>
      <c r="F162" s="105"/>
      <c r="G162" s="105"/>
      <c r="H162" s="105"/>
      <c r="I162" s="105"/>
      <c r="J162" s="105"/>
      <c r="K162" s="105"/>
      <c r="L162" s="105"/>
      <c r="M162" s="105"/>
      <c r="N162" s="105"/>
      <c r="O162" s="105"/>
      <c r="P162" s="105"/>
      <c r="Q162" s="105"/>
      <c r="R162" s="105"/>
      <c r="S162" s="86"/>
    </row>
    <row r="163" spans="1:22" ht="12.6" customHeight="1" x14ac:dyDescent="0.2">
      <c r="A163" s="30">
        <f t="shared" si="115"/>
        <v>157</v>
      </c>
      <c r="D163" s="2" t="s">
        <v>17</v>
      </c>
      <c r="E163" s="106"/>
      <c r="F163" s="98"/>
      <c r="G163" s="108"/>
      <c r="H163" s="98">
        <v>1263.24</v>
      </c>
      <c r="I163" s="108"/>
      <c r="J163" s="109"/>
      <c r="K163" s="110"/>
      <c r="L163" s="107">
        <f t="shared" si="113"/>
        <v>1363.541256</v>
      </c>
      <c r="M163" s="108"/>
      <c r="N163" s="108"/>
      <c r="O163" s="109"/>
      <c r="P163" s="109"/>
      <c r="Q163" s="111"/>
      <c r="R163" s="111"/>
      <c r="S163" s="86">
        <f>S154</f>
        <v>1.0793999999999999</v>
      </c>
      <c r="T163" s="5">
        <f t="shared" ref="T163:T165" si="121">L163/H163-1</f>
        <v>7.9399999999999915E-2</v>
      </c>
    </row>
    <row r="164" spans="1:22" x14ac:dyDescent="0.2">
      <c r="A164" s="30">
        <f t="shared" si="115"/>
        <v>158</v>
      </c>
      <c r="D164" s="2" t="s">
        <v>53</v>
      </c>
      <c r="E164" s="106"/>
      <c r="F164" s="113"/>
      <c r="G164" s="108"/>
      <c r="H164" s="98">
        <v>6.36</v>
      </c>
      <c r="I164" s="108"/>
      <c r="J164" s="109"/>
      <c r="K164" s="110"/>
      <c r="L164" s="107">
        <f>L150</f>
        <v>6.96</v>
      </c>
      <c r="M164" s="108"/>
      <c r="N164" s="108"/>
      <c r="O164" s="109"/>
      <c r="P164" s="109"/>
      <c r="Q164" s="111"/>
      <c r="R164" s="111"/>
      <c r="S164" s="86">
        <f>S163</f>
        <v>1.0793999999999999</v>
      </c>
      <c r="T164" s="5">
        <f t="shared" si="121"/>
        <v>9.4339622641509413E-2</v>
      </c>
      <c r="V164" s="2" t="s">
        <v>90</v>
      </c>
    </row>
    <row r="165" spans="1:22" ht="13.5" thickBot="1" x14ac:dyDescent="0.25">
      <c r="A165" s="30">
        <f t="shared" si="115"/>
        <v>159</v>
      </c>
      <c r="D165" s="2" t="s">
        <v>51</v>
      </c>
      <c r="E165" s="106"/>
      <c r="F165" s="113"/>
      <c r="G165" s="108"/>
      <c r="H165" s="113">
        <v>5.9310000000000002E-2</v>
      </c>
      <c r="I165" s="108"/>
      <c r="J165" s="109"/>
      <c r="K165" s="110"/>
      <c r="L165" s="113">
        <f t="shared" si="113"/>
        <v>6.4019213999999991E-2</v>
      </c>
      <c r="M165" s="108"/>
      <c r="N165" s="108"/>
      <c r="O165" s="109"/>
      <c r="P165" s="109"/>
      <c r="Q165" s="111"/>
      <c r="R165" s="111"/>
      <c r="S165" s="86">
        <f>S164</f>
        <v>1.0793999999999999</v>
      </c>
      <c r="T165" s="5">
        <f t="shared" si="121"/>
        <v>7.9399999999999915E-2</v>
      </c>
    </row>
    <row r="166" spans="1:22" x14ac:dyDescent="0.2">
      <c r="A166" s="30">
        <f t="shared" si="115"/>
        <v>160</v>
      </c>
      <c r="B166" s="105" t="s">
        <v>93</v>
      </c>
      <c r="C166" s="151"/>
      <c r="D166" s="105"/>
      <c r="E166" s="105"/>
      <c r="F166" s="105"/>
      <c r="G166" s="24"/>
      <c r="H166" s="24"/>
      <c r="I166" s="105"/>
      <c r="J166" s="105"/>
      <c r="K166" s="105"/>
      <c r="L166" s="105"/>
      <c r="M166" s="105"/>
      <c r="N166" s="105"/>
      <c r="O166" s="105"/>
      <c r="P166" s="105"/>
      <c r="Q166" s="105"/>
      <c r="R166" s="105"/>
    </row>
    <row r="167" spans="1:22" x14ac:dyDescent="0.2">
      <c r="A167" s="30">
        <f t="shared" si="115"/>
        <v>161</v>
      </c>
      <c r="B167" s="75"/>
      <c r="C167" s="81"/>
      <c r="D167" s="75" t="s">
        <v>94</v>
      </c>
      <c r="E167" s="106"/>
      <c r="F167" s="113"/>
      <c r="G167" s="152"/>
      <c r="H167" s="13">
        <v>4.2</v>
      </c>
      <c r="I167" s="108"/>
      <c r="J167" s="109"/>
      <c r="K167" s="110"/>
      <c r="L167" s="149">
        <f>6.2</f>
        <v>6.2</v>
      </c>
      <c r="N167" s="27"/>
    </row>
    <row r="168" spans="1:22" x14ac:dyDescent="0.2">
      <c r="A168" s="30">
        <f t="shared" si="115"/>
        <v>162</v>
      </c>
      <c r="B168" s="75"/>
      <c r="C168" s="81"/>
      <c r="D168" s="75" t="s">
        <v>95</v>
      </c>
      <c r="E168" s="106"/>
      <c r="F168" s="113"/>
      <c r="G168" s="153"/>
      <c r="H168" s="98">
        <v>4.9000000000000004</v>
      </c>
      <c r="I168" s="108"/>
      <c r="J168" s="109"/>
      <c r="K168" s="110"/>
      <c r="L168" s="154">
        <f>6.9</f>
        <v>6.9</v>
      </c>
      <c r="N168" s="27"/>
    </row>
    <row r="169" spans="1:22" x14ac:dyDescent="0.2">
      <c r="A169" s="30">
        <f t="shared" si="115"/>
        <v>163</v>
      </c>
      <c r="B169" s="75"/>
      <c r="C169" s="81"/>
      <c r="D169" s="75" t="s">
        <v>96</v>
      </c>
      <c r="H169" s="98">
        <v>5.6</v>
      </c>
      <c r="L169" s="154">
        <f>7.6</f>
        <v>7.6</v>
      </c>
      <c r="M169" s="2"/>
      <c r="N169" s="12"/>
      <c r="O169" s="2"/>
      <c r="P169" s="2"/>
      <c r="Q169" s="2"/>
      <c r="R169" s="2"/>
    </row>
    <row r="171" spans="1:22" x14ac:dyDescent="0.2">
      <c r="G171" s="75" t="s">
        <v>87</v>
      </c>
      <c r="H171" s="113">
        <v>1.18E-2</v>
      </c>
      <c r="I171" s="75" t="s">
        <v>92</v>
      </c>
    </row>
    <row r="174" spans="1:22" x14ac:dyDescent="0.2">
      <c r="E174" s="106">
        <v>692373800</v>
      </c>
    </row>
    <row r="175" spans="1:22" x14ac:dyDescent="0.2">
      <c r="E175" s="106">
        <f>E9+E21+E34+E46+E61+E113</f>
        <v>657677420</v>
      </c>
    </row>
    <row r="176" spans="1:22" x14ac:dyDescent="0.2">
      <c r="E176" s="106">
        <f>E174-E175</f>
        <v>34696380</v>
      </c>
    </row>
    <row r="177" spans="5:5" x14ac:dyDescent="0.2">
      <c r="E177" s="109">
        <f>E176/E174</f>
        <v>5.0112208174255005E-2</v>
      </c>
    </row>
    <row r="179" spans="5:5" x14ac:dyDescent="0.2">
      <c r="E179" s="147">
        <f>E8+E20+E32+E45</f>
        <v>414940</v>
      </c>
    </row>
  </sheetData>
  <printOptions horizontalCentered="1"/>
  <pageMargins left="0.7" right="0.7" top="0.75" bottom="0.75" header="0.3" footer="0.3"/>
  <pageSetup scale="28" orientation="portrait" r:id="rId1"/>
  <headerFooter>
    <oddHeader>&amp;R&amp;"Arial,Bold"&amp;10Exhibit 4
Page &amp;P of &amp;N</oddHeader>
  </headerFooter>
  <rowBreaks count="4" manualBreakCount="4">
    <brk id="43" max="17" man="1"/>
    <brk id="70" max="17" man="1"/>
    <brk id="108" max="17" man="1"/>
    <brk id="147" max="17" man="1"/>
  </rowBreaks>
  <ignoredErrors>
    <ignoredError sqref="M10 N101:N124 O101:O114 L150:L164 N10:O72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8FD2D1-0261-4B16-940C-DD9AB8DBD482}">
  <dimension ref="A1:I129"/>
  <sheetViews>
    <sheetView view="pageBreakPreview" topLeftCell="A37" zoomScaleNormal="100" zoomScaleSheetLayoutView="100" workbookViewId="0">
      <selection activeCell="F51" sqref="F51"/>
    </sheetView>
  </sheetViews>
  <sheetFormatPr defaultColWidth="8.85546875" defaultRowHeight="12.75" x14ac:dyDescent="0.2"/>
  <cols>
    <col min="1" max="1" width="1.7109375" style="2" customWidth="1"/>
    <col min="2" max="2" width="1.28515625" style="2" customWidth="1"/>
    <col min="3" max="3" width="14.28515625" style="2" bestFit="1" customWidth="1"/>
    <col min="4" max="4" width="14.28515625" style="15" bestFit="1" customWidth="1"/>
    <col min="5" max="5" width="44.7109375" style="2" bestFit="1" customWidth="1"/>
    <col min="6" max="6" width="12.7109375" style="2" customWidth="1"/>
    <col min="7" max="7" width="12.5703125" style="2" customWidth="1"/>
    <col min="8" max="8" width="11.42578125" style="2" bestFit="1" customWidth="1"/>
    <col min="9" max="9" width="12" style="2" customWidth="1"/>
    <col min="10" max="16384" width="8.85546875" style="2"/>
  </cols>
  <sheetData>
    <row r="1" spans="1:9" x14ac:dyDescent="0.2">
      <c r="A1" s="1" t="str">
        <f>Summary!A1</f>
        <v>NOLIN RECC</v>
      </c>
    </row>
    <row r="2" spans="1:9" x14ac:dyDescent="0.2">
      <c r="A2" s="1" t="s">
        <v>84</v>
      </c>
    </row>
    <row r="4" spans="1:9" x14ac:dyDescent="0.2">
      <c r="C4" s="59" t="s">
        <v>66</v>
      </c>
      <c r="D4" s="58"/>
      <c r="E4" s="58" t="s">
        <v>2</v>
      </c>
      <c r="F4" s="62" t="s">
        <v>49</v>
      </c>
      <c r="G4" s="62" t="s">
        <v>50</v>
      </c>
      <c r="H4" s="62" t="s">
        <v>86</v>
      </c>
      <c r="I4" s="62" t="s">
        <v>16</v>
      </c>
    </row>
    <row r="5" spans="1:9" x14ac:dyDescent="0.2">
      <c r="C5" s="15">
        <f>'Billing Detail'!C7</f>
        <v>1</v>
      </c>
      <c r="D5" s="85" t="str">
        <f>'Billing Detail'!B7</f>
        <v>Residential</v>
      </c>
    </row>
    <row r="6" spans="1:9" x14ac:dyDescent="0.2">
      <c r="C6" s="15"/>
      <c r="D6" s="85"/>
      <c r="E6" s="2" t="str">
        <f>'Billing Detail'!D8</f>
        <v>Customer Charge</v>
      </c>
      <c r="F6" s="60">
        <f>'Billing Detail'!H8</f>
        <v>13.99</v>
      </c>
      <c r="G6" s="60">
        <f>'Billing Detail'!L8</f>
        <v>14.56</v>
      </c>
      <c r="H6" s="60">
        <f>G6-F6</f>
        <v>0.57000000000000028</v>
      </c>
      <c r="I6" s="5">
        <f>H6/F6</f>
        <v>4.0743388134381719E-2</v>
      </c>
    </row>
    <row r="7" spans="1:9" x14ac:dyDescent="0.2">
      <c r="C7" s="15"/>
      <c r="D7" s="85"/>
      <c r="E7" s="2" t="str">
        <f>'Billing Detail'!D9</f>
        <v>Energy Charge per kWh</v>
      </c>
      <c r="F7" s="61">
        <f>'Billing Detail'!H9</f>
        <v>0.10364</v>
      </c>
      <c r="G7" s="61">
        <f>'Billing Detail'!L9</f>
        <v>0.10785</v>
      </c>
      <c r="H7" s="60">
        <f t="shared" ref="H7:H83" si="0">G7-F7</f>
        <v>4.2100000000000054E-3</v>
      </c>
      <c r="I7" s="5">
        <f t="shared" ref="I7:I83" si="1">H7/F7</f>
        <v>4.062138170590511E-2</v>
      </c>
    </row>
    <row r="8" spans="1:9" x14ac:dyDescent="0.2">
      <c r="C8" s="15">
        <f>'Billing Detail'!C19</f>
        <v>2</v>
      </c>
      <c r="D8" s="85" t="str">
        <f>'Billing Detail'!B19</f>
        <v>Commercial</v>
      </c>
      <c r="F8" s="60"/>
      <c r="G8" s="60"/>
      <c r="H8" s="60"/>
      <c r="I8" s="5"/>
    </row>
    <row r="9" spans="1:9" x14ac:dyDescent="0.2">
      <c r="C9" s="15"/>
      <c r="D9" s="85"/>
      <c r="E9" s="2" t="str">
        <f>'Billing Detail'!D20</f>
        <v>Customer Charge</v>
      </c>
      <c r="F9" s="60">
        <f>'Billing Detail'!H20</f>
        <v>23.83</v>
      </c>
      <c r="G9" s="60">
        <f>'Billing Detail'!L20</f>
        <v>24.8</v>
      </c>
      <c r="H9" s="60">
        <f t="shared" si="0"/>
        <v>0.97000000000000242</v>
      </c>
      <c r="I9" s="5">
        <f t="shared" si="1"/>
        <v>4.0704993705413452E-2</v>
      </c>
    </row>
    <row r="10" spans="1:9" x14ac:dyDescent="0.2">
      <c r="C10" s="15"/>
      <c r="D10" s="85"/>
      <c r="E10" s="2" t="str">
        <f>'Billing Detail'!D21</f>
        <v>Energy Charge per kWh</v>
      </c>
      <c r="F10" s="61">
        <f>'Billing Detail'!H21</f>
        <v>0.10304000000000001</v>
      </c>
      <c r="G10" s="61">
        <f>'Billing Detail'!L21</f>
        <v>0.107225</v>
      </c>
      <c r="H10" s="60">
        <f t="shared" si="0"/>
        <v>4.1849999999999943E-3</v>
      </c>
      <c r="I10" s="5">
        <f t="shared" si="1"/>
        <v>4.0615295031055841E-2</v>
      </c>
    </row>
    <row r="11" spans="1:9" x14ac:dyDescent="0.2">
      <c r="C11" s="15">
        <f>'Billing Detail'!C31</f>
        <v>3</v>
      </c>
      <c r="D11" s="85" t="str">
        <f>'Billing Detail'!B31</f>
        <v>Large Power</v>
      </c>
      <c r="F11" s="60"/>
      <c r="G11" s="60"/>
      <c r="H11" s="60"/>
      <c r="I11" s="5"/>
    </row>
    <row r="12" spans="1:9" x14ac:dyDescent="0.2">
      <c r="C12" s="15"/>
      <c r="D12" s="85"/>
      <c r="E12" s="2" t="str">
        <f>'Billing Detail'!D32</f>
        <v>Customer Charge</v>
      </c>
      <c r="F12" s="60">
        <f>'Billing Detail'!H32</f>
        <v>36.26</v>
      </c>
      <c r="G12" s="60">
        <f>'Billing Detail'!L32</f>
        <v>37.729999999999997</v>
      </c>
      <c r="H12" s="60">
        <f t="shared" si="0"/>
        <v>1.4699999999999989</v>
      </c>
      <c r="I12" s="5">
        <f t="shared" si="1"/>
        <v>4.0540540540540508E-2</v>
      </c>
    </row>
    <row r="13" spans="1:9" x14ac:dyDescent="0.2">
      <c r="C13" s="15"/>
      <c r="D13" s="85"/>
      <c r="E13" s="2" t="str">
        <f>'Billing Detail'!D33</f>
        <v>Demand Charge per kW</v>
      </c>
      <c r="F13" s="60">
        <f>'Billing Detail'!H33</f>
        <v>6.24</v>
      </c>
      <c r="G13" s="60">
        <f>'Billing Detail'!L33</f>
        <v>6.49</v>
      </c>
      <c r="H13" s="60">
        <f t="shared" si="0"/>
        <v>0.25</v>
      </c>
      <c r="I13" s="5">
        <f t="shared" si="1"/>
        <v>4.0064102564102561E-2</v>
      </c>
    </row>
    <row r="14" spans="1:9" x14ac:dyDescent="0.2">
      <c r="C14" s="15"/>
      <c r="D14" s="85"/>
      <c r="E14" s="2" t="str">
        <f>'Billing Detail'!D34</f>
        <v>Energy Charge per kWh</v>
      </c>
      <c r="F14" s="61">
        <f>'Billing Detail'!H34</f>
        <v>8.4110000000000004E-2</v>
      </c>
      <c r="G14" s="61">
        <f>'Billing Detail'!L34</f>
        <v>8.7526000000000007E-2</v>
      </c>
      <c r="H14" s="60">
        <f t="shared" si="0"/>
        <v>3.4160000000000024E-3</v>
      </c>
      <c r="I14" s="5">
        <f t="shared" si="1"/>
        <v>4.0613482344548833E-2</v>
      </c>
    </row>
    <row r="15" spans="1:9" x14ac:dyDescent="0.2">
      <c r="C15" s="15">
        <f>'Billing Detail'!C44</f>
        <v>4</v>
      </c>
      <c r="D15" s="85" t="str">
        <f>'Billing Detail'!B44</f>
        <v>Industrial</v>
      </c>
      <c r="F15" s="60"/>
      <c r="G15" s="60"/>
      <c r="H15" s="60"/>
      <c r="I15" s="5"/>
    </row>
    <row r="16" spans="1:9" x14ac:dyDescent="0.2">
      <c r="C16" s="15"/>
      <c r="D16" s="85"/>
      <c r="E16" s="2" t="str">
        <f>'Billing Detail'!D45</f>
        <v>Customer Charge</v>
      </c>
      <c r="F16" s="60">
        <f>'Billing Detail'!H45</f>
        <v>44.03</v>
      </c>
      <c r="G16" s="60">
        <f>'Billing Detail'!L45</f>
        <v>45.82</v>
      </c>
      <c r="H16" s="60">
        <f t="shared" si="0"/>
        <v>1.7899999999999991</v>
      </c>
      <c r="I16" s="5">
        <f t="shared" si="1"/>
        <v>4.0654099477628866E-2</v>
      </c>
    </row>
    <row r="17" spans="3:9" x14ac:dyDescent="0.2">
      <c r="C17" s="15"/>
      <c r="D17" s="85"/>
      <c r="E17" s="2" t="str">
        <f>'Billing Detail'!D46</f>
        <v>Energy Charge per kWh</v>
      </c>
      <c r="F17" s="61">
        <f>'Billing Detail'!H46</f>
        <v>7.5079999999999994E-2</v>
      </c>
      <c r="G17" s="61">
        <f>'Billing Detail'!L46</f>
        <v>7.8130000000000005E-2</v>
      </c>
      <c r="H17" s="60">
        <f t="shared" si="0"/>
        <v>3.050000000000011E-3</v>
      </c>
      <c r="I17" s="5">
        <f t="shared" si="1"/>
        <v>4.0623335109216986E-2</v>
      </c>
    </row>
    <row r="18" spans="3:9" x14ac:dyDescent="0.2">
      <c r="C18" s="15"/>
      <c r="D18" s="85"/>
      <c r="E18" s="2" t="str">
        <f>'Billing Detail'!D47</f>
        <v>Demand Charge over 10 KW per kW</v>
      </c>
      <c r="F18" s="60">
        <f>'Billing Detail'!H47</f>
        <v>5.13</v>
      </c>
      <c r="G18" s="60">
        <f>'Billing Detail'!L47</f>
        <v>5.34</v>
      </c>
      <c r="H18" s="60">
        <f t="shared" si="0"/>
        <v>0.20999999999999996</v>
      </c>
      <c r="I18" s="5">
        <f t="shared" si="1"/>
        <v>4.0935672514619874E-2</v>
      </c>
    </row>
    <row r="19" spans="3:9" x14ac:dyDescent="0.2">
      <c r="C19" s="15">
        <f>'Billing Detail'!C57</f>
        <v>9</v>
      </c>
      <c r="D19" s="85" t="str">
        <f>'Billing Detail'!B57</f>
        <v>Industrial</v>
      </c>
      <c r="F19" s="60"/>
      <c r="G19" s="60"/>
      <c r="H19" s="60"/>
      <c r="I19" s="5"/>
    </row>
    <row r="20" spans="3:9" x14ac:dyDescent="0.2">
      <c r="C20" s="15"/>
      <c r="D20" s="85"/>
      <c r="E20" s="2" t="str">
        <f>'Billing Detail'!D58</f>
        <v>Customer Charge</v>
      </c>
      <c r="F20" s="60">
        <f>'Billing Detail'!H58</f>
        <v>632.5</v>
      </c>
      <c r="G20" s="60">
        <f>'Billing Detail'!L58</f>
        <v>691.92</v>
      </c>
      <c r="H20" s="60">
        <f t="shared" si="0"/>
        <v>59.419999999999959</v>
      </c>
      <c r="I20" s="5">
        <f t="shared" si="1"/>
        <v>9.3944664031620495E-2</v>
      </c>
    </row>
    <row r="21" spans="3:9" x14ac:dyDescent="0.2">
      <c r="C21" s="15"/>
      <c r="D21" s="85"/>
      <c r="E21" s="2" t="str">
        <f>'Billing Detail'!D59</f>
        <v>Demand Charge -Contract per kW</v>
      </c>
      <c r="F21" s="60">
        <f>'Billing Detail'!H59</f>
        <v>6.36</v>
      </c>
      <c r="G21" s="60">
        <f>'Billing Detail'!L59</f>
        <v>6.96</v>
      </c>
      <c r="H21" s="60">
        <f t="shared" si="0"/>
        <v>0.59999999999999964</v>
      </c>
      <c r="I21" s="5">
        <f t="shared" si="1"/>
        <v>9.4339622641509371E-2</v>
      </c>
    </row>
    <row r="22" spans="3:9" x14ac:dyDescent="0.2">
      <c r="C22" s="15"/>
      <c r="D22" s="85"/>
      <c r="E22" s="2" t="str">
        <f>'Billing Detail'!D60</f>
        <v>Demand Charge - Excess per kW</v>
      </c>
      <c r="F22" s="60">
        <f>'Billing Detail'!H60</f>
        <v>9.25</v>
      </c>
      <c r="G22" s="60">
        <f>'Billing Detail'!L60</f>
        <v>10.119999999999999</v>
      </c>
      <c r="H22" s="60">
        <f t="shared" si="0"/>
        <v>0.86999999999999922</v>
      </c>
      <c r="I22" s="5">
        <f t="shared" si="1"/>
        <v>9.4054054054053968E-2</v>
      </c>
    </row>
    <row r="23" spans="3:9" x14ac:dyDescent="0.2">
      <c r="C23" s="15"/>
      <c r="D23" s="85"/>
      <c r="E23" s="2" t="str">
        <f>'Billing Detail'!D61</f>
        <v>Energy Charge per kWh</v>
      </c>
      <c r="F23" s="61">
        <f>'Billing Detail'!H61</f>
        <v>6.6420000000000007E-2</v>
      </c>
      <c r="G23" s="61">
        <f>'Billing Detail'!L61</f>
        <v>7.2660000000000002E-2</v>
      </c>
      <c r="H23" s="60">
        <f t="shared" si="0"/>
        <v>6.2399999999999956E-3</v>
      </c>
      <c r="I23" s="5">
        <f t="shared" si="1"/>
        <v>9.3947606142728013E-2</v>
      </c>
    </row>
    <row r="24" spans="3:9" x14ac:dyDescent="0.2">
      <c r="C24" s="15" t="str">
        <f>'Billing Detail'!C71</f>
        <v>5,6</v>
      </c>
      <c r="D24" s="85" t="str">
        <f>'Billing Detail'!B71</f>
        <v>Lighting</v>
      </c>
      <c r="F24" s="60"/>
      <c r="G24" s="60"/>
      <c r="H24" s="60"/>
      <c r="I24" s="5"/>
    </row>
    <row r="25" spans="3:9" x14ac:dyDescent="0.2">
      <c r="C25" s="15"/>
      <c r="D25" s="2"/>
      <c r="E25" s="2" t="str">
        <f>'Billing Detail'!C72</f>
        <v>S5-SL 100W HPS</v>
      </c>
      <c r="F25" s="60">
        <f>'Billing Detail'!H72</f>
        <v>10.69</v>
      </c>
      <c r="G25" s="60">
        <f>'Billing Detail'!L72</f>
        <v>11.12</v>
      </c>
      <c r="H25" s="60">
        <f t="shared" si="0"/>
        <v>0.42999999999999972</v>
      </c>
      <c r="I25" s="5">
        <f t="shared" si="1"/>
        <v>4.0224508886810076E-2</v>
      </c>
    </row>
    <row r="26" spans="3:9" x14ac:dyDescent="0.2">
      <c r="C26" s="15"/>
      <c r="D26" s="2"/>
      <c r="E26" s="2" t="str">
        <f>'Billing Detail'!C73</f>
        <v>S6-SL ORN AP 27,500 HPS</v>
      </c>
      <c r="F26" s="60">
        <f>'Billing Detail'!H73</f>
        <v>29.21</v>
      </c>
      <c r="G26" s="60">
        <f>'Billing Detail'!L73</f>
        <v>30.4</v>
      </c>
      <c r="H26" s="60">
        <f t="shared" ref="H26:H48" si="2">G26-F26</f>
        <v>1.1899999999999977</v>
      </c>
      <c r="I26" s="5">
        <f t="shared" ref="I26:I48" si="3">H26/F26</f>
        <v>4.0739472783293311E-2</v>
      </c>
    </row>
    <row r="27" spans="3:9" x14ac:dyDescent="0.2">
      <c r="C27" s="15"/>
      <c r="D27" s="2"/>
      <c r="E27" s="2" t="str">
        <f>'Billing Detail'!C74</f>
        <v>S6-SL ORN AP 50,000 HPS</v>
      </c>
      <c r="F27" s="60">
        <f>'Billing Detail'!H74</f>
        <v>33.81</v>
      </c>
      <c r="G27" s="60">
        <f>'Billing Detail'!L74</f>
        <v>35.18</v>
      </c>
      <c r="H27" s="60">
        <f t="shared" si="2"/>
        <v>1.3699999999999974</v>
      </c>
      <c r="I27" s="5">
        <f t="shared" si="3"/>
        <v>4.0520556048506282E-2</v>
      </c>
    </row>
    <row r="28" spans="3:9" x14ac:dyDescent="0.2">
      <c r="C28" s="15"/>
      <c r="D28" s="2"/>
      <c r="E28" s="2" t="str">
        <f>'Billing Detail'!C75</f>
        <v>S5-DFL 100W HPS EP</v>
      </c>
      <c r="F28" s="60">
        <f>'Billing Detail'!H75</f>
        <v>9.5399999999999991</v>
      </c>
      <c r="G28" s="60">
        <f>'Billing Detail'!L75</f>
        <v>9.93</v>
      </c>
      <c r="H28" s="60">
        <f t="shared" si="2"/>
        <v>0.39000000000000057</v>
      </c>
      <c r="I28" s="5">
        <f t="shared" si="3"/>
        <v>4.0880503144654148E-2</v>
      </c>
    </row>
    <row r="29" spans="3:9" x14ac:dyDescent="0.2">
      <c r="C29" s="15"/>
      <c r="D29" s="2"/>
      <c r="E29" s="2" t="str">
        <f>'Billing Detail'!C76</f>
        <v>S5-DFL 70 WATT LED EP</v>
      </c>
      <c r="F29" s="60">
        <f>'Billing Detail'!H76</f>
        <v>17.75</v>
      </c>
      <c r="G29" s="60">
        <f>'Billing Detail'!L76</f>
        <v>18.47</v>
      </c>
      <c r="H29" s="60">
        <f t="shared" si="2"/>
        <v>0.71999999999999886</v>
      </c>
      <c r="I29" s="5">
        <f t="shared" si="3"/>
        <v>4.0563380281690077E-2</v>
      </c>
    </row>
    <row r="30" spans="3:9" x14ac:dyDescent="0.2">
      <c r="C30" s="15"/>
      <c r="D30" s="2"/>
      <c r="E30" s="2" t="str">
        <f>'Billing Detail'!C77</f>
        <v>S5-DFL 250W HPS EP</v>
      </c>
      <c r="F30" s="60">
        <f>'Billing Detail'!H77</f>
        <v>16.22</v>
      </c>
      <c r="G30" s="60">
        <f>'Billing Detail'!L77</f>
        <v>16.88</v>
      </c>
      <c r="H30" s="60">
        <f t="shared" si="2"/>
        <v>0.66000000000000014</v>
      </c>
      <c r="I30" s="5">
        <f t="shared" si="3"/>
        <v>4.0690505548705312E-2</v>
      </c>
    </row>
    <row r="31" spans="3:9" x14ac:dyDescent="0.2">
      <c r="C31" s="15"/>
      <c r="D31" s="2"/>
      <c r="E31" s="2" t="str">
        <f>'Billing Detail'!C78</f>
        <v>S5-DFL-108 WAT LED EP</v>
      </c>
      <c r="F31" s="60">
        <f>'Billing Detail'!H78</f>
        <v>18.690000000000001</v>
      </c>
      <c r="G31" s="60">
        <f>'Billing Detail'!L78</f>
        <v>19.45</v>
      </c>
      <c r="H31" s="60">
        <f t="shared" si="2"/>
        <v>0.75999999999999801</v>
      </c>
      <c r="I31" s="5">
        <f t="shared" si="3"/>
        <v>4.0663456393793367E-2</v>
      </c>
    </row>
    <row r="32" spans="3:9" x14ac:dyDescent="0.2">
      <c r="C32" s="15"/>
      <c r="D32" s="2"/>
      <c r="E32" s="2" t="str">
        <f>'Billing Detail'!C79</f>
        <v>S5-DFL 400W HPS EP</v>
      </c>
      <c r="F32" s="60">
        <f>'Billing Detail'!H79</f>
        <v>22.28</v>
      </c>
      <c r="G32" s="60">
        <f>'Billing Detail'!L79</f>
        <v>23.18</v>
      </c>
      <c r="H32" s="60">
        <f t="shared" si="2"/>
        <v>0.89999999999999858</v>
      </c>
      <c r="I32" s="5">
        <f t="shared" si="3"/>
        <v>4.0394973070017888E-2</v>
      </c>
    </row>
    <row r="33" spans="3:9" x14ac:dyDescent="0.2">
      <c r="C33" s="15"/>
      <c r="D33" s="2"/>
      <c r="E33" s="2" t="str">
        <f>'Billing Detail'!C80</f>
        <v>S5-DFL 208W LED EP</v>
      </c>
      <c r="F33" s="60">
        <f>'Billing Detail'!H80</f>
        <v>21.26</v>
      </c>
      <c r="G33" s="60">
        <f>'Billing Detail'!L80</f>
        <v>22.12</v>
      </c>
      <c r="H33" s="60">
        <f t="shared" si="2"/>
        <v>0.85999999999999943</v>
      </c>
      <c r="I33" s="5">
        <f t="shared" si="3"/>
        <v>4.0451552210724336E-2</v>
      </c>
    </row>
    <row r="34" spans="3:9" x14ac:dyDescent="0.2">
      <c r="C34" s="15"/>
      <c r="D34" s="2"/>
      <c r="E34" s="2" t="str">
        <f>'Billing Detail'!C81</f>
        <v>S5-400W CONTEMPORARY UG</v>
      </c>
      <c r="F34" s="60">
        <f>'Billing Detail'!H81</f>
        <v>23.8</v>
      </c>
      <c r="G34" s="60">
        <f>'Billing Detail'!L81</f>
        <v>24.77</v>
      </c>
      <c r="H34" s="60">
        <f t="shared" si="2"/>
        <v>0.96999999999999886</v>
      </c>
      <c r="I34" s="5">
        <f t="shared" si="3"/>
        <v>4.0756302521008356E-2</v>
      </c>
    </row>
    <row r="35" spans="3:9" x14ac:dyDescent="0.2">
      <c r="C35" s="15"/>
      <c r="D35" s="2"/>
      <c r="E35" s="2" t="str">
        <f>'Billing Detail'!C82</f>
        <v>S5-SL 70W LED</v>
      </c>
      <c r="F35" s="60">
        <f>'Billing Detail'!H82</f>
        <v>10.06</v>
      </c>
      <c r="G35" s="60">
        <f>'Billing Detail'!L82</f>
        <v>10.47</v>
      </c>
      <c r="H35" s="60">
        <f t="shared" si="2"/>
        <v>0.41000000000000014</v>
      </c>
      <c r="I35" s="5">
        <f t="shared" si="3"/>
        <v>4.0755467196819099E-2</v>
      </c>
    </row>
    <row r="36" spans="3:9" x14ac:dyDescent="0.2">
      <c r="C36" s="15"/>
      <c r="D36" s="2"/>
      <c r="E36" s="2" t="str">
        <f>'Billing Detail'!C83</f>
        <v>S6-20' SANTA ROSA FP COLONIAL</v>
      </c>
      <c r="F36" s="60">
        <f>'Billing Detail'!H83</f>
        <v>36.729999999999997</v>
      </c>
      <c r="G36" s="60">
        <f>'Billing Detail'!L83</f>
        <v>38.22</v>
      </c>
      <c r="H36" s="60">
        <f t="shared" si="2"/>
        <v>1.490000000000002</v>
      </c>
      <c r="I36" s="5">
        <f t="shared" si="3"/>
        <v>4.0566294582085549E-2</v>
      </c>
    </row>
    <row r="37" spans="3:9" x14ac:dyDescent="0.2">
      <c r="C37" s="15"/>
      <c r="D37" s="2"/>
      <c r="E37" s="2" t="str">
        <f>'Billing Detail'!C84</f>
        <v>S5-ORN UG 400W</v>
      </c>
      <c r="F37" s="60">
        <f>'Billing Detail'!H84</f>
        <v>36.89</v>
      </c>
      <c r="G37" s="60">
        <f>'Billing Detail'!L84</f>
        <v>38.39</v>
      </c>
      <c r="H37" s="60">
        <f t="shared" si="2"/>
        <v>1.5</v>
      </c>
      <c r="I37" s="5">
        <f t="shared" si="3"/>
        <v>4.0661425860666844E-2</v>
      </c>
    </row>
    <row r="38" spans="3:9" x14ac:dyDescent="0.2">
      <c r="C38" s="15"/>
      <c r="D38" s="2"/>
      <c r="E38" s="2" t="str">
        <f>'Billing Detail'!C85</f>
        <v>S5-20' FP  COLONIAL SANTA ROSA 150W HPS</v>
      </c>
      <c r="F38" s="60">
        <f>'Billing Detail'!H85</f>
        <v>35.31</v>
      </c>
      <c r="G38" s="60">
        <f>'Billing Detail'!L85</f>
        <v>36.74</v>
      </c>
      <c r="H38" s="60">
        <f t="shared" si="2"/>
        <v>1.4299999999999997</v>
      </c>
      <c r="I38" s="5">
        <f t="shared" si="3"/>
        <v>4.0498442367601237E-2</v>
      </c>
    </row>
    <row r="39" spans="3:9" x14ac:dyDescent="0.2">
      <c r="C39" s="15"/>
      <c r="D39" s="2"/>
      <c r="E39" s="2" t="str">
        <f>'Billing Detail'!C86</f>
        <v>S6-20'FP COLONIAL CONSTPD</v>
      </c>
      <c r="F39" s="60">
        <f>'Billing Detail'!H86</f>
        <v>10.28</v>
      </c>
      <c r="G39" s="60">
        <f>'Billing Detail'!L86</f>
        <v>10.7</v>
      </c>
      <c r="H39" s="60">
        <f t="shared" si="2"/>
        <v>0.41999999999999993</v>
      </c>
      <c r="I39" s="5">
        <f t="shared" si="3"/>
        <v>4.0856031128404663E-2</v>
      </c>
    </row>
    <row r="40" spans="3:9" x14ac:dyDescent="0.2">
      <c r="C40" s="15"/>
      <c r="D40" s="2"/>
      <c r="E40" s="2" t="str">
        <f>'Billing Detail'!C87</f>
        <v>S6-SL CITY WP 100W</v>
      </c>
      <c r="F40" s="60">
        <f>'Billing Detail'!H87</f>
        <v>10.93</v>
      </c>
      <c r="G40" s="60">
        <f>'Billing Detail'!L87</f>
        <v>11.37</v>
      </c>
      <c r="H40" s="60">
        <f t="shared" si="2"/>
        <v>0.4399999999999995</v>
      </c>
      <c r="I40" s="5">
        <f t="shared" si="3"/>
        <v>4.0256175663311938E-2</v>
      </c>
    </row>
    <row r="41" spans="3:9" x14ac:dyDescent="0.2">
      <c r="C41" s="15"/>
      <c r="D41" s="2"/>
      <c r="E41" s="2" t="str">
        <f>'Billing Detail'!C88</f>
        <v>S6-SL CITY WP-LED 70W</v>
      </c>
      <c r="F41" s="60">
        <f>'Billing Detail'!H88</f>
        <v>10.59</v>
      </c>
      <c r="G41" s="60">
        <f>'Billing Detail'!L88</f>
        <v>11.02</v>
      </c>
      <c r="H41" s="60">
        <f t="shared" si="2"/>
        <v>0.42999999999999972</v>
      </c>
      <c r="I41" s="5">
        <f t="shared" si="3"/>
        <v>4.0604343720491001E-2</v>
      </c>
    </row>
    <row r="42" spans="3:9" x14ac:dyDescent="0.2">
      <c r="C42" s="15"/>
      <c r="D42" s="2"/>
      <c r="E42" s="2" t="str">
        <f>'Billing Detail'!C89</f>
        <v>S6-SL WP 250W HPS</v>
      </c>
      <c r="F42" s="60">
        <f>'Billing Detail'!H89</f>
        <v>16.8</v>
      </c>
      <c r="G42" s="60">
        <f>'Billing Detail'!L89</f>
        <v>17.48</v>
      </c>
      <c r="H42" s="60">
        <f t="shared" si="2"/>
        <v>0.67999999999999972</v>
      </c>
      <c r="I42" s="5">
        <f t="shared" si="3"/>
        <v>4.0476190476190457E-2</v>
      </c>
    </row>
    <row r="43" spans="3:9" x14ac:dyDescent="0.2">
      <c r="C43" s="15"/>
      <c r="D43" s="2"/>
      <c r="E43" s="2" t="str">
        <f>'Billing Detail'!C90</f>
        <v>S6-SL WP 108W LED</v>
      </c>
      <c r="F43" s="60">
        <f>'Billing Detail'!H90</f>
        <v>12.42</v>
      </c>
      <c r="G43" s="60">
        <f>'Billing Detail'!L90</f>
        <v>12.92</v>
      </c>
      <c r="H43" s="60">
        <f t="shared" si="2"/>
        <v>0.5</v>
      </c>
      <c r="I43" s="5">
        <f t="shared" si="3"/>
        <v>4.0257648953301126E-2</v>
      </c>
    </row>
    <row r="44" spans="3:9" x14ac:dyDescent="0.2">
      <c r="C44" s="15"/>
      <c r="D44" s="2"/>
      <c r="E44" s="2" t="str">
        <f>'Billing Detail'!C91</f>
        <v>S6-SL WP 400W HPS</v>
      </c>
      <c r="F44" s="60">
        <f>'Billing Detail'!H91</f>
        <v>22.25</v>
      </c>
      <c r="G44" s="60">
        <f>'Billing Detail'!L91</f>
        <v>23.15</v>
      </c>
      <c r="H44" s="60">
        <f t="shared" si="2"/>
        <v>0.89999999999999858</v>
      </c>
      <c r="I44" s="5">
        <f t="shared" si="3"/>
        <v>4.0449438202247126E-2</v>
      </c>
    </row>
    <row r="45" spans="3:9" x14ac:dyDescent="0.2">
      <c r="C45" s="15"/>
      <c r="D45" s="2"/>
      <c r="E45" s="2" t="str">
        <f>'Billing Detail'!C92</f>
        <v>S6-SL WP 208W LED</v>
      </c>
      <c r="F45" s="60">
        <f>'Billing Detail'!H92</f>
        <v>18.11</v>
      </c>
      <c r="G45" s="60">
        <f>'Billing Detail'!L92</f>
        <v>18.850000000000001</v>
      </c>
      <c r="H45" s="60">
        <f t="shared" si="2"/>
        <v>0.74000000000000199</v>
      </c>
      <c r="I45" s="5">
        <f t="shared" si="3"/>
        <v>4.0861402540033245E-2</v>
      </c>
    </row>
    <row r="46" spans="3:9" x14ac:dyDescent="0.2">
      <c r="C46" s="15"/>
      <c r="D46" s="2"/>
      <c r="E46" s="2" t="str">
        <f>'Billing Detail'!C93</f>
        <v>S5-LANT/COLONIAL100W UG</v>
      </c>
      <c r="F46" s="60">
        <f>'Billing Detail'!H93</f>
        <v>13.94</v>
      </c>
      <c r="G46" s="60">
        <f>'Billing Detail'!L93</f>
        <v>14.51</v>
      </c>
      <c r="H46" s="60">
        <f t="shared" si="2"/>
        <v>0.57000000000000028</v>
      </c>
      <c r="I46" s="5">
        <f t="shared" si="3"/>
        <v>4.0889526542324271E-2</v>
      </c>
    </row>
    <row r="47" spans="3:9" x14ac:dyDescent="0.2">
      <c r="C47" s="15"/>
      <c r="D47" s="2"/>
      <c r="E47" s="2" t="str">
        <f>'Billing Detail'!C94</f>
        <v>S6-SL ORN UG 400W</v>
      </c>
      <c r="F47" s="60">
        <f>'Billing Detail'!H94</f>
        <v>39.14</v>
      </c>
      <c r="G47" s="60">
        <f>'Billing Detail'!L94</f>
        <v>40.729999999999997</v>
      </c>
      <c r="H47" s="60">
        <f t="shared" si="2"/>
        <v>1.5899999999999963</v>
      </c>
      <c r="I47" s="5">
        <f t="shared" si="3"/>
        <v>4.0623403168114365E-2</v>
      </c>
    </row>
    <row r="48" spans="3:9" x14ac:dyDescent="0.2">
      <c r="C48" s="15"/>
      <c r="D48" s="2"/>
      <c r="E48" s="2" t="str">
        <f>'Billing Detail'!C95</f>
        <v>S6-SL ORN AP 100W</v>
      </c>
      <c r="F48" s="60">
        <f>'Billing Detail'!H95</f>
        <v>24.3</v>
      </c>
      <c r="G48" s="60">
        <f>'Billing Detail'!L95</f>
        <v>25.29</v>
      </c>
      <c r="H48" s="60">
        <f t="shared" si="2"/>
        <v>0.98999999999999844</v>
      </c>
      <c r="I48" s="5">
        <f t="shared" si="3"/>
        <v>4.0740740740740675E-2</v>
      </c>
    </row>
    <row r="49" spans="3:9" x14ac:dyDescent="0.2">
      <c r="E49" s="2" t="str">
        <f>'Billing Detail'!C96</f>
        <v>30' Fiberglass Pole for UG only</v>
      </c>
      <c r="F49" s="60">
        <f>'Billing Detail'!H96</f>
        <v>10.63</v>
      </c>
      <c r="G49" s="60">
        <f>'Billing Detail'!L96</f>
        <v>11.06</v>
      </c>
      <c r="H49" s="60">
        <f t="shared" ref="H49:H53" si="4">G49-F49</f>
        <v>0.42999999999999972</v>
      </c>
      <c r="I49" s="5">
        <f t="shared" ref="I49:I53" si="5">H49/F49</f>
        <v>4.0451552210724336E-2</v>
      </c>
    </row>
    <row r="50" spans="3:9" x14ac:dyDescent="0.2">
      <c r="E50" s="2" t="str">
        <f>'Billing Detail'!C97</f>
        <v>25' Wood Pole for OH only</v>
      </c>
      <c r="F50" s="60">
        <f>'Billing Detail'!H97</f>
        <v>2.46</v>
      </c>
      <c r="G50" s="60">
        <f>'Billing Detail'!L97</f>
        <v>2.56</v>
      </c>
      <c r="H50" s="60">
        <f t="shared" si="4"/>
        <v>0.10000000000000009</v>
      </c>
      <c r="I50" s="5">
        <f t="shared" si="5"/>
        <v>4.0650406504065074E-2</v>
      </c>
    </row>
    <row r="51" spans="3:9" x14ac:dyDescent="0.2">
      <c r="E51" s="2" t="str">
        <f>'Billing Detail'!C98</f>
        <v>30' Wood Pole for OH only</v>
      </c>
      <c r="F51" s="60">
        <f>'Billing Detail'!H98</f>
        <v>2.84</v>
      </c>
      <c r="G51" s="60">
        <f>'Billing Detail'!L98</f>
        <v>2.96</v>
      </c>
      <c r="H51" s="60">
        <f t="shared" si="4"/>
        <v>0.12000000000000011</v>
      </c>
      <c r="I51" s="5">
        <f t="shared" si="5"/>
        <v>4.2253521126760604E-2</v>
      </c>
    </row>
    <row r="52" spans="3:9" x14ac:dyDescent="0.2">
      <c r="E52" s="2" t="str">
        <f>'Billing Detail'!C99</f>
        <v>25' Wood Pole for UG only</v>
      </c>
      <c r="F52" s="60">
        <f>'Billing Detail'!H99</f>
        <v>3.44</v>
      </c>
      <c r="G52" s="60">
        <f>'Billing Detail'!L99</f>
        <v>3.58</v>
      </c>
      <c r="H52" s="60">
        <f t="shared" si="4"/>
        <v>0.14000000000000012</v>
      </c>
      <c r="I52" s="5">
        <f t="shared" si="5"/>
        <v>4.0697674418604689E-2</v>
      </c>
    </row>
    <row r="53" spans="3:9" x14ac:dyDescent="0.2">
      <c r="E53" s="2" t="str">
        <f>'Billing Detail'!C100</f>
        <v>Santa Rosa Contemp 150W HPS for UG only</v>
      </c>
      <c r="F53" s="60">
        <f>'Billing Detail'!H100</f>
        <v>3.83</v>
      </c>
      <c r="G53" s="60">
        <f>'Billing Detail'!L100</f>
        <v>3.99</v>
      </c>
      <c r="H53" s="60">
        <f t="shared" si="4"/>
        <v>0.16000000000000014</v>
      </c>
      <c r="I53" s="5">
        <f t="shared" si="5"/>
        <v>4.1775456919060087E-2</v>
      </c>
    </row>
    <row r="54" spans="3:9" x14ac:dyDescent="0.2">
      <c r="C54" s="15" t="str">
        <f>'Billing Detail'!C109</f>
        <v>Special</v>
      </c>
      <c r="D54" s="85" t="str">
        <f>'Billing Detail'!B109</f>
        <v>AGC Automotive</v>
      </c>
      <c r="F54" s="60"/>
      <c r="G54" s="60"/>
      <c r="H54" s="60"/>
      <c r="I54" s="5"/>
    </row>
    <row r="55" spans="3:9" x14ac:dyDescent="0.2">
      <c r="C55" s="15"/>
      <c r="D55" s="2"/>
      <c r="E55" s="2" t="str">
        <f>'Billing Detail'!D110</f>
        <v>Customer Charge</v>
      </c>
      <c r="F55" s="60">
        <f>'Billing Detail'!H110</f>
        <v>5726.7</v>
      </c>
      <c r="G55" s="60">
        <f>'Billing Detail'!L110</f>
        <v>6013</v>
      </c>
      <c r="H55" s="60">
        <f t="shared" si="0"/>
        <v>286.30000000000018</v>
      </c>
      <c r="I55" s="5">
        <f t="shared" si="1"/>
        <v>4.9993888277716697E-2</v>
      </c>
    </row>
    <row r="56" spans="3:9" x14ac:dyDescent="0.2">
      <c r="C56" s="15"/>
      <c r="D56" s="2"/>
      <c r="E56" s="2" t="str">
        <f>'Billing Detail'!D111</f>
        <v>Demand Charge per kW</v>
      </c>
      <c r="F56" s="60">
        <f>'Billing Detail'!H111</f>
        <v>7.3</v>
      </c>
      <c r="G56" s="60">
        <f>'Billing Detail'!L111</f>
        <v>8.91</v>
      </c>
      <c r="H56" s="60">
        <f t="shared" si="0"/>
        <v>1.6100000000000003</v>
      </c>
      <c r="I56" s="5">
        <f t="shared" si="1"/>
        <v>0.22054794520547949</v>
      </c>
    </row>
    <row r="57" spans="3:9" x14ac:dyDescent="0.2">
      <c r="C57" s="15"/>
      <c r="D57" s="2"/>
      <c r="E57" s="2" t="str">
        <f>'Billing Detail'!D112</f>
        <v>Interruptible Credit per kW</v>
      </c>
      <c r="F57" s="60">
        <f>'Billing Detail'!H112</f>
        <v>-5.6</v>
      </c>
      <c r="G57" s="60">
        <f>'Billing Detail'!L112</f>
        <v>-7.6</v>
      </c>
      <c r="H57" s="60">
        <f t="shared" si="0"/>
        <v>-2</v>
      </c>
      <c r="I57" s="5">
        <f t="shared" si="1"/>
        <v>0.35714285714285715</v>
      </c>
    </row>
    <row r="58" spans="3:9" x14ac:dyDescent="0.2">
      <c r="C58" s="15"/>
      <c r="D58" s="2"/>
      <c r="E58" s="2" t="str">
        <f>'Billing Detail'!D113</f>
        <v>Energy Charge per kWh</v>
      </c>
      <c r="F58" s="61">
        <f>'Billing Detail'!H113</f>
        <v>5.1290000000000002E-2</v>
      </c>
      <c r="G58" s="61">
        <f>'Billing Detail'!L113</f>
        <v>5.4283118862877754E-2</v>
      </c>
      <c r="H58" s="60">
        <f t="shared" si="0"/>
        <v>2.9931188628777514E-3</v>
      </c>
      <c r="I58" s="5">
        <f t="shared" si="1"/>
        <v>5.8356772526374563E-2</v>
      </c>
    </row>
    <row r="59" spans="3:9" x14ac:dyDescent="0.2">
      <c r="C59" s="15">
        <f>'Billing Detail'!C137</f>
        <v>7</v>
      </c>
      <c r="D59" s="87" t="str">
        <f>'Billing Detail'!B137</f>
        <v>Industrial</v>
      </c>
      <c r="H59" s="60"/>
      <c r="I59" s="5"/>
    </row>
    <row r="60" spans="3:9" x14ac:dyDescent="0.2">
      <c r="C60" s="15"/>
      <c r="D60" s="87"/>
      <c r="E60" s="2" t="str">
        <f>'Billing Detail'!D138</f>
        <v>Demand Charge per kW</v>
      </c>
      <c r="F60" s="60">
        <f>'Billing Detail'!H138</f>
        <v>9.36</v>
      </c>
      <c r="G60" s="60">
        <f>'Billing Detail'!L138</f>
        <v>9.7686548516491261</v>
      </c>
      <c r="H60" s="60">
        <f t="shared" si="0"/>
        <v>0.40865485164912663</v>
      </c>
      <c r="I60" s="5">
        <f t="shared" si="1"/>
        <v>4.3659706372769939E-2</v>
      </c>
    </row>
    <row r="61" spans="3:9" x14ac:dyDescent="0.2">
      <c r="C61" s="15"/>
      <c r="D61" s="87"/>
      <c r="E61" s="2" t="str">
        <f>'Billing Detail'!D139</f>
        <v>Energy Charge per kWh</v>
      </c>
      <c r="F61" s="61">
        <f>'Billing Detail'!H139</f>
        <v>6.855E-2</v>
      </c>
      <c r="G61" s="61">
        <f>'Billing Detail'!L139</f>
        <v>7.1542872871853375E-2</v>
      </c>
      <c r="H61" s="60">
        <f t="shared" si="0"/>
        <v>2.9928728718533748E-3</v>
      </c>
      <c r="I61" s="5">
        <f t="shared" si="1"/>
        <v>4.365970637276987E-2</v>
      </c>
    </row>
    <row r="62" spans="3:9" x14ac:dyDescent="0.2">
      <c r="C62" s="15">
        <f>'Billing Detail'!C140</f>
        <v>8</v>
      </c>
      <c r="D62" s="87" t="str">
        <f>'Billing Detail'!B140</f>
        <v>Seasonal TOD</v>
      </c>
      <c r="F62" s="60"/>
      <c r="G62" s="60"/>
      <c r="H62" s="60"/>
      <c r="I62" s="5"/>
    </row>
    <row r="63" spans="3:9" x14ac:dyDescent="0.2">
      <c r="C63" s="15"/>
      <c r="D63" s="87"/>
      <c r="E63" s="2" t="str">
        <f>'Billing Detail'!D141</f>
        <v>Demand Charge per kW</v>
      </c>
      <c r="F63" s="60">
        <f>'Billing Detail'!H141</f>
        <v>9.25</v>
      </c>
      <c r="G63" s="60">
        <f>'Billing Detail'!L141</f>
        <v>9.6538522839481224</v>
      </c>
      <c r="H63" s="60">
        <f t="shared" si="0"/>
        <v>0.40385228394812245</v>
      </c>
      <c r="I63" s="5">
        <f t="shared" si="1"/>
        <v>4.3659706372769995E-2</v>
      </c>
    </row>
    <row r="64" spans="3:9" x14ac:dyDescent="0.2">
      <c r="C64" s="15"/>
      <c r="D64" s="87"/>
      <c r="E64" s="2" t="str">
        <f>'Billing Detail'!D142</f>
        <v>Energy Charge per kWh</v>
      </c>
      <c r="F64" s="61">
        <f>'Billing Detail'!H142</f>
        <v>6.855E-2</v>
      </c>
      <c r="G64" s="61">
        <f>'Billing Detail'!L142</f>
        <v>7.1542872871853375E-2</v>
      </c>
      <c r="H64" s="60">
        <f t="shared" si="0"/>
        <v>2.9928728718533748E-3</v>
      </c>
      <c r="I64" s="5">
        <f t="shared" si="1"/>
        <v>4.365970637276987E-2</v>
      </c>
    </row>
    <row r="65" spans="3:9" x14ac:dyDescent="0.2">
      <c r="C65" s="15">
        <f>'Billing Detail'!C143</f>
        <v>10</v>
      </c>
      <c r="D65" s="87" t="str">
        <f>'Billing Detail'!B143</f>
        <v>Industrial</v>
      </c>
      <c r="F65" s="60"/>
      <c r="G65" s="60"/>
      <c r="H65" s="60"/>
      <c r="I65" s="5"/>
    </row>
    <row r="66" spans="3:9" x14ac:dyDescent="0.2">
      <c r="C66" s="15"/>
      <c r="D66" s="87"/>
      <c r="E66" s="2" t="str">
        <f>'Billing Detail'!D144</f>
        <v>Member Cost of Service Charge</v>
      </c>
      <c r="F66" s="60">
        <f>'Billing Detail'!H144</f>
        <v>1263.4000000000001</v>
      </c>
      <c r="G66" s="60">
        <f>'Billing Detail'!L144</f>
        <v>1318.5596730313575</v>
      </c>
      <c r="H66" s="60">
        <f t="shared" si="0"/>
        <v>55.159673031357443</v>
      </c>
      <c r="I66" s="5">
        <f t="shared" si="1"/>
        <v>4.3659706372769856E-2</v>
      </c>
    </row>
    <row r="67" spans="3:9" x14ac:dyDescent="0.2">
      <c r="C67" s="15"/>
      <c r="D67" s="87"/>
      <c r="E67" s="2" t="str">
        <f>'Billing Detail'!D145</f>
        <v>Demand Charge -Contract per kW</v>
      </c>
      <c r="F67" s="60">
        <f>'Billing Detail'!H145</f>
        <v>7.43</v>
      </c>
      <c r="G67" s="60">
        <f>'Billing Detail'!L145</f>
        <v>7.7543916183496808</v>
      </c>
      <c r="H67" s="60">
        <f t="shared" si="0"/>
        <v>0.32439161834968111</v>
      </c>
      <c r="I67" s="5">
        <f t="shared" si="1"/>
        <v>4.3659706372770002E-2</v>
      </c>
    </row>
    <row r="68" spans="3:9" x14ac:dyDescent="0.2">
      <c r="C68" s="15"/>
      <c r="D68" s="87"/>
      <c r="E68" s="2" t="str">
        <f>'Billing Detail'!D146</f>
        <v>Demand Charge - Excess per kW</v>
      </c>
      <c r="F68" s="60">
        <f>'Billing Detail'!H146</f>
        <v>10.34</v>
      </c>
      <c r="G68" s="60">
        <f>'Billing Detail'!L146</f>
        <v>10.791441363894441</v>
      </c>
      <c r="H68" s="60">
        <f t="shared" si="0"/>
        <v>0.45144136389444078</v>
      </c>
      <c r="I68" s="5">
        <f t="shared" si="1"/>
        <v>4.3659706372769905E-2</v>
      </c>
    </row>
    <row r="69" spans="3:9" x14ac:dyDescent="0.2">
      <c r="C69" s="15"/>
      <c r="D69" s="87"/>
      <c r="E69" s="2" t="str">
        <f>'Billing Detail'!D147</f>
        <v>Energy Charge per kWh</v>
      </c>
      <c r="F69" s="61">
        <f>'Billing Detail'!H147</f>
        <v>5.901E-2</v>
      </c>
      <c r="G69" s="61">
        <f>'Billing Detail'!L147</f>
        <v>6.1586359273057154E-2</v>
      </c>
      <c r="H69" s="60">
        <f t="shared" si="0"/>
        <v>2.5763592730571536E-3</v>
      </c>
      <c r="I69" s="5">
        <f t="shared" si="1"/>
        <v>4.3659706372769932E-2</v>
      </c>
    </row>
    <row r="70" spans="3:9" x14ac:dyDescent="0.2">
      <c r="C70" s="15">
        <f>'Billing Detail'!C148</f>
        <v>11</v>
      </c>
      <c r="D70" s="87" t="str">
        <f>'Billing Detail'!B148</f>
        <v>Industrial</v>
      </c>
      <c r="F70" s="60"/>
      <c r="G70" s="60"/>
      <c r="H70" s="60"/>
      <c r="I70" s="5"/>
    </row>
    <row r="71" spans="3:9" x14ac:dyDescent="0.2">
      <c r="C71" s="15"/>
      <c r="D71" s="87"/>
      <c r="E71" s="2" t="str">
        <f>'Billing Detail'!D149</f>
        <v>Consumer Charge</v>
      </c>
      <c r="F71" s="60">
        <f>'Billing Detail'!H149</f>
        <v>1263.24</v>
      </c>
      <c r="G71" s="60">
        <f>'Billing Detail'!L149</f>
        <v>1382.0037347036568</v>
      </c>
      <c r="H71" s="60">
        <f t="shared" si="0"/>
        <v>118.76373470365684</v>
      </c>
      <c r="I71" s="5">
        <f t="shared" si="1"/>
        <v>9.4015178987094161E-2</v>
      </c>
    </row>
    <row r="72" spans="3:9" x14ac:dyDescent="0.2">
      <c r="C72" s="15"/>
      <c r="D72" s="87"/>
      <c r="E72" s="2" t="str">
        <f>'Billing Detail'!D150</f>
        <v>Demand - Contract per kW</v>
      </c>
      <c r="F72" s="60">
        <f>'Billing Detail'!H150</f>
        <v>6.36</v>
      </c>
      <c r="G72" s="60">
        <f>'Billing Detail'!L150</f>
        <v>6.96</v>
      </c>
      <c r="H72" s="60">
        <f t="shared" si="0"/>
        <v>0.59999999999999964</v>
      </c>
      <c r="I72" s="5">
        <f t="shared" si="1"/>
        <v>9.4339622641509371E-2</v>
      </c>
    </row>
    <row r="73" spans="3:9" x14ac:dyDescent="0.2">
      <c r="C73" s="15"/>
      <c r="D73" s="87"/>
      <c r="E73" s="2" t="str">
        <f>'Billing Detail'!D151</f>
        <v>Demand - Excess per kW</v>
      </c>
      <c r="F73" s="60">
        <f>'Billing Detail'!H151</f>
        <v>9.25</v>
      </c>
      <c r="G73" s="60">
        <f>'Billing Detail'!L151</f>
        <v>10.119640405630621</v>
      </c>
      <c r="H73" s="60">
        <f t="shared" si="0"/>
        <v>0.86964040563062106</v>
      </c>
      <c r="I73" s="5">
        <f t="shared" si="1"/>
        <v>9.4015178987094175E-2</v>
      </c>
    </row>
    <row r="74" spans="3:9" x14ac:dyDescent="0.2">
      <c r="C74" s="15"/>
      <c r="D74" s="87"/>
      <c r="E74" s="2" t="str">
        <f>'Billing Detail'!D152</f>
        <v>Energy Charge per kWh</v>
      </c>
      <c r="F74" s="61">
        <f>'Billing Detail'!H152</f>
        <v>5.9310000000000002E-2</v>
      </c>
      <c r="G74" s="61">
        <f>'Billing Detail'!L152</f>
        <v>6.4886040265724559E-2</v>
      </c>
      <c r="H74" s="60">
        <f t="shared" si="0"/>
        <v>5.5760402657245578E-3</v>
      </c>
      <c r="I74" s="5">
        <f t="shared" si="1"/>
        <v>9.4015178987094217E-2</v>
      </c>
    </row>
    <row r="75" spans="3:9" x14ac:dyDescent="0.2">
      <c r="C75" s="15">
        <f>'Billing Detail'!C153</f>
        <v>12</v>
      </c>
      <c r="D75" s="87" t="str">
        <f>'Billing Detail'!B153</f>
        <v>Industrial C</v>
      </c>
      <c r="F75" s="60"/>
      <c r="G75" s="60"/>
      <c r="H75" s="60"/>
      <c r="I75" s="5"/>
    </row>
    <row r="76" spans="3:9" x14ac:dyDescent="0.2">
      <c r="C76" s="15"/>
      <c r="D76" s="87"/>
      <c r="E76" s="2" t="str">
        <f>'Billing Detail'!D154</f>
        <v>Consumer Charge New Substation</v>
      </c>
      <c r="F76" s="60">
        <f>'Billing Detail'!H154</f>
        <v>1263.24</v>
      </c>
      <c r="G76" s="60">
        <f>'Billing Detail'!L154</f>
        <v>1363.541256</v>
      </c>
      <c r="H76" s="60">
        <f t="shared" si="0"/>
        <v>100.30125599999997</v>
      </c>
      <c r="I76" s="5">
        <f t="shared" si="1"/>
        <v>7.9399999999999971E-2</v>
      </c>
    </row>
    <row r="77" spans="3:9" x14ac:dyDescent="0.2">
      <c r="C77" s="15"/>
      <c r="D77" s="87"/>
      <c r="E77" s="2" t="str">
        <f>'Billing Detail'!D155</f>
        <v>Consumer Charge Existing Sub</v>
      </c>
      <c r="F77" s="60">
        <f>'Billing Detail'!H155</f>
        <v>632.20000000000005</v>
      </c>
      <c r="G77" s="60">
        <f>'Billing Detail'!L155</f>
        <v>682.39667999999995</v>
      </c>
      <c r="H77" s="60">
        <f t="shared" si="0"/>
        <v>50.196679999999901</v>
      </c>
      <c r="I77" s="5">
        <f t="shared" si="1"/>
        <v>7.9399999999999832E-2</v>
      </c>
    </row>
    <row r="78" spans="3:9" x14ac:dyDescent="0.2">
      <c r="C78" s="15"/>
      <c r="D78" s="87"/>
      <c r="E78" s="2" t="str">
        <f>'Billing Detail'!D156</f>
        <v>Demand - Contract per kW</v>
      </c>
      <c r="F78" s="60">
        <f>'Billing Detail'!H156</f>
        <v>6.36</v>
      </c>
      <c r="G78" s="60">
        <f>'Billing Detail'!L156</f>
        <v>6.96</v>
      </c>
      <c r="H78" s="60">
        <f t="shared" si="0"/>
        <v>0.59999999999999964</v>
      </c>
      <c r="I78" s="5">
        <f t="shared" si="1"/>
        <v>9.4339622641509371E-2</v>
      </c>
    </row>
    <row r="79" spans="3:9" x14ac:dyDescent="0.2">
      <c r="C79" s="15"/>
      <c r="D79" s="87"/>
      <c r="E79" s="2" t="str">
        <f>'Billing Detail'!D157</f>
        <v>Energy Charge per kWh</v>
      </c>
      <c r="F79" s="61">
        <f>'Billing Detail'!H157</f>
        <v>6.6400000000000001E-2</v>
      </c>
      <c r="G79" s="61">
        <f>'Billing Detail'!L157</f>
        <v>7.1672159999999999E-2</v>
      </c>
      <c r="H79" s="60">
        <f t="shared" si="0"/>
        <v>5.272159999999998E-3</v>
      </c>
      <c r="I79" s="5">
        <f t="shared" si="1"/>
        <v>7.9399999999999971E-2</v>
      </c>
    </row>
    <row r="80" spans="3:9" x14ac:dyDescent="0.2">
      <c r="C80" s="15">
        <f>'Billing Detail'!C158</f>
        <v>13</v>
      </c>
      <c r="D80" s="87" t="str">
        <f>'Billing Detail'!B158</f>
        <v>Industrial C</v>
      </c>
      <c r="F80" s="60"/>
      <c r="G80" s="60"/>
      <c r="H80" s="60"/>
      <c r="I80" s="5"/>
    </row>
    <row r="81" spans="3:9" x14ac:dyDescent="0.2">
      <c r="C81" s="15"/>
      <c r="D81" s="87"/>
      <c r="E81" s="2" t="str">
        <f>'Billing Detail'!D159</f>
        <v>Customer Charge</v>
      </c>
      <c r="F81" s="60">
        <f>'Billing Detail'!H159</f>
        <v>1263.24</v>
      </c>
      <c r="G81" s="60">
        <f>'Billing Detail'!L159</f>
        <v>1363.541256</v>
      </c>
      <c r="H81" s="60">
        <f t="shared" si="0"/>
        <v>100.30125599999997</v>
      </c>
      <c r="I81" s="5">
        <f t="shared" si="1"/>
        <v>7.9399999999999971E-2</v>
      </c>
    </row>
    <row r="82" spans="3:9" x14ac:dyDescent="0.2">
      <c r="C82" s="15"/>
      <c r="D82" s="87"/>
      <c r="E82" s="2" t="str">
        <f>'Billing Detail'!D160</f>
        <v>Demand Charge per kW</v>
      </c>
      <c r="F82" s="60">
        <f>'Billing Detail'!H160</f>
        <v>6.36</v>
      </c>
      <c r="G82" s="60">
        <f>'Billing Detail'!L160</f>
        <v>6.96</v>
      </c>
      <c r="H82" s="60">
        <f t="shared" si="0"/>
        <v>0.59999999999999964</v>
      </c>
      <c r="I82" s="5">
        <f t="shared" si="1"/>
        <v>9.4339622641509371E-2</v>
      </c>
    </row>
    <row r="83" spans="3:9" x14ac:dyDescent="0.2">
      <c r="C83" s="15"/>
      <c r="D83" s="87"/>
      <c r="E83" s="2" t="str">
        <f>'Billing Detail'!D161</f>
        <v>Energy Charge per kWh</v>
      </c>
      <c r="F83" s="61">
        <f>'Billing Detail'!H161</f>
        <v>6.0490000000000002E-2</v>
      </c>
      <c r="G83" s="61">
        <f>'Billing Detail'!L161</f>
        <v>6.5292905999999998E-2</v>
      </c>
      <c r="H83" s="60">
        <f t="shared" si="0"/>
        <v>4.8029059999999957E-3</v>
      </c>
      <c r="I83" s="5">
        <f t="shared" si="1"/>
        <v>7.9399999999999929E-2</v>
      </c>
    </row>
    <row r="84" spans="3:9" x14ac:dyDescent="0.2">
      <c r="C84" s="15">
        <f>'Billing Detail'!C162</f>
        <v>14</v>
      </c>
      <c r="D84" s="87" t="str">
        <f>'Billing Detail'!B162</f>
        <v>Industrial C</v>
      </c>
      <c r="F84" s="60"/>
      <c r="G84" s="60"/>
      <c r="H84" s="60"/>
      <c r="I84" s="5"/>
    </row>
    <row r="85" spans="3:9" x14ac:dyDescent="0.2">
      <c r="C85" s="4"/>
      <c r="D85" s="87"/>
      <c r="E85" s="2" t="str">
        <f>'Billing Detail'!D163</f>
        <v>Customer Charge</v>
      </c>
      <c r="F85" s="60">
        <f>'Billing Detail'!H163</f>
        <v>1263.24</v>
      </c>
      <c r="G85" s="60">
        <f>'Billing Detail'!L163</f>
        <v>1363.541256</v>
      </c>
      <c r="H85" s="60">
        <f t="shared" ref="H85:H87" si="6">G85-F85</f>
        <v>100.30125599999997</v>
      </c>
      <c r="I85" s="5">
        <f t="shared" ref="I85:I87" si="7">H85/F85</f>
        <v>7.9399999999999971E-2</v>
      </c>
    </row>
    <row r="86" spans="3:9" x14ac:dyDescent="0.2">
      <c r="C86" s="4"/>
      <c r="D86" s="87"/>
      <c r="E86" s="2" t="str">
        <f>'Billing Detail'!D164</f>
        <v>Demand Charge per kW</v>
      </c>
      <c r="F86" s="60">
        <f>'Billing Detail'!H164</f>
        <v>6.36</v>
      </c>
      <c r="G86" s="60">
        <f>'Billing Detail'!L164</f>
        <v>6.96</v>
      </c>
      <c r="H86" s="60">
        <f t="shared" si="6"/>
        <v>0.59999999999999964</v>
      </c>
      <c r="I86" s="5">
        <f t="shared" si="7"/>
        <v>9.4339622641509371E-2</v>
      </c>
    </row>
    <row r="87" spans="3:9" x14ac:dyDescent="0.2">
      <c r="C87" s="4"/>
      <c r="D87" s="87"/>
      <c r="E87" s="2" t="str">
        <f>'Billing Detail'!D165</f>
        <v>Energy Charge per kWh</v>
      </c>
      <c r="F87" s="61">
        <f>'Billing Detail'!H165</f>
        <v>5.9310000000000002E-2</v>
      </c>
      <c r="G87" s="61">
        <f>'Billing Detail'!L165</f>
        <v>6.4019213999999991E-2</v>
      </c>
      <c r="H87" s="60">
        <f t="shared" si="6"/>
        <v>4.7092139999999894E-3</v>
      </c>
      <c r="I87" s="5">
        <f t="shared" si="7"/>
        <v>7.9399999999999818E-2</v>
      </c>
    </row>
    <row r="88" spans="3:9" x14ac:dyDescent="0.2">
      <c r="C88" s="4"/>
      <c r="D88" s="87" t="str">
        <f>'Billing Detail'!B166</f>
        <v>Interruptible Service</v>
      </c>
      <c r="F88" s="61"/>
      <c r="G88" s="61"/>
      <c r="H88" s="60"/>
      <c r="I88" s="5"/>
    </row>
    <row r="89" spans="3:9" x14ac:dyDescent="0.2">
      <c r="C89" s="4"/>
      <c r="D89" s="87"/>
      <c r="E89" s="2" t="str">
        <f>'Billing Detail'!D167</f>
        <v>Demand Credit per kW - 200 Hrs</v>
      </c>
      <c r="F89" s="60">
        <f>'Billing Detail'!H167</f>
        <v>4.2</v>
      </c>
      <c r="G89" s="60">
        <f>'Billing Detail'!L167</f>
        <v>6.2</v>
      </c>
      <c r="H89" s="60">
        <f t="shared" ref="H89:H91" si="8">G89-F89</f>
        <v>2</v>
      </c>
      <c r="I89" s="5">
        <f t="shared" ref="I89:I91" si="9">H89/F89</f>
        <v>0.47619047619047616</v>
      </c>
    </row>
    <row r="90" spans="3:9" x14ac:dyDescent="0.2">
      <c r="C90" s="4"/>
      <c r="D90" s="87"/>
      <c r="E90" s="2" t="str">
        <f>'Billing Detail'!D168</f>
        <v>Demand Credit per kW - 300 Hrs</v>
      </c>
      <c r="F90" s="60">
        <f>'Billing Detail'!H168</f>
        <v>4.9000000000000004</v>
      </c>
      <c r="G90" s="60">
        <f>'Billing Detail'!L168</f>
        <v>6.9</v>
      </c>
      <c r="H90" s="60">
        <f t="shared" si="8"/>
        <v>2</v>
      </c>
      <c r="I90" s="5">
        <f t="shared" si="9"/>
        <v>0.4081632653061224</v>
      </c>
    </row>
    <row r="91" spans="3:9" x14ac:dyDescent="0.2">
      <c r="E91" s="2" t="str">
        <f>'Billing Detail'!D169</f>
        <v>Demand Credit per kW - 400 Hrs</v>
      </c>
      <c r="F91" s="60">
        <f>'Billing Detail'!H169</f>
        <v>5.6</v>
      </c>
      <c r="G91" s="60">
        <f>'Billing Detail'!L169</f>
        <v>7.6</v>
      </c>
      <c r="H91" s="60">
        <f t="shared" si="8"/>
        <v>2</v>
      </c>
      <c r="I91" s="5">
        <f t="shared" si="9"/>
        <v>0.35714285714285715</v>
      </c>
    </row>
    <row r="92" spans="3:9" x14ac:dyDescent="0.2">
      <c r="F92" s="61"/>
      <c r="G92" s="61"/>
    </row>
    <row r="93" spans="3:9" ht="39.6" customHeight="1" x14ac:dyDescent="0.2">
      <c r="C93" s="157" t="s">
        <v>64</v>
      </c>
      <c r="D93" s="157"/>
      <c r="E93" s="157"/>
      <c r="F93" s="157"/>
      <c r="G93" s="157"/>
    </row>
    <row r="94" spans="3:9" x14ac:dyDescent="0.2">
      <c r="C94" s="4"/>
      <c r="D94" s="2"/>
      <c r="F94" s="158" t="s">
        <v>65</v>
      </c>
      <c r="G94" s="158"/>
    </row>
    <row r="95" spans="3:9" x14ac:dyDescent="0.2">
      <c r="C95" s="64" t="s">
        <v>66</v>
      </c>
      <c r="D95" s="65"/>
      <c r="E95" s="66"/>
      <c r="F95" s="67" t="s">
        <v>67</v>
      </c>
      <c r="G95" s="67" t="s">
        <v>68</v>
      </c>
    </row>
    <row r="96" spans="3:9" x14ac:dyDescent="0.2">
      <c r="C96" s="68" t="str">
        <f>Summary!B11</f>
        <v>Residential</v>
      </c>
      <c r="D96" s="15">
        <f>Summary!C11</f>
        <v>1</v>
      </c>
      <c r="F96" s="69">
        <f>Summary!L11</f>
        <v>1965603.8035200071</v>
      </c>
      <c r="G96" s="70">
        <f>Summary!N11</f>
        <v>3.6275344224848023E-2</v>
      </c>
    </row>
    <row r="97" spans="3:8" x14ac:dyDescent="0.2">
      <c r="C97" s="68" t="str">
        <f>Summary!B12</f>
        <v>Commercial</v>
      </c>
      <c r="D97" s="15">
        <f>Summary!C12</f>
        <v>2</v>
      </c>
      <c r="F97" s="69">
        <f>Summary!L12</f>
        <v>170815.66420000012</v>
      </c>
      <c r="G97" s="70">
        <f>Summary!N12</f>
        <v>3.6364182656540976E-2</v>
      </c>
    </row>
    <row r="98" spans="3:8" x14ac:dyDescent="0.2">
      <c r="C98" s="68" t="str">
        <f>Summary!B13</f>
        <v>Large Power</v>
      </c>
      <c r="D98" s="15">
        <f>Summary!C13</f>
        <v>3</v>
      </c>
      <c r="F98" s="69">
        <f>Summary!L13</f>
        <v>76650.969816000113</v>
      </c>
      <c r="G98" s="70">
        <f>Summary!N13</f>
        <v>3.6552082516389459E-2</v>
      </c>
    </row>
    <row r="99" spans="3:8" x14ac:dyDescent="0.2">
      <c r="C99" s="68" t="str">
        <f>Summary!B14</f>
        <v>Industrial</v>
      </c>
      <c r="D99" s="15">
        <f>Summary!C14</f>
        <v>4</v>
      </c>
      <c r="F99" s="69">
        <f>Summary!L14</f>
        <v>240974.4812000012</v>
      </c>
      <c r="G99" s="70">
        <f>Summary!N14</f>
        <v>3.6761321153532756E-2</v>
      </c>
    </row>
    <row r="100" spans="3:8" x14ac:dyDescent="0.2">
      <c r="C100" s="68" t="str">
        <f>Summary!B19</f>
        <v>Industrial</v>
      </c>
      <c r="D100" s="15">
        <f>Summary!C19</f>
        <v>9</v>
      </c>
      <c r="F100" s="69">
        <f>Summary!L19</f>
        <v>83221.660319999981</v>
      </c>
      <c r="G100" s="70">
        <f>Summary!N19</f>
        <v>8.3458287544593834E-2</v>
      </c>
    </row>
    <row r="101" spans="3:8" x14ac:dyDescent="0.2">
      <c r="C101" s="68" t="str">
        <f>Summary!B15</f>
        <v>Lighting</v>
      </c>
      <c r="D101" s="15" t="str">
        <f>Summary!C15</f>
        <v>5,6</v>
      </c>
      <c r="F101" s="69">
        <f>Summary!L15</f>
        <v>55928.270000000484</v>
      </c>
      <c r="G101" s="70">
        <f>Summary!N15</f>
        <v>3.7232039610726263E-2</v>
      </c>
    </row>
    <row r="102" spans="3:8" x14ac:dyDescent="0.2">
      <c r="C102" s="68" t="str">
        <f>Summary!B18</f>
        <v>AGC Automotive</v>
      </c>
      <c r="D102" s="15" t="str">
        <f>Summary!C18</f>
        <v>Special</v>
      </c>
      <c r="F102" s="69">
        <f>Summary!L18</f>
        <v>438982.17090000154</v>
      </c>
      <c r="G102" s="70">
        <f>Summary!N18</f>
        <v>5.7811389460267523E-2</v>
      </c>
    </row>
    <row r="103" spans="3:8" x14ac:dyDescent="0.2">
      <c r="C103" s="71" t="s">
        <v>69</v>
      </c>
      <c r="D103" s="80"/>
      <c r="E103" s="38"/>
      <c r="F103" s="72">
        <f>Summary!L30</f>
        <v>3032177.0199560225</v>
      </c>
      <c r="G103" s="73">
        <f>Summary!N30</f>
        <v>3.906043112182267E-2</v>
      </c>
    </row>
    <row r="104" spans="3:8" x14ac:dyDescent="0.2">
      <c r="C104" s="4"/>
      <c r="D104" s="2"/>
    </row>
    <row r="105" spans="3:8" ht="39.6" customHeight="1" x14ac:dyDescent="0.2">
      <c r="C105" s="157" t="s">
        <v>70</v>
      </c>
      <c r="D105" s="157"/>
      <c r="E105" s="157"/>
      <c r="F105" s="157"/>
      <c r="G105" s="157"/>
      <c r="H105" s="141"/>
    </row>
    <row r="106" spans="3:8" x14ac:dyDescent="0.2">
      <c r="C106" s="4"/>
      <c r="D106" s="2"/>
      <c r="E106" s="74" t="s">
        <v>18</v>
      </c>
      <c r="F106" s="158" t="s">
        <v>65</v>
      </c>
      <c r="G106" s="158"/>
    </row>
    <row r="107" spans="3:8" x14ac:dyDescent="0.2">
      <c r="C107" s="64" t="s">
        <v>66</v>
      </c>
      <c r="D107" s="66"/>
      <c r="E107" s="82" t="s">
        <v>71</v>
      </c>
      <c r="F107" s="67" t="s">
        <v>67</v>
      </c>
      <c r="G107" s="67" t="s">
        <v>68</v>
      </c>
    </row>
    <row r="108" spans="3:8" x14ac:dyDescent="0.2">
      <c r="C108" s="4" t="str">
        <f>Summary!B11</f>
        <v>Residential</v>
      </c>
      <c r="D108" s="81">
        <f>Summary!C11</f>
        <v>1</v>
      </c>
      <c r="E108" s="78">
        <f>'Billing Detail'!E17</f>
        <v>1069.3094984982815</v>
      </c>
      <c r="F108" s="79">
        <f>'Billing Detail'!N17</f>
        <v>5.0717929886777995</v>
      </c>
      <c r="G108" s="83">
        <f>Summary!N11</f>
        <v>3.6275344224848023E-2</v>
      </c>
    </row>
    <row r="109" spans="3:8" x14ac:dyDescent="0.2">
      <c r="C109" s="4" t="str">
        <f>Summary!B12</f>
        <v>Commercial</v>
      </c>
      <c r="D109" s="81">
        <f>Summary!C12</f>
        <v>2</v>
      </c>
      <c r="E109" s="78">
        <f>'Billing Detail'!E29</f>
        <v>1398.5189327368589</v>
      </c>
      <c r="F109" s="79">
        <f>'Billing Detail'!N29</f>
        <v>6.8228017335037521</v>
      </c>
      <c r="G109" s="83">
        <f>Summary!N12</f>
        <v>3.6364182656540976E-2</v>
      </c>
    </row>
    <row r="110" spans="3:8" x14ac:dyDescent="0.2">
      <c r="C110" s="4" t="str">
        <f>Summary!B13</f>
        <v>Large Power</v>
      </c>
      <c r="D110" s="81">
        <f>Summary!C13</f>
        <v>3</v>
      </c>
      <c r="E110" s="78">
        <f>'Billing Detail'!E42</f>
        <v>16186.089072543618</v>
      </c>
      <c r="F110" s="79">
        <f>'Billing Detail'!N42</f>
        <v>70.38656548760332</v>
      </c>
      <c r="G110" s="83">
        <f>Summary!N13</f>
        <v>3.6552082516389459E-2</v>
      </c>
    </row>
    <row r="111" spans="3:8" x14ac:dyDescent="0.2">
      <c r="C111" s="4" t="str">
        <f>Summary!B14</f>
        <v>Industrial</v>
      </c>
      <c r="D111" s="81">
        <f>Summary!C14</f>
        <v>4</v>
      </c>
      <c r="E111" s="78">
        <f>'Billing Detail'!E55</f>
        <v>51112.743447180299</v>
      </c>
      <c r="F111" s="79">
        <f>'Billing Detail'!N55</f>
        <v>191.40149420174748</v>
      </c>
      <c r="G111" s="83">
        <f>Summary!N14</f>
        <v>3.6761321153532756E-2</v>
      </c>
    </row>
    <row r="112" spans="3:8" x14ac:dyDescent="0.2">
      <c r="C112" s="4" t="str">
        <f>Summary!B19</f>
        <v>Industrial</v>
      </c>
      <c r="D112" s="81">
        <f>Summary!C19</f>
        <v>9</v>
      </c>
      <c r="E112" s="78">
        <f>'Billing Detail'!E69</f>
        <v>909570.25</v>
      </c>
      <c r="F112" s="79">
        <f>'Billing Detail'!N69</f>
        <v>6935.1383599999972</v>
      </c>
      <c r="G112" s="83">
        <f>Summary!N19</f>
        <v>8.3458287544593834E-2</v>
      </c>
    </row>
    <row r="113" spans="3:7" x14ac:dyDescent="0.2">
      <c r="C113" s="4" t="str">
        <f>Summary!B15</f>
        <v>Lighting</v>
      </c>
      <c r="D113" s="81" t="str">
        <f>Summary!C15</f>
        <v>5,6</v>
      </c>
      <c r="E113" s="78" t="s">
        <v>72</v>
      </c>
      <c r="F113" s="79" t="s">
        <v>72</v>
      </c>
      <c r="G113" s="83">
        <f>Summary!N15</f>
        <v>3.7232039610726263E-2</v>
      </c>
    </row>
    <row r="114" spans="3:7" x14ac:dyDescent="0.2">
      <c r="C114" s="4" t="str">
        <f>Summary!B18</f>
        <v>AGC Automotive</v>
      </c>
      <c r="D114" s="81" t="str">
        <f>Summary!C18</f>
        <v>Special</v>
      </c>
      <c r="E114" s="78">
        <f>'Billing Detail'!E121</f>
        <v>9612862.5</v>
      </c>
      <c r="F114" s="79">
        <f>'Billing Detail'!N121</f>
        <v>36581.847575000022</v>
      </c>
      <c r="G114" s="83">
        <f>Summary!N18</f>
        <v>5.7811389460267523E-2</v>
      </c>
    </row>
    <row r="115" spans="3:7" x14ac:dyDescent="0.2">
      <c r="C115" s="4"/>
      <c r="D115" s="75"/>
      <c r="E115" s="76"/>
      <c r="F115" s="77"/>
      <c r="G115" s="5"/>
    </row>
    <row r="116" spans="3:7" x14ac:dyDescent="0.2">
      <c r="C116" s="4"/>
      <c r="D116" s="75"/>
      <c r="E116" s="76"/>
      <c r="F116" s="77"/>
      <c r="G116" s="5"/>
    </row>
    <row r="117" spans="3:7" x14ac:dyDescent="0.2">
      <c r="C117" s="4"/>
      <c r="D117" s="75"/>
      <c r="E117" s="76"/>
      <c r="F117" s="77"/>
      <c r="G117" s="5"/>
    </row>
    <row r="118" spans="3:7" x14ac:dyDescent="0.2">
      <c r="C118" s="4"/>
      <c r="D118" s="75"/>
      <c r="E118" s="76"/>
      <c r="F118" s="77"/>
      <c r="G118" s="5"/>
    </row>
    <row r="119" spans="3:7" x14ac:dyDescent="0.2">
      <c r="C119" s="4"/>
      <c r="D119" s="75"/>
      <c r="E119" s="76"/>
      <c r="F119" s="77"/>
      <c r="G119" s="5"/>
    </row>
    <row r="120" spans="3:7" x14ac:dyDescent="0.2">
      <c r="C120" s="4"/>
      <c r="D120" s="75"/>
      <c r="E120" s="76"/>
      <c r="F120" s="77"/>
      <c r="G120" s="5"/>
    </row>
    <row r="121" spans="3:7" x14ac:dyDescent="0.2">
      <c r="C121" s="4"/>
      <c r="D121" s="75"/>
      <c r="E121" s="76"/>
      <c r="F121" s="77"/>
      <c r="G121" s="5"/>
    </row>
    <row r="122" spans="3:7" x14ac:dyDescent="0.2">
      <c r="C122" s="4"/>
      <c r="D122" s="75"/>
      <c r="E122" s="76"/>
      <c r="F122" s="77"/>
      <c r="G122" s="5"/>
    </row>
    <row r="123" spans="3:7" x14ac:dyDescent="0.2">
      <c r="C123" s="4"/>
      <c r="D123" s="75"/>
      <c r="E123" s="76"/>
      <c r="F123" s="77"/>
      <c r="G123" s="5"/>
    </row>
    <row r="124" spans="3:7" x14ac:dyDescent="0.2">
      <c r="C124" s="4"/>
      <c r="D124" s="75"/>
      <c r="E124" s="76"/>
      <c r="F124" s="77"/>
      <c r="G124" s="5"/>
    </row>
    <row r="125" spans="3:7" x14ac:dyDescent="0.2">
      <c r="C125" s="4"/>
      <c r="D125" s="75"/>
      <c r="E125" s="76"/>
      <c r="F125" s="77"/>
      <c r="G125" s="5"/>
    </row>
    <row r="126" spans="3:7" x14ac:dyDescent="0.2">
      <c r="C126" s="4"/>
      <c r="D126" s="75"/>
      <c r="E126" s="76"/>
      <c r="F126" s="77"/>
      <c r="G126" s="5"/>
    </row>
    <row r="127" spans="3:7" x14ac:dyDescent="0.2">
      <c r="C127" s="4"/>
      <c r="D127" s="75"/>
      <c r="E127" s="78"/>
      <c r="F127" s="79"/>
      <c r="G127" s="5"/>
    </row>
    <row r="128" spans="3:7" x14ac:dyDescent="0.2">
      <c r="C128" s="4"/>
      <c r="D128" s="2"/>
      <c r="F128" s="60"/>
      <c r="G128" s="60"/>
    </row>
    <row r="129" spans="3:7" x14ac:dyDescent="0.2">
      <c r="C129" s="4"/>
      <c r="D129" s="2"/>
      <c r="F129" s="60"/>
      <c r="G129" s="60"/>
    </row>
  </sheetData>
  <mergeCells count="4">
    <mergeCell ref="C93:G93"/>
    <mergeCell ref="F94:G94"/>
    <mergeCell ref="F106:G106"/>
    <mergeCell ref="C105:G105"/>
  </mergeCells>
  <printOptions horizontalCentered="1"/>
  <pageMargins left="0.7" right="0.7" top="0.75" bottom="0.75" header="0.3" footer="0.3"/>
  <pageSetup paperSize="9" scale="86" fitToHeight="2" orientation="portrait" r:id="rId1"/>
  <headerFooter>
    <oddHeader>&amp;R&amp;"Arial,Bold"&amp;10Exhibit 3
Page &amp;P of &amp;N</oddHeader>
  </headerFooter>
  <rowBreaks count="1" manualBreakCount="1">
    <brk id="74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Summary</vt:lpstr>
      <vt:lpstr>Billing Detail</vt:lpstr>
      <vt:lpstr>Notice Table</vt:lpstr>
      <vt:lpstr>'Billing Detail'!Print_Area</vt:lpstr>
      <vt:lpstr>'Notice Table'!Print_Area</vt:lpstr>
      <vt:lpstr>Summary!Print_Area</vt:lpstr>
      <vt:lpstr>'Billing Detail'!Print_Titles</vt:lpstr>
      <vt:lpstr>'Notice Table'!Print_Titles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Wolfram</dc:creator>
  <cp:lastModifiedBy>John Wolfram</cp:lastModifiedBy>
  <cp:lastPrinted>2025-12-02T21:35:15Z</cp:lastPrinted>
  <dcterms:created xsi:type="dcterms:W3CDTF">2021-02-09T02:13:44Z</dcterms:created>
  <dcterms:modified xsi:type="dcterms:W3CDTF">2025-12-03T13:52:46Z</dcterms:modified>
</cp:coreProperties>
</file>