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Nolin/Analysis/"/>
    </mc:Choice>
  </mc:AlternateContent>
  <xr:revisionPtr revIDLastSave="22" documentId="8_{D40227E0-D992-4C63-8E1F-3414E905BDDA}" xr6:coauthVersionLast="47" xr6:coauthVersionMax="47" xr10:uidLastSave="{F648D83B-9C10-4D50-A72A-500E250A92E9}"/>
  <bookViews>
    <workbookView xWindow="-108" yWindow="-108" windowWidth="23256" windowHeight="12456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Detail'!$A$1:$R$175</definedName>
    <definedName name="_xlnm.Print_Area" localSheetId="2">'Notice Table'!$A$1:$G$74</definedName>
    <definedName name="_xlnm.Print_Area" localSheetId="0">Summary!$A$1:$O$33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1" i="1" l="1"/>
  <c r="K62" i="1"/>
  <c r="A19" i="2"/>
  <c r="A20" i="2" s="1"/>
  <c r="A15" i="2"/>
  <c r="I19" i="2"/>
  <c r="L5" i="2"/>
  <c r="L7" i="2" s="1"/>
  <c r="E179" i="1"/>
  <c r="E180" i="1"/>
  <c r="E181" i="1" s="1"/>
  <c r="Q5" i="2"/>
  <c r="I123" i="1"/>
  <c r="I63" i="1"/>
  <c r="I49" i="1"/>
  <c r="I36" i="1"/>
  <c r="I23" i="1"/>
  <c r="I11" i="1"/>
  <c r="I18" i="2" l="1"/>
  <c r="H44" i="3"/>
  <c r="I44" i="3" s="1"/>
  <c r="G12" i="1"/>
  <c r="A85" i="1" l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/>
  <c r="A159" i="1" s="1"/>
  <c r="A160" i="1" s="1"/>
  <c r="A161" i="1" s="1"/>
  <c r="A162" i="1" s="1"/>
  <c r="A163" i="1" s="1"/>
  <c r="A164" i="1" s="1"/>
  <c r="A165" i="1" s="1"/>
  <c r="A166" i="1"/>
  <c r="A167" i="1" s="1"/>
  <c r="A168" i="1" s="1"/>
  <c r="A169" i="1" s="1"/>
  <c r="A170" i="1" s="1"/>
  <c r="A171" i="1" s="1"/>
  <c r="A172" i="1" s="1"/>
  <c r="A173" i="1" s="1"/>
  <c r="G108" i="1"/>
  <c r="G109" i="1"/>
  <c r="G106" i="1"/>
  <c r="G92" i="1"/>
  <c r="G89" i="1"/>
  <c r="G87" i="1" l="1"/>
  <c r="I85" i="1"/>
  <c r="G85" i="1"/>
  <c r="V34" i="1"/>
  <c r="V33" i="1"/>
  <c r="F45" i="3" l="1"/>
  <c r="E45" i="3"/>
  <c r="F44" i="3"/>
  <c r="E44" i="3"/>
  <c r="G43" i="3"/>
  <c r="F43" i="3"/>
  <c r="E43" i="3"/>
  <c r="H43" i="3" l="1"/>
  <c r="I43" i="3" s="1"/>
  <c r="G45" i="3"/>
  <c r="H45" i="3" s="1"/>
  <c r="I45" i="3" s="1"/>
  <c r="M119" i="1" l="1"/>
  <c r="I120" i="1"/>
  <c r="I119" i="1"/>
  <c r="I121" i="1"/>
  <c r="I118" i="1"/>
  <c r="E21" i="3"/>
  <c r="F21" i="3"/>
  <c r="E22" i="3"/>
  <c r="F22" i="3"/>
  <c r="E23" i="3"/>
  <c r="F23" i="3"/>
  <c r="E48" i="3"/>
  <c r="F48" i="3"/>
  <c r="E50" i="3"/>
  <c r="F50" i="3"/>
  <c r="E51" i="3"/>
  <c r="F51" i="3"/>
  <c r="E53" i="3"/>
  <c r="F53" i="3"/>
  <c r="E54" i="3"/>
  <c r="F54" i="3"/>
  <c r="E55" i="3"/>
  <c r="F55" i="3"/>
  <c r="E56" i="3"/>
  <c r="F56" i="3"/>
  <c r="E58" i="3"/>
  <c r="F58" i="3"/>
  <c r="E59" i="3"/>
  <c r="F59" i="3"/>
  <c r="E60" i="3"/>
  <c r="F60" i="3"/>
  <c r="E61" i="3"/>
  <c r="F61" i="3"/>
  <c r="E63" i="3"/>
  <c r="F63" i="3"/>
  <c r="E64" i="3"/>
  <c r="F64" i="3"/>
  <c r="E65" i="3"/>
  <c r="F65" i="3"/>
  <c r="E66" i="3"/>
  <c r="F66" i="3"/>
  <c r="E68" i="3"/>
  <c r="F68" i="3"/>
  <c r="E69" i="3"/>
  <c r="F69" i="3"/>
  <c r="E70" i="3"/>
  <c r="F70" i="3"/>
  <c r="E72" i="3"/>
  <c r="F72" i="3"/>
  <c r="E73" i="3"/>
  <c r="F73" i="3"/>
  <c r="E74" i="3"/>
  <c r="F74" i="3"/>
  <c r="F47" i="3"/>
  <c r="E47" i="3"/>
  <c r="C49" i="3"/>
  <c r="D49" i="3"/>
  <c r="C52" i="3"/>
  <c r="D52" i="3"/>
  <c r="C57" i="3"/>
  <c r="D57" i="3"/>
  <c r="C62" i="3"/>
  <c r="D62" i="3"/>
  <c r="C67" i="3"/>
  <c r="D67" i="3"/>
  <c r="C71" i="3"/>
  <c r="D71" i="3"/>
  <c r="C46" i="3"/>
  <c r="D46" i="3"/>
  <c r="L120" i="1" l="1"/>
  <c r="T119" i="1"/>
  <c r="M120" i="1" l="1"/>
  <c r="G44" i="3"/>
  <c r="N119" i="1"/>
  <c r="O119" i="1" s="1"/>
  <c r="E129" i="1"/>
  <c r="E98" i="3" s="1"/>
  <c r="E69" i="1"/>
  <c r="E96" i="3" s="1"/>
  <c r="E55" i="1"/>
  <c r="E95" i="3" s="1"/>
  <c r="E42" i="1"/>
  <c r="E94" i="3" s="1"/>
  <c r="E29" i="1"/>
  <c r="E93" i="3" s="1"/>
  <c r="G135" i="1" l="1"/>
  <c r="N137" i="1"/>
  <c r="G137" i="1"/>
  <c r="F13" i="1"/>
  <c r="G13" i="1" s="1"/>
  <c r="G136" i="1" s="1"/>
  <c r="G8" i="1"/>
  <c r="I110" i="1"/>
  <c r="M110" i="1" s="1"/>
  <c r="I111" i="1"/>
  <c r="G86" i="1"/>
  <c r="G83" i="1"/>
  <c r="G80" i="1"/>
  <c r="I59" i="1"/>
  <c r="F46" i="1"/>
  <c r="F45" i="1"/>
  <c r="F9" i="1"/>
  <c r="F21" i="1"/>
  <c r="I93" i="1"/>
  <c r="G93" i="1"/>
  <c r="I91" i="1"/>
  <c r="G91" i="1"/>
  <c r="I90" i="1"/>
  <c r="G90" i="1"/>
  <c r="I88" i="1"/>
  <c r="G88" i="1"/>
  <c r="I86" i="1"/>
  <c r="I84" i="1"/>
  <c r="G84" i="1"/>
  <c r="I83" i="1"/>
  <c r="I82" i="1"/>
  <c r="G82" i="1"/>
  <c r="I81" i="1"/>
  <c r="G81" i="1"/>
  <c r="I80" i="1"/>
  <c r="I79" i="1"/>
  <c r="G79" i="1"/>
  <c r="I78" i="1"/>
  <c r="G78" i="1"/>
  <c r="I77" i="1"/>
  <c r="G77" i="1"/>
  <c r="I76" i="1"/>
  <c r="G76" i="1"/>
  <c r="I75" i="1"/>
  <c r="G75" i="1"/>
  <c r="G134" i="1" l="1"/>
  <c r="I134" i="1"/>
  <c r="E17" i="1"/>
  <c r="E92" i="3" s="1"/>
  <c r="G42" i="3"/>
  <c r="F42" i="3"/>
  <c r="E42" i="3"/>
  <c r="C41" i="3"/>
  <c r="D41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F25" i="3"/>
  <c r="E25" i="3"/>
  <c r="C24" i="3"/>
  <c r="D24" i="3"/>
  <c r="F20" i="3"/>
  <c r="E20" i="3"/>
  <c r="C19" i="3"/>
  <c r="D19" i="3"/>
  <c r="E17" i="3"/>
  <c r="F17" i="3"/>
  <c r="E18" i="3"/>
  <c r="F18" i="3"/>
  <c r="F16" i="3"/>
  <c r="E16" i="3"/>
  <c r="C15" i="3"/>
  <c r="D15" i="3"/>
  <c r="E13" i="3"/>
  <c r="F13" i="3"/>
  <c r="E14" i="3"/>
  <c r="F14" i="3"/>
  <c r="F12" i="3"/>
  <c r="E12" i="3"/>
  <c r="C11" i="3"/>
  <c r="D11" i="3"/>
  <c r="E10" i="3"/>
  <c r="F10" i="3"/>
  <c r="F9" i="3"/>
  <c r="E9" i="3"/>
  <c r="C8" i="3"/>
  <c r="D8" i="3"/>
  <c r="E7" i="3"/>
  <c r="F7" i="3"/>
  <c r="F6" i="3"/>
  <c r="E6" i="3"/>
  <c r="C5" i="3"/>
  <c r="D5" i="3"/>
  <c r="A1" i="3"/>
  <c r="H42" i="3" l="1"/>
  <c r="I42" i="3" s="1"/>
  <c r="L31" i="2"/>
  <c r="G18" i="2"/>
  <c r="C18" i="2"/>
  <c r="B18" i="2"/>
  <c r="G127" i="1"/>
  <c r="I126" i="1"/>
  <c r="M126" i="1" s="1"/>
  <c r="I125" i="1"/>
  <c r="M125" i="1" s="1"/>
  <c r="N125" i="1" s="1"/>
  <c r="I124" i="1"/>
  <c r="M124" i="1" s="1"/>
  <c r="N124" i="1" s="1"/>
  <c r="M123" i="1"/>
  <c r="D86" i="3" l="1"/>
  <c r="D98" i="3"/>
  <c r="C98" i="3"/>
  <c r="C86" i="3"/>
  <c r="G122" i="1"/>
  <c r="I122" i="1"/>
  <c r="J119" i="1" s="1"/>
  <c r="N123" i="1"/>
  <c r="M127" i="1"/>
  <c r="I127" i="1"/>
  <c r="G128" i="1" l="1"/>
  <c r="G129" i="1" s="1"/>
  <c r="D18" i="2"/>
  <c r="K122" i="1"/>
  <c r="E18" i="2"/>
  <c r="J121" i="1"/>
  <c r="J120" i="1"/>
  <c r="J118" i="1"/>
  <c r="I128" i="1"/>
  <c r="I129" i="1" s="1"/>
  <c r="N127" i="1"/>
  <c r="O127" i="1" s="1"/>
  <c r="S122" i="1" l="1"/>
  <c r="T121" i="1" s="1"/>
  <c r="J122" i="1"/>
  <c r="M121" i="1" l="1"/>
  <c r="N121" i="1" s="1"/>
  <c r="O121" i="1" s="1"/>
  <c r="T118" i="1"/>
  <c r="M118" i="1"/>
  <c r="N118" i="1" l="1"/>
  <c r="O118" i="1" l="1"/>
  <c r="C14" i="2"/>
  <c r="D83" i="3" l="1"/>
  <c r="D95" i="3"/>
  <c r="I60" i="1"/>
  <c r="G60" i="1"/>
  <c r="I21" i="1"/>
  <c r="G21" i="1"/>
  <c r="I46" i="1" l="1"/>
  <c r="G46" i="1"/>
  <c r="I33" i="1"/>
  <c r="G33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I66" i="1" l="1"/>
  <c r="M66" i="1" s="1"/>
  <c r="I65" i="1"/>
  <c r="M65" i="1" s="1"/>
  <c r="I64" i="1"/>
  <c r="M64" i="1" s="1"/>
  <c r="I52" i="1"/>
  <c r="M52" i="1" s="1"/>
  <c r="I51" i="1"/>
  <c r="M51" i="1" s="1"/>
  <c r="I50" i="1"/>
  <c r="M50" i="1" s="1"/>
  <c r="I39" i="1"/>
  <c r="M39" i="1" s="1"/>
  <c r="I37" i="1"/>
  <c r="I26" i="1"/>
  <c r="M26" i="1" s="1"/>
  <c r="I25" i="1"/>
  <c r="M25" i="1" s="1"/>
  <c r="I24" i="1"/>
  <c r="M24" i="1" s="1"/>
  <c r="I14" i="1"/>
  <c r="I13" i="1"/>
  <c r="I12" i="1"/>
  <c r="B27" i="2"/>
  <c r="I135" i="1" l="1"/>
  <c r="I137" i="1"/>
  <c r="E27" i="2" s="1"/>
  <c r="M13" i="1"/>
  <c r="M12" i="1"/>
  <c r="M14" i="1"/>
  <c r="M137" i="1" s="1"/>
  <c r="I27" i="1"/>
  <c r="I53" i="1"/>
  <c r="M37" i="1"/>
  <c r="G40" i="1"/>
  <c r="I38" i="1"/>
  <c r="M38" i="1" s="1"/>
  <c r="G15" i="1"/>
  <c r="G67" i="1"/>
  <c r="D27" i="2"/>
  <c r="G53" i="1"/>
  <c r="G27" i="1"/>
  <c r="I136" i="1" l="1"/>
  <c r="I138" i="1" s="1"/>
  <c r="J27" i="2"/>
  <c r="I15" i="1"/>
  <c r="I67" i="1"/>
  <c r="I40" i="1"/>
  <c r="I107" i="1"/>
  <c r="G107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74" i="1"/>
  <c r="G74" i="1"/>
  <c r="I73" i="1"/>
  <c r="G73" i="1"/>
  <c r="E26" i="2" l="1"/>
  <c r="E25" i="2"/>
  <c r="D26" i="2"/>
  <c r="D25" i="2"/>
  <c r="C13" i="2"/>
  <c r="C19" i="2"/>
  <c r="C15" i="2"/>
  <c r="B15" i="2"/>
  <c r="B19" i="2"/>
  <c r="B14" i="2"/>
  <c r="B13" i="2"/>
  <c r="C12" i="2"/>
  <c r="C11" i="2"/>
  <c r="B12" i="2"/>
  <c r="B11" i="2"/>
  <c r="N51" i="1"/>
  <c r="N50" i="1"/>
  <c r="M49" i="1"/>
  <c r="I47" i="1"/>
  <c r="G47" i="1"/>
  <c r="I45" i="1"/>
  <c r="G45" i="1"/>
  <c r="N25" i="1"/>
  <c r="N24" i="1"/>
  <c r="M23" i="1"/>
  <c r="I20" i="1"/>
  <c r="G20" i="1"/>
  <c r="N37" i="1"/>
  <c r="M36" i="1"/>
  <c r="I34" i="1"/>
  <c r="G34" i="1"/>
  <c r="I32" i="1"/>
  <c r="G32" i="1"/>
  <c r="N65" i="1"/>
  <c r="N64" i="1"/>
  <c r="M63" i="1"/>
  <c r="I61" i="1"/>
  <c r="J59" i="1" s="1"/>
  <c r="I58" i="1"/>
  <c r="C97" i="3" l="1"/>
  <c r="C85" i="3"/>
  <c r="C80" i="3"/>
  <c r="C92" i="3"/>
  <c r="D85" i="3"/>
  <c r="D97" i="3"/>
  <c r="C93" i="3"/>
  <c r="C81" i="3"/>
  <c r="D96" i="3"/>
  <c r="D84" i="3"/>
  <c r="D92" i="3"/>
  <c r="D80" i="3"/>
  <c r="D94" i="3"/>
  <c r="D82" i="3"/>
  <c r="D81" i="3"/>
  <c r="D93" i="3"/>
  <c r="C94" i="3"/>
  <c r="C82" i="3"/>
  <c r="C83" i="3"/>
  <c r="C95" i="3"/>
  <c r="C84" i="3"/>
  <c r="C96" i="3"/>
  <c r="N23" i="1"/>
  <c r="M27" i="1"/>
  <c r="N63" i="1"/>
  <c r="M67" i="1"/>
  <c r="N49" i="1"/>
  <c r="M53" i="1"/>
  <c r="N36" i="1"/>
  <c r="M40" i="1"/>
  <c r="N40" i="1" s="1"/>
  <c r="O40" i="1" s="1"/>
  <c r="G138" i="1"/>
  <c r="E24" i="2"/>
  <c r="E28" i="2" s="1"/>
  <c r="G48" i="1"/>
  <c r="D14" i="2" s="1"/>
  <c r="D24" i="2"/>
  <c r="D28" i="2" s="1"/>
  <c r="G22" i="1"/>
  <c r="D12" i="2" s="1"/>
  <c r="I48" i="1"/>
  <c r="I22" i="1"/>
  <c r="G35" i="1"/>
  <c r="N38" i="1"/>
  <c r="I35" i="1"/>
  <c r="J34" i="1" s="1"/>
  <c r="I62" i="1"/>
  <c r="G62" i="1"/>
  <c r="G72" i="1"/>
  <c r="I72" i="1"/>
  <c r="G114" i="1"/>
  <c r="M112" i="1"/>
  <c r="M136" i="1" s="1"/>
  <c r="M111" i="1"/>
  <c r="M135" i="1" s="1"/>
  <c r="B25" i="2"/>
  <c r="B26" i="2"/>
  <c r="B24" i="2"/>
  <c r="M11" i="1"/>
  <c r="M134" i="1" s="1"/>
  <c r="I9" i="1"/>
  <c r="I8" i="1"/>
  <c r="G9" i="1"/>
  <c r="A2" i="1"/>
  <c r="A1" i="1"/>
  <c r="A11" i="2"/>
  <c r="A12" i="2" s="1"/>
  <c r="A13" i="2" s="1"/>
  <c r="A14" i="2" s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M138" i="1" l="1"/>
  <c r="M15" i="1"/>
  <c r="N110" i="1"/>
  <c r="J21" i="1"/>
  <c r="E14" i="2"/>
  <c r="J46" i="1"/>
  <c r="N111" i="1"/>
  <c r="N112" i="1"/>
  <c r="J26" i="2"/>
  <c r="J47" i="1"/>
  <c r="J33" i="1"/>
  <c r="J61" i="1"/>
  <c r="J60" i="1"/>
  <c r="J45" i="1"/>
  <c r="J32" i="1"/>
  <c r="J58" i="1"/>
  <c r="J20" i="1"/>
  <c r="G54" i="1"/>
  <c r="G55" i="1" s="1"/>
  <c r="G28" i="1"/>
  <c r="G29" i="1" s="1"/>
  <c r="N12" i="1"/>
  <c r="J25" i="2"/>
  <c r="N13" i="1"/>
  <c r="G41" i="1"/>
  <c r="G42" i="1" s="1"/>
  <c r="D13" i="2"/>
  <c r="I54" i="1"/>
  <c r="I55" i="1" s="1"/>
  <c r="G68" i="1"/>
  <c r="G69" i="1" s="1"/>
  <c r="D19" i="2"/>
  <c r="I68" i="1"/>
  <c r="I69" i="1" s="1"/>
  <c r="E19" i="2"/>
  <c r="I41" i="1"/>
  <c r="I42" i="1" s="1"/>
  <c r="E13" i="2"/>
  <c r="I28" i="1"/>
  <c r="I29" i="1" s="1"/>
  <c r="E12" i="2"/>
  <c r="N53" i="1"/>
  <c r="O53" i="1" s="1"/>
  <c r="N27" i="1"/>
  <c r="O27" i="1" s="1"/>
  <c r="N67" i="1"/>
  <c r="O67" i="1" s="1"/>
  <c r="G10" i="1"/>
  <c r="I10" i="1"/>
  <c r="I114" i="1"/>
  <c r="I109" i="1"/>
  <c r="J85" i="1" s="1"/>
  <c r="N11" i="1"/>
  <c r="G19" i="2" l="1"/>
  <c r="N134" i="1"/>
  <c r="N135" i="1"/>
  <c r="N136" i="1"/>
  <c r="G133" i="1"/>
  <c r="G139" i="1" s="1"/>
  <c r="G12" i="2"/>
  <c r="I133" i="1"/>
  <c r="I139" i="1" s="1"/>
  <c r="G13" i="2"/>
  <c r="G14" i="2"/>
  <c r="D15" i="2"/>
  <c r="J90" i="1"/>
  <c r="J83" i="1"/>
  <c r="J75" i="1"/>
  <c r="J79" i="1"/>
  <c r="J93" i="1"/>
  <c r="J82" i="1"/>
  <c r="J86" i="1"/>
  <c r="J76" i="1"/>
  <c r="J88" i="1"/>
  <c r="J78" i="1"/>
  <c r="J84" i="1"/>
  <c r="J91" i="1"/>
  <c r="J80" i="1"/>
  <c r="J81" i="1"/>
  <c r="J77" i="1"/>
  <c r="J62" i="1"/>
  <c r="J48" i="1"/>
  <c r="J24" i="2"/>
  <c r="J28" i="2" s="1"/>
  <c r="J35" i="1"/>
  <c r="E15" i="2"/>
  <c r="J22" i="1"/>
  <c r="J105" i="1"/>
  <c r="J98" i="1"/>
  <c r="J102" i="1"/>
  <c r="J99" i="1"/>
  <c r="J107" i="1"/>
  <c r="J96" i="1"/>
  <c r="J97" i="1"/>
  <c r="J103" i="1"/>
  <c r="J100" i="1"/>
  <c r="J104" i="1"/>
  <c r="J101" i="1"/>
  <c r="J95" i="1"/>
  <c r="J74" i="1"/>
  <c r="J94" i="1"/>
  <c r="J73" i="1"/>
  <c r="J9" i="1"/>
  <c r="J8" i="1"/>
  <c r="G115" i="1"/>
  <c r="E11" i="2"/>
  <c r="G16" i="1"/>
  <c r="D11" i="2"/>
  <c r="J72" i="1"/>
  <c r="I115" i="1"/>
  <c r="M114" i="1"/>
  <c r="I16" i="1"/>
  <c r="I17" i="1" s="1"/>
  <c r="N15" i="1"/>
  <c r="N138" i="1" l="1"/>
  <c r="G11" i="2"/>
  <c r="G15" i="2"/>
  <c r="D16" i="2"/>
  <c r="D21" i="2" s="1"/>
  <c r="E16" i="2"/>
  <c r="E21" i="2" s="1"/>
  <c r="G17" i="1"/>
  <c r="J109" i="1"/>
  <c r="N114" i="1"/>
  <c r="O114" i="1" s="1"/>
  <c r="J10" i="1"/>
  <c r="D30" i="2" l="1"/>
  <c r="D32" i="2" s="1"/>
  <c r="D33" i="2" s="1"/>
  <c r="G16" i="2"/>
  <c r="G21" i="2" s="1"/>
  <c r="F11" i="2"/>
  <c r="F14" i="2"/>
  <c r="F12" i="2"/>
  <c r="F15" i="2"/>
  <c r="F16" i="2"/>
  <c r="F13" i="2"/>
  <c r="H13" i="2" l="1"/>
  <c r="I13" i="2" s="1"/>
  <c r="K35" i="1" s="1"/>
  <c r="S35" i="1" s="1"/>
  <c r="L33" i="1" s="1"/>
  <c r="G13" i="3" s="1"/>
  <c r="H13" i="3" s="1"/>
  <c r="I13" i="3" s="1"/>
  <c r="H14" i="2"/>
  <c r="I14" i="2" s="1"/>
  <c r="K48" i="1" s="1"/>
  <c r="S48" i="1" s="1"/>
  <c r="L47" i="1" s="1"/>
  <c r="G18" i="3" s="1"/>
  <c r="H18" i="3" s="1"/>
  <c r="I18" i="3" s="1"/>
  <c r="H12" i="2"/>
  <c r="I12" i="2" s="1"/>
  <c r="K22" i="1" s="1"/>
  <c r="S22" i="1" s="1"/>
  <c r="H11" i="2"/>
  <c r="I11" i="2" s="1"/>
  <c r="K10" i="1" s="1"/>
  <c r="S10" i="1" s="1"/>
  <c r="L9" i="1" s="1"/>
  <c r="H15" i="2"/>
  <c r="I15" i="2" s="1"/>
  <c r="K109" i="1" s="1"/>
  <c r="S109" i="1" s="1"/>
  <c r="E30" i="2"/>
  <c r="L79" i="1" l="1"/>
  <c r="M79" i="1" s="1"/>
  <c r="L85" i="1"/>
  <c r="S62" i="1"/>
  <c r="L58" i="1" s="1"/>
  <c r="L8" i="1"/>
  <c r="T8" i="1" s="1"/>
  <c r="L105" i="1"/>
  <c r="G39" i="3" s="1"/>
  <c r="H39" i="3" s="1"/>
  <c r="I39" i="3" s="1"/>
  <c r="L83" i="1"/>
  <c r="T83" i="1" s="1"/>
  <c r="L103" i="1"/>
  <c r="G37" i="3" s="1"/>
  <c r="H37" i="3" s="1"/>
  <c r="I37" i="3" s="1"/>
  <c r="L82" i="1"/>
  <c r="M82" i="1" s="1"/>
  <c r="L100" i="1"/>
  <c r="G34" i="3" s="1"/>
  <c r="H34" i="3" s="1"/>
  <c r="I34" i="3" s="1"/>
  <c r="L77" i="1"/>
  <c r="T77" i="1" s="1"/>
  <c r="L45" i="1"/>
  <c r="G16" i="3" s="1"/>
  <c r="H16" i="3" s="1"/>
  <c r="I16" i="3" s="1"/>
  <c r="L104" i="1"/>
  <c r="G38" i="3" s="1"/>
  <c r="H38" i="3" s="1"/>
  <c r="I38" i="3" s="1"/>
  <c r="L107" i="1"/>
  <c r="M107" i="1" s="1"/>
  <c r="N107" i="1" s="1"/>
  <c r="O107" i="1" s="1"/>
  <c r="L74" i="1"/>
  <c r="G27" i="3" s="1"/>
  <c r="H27" i="3" s="1"/>
  <c r="I27" i="3" s="1"/>
  <c r="L95" i="1"/>
  <c r="G29" i="3" s="1"/>
  <c r="H29" i="3" s="1"/>
  <c r="I29" i="3" s="1"/>
  <c r="L81" i="1"/>
  <c r="M81" i="1" s="1"/>
  <c r="L96" i="1"/>
  <c r="M96" i="1" s="1"/>
  <c r="N96" i="1" s="1"/>
  <c r="O96" i="1" s="1"/>
  <c r="L90" i="1"/>
  <c r="M90" i="1" s="1"/>
  <c r="L46" i="1"/>
  <c r="G17" i="3" s="1"/>
  <c r="H17" i="3" s="1"/>
  <c r="I17" i="3" s="1"/>
  <c r="L94" i="1"/>
  <c r="G28" i="3" s="1"/>
  <c r="H28" i="3" s="1"/>
  <c r="I28" i="3" s="1"/>
  <c r="L34" i="1"/>
  <c r="G14" i="3" s="1"/>
  <c r="H14" i="3" s="1"/>
  <c r="I14" i="3" s="1"/>
  <c r="L102" i="1"/>
  <c r="M102" i="1" s="1"/>
  <c r="N102" i="1" s="1"/>
  <c r="O102" i="1" s="1"/>
  <c r="L91" i="1"/>
  <c r="T91" i="1" s="1"/>
  <c r="L32" i="1"/>
  <c r="G12" i="3" s="1"/>
  <c r="H12" i="3" s="1"/>
  <c r="I12" i="3" s="1"/>
  <c r="L73" i="1"/>
  <c r="G26" i="3" s="1"/>
  <c r="H26" i="3" s="1"/>
  <c r="I26" i="3" s="1"/>
  <c r="L75" i="1"/>
  <c r="M75" i="1" s="1"/>
  <c r="L78" i="1"/>
  <c r="M78" i="1" s="1"/>
  <c r="L76" i="1"/>
  <c r="T76" i="1" s="1"/>
  <c r="I16" i="2"/>
  <c r="I21" i="2" s="1"/>
  <c r="L97" i="1"/>
  <c r="G31" i="3" s="1"/>
  <c r="H31" i="3" s="1"/>
  <c r="I31" i="3" s="1"/>
  <c r="L88" i="1"/>
  <c r="M88" i="1" s="1"/>
  <c r="L86" i="1"/>
  <c r="M86" i="1" s="1"/>
  <c r="L101" i="1"/>
  <c r="G35" i="3" s="1"/>
  <c r="H35" i="3" s="1"/>
  <c r="I35" i="3" s="1"/>
  <c r="L98" i="1"/>
  <c r="G32" i="3" s="1"/>
  <c r="H32" i="3" s="1"/>
  <c r="I32" i="3" s="1"/>
  <c r="L84" i="1"/>
  <c r="M84" i="1" s="1"/>
  <c r="L93" i="1"/>
  <c r="M93" i="1" s="1"/>
  <c r="L72" i="1"/>
  <c r="M72" i="1" s="1"/>
  <c r="N72" i="1" s="1"/>
  <c r="O72" i="1" s="1"/>
  <c r="L99" i="1"/>
  <c r="G33" i="3" s="1"/>
  <c r="H33" i="3" s="1"/>
  <c r="I33" i="3" s="1"/>
  <c r="L80" i="1"/>
  <c r="T80" i="1" s="1"/>
  <c r="G7" i="3"/>
  <c r="H7" i="3" s="1"/>
  <c r="I7" i="3" s="1"/>
  <c r="T120" i="1"/>
  <c r="M33" i="1"/>
  <c r="T33" i="1"/>
  <c r="T9" i="1"/>
  <c r="M9" i="1"/>
  <c r="N9" i="1" s="1"/>
  <c r="O9" i="1" s="1"/>
  <c r="M47" i="1"/>
  <c r="T47" i="1"/>
  <c r="T79" i="1" l="1"/>
  <c r="T85" i="1"/>
  <c r="M85" i="1"/>
  <c r="N85" i="1" s="1"/>
  <c r="O85" i="1" s="1"/>
  <c r="T74" i="1"/>
  <c r="M83" i="1"/>
  <c r="N83" i="1" s="1"/>
  <c r="O83" i="1" s="1"/>
  <c r="T102" i="1"/>
  <c r="M105" i="1"/>
  <c r="N105" i="1" s="1"/>
  <c r="O105" i="1" s="1"/>
  <c r="L61" i="1"/>
  <c r="G23" i="3" s="1"/>
  <c r="H23" i="3" s="1"/>
  <c r="I23" i="3" s="1"/>
  <c r="M77" i="1"/>
  <c r="N77" i="1" s="1"/>
  <c r="O77" i="1" s="1"/>
  <c r="T34" i="1"/>
  <c r="M103" i="1"/>
  <c r="N103" i="1" s="1"/>
  <c r="O103" i="1" s="1"/>
  <c r="T103" i="1"/>
  <c r="M91" i="1"/>
  <c r="N91" i="1" s="1"/>
  <c r="O91" i="1" s="1"/>
  <c r="T95" i="1"/>
  <c r="G6" i="3"/>
  <c r="H6" i="3" s="1"/>
  <c r="I6" i="3" s="1"/>
  <c r="M34" i="1"/>
  <c r="N34" i="1" s="1"/>
  <c r="O34" i="1" s="1"/>
  <c r="G36" i="3"/>
  <c r="H36" i="3" s="1"/>
  <c r="I36" i="3" s="1"/>
  <c r="T96" i="1"/>
  <c r="G30" i="3"/>
  <c r="H30" i="3" s="1"/>
  <c r="I30" i="3" s="1"/>
  <c r="G20" i="3"/>
  <c r="H20" i="3" s="1"/>
  <c r="I20" i="3" s="1"/>
  <c r="T58" i="1"/>
  <c r="M58" i="1"/>
  <c r="N58" i="1" s="1"/>
  <c r="T97" i="1"/>
  <c r="G25" i="3"/>
  <c r="H25" i="3" s="1"/>
  <c r="I25" i="3" s="1"/>
  <c r="T72" i="1"/>
  <c r="L60" i="1"/>
  <c r="G22" i="3" s="1"/>
  <c r="H22" i="3" s="1"/>
  <c r="I22" i="3" s="1"/>
  <c r="L59" i="1"/>
  <c r="M95" i="1"/>
  <c r="N95" i="1" s="1"/>
  <c r="O95" i="1" s="1"/>
  <c r="T82" i="1"/>
  <c r="M104" i="1"/>
  <c r="N104" i="1" s="1"/>
  <c r="O104" i="1" s="1"/>
  <c r="M74" i="1"/>
  <c r="N74" i="1" s="1"/>
  <c r="O74" i="1" s="1"/>
  <c r="M76" i="1"/>
  <c r="N76" i="1" s="1"/>
  <c r="O76" i="1" s="1"/>
  <c r="M32" i="1"/>
  <c r="T107" i="1"/>
  <c r="M8" i="1"/>
  <c r="N8" i="1" s="1"/>
  <c r="T100" i="1"/>
  <c r="T105" i="1"/>
  <c r="M97" i="1"/>
  <c r="N97" i="1" s="1"/>
  <c r="O97" i="1" s="1"/>
  <c r="M45" i="1"/>
  <c r="N45" i="1" s="1"/>
  <c r="O45" i="1" s="1"/>
  <c r="T32" i="1"/>
  <c r="M94" i="1"/>
  <c r="N94" i="1" s="1"/>
  <c r="O94" i="1" s="1"/>
  <c r="T81" i="1"/>
  <c r="T94" i="1"/>
  <c r="T75" i="1"/>
  <c r="G40" i="3"/>
  <c r="H40" i="3" s="1"/>
  <c r="I40" i="3" s="1"/>
  <c r="T90" i="1"/>
  <c r="M100" i="1"/>
  <c r="N100" i="1" s="1"/>
  <c r="O100" i="1" s="1"/>
  <c r="T98" i="1"/>
  <c r="T46" i="1"/>
  <c r="T78" i="1"/>
  <c r="M98" i="1"/>
  <c r="N98" i="1" s="1"/>
  <c r="O98" i="1" s="1"/>
  <c r="T73" i="1"/>
  <c r="M73" i="1"/>
  <c r="N73" i="1" s="1"/>
  <c r="O73" i="1" s="1"/>
  <c r="M46" i="1"/>
  <c r="N46" i="1" s="1"/>
  <c r="O46" i="1" s="1"/>
  <c r="T104" i="1"/>
  <c r="T86" i="1"/>
  <c r="T88" i="1"/>
  <c r="M80" i="1"/>
  <c r="N80" i="1" s="1"/>
  <c r="O80" i="1" s="1"/>
  <c r="M101" i="1"/>
  <c r="N101" i="1" s="1"/>
  <c r="O101" i="1" s="1"/>
  <c r="T99" i="1"/>
  <c r="T101" i="1"/>
  <c r="M99" i="1"/>
  <c r="N99" i="1" s="1"/>
  <c r="O99" i="1" s="1"/>
  <c r="T93" i="1"/>
  <c r="T84" i="1"/>
  <c r="N86" i="1"/>
  <c r="O86" i="1" s="1"/>
  <c r="N78" i="1"/>
  <c r="O78" i="1" s="1"/>
  <c r="N81" i="1"/>
  <c r="O81" i="1" s="1"/>
  <c r="N79" i="1"/>
  <c r="O79" i="1" s="1"/>
  <c r="N90" i="1"/>
  <c r="O90" i="1" s="1"/>
  <c r="N82" i="1"/>
  <c r="O82" i="1" s="1"/>
  <c r="N88" i="1"/>
  <c r="O88" i="1" s="1"/>
  <c r="N75" i="1"/>
  <c r="O75" i="1" s="1"/>
  <c r="N93" i="1"/>
  <c r="O93" i="1" s="1"/>
  <c r="N84" i="1"/>
  <c r="O84" i="1" s="1"/>
  <c r="N120" i="1"/>
  <c r="M122" i="1"/>
  <c r="P119" i="1" s="1"/>
  <c r="Q119" i="1" s="1"/>
  <c r="N33" i="1"/>
  <c r="O33" i="1" s="1"/>
  <c r="N47" i="1"/>
  <c r="O47" i="1" s="1"/>
  <c r="M61" i="1" l="1"/>
  <c r="N61" i="1" s="1"/>
  <c r="O61" i="1" s="1"/>
  <c r="T61" i="1"/>
  <c r="M35" i="1"/>
  <c r="P34" i="1" s="1"/>
  <c r="Q34" i="1" s="1"/>
  <c r="G21" i="3"/>
  <c r="H21" i="3" s="1"/>
  <c r="I21" i="3" s="1"/>
  <c r="L158" i="1"/>
  <c r="M10" i="1"/>
  <c r="M16" i="1" s="1"/>
  <c r="O120" i="1"/>
  <c r="N122" i="1"/>
  <c r="T59" i="1"/>
  <c r="M59" i="1"/>
  <c r="N59" i="1" s="1"/>
  <c r="O59" i="1" s="1"/>
  <c r="T60" i="1"/>
  <c r="M60" i="1"/>
  <c r="N60" i="1" s="1"/>
  <c r="O60" i="1" s="1"/>
  <c r="N32" i="1"/>
  <c r="O32" i="1" s="1"/>
  <c r="M48" i="1"/>
  <c r="J14" i="2" s="1"/>
  <c r="O14" i="2" s="1"/>
  <c r="O58" i="1"/>
  <c r="O8" i="1"/>
  <c r="N10" i="1"/>
  <c r="N48" i="1"/>
  <c r="O48" i="1" s="1"/>
  <c r="M109" i="1"/>
  <c r="P118" i="1"/>
  <c r="P121" i="1"/>
  <c r="Q121" i="1" s="1"/>
  <c r="P120" i="1"/>
  <c r="Q120" i="1" s="1"/>
  <c r="J18" i="2"/>
  <c r="R122" i="1"/>
  <c r="M128" i="1"/>
  <c r="M129" i="1" s="1"/>
  <c r="N129" i="1" s="1"/>
  <c r="F98" i="3" s="1"/>
  <c r="O18" i="2" l="1"/>
  <c r="P86" i="1"/>
  <c r="Q86" i="1" s="1"/>
  <c r="P85" i="1"/>
  <c r="Q85" i="1" s="1"/>
  <c r="P8" i="1"/>
  <c r="Q8" i="1" s="1"/>
  <c r="R10" i="1"/>
  <c r="P33" i="1"/>
  <c r="Q33" i="1" s="1"/>
  <c r="P32" i="1"/>
  <c r="Q32" i="1" s="1"/>
  <c r="M41" i="1"/>
  <c r="M42" i="1" s="1"/>
  <c r="N42" i="1" s="1"/>
  <c r="J13" i="2"/>
  <c r="O13" i="2" s="1"/>
  <c r="R35" i="1"/>
  <c r="P9" i="1"/>
  <c r="Q9" i="1" s="1"/>
  <c r="J11" i="2"/>
  <c r="O11" i="2" s="1"/>
  <c r="L172" i="1"/>
  <c r="G73" i="3" s="1"/>
  <c r="H73" i="3" s="1"/>
  <c r="I73" i="3" s="1"/>
  <c r="L164" i="1"/>
  <c r="G65" i="3" s="1"/>
  <c r="H65" i="3" s="1"/>
  <c r="I65" i="3" s="1"/>
  <c r="L168" i="1"/>
  <c r="G69" i="3" s="1"/>
  <c r="H69" i="3" s="1"/>
  <c r="I69" i="3" s="1"/>
  <c r="G59" i="3"/>
  <c r="H59" i="3" s="1"/>
  <c r="I59" i="3" s="1"/>
  <c r="P46" i="1"/>
  <c r="Q46" i="1" s="1"/>
  <c r="P103" i="1"/>
  <c r="Q103" i="1" s="1"/>
  <c r="P104" i="1"/>
  <c r="Q104" i="1" s="1"/>
  <c r="P72" i="1"/>
  <c r="Q72" i="1" s="1"/>
  <c r="R109" i="1"/>
  <c r="P80" i="1"/>
  <c r="Q80" i="1" s="1"/>
  <c r="P77" i="1"/>
  <c r="Q77" i="1" s="1"/>
  <c r="J15" i="2"/>
  <c r="L15" i="2" s="1"/>
  <c r="P96" i="1"/>
  <c r="Q96" i="1" s="1"/>
  <c r="M115" i="1"/>
  <c r="N115" i="1" s="1"/>
  <c r="O115" i="1" s="1"/>
  <c r="N15" i="2" s="1"/>
  <c r="G85" i="3" s="1"/>
  <c r="M62" i="1"/>
  <c r="P60" i="1" s="1"/>
  <c r="Q60" i="1" s="1"/>
  <c r="P73" i="1"/>
  <c r="Q73" i="1" s="1"/>
  <c r="N109" i="1"/>
  <c r="O109" i="1" s="1"/>
  <c r="P102" i="1"/>
  <c r="Q102" i="1" s="1"/>
  <c r="P79" i="1"/>
  <c r="Q79" i="1" s="1"/>
  <c r="P83" i="1"/>
  <c r="Q83" i="1" s="1"/>
  <c r="N35" i="1"/>
  <c r="L13" i="2" s="1"/>
  <c r="P94" i="1"/>
  <c r="Q94" i="1" s="1"/>
  <c r="P97" i="1"/>
  <c r="Q97" i="1" s="1"/>
  <c r="P101" i="1"/>
  <c r="Q101" i="1" s="1"/>
  <c r="P78" i="1"/>
  <c r="Q78" i="1" s="1"/>
  <c r="P90" i="1"/>
  <c r="Q90" i="1" s="1"/>
  <c r="P95" i="1"/>
  <c r="Q95" i="1" s="1"/>
  <c r="P74" i="1"/>
  <c r="Q74" i="1" s="1"/>
  <c r="P76" i="1"/>
  <c r="Q76" i="1" s="1"/>
  <c r="P84" i="1"/>
  <c r="Q84" i="1" s="1"/>
  <c r="P100" i="1"/>
  <c r="Q100" i="1" s="1"/>
  <c r="P98" i="1"/>
  <c r="Q98" i="1" s="1"/>
  <c r="M54" i="1"/>
  <c r="M55" i="1" s="1"/>
  <c r="N55" i="1" s="1"/>
  <c r="F95" i="3" s="1"/>
  <c r="P81" i="1"/>
  <c r="Q81" i="1" s="1"/>
  <c r="P75" i="1"/>
  <c r="Q75" i="1" s="1"/>
  <c r="P99" i="1"/>
  <c r="Q99" i="1" s="1"/>
  <c r="P105" i="1"/>
  <c r="Q105" i="1" s="1"/>
  <c r="P91" i="1"/>
  <c r="Q91" i="1" s="1"/>
  <c r="P93" i="1"/>
  <c r="Q93" i="1" s="1"/>
  <c r="N62" i="1"/>
  <c r="O62" i="1" s="1"/>
  <c r="S157" i="1" s="1"/>
  <c r="P45" i="1"/>
  <c r="Q45" i="1" s="1"/>
  <c r="P47" i="1"/>
  <c r="Q47" i="1" s="1"/>
  <c r="R48" i="1"/>
  <c r="P107" i="1"/>
  <c r="Q107" i="1" s="1"/>
  <c r="P82" i="1"/>
  <c r="Q82" i="1" s="1"/>
  <c r="P88" i="1"/>
  <c r="Q88" i="1" s="1"/>
  <c r="L14" i="2"/>
  <c r="K18" i="2"/>
  <c r="O122" i="1"/>
  <c r="L18" i="2"/>
  <c r="P122" i="1"/>
  <c r="Q122" i="1" s="1"/>
  <c r="Q118" i="1"/>
  <c r="N128" i="1"/>
  <c r="O128" i="1" s="1"/>
  <c r="N18" i="2" s="1"/>
  <c r="O10" i="1"/>
  <c r="L11" i="2"/>
  <c r="M17" i="1"/>
  <c r="N17" i="1" s="1"/>
  <c r="N16" i="1"/>
  <c r="O16" i="1" s="1"/>
  <c r="N11" i="2" s="1"/>
  <c r="S162" i="1" l="1"/>
  <c r="S158" i="1"/>
  <c r="S159" i="1" s="1"/>
  <c r="S160" i="1" s="1"/>
  <c r="F86" i="3"/>
  <c r="N41" i="1"/>
  <c r="O41" i="1" s="1"/>
  <c r="N13" i="2" s="1"/>
  <c r="G82" i="3" s="1"/>
  <c r="P10" i="1"/>
  <c r="Q10" i="1" s="1"/>
  <c r="P35" i="1"/>
  <c r="Q35" i="1" s="1"/>
  <c r="G98" i="3"/>
  <c r="G86" i="3"/>
  <c r="M68" i="1"/>
  <c r="N68" i="1" s="1"/>
  <c r="O68" i="1" s="1"/>
  <c r="N19" i="2" s="1"/>
  <c r="G96" i="3" s="1"/>
  <c r="R62" i="1"/>
  <c r="P59" i="1"/>
  <c r="Q59" i="1" s="1"/>
  <c r="P61" i="1"/>
  <c r="Q61" i="1" s="1"/>
  <c r="J19" i="2"/>
  <c r="O19" i="2" s="1"/>
  <c r="P58" i="1"/>
  <c r="Q58" i="1" s="1"/>
  <c r="O15" i="2"/>
  <c r="O55" i="1"/>
  <c r="O35" i="1"/>
  <c r="N54" i="1"/>
  <c r="O54" i="1" s="1"/>
  <c r="N14" i="2" s="1"/>
  <c r="G83" i="3" s="1"/>
  <c r="G97" i="3"/>
  <c r="P48" i="1"/>
  <c r="Q48" i="1" s="1"/>
  <c r="L19" i="2"/>
  <c r="M19" i="2" s="1"/>
  <c r="M15" i="2"/>
  <c r="F85" i="3"/>
  <c r="M13" i="2"/>
  <c r="F82" i="3"/>
  <c r="G80" i="3"/>
  <c r="G92" i="3"/>
  <c r="M14" i="2"/>
  <c r="F83" i="3"/>
  <c r="O42" i="1"/>
  <c r="F94" i="3"/>
  <c r="O17" i="1"/>
  <c r="F92" i="3"/>
  <c r="M11" i="2"/>
  <c r="F80" i="3"/>
  <c r="P109" i="1"/>
  <c r="Q109" i="1" s="1"/>
  <c r="M18" i="2"/>
  <c r="G94" i="3" l="1"/>
  <c r="M69" i="1"/>
  <c r="N69" i="1" s="1"/>
  <c r="O69" i="1" s="1"/>
  <c r="G84" i="3"/>
  <c r="P62" i="1"/>
  <c r="Q62" i="1" s="1"/>
  <c r="G95" i="3"/>
  <c r="F84" i="3"/>
  <c r="L20" i="1"/>
  <c r="M20" i="1" s="1"/>
  <c r="L21" i="1"/>
  <c r="M21" i="1" s="1"/>
  <c r="F96" i="3" l="1"/>
  <c r="G9" i="3"/>
  <c r="H9" i="3" s="1"/>
  <c r="I9" i="3" s="1"/>
  <c r="T21" i="1"/>
  <c r="G10" i="3"/>
  <c r="H10" i="3" s="1"/>
  <c r="I10" i="3" s="1"/>
  <c r="N20" i="1"/>
  <c r="N21" i="1"/>
  <c r="O21" i="1" s="1"/>
  <c r="O20" i="1" l="1"/>
  <c r="N22" i="1"/>
  <c r="M22" i="1"/>
  <c r="M133" i="1" s="1"/>
  <c r="M139" i="1" s="1"/>
  <c r="P20" i="1" l="1"/>
  <c r="Q20" i="1" s="1"/>
  <c r="M28" i="1"/>
  <c r="N28" i="1" s="1"/>
  <c r="O28" i="1" s="1"/>
  <c r="N12" i="2" s="1"/>
  <c r="P21" i="1"/>
  <c r="Q21" i="1" s="1"/>
  <c r="J12" i="2"/>
  <c r="O12" i="2" s="1"/>
  <c r="N133" i="1"/>
  <c r="N139" i="1" s="1"/>
  <c r="R22" i="1"/>
  <c r="G93" i="3" l="1"/>
  <c r="G81" i="3"/>
  <c r="O22" i="1"/>
  <c r="J16" i="2"/>
  <c r="J21" i="2" s="1"/>
  <c r="L12" i="2"/>
  <c r="M29" i="1"/>
  <c r="N29" i="1" s="1"/>
  <c r="P22" i="1"/>
  <c r="Q22" i="1" s="1"/>
  <c r="M12" i="2" l="1"/>
  <c r="F81" i="3"/>
  <c r="O29" i="1"/>
  <c r="F93" i="3"/>
  <c r="O133" i="1"/>
  <c r="L16" i="2"/>
  <c r="L21" i="2" s="1"/>
  <c r="K12" i="2"/>
  <c r="O16" i="2"/>
  <c r="O21" i="2" s="1"/>
  <c r="K11" i="2"/>
  <c r="K16" i="2"/>
  <c r="K14" i="2"/>
  <c r="K15" i="2"/>
  <c r="K13" i="2"/>
  <c r="N141" i="1"/>
  <c r="J30" i="2"/>
  <c r="L30" i="2" s="1"/>
  <c r="F87" i="3" s="1"/>
  <c r="M16" i="2" l="1"/>
  <c r="S155" i="1"/>
  <c r="L155" i="1" s="1"/>
  <c r="G56" i="3" s="1"/>
  <c r="H56" i="3" s="1"/>
  <c r="I56" i="3" s="1"/>
  <c r="S152" i="1"/>
  <c r="S149" i="1"/>
  <c r="L157" i="1"/>
  <c r="G58" i="3" s="1"/>
  <c r="H58" i="3" s="1"/>
  <c r="I58" i="3" s="1"/>
  <c r="S154" i="1"/>
  <c r="S147" i="1"/>
  <c r="S153" i="1"/>
  <c r="S146" i="1"/>
  <c r="L146" i="1" s="1"/>
  <c r="L159" i="1"/>
  <c r="G60" i="3" s="1"/>
  <c r="H60" i="3" s="1"/>
  <c r="I60" i="3" s="1"/>
  <c r="S150" i="1"/>
  <c r="O139" i="1"/>
  <c r="L32" i="2"/>
  <c r="L33" i="2" s="1"/>
  <c r="N30" i="2"/>
  <c r="G87" i="3" s="1"/>
  <c r="T146" i="1" l="1"/>
  <c r="G47" i="3"/>
  <c r="H47" i="3" s="1"/>
  <c r="I47" i="3" s="1"/>
  <c r="L173" i="1"/>
  <c r="L150" i="1"/>
  <c r="L162" i="1"/>
  <c r="L149" i="1"/>
  <c r="L163" i="1"/>
  <c r="L167" i="1"/>
  <c r="L153" i="1"/>
  <c r="T158" i="1"/>
  <c r="T168" i="1"/>
  <c r="L171" i="1"/>
  <c r="L147" i="1"/>
  <c r="L152" i="1"/>
  <c r="T164" i="1"/>
  <c r="L154" i="1"/>
  <c r="L160" i="1"/>
  <c r="G61" i="3" s="1"/>
  <c r="H61" i="3" s="1"/>
  <c r="I61" i="3" s="1"/>
  <c r="L169" i="1"/>
  <c r="T172" i="1"/>
  <c r="L165" i="1"/>
  <c r="G66" i="3" s="1"/>
  <c r="H66" i="3" s="1"/>
  <c r="I66" i="3" s="1"/>
  <c r="T157" i="1"/>
  <c r="T159" i="1"/>
  <c r="T155" i="1"/>
  <c r="M21" i="2"/>
  <c r="T165" i="1" l="1"/>
  <c r="T147" i="1"/>
  <c r="G48" i="3"/>
  <c r="H48" i="3" s="1"/>
  <c r="I48" i="3" s="1"/>
  <c r="T162" i="1"/>
  <c r="G63" i="3"/>
  <c r="H63" i="3" s="1"/>
  <c r="I63" i="3" s="1"/>
  <c r="T154" i="1"/>
  <c r="G55" i="3"/>
  <c r="H55" i="3" s="1"/>
  <c r="I55" i="3" s="1"/>
  <c r="T169" i="1"/>
  <c r="G70" i="3"/>
  <c r="H70" i="3" s="1"/>
  <c r="I70" i="3" s="1"/>
  <c r="T173" i="1"/>
  <c r="G74" i="3"/>
  <c r="H74" i="3" s="1"/>
  <c r="I74" i="3" s="1"/>
  <c r="T163" i="1"/>
  <c r="G64" i="3"/>
  <c r="H64" i="3" s="1"/>
  <c r="I64" i="3" s="1"/>
  <c r="T149" i="1"/>
  <c r="G50" i="3"/>
  <c r="H50" i="3" s="1"/>
  <c r="I50" i="3" s="1"/>
  <c r="T150" i="1"/>
  <c r="G51" i="3"/>
  <c r="H51" i="3" s="1"/>
  <c r="I51" i="3" s="1"/>
  <c r="T167" i="1"/>
  <c r="G68" i="3"/>
  <c r="H68" i="3" s="1"/>
  <c r="I68" i="3" s="1"/>
  <c r="T152" i="1"/>
  <c r="G53" i="3"/>
  <c r="H53" i="3" s="1"/>
  <c r="I53" i="3" s="1"/>
  <c r="T171" i="1"/>
  <c r="G72" i="3"/>
  <c r="H72" i="3" s="1"/>
  <c r="I72" i="3" s="1"/>
  <c r="T160" i="1"/>
  <c r="T153" i="1"/>
  <c r="G54" i="3"/>
  <c r="H54" i="3" s="1"/>
  <c r="I54" i="3" s="1"/>
</calcChain>
</file>

<file path=xl/sharedStrings.xml><?xml version="1.0" encoding="utf-8"?>
<sst xmlns="http://schemas.openxmlformats.org/spreadsheetml/2006/main" count="238" uniqueCount="134">
  <si>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</si>
  <si>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</si>
  <si>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</si>
  <si>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</si>
  <si>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</si>
  <si>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</si>
  <si>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</si>
  <si>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</si>
  <si>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</si>
  <si>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</si>
  <si>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</si>
  <si>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</si>
  <si>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</si>
  <si>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</si>
  <si>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</si>
  <si>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</si>
  <si>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</si>
  <si>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</si>
  <si>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</si>
  <si>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</si>
  <si>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</si>
  <si>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</si>
  <si>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</si>
  <si>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</si>
  <si>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</si>
  <si>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</si>
  <si>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</si>
  <si>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</si>
  <si>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</si>
  <si>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</si>
  <si>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</si>
  <si>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</si>
  <si>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</si>
  <si>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</si>
  <si>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</si>
  <si>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</si>
  <si>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</si>
  <si>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</si>
  <si>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</si>
  <si>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</si>
  <si>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</si>
  <si>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Special</t>
  </si>
  <si>
    <t>TOTAL Base Rates</t>
  </si>
  <si>
    <t>SubTotal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</si>
  <si>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</si>
  <si>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</si>
  <si>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Base %</t>
  </si>
  <si>
    <t>Total %</t>
  </si>
  <si>
    <t>Base Rate Increase</t>
  </si>
  <si>
    <t>Present</t>
  </si>
  <si>
    <t>Proposed</t>
  </si>
  <si>
    <t>Energy Charge per kWh</t>
  </si>
  <si>
    <t>Demand Charge over 10 KW per kW</t>
  </si>
  <si>
    <t>Demand Charge per kW</t>
  </si>
  <si>
    <t>NOLIN RECC</t>
  </si>
  <si>
    <t>AGC Automotive</t>
  </si>
  <si>
    <t>1 - SL 100W HPS</t>
  </si>
  <si>
    <t>1A - SL 70W LED</t>
  </si>
  <si>
    <t>1B - SL 55W  LED</t>
  </si>
  <si>
    <t>4 - SL CITY WE 100 W</t>
  </si>
  <si>
    <t>4A - SL CITY 7O W LED</t>
  </si>
  <si>
    <t>4B - SL CITY 55 W LED</t>
  </si>
  <si>
    <t>5 - SL CITY WP 250 W</t>
  </si>
  <si>
    <t>5A - WP 108 W LED</t>
  </si>
  <si>
    <t>5B - WE 109 W LED</t>
  </si>
  <si>
    <t>6 - SL 400 W HPS</t>
  </si>
  <si>
    <t>6A - SL 208 W LED</t>
  </si>
  <si>
    <t>6B - 202 W LED</t>
  </si>
  <si>
    <t>7 - LT COLONIAL 100 W UG</t>
  </si>
  <si>
    <t>7A - LANT COLONIAL
100 W LED</t>
  </si>
  <si>
    <t>8 - SL ORN UG 400 W</t>
  </si>
  <si>
    <t>10 - SL ORN A-POLE
27,500 HPS</t>
  </si>
  <si>
    <t>11 - SL ORNMENATL A-POLE
50,000 HPS</t>
  </si>
  <si>
    <t>12 - DFL 100 W HPS EP</t>
  </si>
  <si>
    <t>12A - DFL 70 W LED EP</t>
  </si>
  <si>
    <t>13 - DFL 250 W HPS EP</t>
  </si>
  <si>
    <t>13A - DFL 108 W LED EP</t>
  </si>
  <si>
    <t>13B - DFL 109 W LED EP</t>
  </si>
  <si>
    <t>14 - DFL 400 W HPS EP</t>
  </si>
  <si>
    <t>14A - DFL 208 W LED EP</t>
  </si>
  <si>
    <t>14B - DFL 202 W LED EP</t>
  </si>
  <si>
    <t>15 - DEL 400 W 
CONTEMPARY UG</t>
  </si>
  <si>
    <t>21 - COLONIAL 20' 
FLUTED POLE</t>
  </si>
  <si>
    <t>21 A- COLONIAL 20' 
FLUTED POLE 35-70 W LED</t>
  </si>
  <si>
    <t>22 - SL ORN UG 400W
20' FLUTED POLE</t>
  </si>
  <si>
    <t>23 - 20 FT FP COLONIAL</t>
  </si>
  <si>
    <t>25 - COLONIAL CONSTPD
HPS FIXTURE</t>
  </si>
  <si>
    <t>Residential</t>
  </si>
  <si>
    <t>Commercial</t>
  </si>
  <si>
    <t>Large Power</t>
  </si>
  <si>
    <t>Industrial</t>
  </si>
  <si>
    <t>Demand Charge -Contract per kW</t>
  </si>
  <si>
    <t>Demand Charge - Excess per kW</t>
  </si>
  <si>
    <t>5,6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</si>
  <si>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</si>
  <si>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</si>
  <si>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</si>
  <si>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</si>
  <si>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</si>
  <si>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</si>
  <si>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</si>
  <si>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</si>
  <si>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</si>
  <si>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</si>
  <si>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RATES WITH NO CURRENT MEMBERS</t>
  </si>
  <si>
    <t>Interruptible Credit per kW</t>
  </si>
  <si>
    <t>Seasonal TOD</t>
  </si>
  <si>
    <t>Consumer Charge New Substation</t>
  </si>
  <si>
    <t>Demand - Contract per kW</t>
  </si>
  <si>
    <t>Member Cost of Service Charge</t>
  </si>
  <si>
    <t>Consumer Charge Existing Sub</t>
  </si>
  <si>
    <t>Industrial C</t>
  </si>
  <si>
    <t>Consumer Charge</t>
  </si>
  <si>
    <t>Demand - Excess per kW</t>
  </si>
  <si>
    <t>Same as 9</t>
  </si>
  <si>
    <t>Present &amp; Proposed Rates</t>
  </si>
  <si>
    <t xml:space="preserve">          2023 Revenue</t>
  </si>
  <si>
    <t>7B -  LANT COLONIAL 100 WEQ LED UG CONST</t>
  </si>
  <si>
    <t>7C- LANT COLONIAL 100 WEQ LED UG CONST PD</t>
  </si>
  <si>
    <t xml:space="preserve"> 8A - SL ORN UG 400W</t>
  </si>
  <si>
    <t xml:space="preserve"> 11A - SL ORN AP LED 400WEQ</t>
  </si>
  <si>
    <t xml:space="preserve"> 23A - 20 FT FP COLONIAL SANTA ROSA</t>
  </si>
  <si>
    <t xml:space="preserve"> 25A - COLONIAL CONST PD 20 F9 35070 W LED</t>
  </si>
  <si>
    <t>Incr</t>
  </si>
  <si>
    <t>FAC Roll-In &gt;</t>
  </si>
  <si>
    <t>2023 Rate</t>
  </si>
  <si>
    <t>B</t>
  </si>
  <si>
    <t>G</t>
  </si>
  <si>
    <t>E</t>
  </si>
  <si>
    <t>Tot</t>
  </si>
  <si>
    <t xml:space="preserve">Total Rate B Revenue Increase Allocated by East Kentucky Power Cooperative:   </t>
  </si>
  <si>
    <t>Same as EKPC Rate C</t>
  </si>
  <si>
    <t>2023 Revenue</t>
  </si>
  <si>
    <t>FAC Roll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</si>
</sst>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_(&quot;$&quot;* #,##0.00000_);_(&quot;$&quot;* \(#,##0.00000\);_(&quot;$&quot;* &quot;-&quot;??_);_(@_)"/>
    <numFmt numFmtId="172" formatCode="&quot;$&quot;#,##0.00"/>
    <numFmt numFmtId="173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8" fontId="3" fillId="0" borderId="0" xfId="1" applyNumberFormat="1" applyFont="1"/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/>
    <xf numFmtId="165" fontId="3" fillId="3" borderId="0" xfId="2" applyNumberFormat="1" applyFont="1" applyFill="1" applyAlignment="1"/>
    <xf numFmtId="0" fontId="3" fillId="3" borderId="2" xfId="0" applyFont="1" applyFill="1" applyBorder="1"/>
    <xf numFmtId="165" fontId="3" fillId="3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3" borderId="4" xfId="0" applyFont="1" applyFill="1" applyBorder="1"/>
    <xf numFmtId="0" fontId="3" fillId="2" borderId="0" xfId="0" applyFont="1" applyFill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65" fontId="3" fillId="0" borderId="2" xfId="2" applyNumberFormat="1" applyFont="1" applyBorder="1"/>
    <xf numFmtId="10" fontId="3" fillId="0" borderId="2" xfId="3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Alignment="1">
      <alignment horizontal="center"/>
    </xf>
    <xf numFmtId="172" fontId="3" fillId="0" borderId="0" xfId="0" applyNumberFormat="1" applyFont="1"/>
    <xf numFmtId="164" fontId="7" fillId="0" borderId="0" xfId="1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10" fontId="3" fillId="0" borderId="0" xfId="3" applyNumberFormat="1" applyFont="1" applyAlignment="1">
      <alignment horizontal="right"/>
    </xf>
    <xf numFmtId="169" fontId="3" fillId="0" borderId="0" xfId="1" applyNumberFormat="1" applyFont="1" applyAlignment="1">
      <alignment vertical="center"/>
    </xf>
    <xf numFmtId="0" fontId="9" fillId="0" borderId="0" xfId="0" applyFont="1"/>
    <xf numFmtId="173" fontId="7" fillId="0" borderId="0" xfId="1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3" fillId="5" borderId="0" xfId="0" applyFont="1" applyFill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2" xfId="2" applyNumberFormat="1" applyFont="1" applyFill="1" applyBorder="1" applyAlignment="1"/>
    <xf numFmtId="10" fontId="7" fillId="0" borderId="2" xfId="3" applyNumberFormat="1" applyFont="1" applyFill="1" applyBorder="1" applyAlignment="1"/>
    <xf numFmtId="165" fontId="7" fillId="0" borderId="0" xfId="2" applyNumberFormat="1" applyFont="1" applyFill="1" applyBorder="1" applyAlignment="1"/>
    <xf numFmtId="10" fontId="7" fillId="0" borderId="0" xfId="3" applyNumberFormat="1" applyFont="1" applyFill="1" applyBorder="1" applyAlignment="1"/>
    <xf numFmtId="0" fontId="10" fillId="0" borderId="0" xfId="0" applyFont="1" applyAlignment="1">
      <alignment horizontal="left"/>
    </xf>
    <xf numFmtId="17" fontId="10" fillId="0" borderId="0" xfId="0" applyNumberFormat="1" applyFont="1" applyAlignment="1">
      <alignment horizontal="left"/>
    </xf>
    <xf numFmtId="43" fontId="7" fillId="0" borderId="0" xfId="1" applyFont="1"/>
    <xf numFmtId="169" fontId="7" fillId="0" borderId="0" xfId="1" applyNumberFormat="1" applyFont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7" fillId="0" borderId="6" xfId="0" applyFont="1" applyBorder="1"/>
    <xf numFmtId="164" fontId="7" fillId="0" borderId="0" xfId="1" applyNumberFormat="1" applyFont="1"/>
    <xf numFmtId="43" fontId="7" fillId="0" borderId="0" xfId="1" applyFont="1" applyFill="1"/>
    <xf numFmtId="165" fontId="7" fillId="0" borderId="0" xfId="2" applyNumberFormat="1" applyFont="1"/>
    <xf numFmtId="10" fontId="7" fillId="0" borderId="0" xfId="3" applyNumberFormat="1" applyFont="1"/>
    <xf numFmtId="10" fontId="7" fillId="0" borderId="0" xfId="3" applyNumberFormat="1" applyFont="1" applyFill="1"/>
    <xf numFmtId="10" fontId="7" fillId="0" borderId="0" xfId="0" applyNumberFormat="1" applyFont="1"/>
    <xf numFmtId="168" fontId="7" fillId="0" borderId="0" xfId="1" applyNumberFormat="1" applyFont="1" applyFill="1"/>
    <xf numFmtId="167" fontId="7" fillId="0" borderId="0" xfId="0" applyNumberFormat="1" applyFont="1"/>
    <xf numFmtId="0" fontId="7" fillId="0" borderId="5" xfId="0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10" fontId="7" fillId="0" borderId="5" xfId="3" applyNumberFormat="1" applyFont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44" fontId="7" fillId="0" borderId="5" xfId="2" applyFont="1" applyBorder="1" applyAlignment="1">
      <alignment vertical="center"/>
    </xf>
    <xf numFmtId="170" fontId="7" fillId="0" borderId="0" xfId="3" applyNumberFormat="1" applyFont="1"/>
    <xf numFmtId="0" fontId="7" fillId="0" borderId="5" xfId="0" applyFont="1" applyBorder="1"/>
    <xf numFmtId="165" fontId="7" fillId="0" borderId="5" xfId="2" applyNumberFormat="1" applyFont="1" applyBorder="1"/>
    <xf numFmtId="43" fontId="7" fillId="0" borderId="5" xfId="1" applyFont="1" applyBorder="1"/>
    <xf numFmtId="0" fontId="7" fillId="0" borderId="3" xfId="0" applyFont="1" applyBorder="1" applyAlignment="1">
      <alignment vertical="center"/>
    </xf>
    <xf numFmtId="165" fontId="7" fillId="0" borderId="3" xfId="2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0" fontId="7" fillId="0" borderId="3" xfId="3" applyNumberFormat="1" applyFont="1" applyBorder="1" applyAlignment="1">
      <alignment vertical="center"/>
    </xf>
    <xf numFmtId="44" fontId="7" fillId="0" borderId="0" xfId="0" applyNumberFormat="1" applyFont="1"/>
    <xf numFmtId="166" fontId="7" fillId="0" borderId="0" xfId="0" applyNumberFormat="1" applyFont="1"/>
    <xf numFmtId="0" fontId="7" fillId="4" borderId="0" xfId="0" applyFont="1" applyFill="1"/>
    <xf numFmtId="165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5" xfId="0" applyNumberFormat="1" applyFont="1" applyBorder="1"/>
    <xf numFmtId="165" fontId="7" fillId="4" borderId="0" xfId="0" applyNumberFormat="1" applyFont="1" applyFill="1"/>
    <xf numFmtId="43" fontId="10" fillId="0" borderId="0" xfId="1" applyFont="1" applyFill="1"/>
    <xf numFmtId="165" fontId="7" fillId="0" borderId="0" xfId="2" applyNumberFormat="1" applyFont="1" applyFill="1"/>
    <xf numFmtId="169" fontId="5" fillId="0" borderId="0" xfId="1" applyNumberFormat="1" applyFont="1"/>
    <xf numFmtId="169" fontId="5" fillId="0" borderId="0" xfId="1" applyNumberFormat="1" applyFont="1" applyBorder="1"/>
    <xf numFmtId="164" fontId="7" fillId="0" borderId="0" xfId="1" applyNumberFormat="1" applyFont="1" applyFill="1"/>
    <xf numFmtId="164" fontId="3" fillId="0" borderId="0" xfId="1" applyNumberFormat="1" applyFont="1"/>
    <xf numFmtId="0" fontId="8" fillId="0" borderId="0" xfId="0" applyFont="1" applyAlignment="1">
      <alignment vertical="top" wrapText="1"/>
    </xf>
    <xf numFmtId="173" fontId="3" fillId="0" borderId="0" xfId="1" applyNumberFormat="1" applyFont="1"/>
    <xf numFmtId="6" fontId="7" fillId="0" borderId="1" xfId="0" applyNumberFormat="1" applyFont="1" applyBorder="1"/>
    <xf numFmtId="166" fontId="7" fillId="6" borderId="0" xfId="0" applyNumberFormat="1" applyFont="1" applyFill="1"/>
    <xf numFmtId="168" fontId="7" fillId="0" borderId="0" xfId="1" applyNumberFormat="1" applyFont="1"/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7" fillId="0" borderId="6" xfId="0" applyFont="1" applyFill="1" applyBorder="1"/>
    <xf numFmtId="0" fontId="7" fillId="0" borderId="5" xfId="0" applyFont="1" applyFill="1" applyBorder="1" applyAlignment="1">
      <alignment vertical="center"/>
    </xf>
    <xf numFmtId="0" fontId="7" fillId="0" borderId="0" xfId="0" applyFont="1" applyFill="1"/>
    <xf numFmtId="0" fontId="7" fillId="0" borderId="5" xfId="0" applyFont="1" applyFill="1" applyBorder="1"/>
    <xf numFmtId="165" fontId="7" fillId="0" borderId="5" xfId="2" applyNumberFormat="1" applyFont="1" applyFill="1" applyBorder="1"/>
    <xf numFmtId="0" fontId="7" fillId="0" borderId="3" xfId="0" applyFont="1" applyFill="1" applyBorder="1" applyAlignment="1">
      <alignment vertical="center"/>
    </xf>
    <xf numFmtId="165" fontId="7" fillId="0" borderId="3" xfId="2" applyNumberFormat="1" applyFont="1" applyFill="1" applyBorder="1" applyAlignment="1">
      <alignment vertical="center"/>
    </xf>
    <xf numFmtId="44" fontId="7" fillId="0" borderId="0" xfId="0" applyNumberFormat="1" applyFont="1" applyFill="1"/>
    <xf numFmtId="167" fontId="7" fillId="0" borderId="0" xfId="0" applyNumberFormat="1" applyFont="1" applyFill="1"/>
    <xf numFmtId="166" fontId="7" fillId="0" borderId="0" xfId="0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6"/>
  <sheetViews>
    <sheetView view="pageBreakPreview" zoomScaleNormal="75" zoomScaleSheetLayoutView="100" workbookViewId="0">
      <selection activeCell="H10" sqref="H10"/>
    </sheetView>
  </sheetViews>
  <sheetFormatPr defaultColWidth="8.88671875" defaultRowHeight="13.2" x14ac:dyDescent="0.25"/>
  <cols>
    <col min="1" max="1" width="7.88671875" style="2" customWidth="1"/>
    <col min="2" max="2" width="22.44140625" style="2" bestFit="1" customWidth="1"/>
    <col min="3" max="3" width="7.33203125" style="2" bestFit="1" customWidth="1"/>
    <col min="4" max="4" width="19.88671875" style="2" hidden="1" customWidth="1"/>
    <col min="5" max="13" width="13.5546875" style="2" customWidth="1"/>
    <col min="14" max="14" width="7.6640625" style="2" bestFit="1" customWidth="1"/>
    <col min="15" max="15" width="12.33203125" style="2" customWidth="1"/>
    <col min="16" max="16" width="28" style="2" customWidth="1"/>
    <col min="17" max="17" width="13.6640625" style="2" customWidth="1"/>
    <col min="18" max="18" width="19" style="2" customWidth="1"/>
    <col min="19" max="19" width="10.33203125" style="2" customWidth="1"/>
    <col min="20" max="20" width="15.5546875" style="2" bestFit="1" customWidth="1"/>
    <col min="21" max="21" width="8.5546875" style="2" bestFit="1" customWidth="1"/>
    <col min="22" max="22" width="9.33203125" style="2" customWidth="1"/>
    <col min="23" max="16384" width="8.88671875" style="2"/>
  </cols>
  <sheetData>
    <row r="1" spans="1:22" x14ac:dyDescent="0.25">
      <c r="A1" s="1" t="s">
        <v>54</v>
      </c>
    </row>
    <row r="2" spans="1:22" x14ac:dyDescent="0.25">
      <c r="A2" s="1" t="s">
        <v>0</v>
      </c>
      <c r="P2" s="65" t="s">
        <v>126</v>
      </c>
      <c r="Q2" s="142">
        <v>80424.522167999996</v>
      </c>
    </row>
    <row r="3" spans="1:22" x14ac:dyDescent="0.25">
      <c r="A3" s="1"/>
      <c r="P3" s="65" t="s">
        <v>127</v>
      </c>
      <c r="Q3" s="142">
        <v>757858.52355000097</v>
      </c>
    </row>
    <row r="4" spans="1:22" x14ac:dyDescent="0.25">
      <c r="A4" s="1"/>
      <c r="E4" s="12"/>
      <c r="K4" s="26" t="s">
        <v>36</v>
      </c>
      <c r="L4" s="145">
        <v>4365953.7843918279</v>
      </c>
      <c r="M4" s="5"/>
      <c r="P4" s="65" t="s">
        <v>128</v>
      </c>
      <c r="Q4" s="142">
        <v>3527670.7386738285</v>
      </c>
    </row>
    <row r="5" spans="1:22" x14ac:dyDescent="0.25">
      <c r="E5" s="12"/>
      <c r="K5" s="26" t="s">
        <v>44</v>
      </c>
      <c r="L5" s="145">
        <f>757858.52</f>
        <v>757858.52</v>
      </c>
      <c r="M5" s="5"/>
      <c r="P5" s="85" t="s">
        <v>129</v>
      </c>
      <c r="Q5" s="142">
        <f>SUM(Q2:Q4)</f>
        <v>4365953.7843918297</v>
      </c>
    </row>
    <row r="6" spans="1:22" x14ac:dyDescent="0.25">
      <c r="E6" s="12"/>
      <c r="K6" s="26" t="s">
        <v>130</v>
      </c>
      <c r="L6" s="145">
        <v>80424.522167999996</v>
      </c>
      <c r="M6" s="5"/>
    </row>
    <row r="7" spans="1:22" x14ac:dyDescent="0.25">
      <c r="B7" s="3"/>
      <c r="C7" s="3"/>
      <c r="K7" s="26" t="s">
        <v>45</v>
      </c>
      <c r="L7" s="145">
        <f>L4-L6-L5</f>
        <v>3527670.7422238276</v>
      </c>
      <c r="M7" s="5"/>
      <c r="N7" s="5"/>
    </row>
    <row r="8" spans="1:22" x14ac:dyDescent="0.25">
      <c r="M8" s="5"/>
      <c r="N8" s="5"/>
    </row>
    <row r="9" spans="1:22" s="10" customFormat="1" ht="31.95" customHeight="1" x14ac:dyDescent="0.25">
      <c r="A9" s="8" t="s">
        <v>1</v>
      </c>
      <c r="B9" s="8" t="s">
        <v>2</v>
      </c>
      <c r="C9" s="8" t="s">
        <v>11</v>
      </c>
      <c r="D9" s="11" t="s">
        <v>132</v>
      </c>
      <c r="E9" s="11" t="s">
        <v>3</v>
      </c>
      <c r="F9" s="11" t="s">
        <v>20</v>
      </c>
      <c r="G9" s="11" t="s">
        <v>31</v>
      </c>
      <c r="H9" s="11" t="s">
        <v>32</v>
      </c>
      <c r="I9" s="11" t="s">
        <v>33</v>
      </c>
      <c r="J9" s="11" t="s">
        <v>4</v>
      </c>
      <c r="K9" s="11" t="s">
        <v>22</v>
      </c>
      <c r="L9" s="11" t="s">
        <v>48</v>
      </c>
      <c r="M9" s="9" t="s">
        <v>46</v>
      </c>
      <c r="N9" s="9" t="s">
        <v>47</v>
      </c>
      <c r="O9" s="11" t="s">
        <v>35</v>
      </c>
      <c r="Q9" s="2"/>
      <c r="R9" s="2"/>
      <c r="S9" s="2"/>
      <c r="T9" s="2"/>
      <c r="U9" s="2"/>
      <c r="V9" s="2"/>
    </row>
    <row r="10" spans="1:22" x14ac:dyDescent="0.25">
      <c r="A10" s="4">
        <v>1</v>
      </c>
      <c r="B10" s="33" t="s">
        <v>5</v>
      </c>
      <c r="C10" s="33"/>
      <c r="D10" s="33"/>
      <c r="E10" s="34"/>
      <c r="F10" s="35"/>
      <c r="G10" s="35"/>
      <c r="H10" s="10"/>
      <c r="I10" s="10"/>
      <c r="J10" s="34"/>
      <c r="K10" s="35"/>
      <c r="L10" s="34"/>
      <c r="M10" s="36"/>
      <c r="N10" s="36"/>
    </row>
    <row r="11" spans="1:22" x14ac:dyDescent="0.25">
      <c r="A11" s="4">
        <f>A10+1</f>
        <v>2</v>
      </c>
      <c r="B11" s="2" t="str">
        <f>'Billing Detail'!B7</f>
        <v>Residential</v>
      </c>
      <c r="C11" s="15">
        <f>'Billing Detail'!C7</f>
        <v>1</v>
      </c>
      <c r="D11" s="37">
        <f>'Billing Detail'!G10</f>
        <v>48836995.568640001</v>
      </c>
      <c r="E11" s="37">
        <f>'Billing Detail'!I10</f>
        <v>48372118.655679993</v>
      </c>
      <c r="F11" s="36">
        <f t="shared" ref="F11:F16" si="0">E11/E$16</f>
        <v>0.78371704117225383</v>
      </c>
      <c r="G11" s="91">
        <f>E11</f>
        <v>48372118.655679993</v>
      </c>
      <c r="H11" s="92">
        <f>G11/G$16</f>
        <v>0.78371704117225383</v>
      </c>
      <c r="I11" s="93">
        <f>ROUND(L$7*H11,2)</f>
        <v>2764695.68</v>
      </c>
      <c r="J11" s="37">
        <f>'Billing Detail'!M10</f>
        <v>51137171.611968003</v>
      </c>
      <c r="K11" s="36">
        <f t="shared" ref="K11:K16" si="1">J11/J$16</f>
        <v>0.78372731489781033</v>
      </c>
      <c r="L11" s="37">
        <f>'Billing Detail'!N10</f>
        <v>2765052.9562880043</v>
      </c>
      <c r="M11" s="36">
        <f>IF(E11=0,0,L11/E11)</f>
        <v>5.7162122171453077E-2</v>
      </c>
      <c r="N11" s="36">
        <f>'Billing Detail'!O16</f>
        <v>5.102922959838492E-2</v>
      </c>
      <c r="O11" s="12">
        <f>J11-I11-E11</f>
        <v>357.27628801018</v>
      </c>
    </row>
    <row r="12" spans="1:22" x14ac:dyDescent="0.25">
      <c r="A12" s="4">
        <f t="shared" ref="A12:A33" si="2">A11+1</f>
        <v>3</v>
      </c>
      <c r="B12" s="2" t="str">
        <f>'Billing Detail'!B19</f>
        <v>Commercial</v>
      </c>
      <c r="C12" s="15">
        <f>'Billing Detail'!C19</f>
        <v>2</v>
      </c>
      <c r="D12" s="37">
        <f>'Billing Detail'!G22</f>
        <v>4238921.5384</v>
      </c>
      <c r="E12" s="37">
        <f>'Billing Detail'!I22</f>
        <v>4204380.3728</v>
      </c>
      <c r="F12" s="36">
        <f t="shared" si="0"/>
        <v>6.8118673262755669E-2</v>
      </c>
      <c r="G12" s="91">
        <f t="shared" ref="G12:G15" si="3">E12</f>
        <v>4204380.3728</v>
      </c>
      <c r="H12" s="92">
        <f>G12/G$16</f>
        <v>6.8118673262755669E-2</v>
      </c>
      <c r="I12" s="93">
        <f t="shared" ref="I12:I15" si="4">ROUND(L$7*H12,2)</f>
        <v>240300.25</v>
      </c>
      <c r="J12" s="37">
        <f>'Billing Detail'!M22</f>
        <v>4444622.7742800005</v>
      </c>
      <c r="K12" s="36">
        <f t="shared" si="1"/>
        <v>6.8118203702233746E-2</v>
      </c>
      <c r="L12" s="37">
        <f>'Billing Detail'!N22</f>
        <v>240242.40148000012</v>
      </c>
      <c r="M12" s="36">
        <f t="shared" ref="M12:M15" si="5">IF(E12=0,0,L12/E12)</f>
        <v>5.7140976833170161E-2</v>
      </c>
      <c r="N12" s="36">
        <f>'Billing Detail'!O28</f>
        <v>5.114413019543651E-2</v>
      </c>
      <c r="O12" s="12">
        <f t="shared" ref="O12:O16" si="6">J12-I12-E12</f>
        <v>-57.848519999533892</v>
      </c>
    </row>
    <row r="13" spans="1:22" x14ac:dyDescent="0.25">
      <c r="A13" s="4">
        <f t="shared" si="2"/>
        <v>4</v>
      </c>
      <c r="B13" s="2" t="str">
        <f>'Billing Detail'!B31</f>
        <v>Large Power</v>
      </c>
      <c r="C13" s="15">
        <f>'Billing Detail'!C31</f>
        <v>3</v>
      </c>
      <c r="D13" s="37">
        <f>'Billing Detail'!G35</f>
        <v>1683042.13381</v>
      </c>
      <c r="E13" s="37">
        <f>'Billing Detail'!I35</f>
        <v>1892408.7556099999</v>
      </c>
      <c r="F13" s="36">
        <f t="shared" si="0"/>
        <v>3.0660492693986734E-2</v>
      </c>
      <c r="G13" s="91">
        <f t="shared" si="3"/>
        <v>1892408.7556099999</v>
      </c>
      <c r="H13" s="92">
        <f>G13/G$16</f>
        <v>3.0660492693986734E-2</v>
      </c>
      <c r="I13" s="93">
        <f t="shared" si="4"/>
        <v>108160.12</v>
      </c>
      <c r="J13" s="37">
        <f>'Billing Detail'!M35</f>
        <v>2000760.2969669998</v>
      </c>
      <c r="K13" s="36">
        <f t="shared" si="1"/>
        <v>3.0663614076948873E-2</v>
      </c>
      <c r="L13" s="37">
        <f>'Billing Detail'!N35</f>
        <v>108351.54135699991</v>
      </c>
      <c r="M13" s="36">
        <f t="shared" si="5"/>
        <v>5.7255886729436434E-2</v>
      </c>
      <c r="N13" s="36">
        <f>'Billing Detail'!O41</f>
        <v>5.1668941566768482E-2</v>
      </c>
      <c r="O13" s="12">
        <f t="shared" si="6"/>
        <v>191.42135699978098</v>
      </c>
    </row>
    <row r="14" spans="1:22" x14ac:dyDescent="0.25">
      <c r="A14" s="4">
        <f t="shared" si="2"/>
        <v>5</v>
      </c>
      <c r="B14" s="2" t="str">
        <f>'Billing Detail'!B44</f>
        <v>Industrial</v>
      </c>
      <c r="C14" s="15">
        <f>'Billing Detail'!C44</f>
        <v>4</v>
      </c>
      <c r="D14" s="37">
        <f>'Billing Detail'!G48</f>
        <v>6025582.0130399996</v>
      </c>
      <c r="E14" s="37">
        <f>'Billing Detail'!I48</f>
        <v>5923907.521519999</v>
      </c>
      <c r="F14" s="36">
        <f t="shared" si="0"/>
        <v>9.5978166844229343E-2</v>
      </c>
      <c r="G14" s="91">
        <f t="shared" si="3"/>
        <v>5923907.521519999</v>
      </c>
      <c r="H14" s="92">
        <f>G14/G$16</f>
        <v>9.5978166844229343E-2</v>
      </c>
      <c r="I14" s="93">
        <f t="shared" si="4"/>
        <v>338579.37</v>
      </c>
      <c r="J14" s="37">
        <f>'Billing Detail'!M48</f>
        <v>6261832.2102239998</v>
      </c>
      <c r="K14" s="36">
        <f t="shared" si="1"/>
        <v>9.5968720790786222E-2</v>
      </c>
      <c r="L14" s="37">
        <f>'Billing Detail'!N48</f>
        <v>337924.68870400003</v>
      </c>
      <c r="M14" s="36">
        <f t="shared" si="5"/>
        <v>5.7044220808040717E-2</v>
      </c>
      <c r="N14" s="36">
        <f>'Billing Detail'!O54</f>
        <v>5.1551342471176542E-2</v>
      </c>
      <c r="O14" s="12">
        <f t="shared" si="6"/>
        <v>-654.68129599932581</v>
      </c>
    </row>
    <row r="15" spans="1:22" x14ac:dyDescent="0.25">
      <c r="A15" s="4">
        <f t="shared" si="2"/>
        <v>6</v>
      </c>
      <c r="B15" s="2" t="str">
        <f>'Billing Detail'!B71</f>
        <v>Lighting</v>
      </c>
      <c r="C15" s="15" t="str">
        <f>'Billing Detail'!C71</f>
        <v>5,6</v>
      </c>
      <c r="D15" s="37">
        <f>'Billing Detail'!G109</f>
        <v>1372277.2299999997</v>
      </c>
      <c r="E15" s="37">
        <f>'Billing Detail'!I109</f>
        <v>1328591.9299999997</v>
      </c>
      <c r="F15" s="36">
        <f t="shared" si="0"/>
        <v>2.1525626026774589E-2</v>
      </c>
      <c r="G15" s="91">
        <f t="shared" si="3"/>
        <v>1328591.9299999997</v>
      </c>
      <c r="H15" s="92">
        <f>G15/G$16</f>
        <v>2.1525626026774589E-2</v>
      </c>
      <c r="I15" s="93">
        <f t="shared" si="4"/>
        <v>75935.320000000007</v>
      </c>
      <c r="J15" s="37">
        <f>'Billing Detail'!M109</f>
        <v>1404291.6199999999</v>
      </c>
      <c r="K15" s="36">
        <f t="shared" si="1"/>
        <v>2.152214653222078E-2</v>
      </c>
      <c r="L15" s="37">
        <f t="shared" ref="L15:L16" si="7">J15-E15</f>
        <v>75699.690000000177</v>
      </c>
      <c r="M15" s="36">
        <f t="shared" si="5"/>
        <v>5.697738206192491E-2</v>
      </c>
      <c r="N15" s="36">
        <f>'Billing Detail'!O115</f>
        <v>5.2100567448875167E-2</v>
      </c>
      <c r="O15" s="12">
        <f t="shared" si="6"/>
        <v>-235.62999999988824</v>
      </c>
    </row>
    <row r="16" spans="1:22" ht="16.2" customHeight="1" x14ac:dyDescent="0.25">
      <c r="A16" s="4">
        <f t="shared" si="2"/>
        <v>7</v>
      </c>
      <c r="B16" s="39" t="s">
        <v>43</v>
      </c>
      <c r="C16" s="39"/>
      <c r="D16" s="40">
        <f>SUM(D11:D15)</f>
        <v>62156818.483889997</v>
      </c>
      <c r="E16" s="40">
        <f>SUM(E11:E15)</f>
        <v>61721407.235609986</v>
      </c>
      <c r="F16" s="41">
        <f t="shared" si="0"/>
        <v>1</v>
      </c>
      <c r="G16" s="94">
        <f>SUM(G11:G15)</f>
        <v>61721407.235609986</v>
      </c>
      <c r="H16" s="95">
        <v>1</v>
      </c>
      <c r="I16" s="94">
        <f>SUM(I11:I15)</f>
        <v>3527670.74</v>
      </c>
      <c r="J16" s="40">
        <f>SUM(J11:J15)</f>
        <v>65248678.513439007</v>
      </c>
      <c r="K16" s="41">
        <f t="shared" si="1"/>
        <v>1</v>
      </c>
      <c r="L16" s="40">
        <f t="shared" si="7"/>
        <v>3527271.2778290212</v>
      </c>
      <c r="M16" s="41">
        <f t="shared" ref="M16" si="8">L16/E16</f>
        <v>5.7148264043370228E-2</v>
      </c>
      <c r="N16" s="41"/>
      <c r="O16" s="42">
        <f t="shared" si="6"/>
        <v>-399.46217098087072</v>
      </c>
    </row>
    <row r="17" spans="1:17" ht="16.2" customHeight="1" x14ac:dyDescent="0.25">
      <c r="A17" s="4">
        <f t="shared" si="2"/>
        <v>8</v>
      </c>
      <c r="D17" s="43"/>
      <c r="E17" s="43"/>
      <c r="F17" s="44"/>
      <c r="G17" s="96"/>
      <c r="H17" s="97"/>
      <c r="I17" s="96"/>
      <c r="J17" s="43"/>
      <c r="K17" s="44"/>
      <c r="L17" s="43"/>
      <c r="M17" s="44"/>
      <c r="N17" s="44"/>
      <c r="O17" s="12"/>
    </row>
    <row r="18" spans="1:17" ht="16.2" customHeight="1" x14ac:dyDescent="0.25">
      <c r="A18" s="4">
        <f t="shared" si="2"/>
        <v>9</v>
      </c>
      <c r="B18" s="2" t="str">
        <f>'Billing Detail'!B117</f>
        <v>AGC Automotive</v>
      </c>
      <c r="C18" s="2" t="str">
        <f>'Billing Detail'!C117</f>
        <v>Special</v>
      </c>
      <c r="D18" s="43">
        <f>'Billing Detail'!G122</f>
        <v>6516088.7199999988</v>
      </c>
      <c r="E18" s="43">
        <f>'Billing Detail'!I122</f>
        <v>6794436.3115000008</v>
      </c>
      <c r="F18" s="44">
        <v>1</v>
      </c>
      <c r="G18" s="93">
        <f>L6</f>
        <v>80424.522167999996</v>
      </c>
      <c r="H18" s="97">
        <v>1</v>
      </c>
      <c r="I18" s="96">
        <f>L5</f>
        <v>757858.52</v>
      </c>
      <c r="J18" s="43">
        <f>'Billing Detail'!M122</f>
        <v>7552294.8315000013</v>
      </c>
      <c r="K18" s="44">
        <f>J18/J18</f>
        <v>1</v>
      </c>
      <c r="L18" s="43">
        <f>'Billing Detail'!N122</f>
        <v>757858.52000000025</v>
      </c>
      <c r="M18" s="36">
        <f t="shared" ref="M18:M21" si="9">IF(E18=0,0,L18/E18)</f>
        <v>0.11154104406237177</v>
      </c>
      <c r="N18" s="36">
        <f>'Billing Detail'!O128</f>
        <v>9.9805543276796096E-2</v>
      </c>
      <c r="O18" s="12">
        <f>J18-I18-E18</f>
        <v>0</v>
      </c>
    </row>
    <row r="19" spans="1:17" ht="16.2" customHeight="1" x14ac:dyDescent="0.25">
      <c r="A19" s="4">
        <f t="shared" si="2"/>
        <v>10</v>
      </c>
      <c r="B19" s="2" t="str">
        <f>'Billing Detail'!B57</f>
        <v>Industrial</v>
      </c>
      <c r="C19" s="15">
        <f>'Billing Detail'!C57</f>
        <v>9</v>
      </c>
      <c r="D19" s="37">
        <f>'Billing Detail'!G62</f>
        <v>1861086.58</v>
      </c>
      <c r="E19" s="37">
        <f>'Billing Detail'!I62</f>
        <v>885193.87206000008</v>
      </c>
      <c r="F19" s="44">
        <v>1</v>
      </c>
      <c r="G19" s="93">
        <f>E19</f>
        <v>885193.87206000008</v>
      </c>
      <c r="H19" s="97">
        <v>1</v>
      </c>
      <c r="I19" s="96">
        <f>L6</f>
        <v>80424.522167999996</v>
      </c>
      <c r="J19" s="37">
        <f>'Billing Detail'!M62</f>
        <v>965674.58956500003</v>
      </c>
      <c r="K19" s="44">
        <v>1</v>
      </c>
      <c r="L19" s="37">
        <f>'Billing Detail'!N62</f>
        <v>80480.717504999935</v>
      </c>
      <c r="M19" s="36">
        <f t="shared" si="9"/>
        <v>9.0918746779965059E-2</v>
      </c>
      <c r="N19" s="36">
        <f>'Billing Detail'!O68</f>
        <v>8.0709551305519059E-2</v>
      </c>
      <c r="O19" s="12">
        <f>J19-I19-E19</f>
        <v>56.195336999953724</v>
      </c>
    </row>
    <row r="20" spans="1:17" ht="16.2" customHeight="1" x14ac:dyDescent="0.25">
      <c r="A20" s="4">
        <f t="shared" si="2"/>
        <v>11</v>
      </c>
      <c r="D20" s="43"/>
      <c r="E20" s="43"/>
      <c r="F20" s="44"/>
      <c r="G20" s="38"/>
      <c r="H20" s="44"/>
      <c r="I20" s="43"/>
      <c r="J20" s="43"/>
      <c r="K20" s="44"/>
      <c r="L20" s="43"/>
      <c r="M20" s="36"/>
      <c r="N20" s="36"/>
      <c r="O20" s="12"/>
      <c r="Q20" s="65"/>
    </row>
    <row r="21" spans="1:17" ht="16.2" customHeight="1" x14ac:dyDescent="0.25">
      <c r="A21" s="4">
        <f t="shared" si="2"/>
        <v>12</v>
      </c>
      <c r="B21" s="14" t="s">
        <v>42</v>
      </c>
      <c r="C21" s="14"/>
      <c r="D21" s="45">
        <f>D18+D16+D19</f>
        <v>70533993.783889994</v>
      </c>
      <c r="E21" s="45">
        <f>E18+E16+E19</f>
        <v>69401037.419169992</v>
      </c>
      <c r="F21" s="45"/>
      <c r="G21" s="45">
        <f>G18+G16+G19</f>
        <v>62687025.62983799</v>
      </c>
      <c r="H21" s="45"/>
      <c r="I21" s="45">
        <f>I18+I16+I19</f>
        <v>4365953.782168</v>
      </c>
      <c r="J21" s="45">
        <f>J18+J16+J19</f>
        <v>73766647.934504002</v>
      </c>
      <c r="K21" s="45"/>
      <c r="L21" s="45">
        <f>L18+L16+L19</f>
        <v>4365610.5153340213</v>
      </c>
      <c r="M21" s="46">
        <f t="shared" si="9"/>
        <v>6.290411033723467E-2</v>
      </c>
      <c r="N21" s="46"/>
      <c r="O21" s="45">
        <f>O18+O16+O19</f>
        <v>-343.266833980917</v>
      </c>
    </row>
    <row r="22" spans="1:17" ht="12.6" customHeight="1" x14ac:dyDescent="0.25">
      <c r="A22" s="4">
        <f t="shared" si="2"/>
        <v>13</v>
      </c>
    </row>
    <row r="23" spans="1:17" x14ac:dyDescent="0.25">
      <c r="A23" s="4">
        <f t="shared" si="2"/>
        <v>14</v>
      </c>
      <c r="B23" s="33" t="s">
        <v>7</v>
      </c>
      <c r="C23" s="33"/>
      <c r="D23" s="33"/>
    </row>
    <row r="24" spans="1:17" x14ac:dyDescent="0.25">
      <c r="A24" s="4">
        <f t="shared" si="2"/>
        <v>15</v>
      </c>
      <c r="B24" s="2" t="str">
        <f>'Billing Detail'!D11</f>
        <v xml:space="preserve">    FAC</v>
      </c>
      <c r="D24" s="37">
        <f>'Billing Detail'!G134</f>
        <v>7346524</v>
      </c>
      <c r="E24" s="37">
        <f>'Billing Detail'!I134</f>
        <v>-394938.2130000004</v>
      </c>
      <c r="F24" s="47"/>
      <c r="G24" s="48"/>
      <c r="H24" s="48"/>
      <c r="I24" s="48"/>
      <c r="J24" s="37">
        <f>'Billing Detail'!M134</f>
        <v>-394938.2130000004</v>
      </c>
      <c r="K24" s="49"/>
      <c r="L24" s="49"/>
      <c r="M24" s="48"/>
      <c r="N24" s="48"/>
    </row>
    <row r="25" spans="1:17" x14ac:dyDescent="0.25">
      <c r="A25" s="4">
        <f t="shared" si="2"/>
        <v>16</v>
      </c>
      <c r="B25" s="2" t="str">
        <f>'Billing Detail'!D12</f>
        <v xml:space="preserve">    ES</v>
      </c>
      <c r="D25" s="37">
        <f>'Billing Detail'!G135</f>
        <v>8489847</v>
      </c>
      <c r="E25" s="37">
        <f>'Billing Detail'!I135</f>
        <v>8489847</v>
      </c>
      <c r="F25" s="48"/>
      <c r="G25" s="48"/>
      <c r="H25" s="48"/>
      <c r="I25" s="48"/>
      <c r="J25" s="37">
        <f>'Billing Detail'!M135</f>
        <v>8489847</v>
      </c>
      <c r="K25" s="49"/>
      <c r="L25" s="49"/>
      <c r="M25" s="48"/>
      <c r="N25" s="48"/>
    </row>
    <row r="26" spans="1:17" x14ac:dyDescent="0.25">
      <c r="A26" s="4">
        <f t="shared" si="2"/>
        <v>17</v>
      </c>
      <c r="B26" s="2" t="str">
        <f>'Billing Detail'!D13</f>
        <v xml:space="preserve">    Prepay Daily Charges</v>
      </c>
      <c r="D26" s="37">
        <f>'Billing Detail'!G136</f>
        <v>82695.86</v>
      </c>
      <c r="E26" s="37">
        <f>'Billing Detail'!I136</f>
        <v>82695.86</v>
      </c>
      <c r="F26" s="48"/>
      <c r="G26" s="48"/>
      <c r="H26" s="48"/>
      <c r="I26" s="48"/>
      <c r="J26" s="37">
        <f>'Billing Detail'!M136</f>
        <v>82695.86</v>
      </c>
      <c r="K26" s="49"/>
      <c r="L26" s="49"/>
      <c r="M26" s="48"/>
      <c r="N26" s="48"/>
    </row>
    <row r="27" spans="1:17" x14ac:dyDescent="0.25">
      <c r="A27" s="4">
        <f t="shared" si="2"/>
        <v>18</v>
      </c>
      <c r="B27" s="2" t="str">
        <f>'Billing Detail'!D14</f>
        <v xml:space="preserve">    Other</v>
      </c>
      <c r="D27" s="37">
        <f>'Billing Detail'!G137</f>
        <v>0</v>
      </c>
      <c r="E27" s="37">
        <f>'Billing Detail'!I137</f>
        <v>0</v>
      </c>
      <c r="F27" s="48"/>
      <c r="G27" s="48"/>
      <c r="H27" s="48"/>
      <c r="I27" s="48"/>
      <c r="J27" s="37">
        <f>'Billing Detail'!M137</f>
        <v>0</v>
      </c>
      <c r="K27" s="49"/>
      <c r="L27" s="49"/>
      <c r="M27" s="48"/>
      <c r="N27" s="57"/>
    </row>
    <row r="28" spans="1:17" x14ac:dyDescent="0.25">
      <c r="A28" s="4">
        <f t="shared" si="2"/>
        <v>19</v>
      </c>
      <c r="B28" s="39" t="s">
        <v>8</v>
      </c>
      <c r="C28" s="39"/>
      <c r="D28" s="40">
        <f>SUM(D24:D27)</f>
        <v>15919066.859999999</v>
      </c>
      <c r="E28" s="40">
        <f>SUM(E24:E27)</f>
        <v>8177604.6469999999</v>
      </c>
      <c r="F28" s="50"/>
      <c r="G28" s="50"/>
      <c r="H28" s="50"/>
      <c r="I28" s="50"/>
      <c r="J28" s="40">
        <f>SUM(J24:J27)</f>
        <v>8177604.6469999999</v>
      </c>
      <c r="K28" s="51"/>
      <c r="L28" s="51"/>
      <c r="M28" s="50"/>
      <c r="N28" s="48"/>
    </row>
    <row r="29" spans="1:17" x14ac:dyDescent="0.25">
      <c r="A29" s="4">
        <f t="shared" si="2"/>
        <v>20</v>
      </c>
    </row>
    <row r="30" spans="1:17" ht="18" customHeight="1" thickBot="1" x14ac:dyDescent="0.3">
      <c r="A30" s="4">
        <f t="shared" si="2"/>
        <v>21</v>
      </c>
      <c r="B30" s="52" t="s">
        <v>9</v>
      </c>
      <c r="C30" s="52"/>
      <c r="D30" s="53">
        <f>D21+D28</f>
        <v>86453060.643889993</v>
      </c>
      <c r="E30" s="53">
        <f>E21+E28</f>
        <v>77578642.066169992</v>
      </c>
      <c r="F30" s="54"/>
      <c r="G30" s="54"/>
      <c r="H30" s="54"/>
      <c r="I30" s="54"/>
      <c r="J30" s="53">
        <f>J21+J28</f>
        <v>81944252.581504002</v>
      </c>
      <c r="K30" s="55"/>
      <c r="L30" s="54">
        <f t="shared" ref="L30" si="10">J30-E30</f>
        <v>4365610.5153340101</v>
      </c>
      <c r="M30" s="52"/>
      <c r="N30" s="56">
        <f>L30/E30</f>
        <v>5.6273355643559765E-2</v>
      </c>
    </row>
    <row r="31" spans="1:17" ht="18" customHeight="1" thickTop="1" x14ac:dyDescent="0.25">
      <c r="A31" s="4">
        <f t="shared" si="2"/>
        <v>22</v>
      </c>
      <c r="B31" s="2" t="s">
        <v>10</v>
      </c>
      <c r="D31" s="43">
        <v>81074793</v>
      </c>
      <c r="L31" s="43">
        <f>L4</f>
        <v>4365953.7843918279</v>
      </c>
    </row>
    <row r="32" spans="1:17" ht="15" customHeight="1" x14ac:dyDescent="0.25">
      <c r="A32" s="4">
        <f t="shared" si="2"/>
        <v>23</v>
      </c>
      <c r="B32" s="39" t="s">
        <v>37</v>
      </c>
      <c r="C32" s="39"/>
      <c r="D32" s="40">
        <f>D30-D31</f>
        <v>5378267.6438899934</v>
      </c>
      <c r="E32" s="39"/>
      <c r="F32" s="39"/>
      <c r="G32" s="39"/>
      <c r="H32" s="39"/>
      <c r="I32" s="39"/>
      <c r="J32" s="39"/>
      <c r="K32" s="39"/>
      <c r="L32" s="40">
        <f>L30-L31</f>
        <v>-343.26905781775713</v>
      </c>
    </row>
    <row r="33" spans="1:12" ht="15" customHeight="1" x14ac:dyDescent="0.25">
      <c r="A33" s="4">
        <f t="shared" si="2"/>
        <v>24</v>
      </c>
      <c r="B33" s="2" t="s">
        <v>37</v>
      </c>
      <c r="D33" s="36">
        <f>D32/D31</f>
        <v>6.6337112250042907E-2</v>
      </c>
      <c r="L33" s="36">
        <f>L32/L31</f>
        <v>-7.8624070425329547E-5</v>
      </c>
    </row>
    <row r="34" spans="1:12" x14ac:dyDescent="0.25">
      <c r="A34" s="4"/>
    </row>
    <row r="36" spans="1:12" x14ac:dyDescent="0.25">
      <c r="D36" s="12"/>
    </row>
  </sheetData>
  <printOptions horizontalCentered="1"/>
  <pageMargins left="0.7" right="0.7" top="0.75" bottom="0.75" header="0.3" footer="0.3"/>
  <pageSetup scale="68" orientation="landscape" r:id="rId1"/>
  <headerFooter>
    <oddHeader>&amp;R&amp;"Arial,Bold"&amp;10Exhibit 4
Page &amp;P of &amp;N</oddHeader>
  </headerFooter>
  <ignoredErrors>
    <ignoredError sqref="J16 F16 J11:J14 G11:G14 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V181"/>
  <sheetViews>
    <sheetView tabSelected="1" view="pageBreakPreview" zoomScale="91" zoomScaleNormal="75" zoomScaleSheetLayoutView="91" workbookViewId="0">
      <pane xSplit="4" ySplit="5" topLeftCell="E6" activePane="bottomRight" state="frozen"/>
      <selection activeCell="Q8" sqref="Q8"/>
      <selection pane="topRight" activeCell="Q8" sqref="Q8"/>
      <selection pane="bottomLeft" activeCell="Q8" sqref="Q8"/>
      <selection pane="bottomRight" activeCell="H1" sqref="H1"/>
    </sheetView>
  </sheetViews>
  <sheetFormatPr defaultColWidth="8.88671875" defaultRowHeight="13.2" x14ac:dyDescent="0.25"/>
  <cols>
    <col min="1" max="1" width="8.33203125" style="6" customWidth="1"/>
    <col min="2" max="2" width="18.5546875" style="2" customWidth="1"/>
    <col min="3" max="3" width="7.6640625" style="15" customWidth="1"/>
    <col min="4" max="4" width="32.88671875" style="2" bestFit="1" customWidth="1"/>
    <col min="5" max="5" width="13.6640625" style="77" bestFit="1" customWidth="1"/>
    <col min="6" max="6" width="10" style="77" customWidth="1"/>
    <col min="7" max="7" width="13.88671875" style="77" customWidth="1"/>
    <col min="8" max="8" width="11.88671875" style="77" bestFit="1" customWidth="1"/>
    <col min="9" max="9" width="15.33203125" style="77" bestFit="1" customWidth="1"/>
    <col min="10" max="10" width="8.5546875" style="77" bestFit="1" customWidth="1"/>
    <col min="11" max="11" width="13.44140625" style="77" bestFit="1" customWidth="1"/>
    <col min="12" max="12" width="9.88671875" style="77" bestFit="1" customWidth="1"/>
    <col min="13" max="13" width="13.88671875" style="77" bestFit="1" customWidth="1"/>
    <col min="14" max="14" width="19.109375" style="77" customWidth="1"/>
    <col min="15" max="15" width="7.6640625" style="77" bestFit="1" customWidth="1"/>
    <col min="16" max="16" width="9.88671875" style="77" bestFit="1" customWidth="1"/>
    <col min="17" max="17" width="9.44140625" style="77" bestFit="1" customWidth="1"/>
    <col min="18" max="18" width="11.109375" style="77" bestFit="1" customWidth="1"/>
    <col min="19" max="19" width="8.88671875" style="2" customWidth="1"/>
    <col min="20" max="20" width="14.109375" style="2" customWidth="1"/>
    <col min="21" max="21" width="8.88671875" style="2" customWidth="1"/>
    <col min="22" max="22" width="13.6640625" style="2" customWidth="1"/>
    <col min="23" max="16384" width="8.88671875" style="2"/>
  </cols>
  <sheetData>
    <row r="1" spans="1:20" x14ac:dyDescent="0.25">
      <c r="A1" s="29" t="str">
        <f>Summary!A1</f>
        <v>NOLIN RECC</v>
      </c>
      <c r="F1" s="100"/>
    </row>
    <row r="2" spans="1:20" ht="14.4" customHeight="1" x14ac:dyDescent="0.25">
      <c r="A2" s="29" t="str">
        <f>Summary!A2</f>
        <v>Billing Analysis for Pass-Through Rate Increase</v>
      </c>
      <c r="F2" s="101"/>
      <c r="G2" s="101"/>
      <c r="H2" s="101"/>
      <c r="K2" s="27"/>
      <c r="P2" s="102"/>
    </row>
    <row r="3" spans="1:20" x14ac:dyDescent="0.25">
      <c r="K3" s="27"/>
    </row>
    <row r="5" spans="1:20" ht="38.4" customHeight="1" x14ac:dyDescent="0.25">
      <c r="A5" s="17" t="s">
        <v>1</v>
      </c>
      <c r="B5" s="17" t="s">
        <v>12</v>
      </c>
      <c r="C5" s="9" t="s">
        <v>11</v>
      </c>
      <c r="D5" s="17" t="s">
        <v>13</v>
      </c>
      <c r="E5" s="103" t="s">
        <v>14</v>
      </c>
      <c r="F5" s="11" t="s">
        <v>125</v>
      </c>
      <c r="G5" s="11" t="s">
        <v>116</v>
      </c>
      <c r="H5" s="103" t="s">
        <v>23</v>
      </c>
      <c r="I5" s="103" t="s">
        <v>24</v>
      </c>
      <c r="J5" s="103" t="s">
        <v>94</v>
      </c>
      <c r="K5" s="103" t="s">
        <v>10</v>
      </c>
      <c r="L5" s="103" t="s">
        <v>21</v>
      </c>
      <c r="M5" s="103" t="s">
        <v>4</v>
      </c>
      <c r="N5" s="103" t="s">
        <v>15</v>
      </c>
      <c r="O5" s="104" t="s">
        <v>16</v>
      </c>
      <c r="P5" s="103" t="s">
        <v>22</v>
      </c>
      <c r="Q5" s="103" t="s">
        <v>25</v>
      </c>
      <c r="R5" s="103" t="s">
        <v>38</v>
      </c>
      <c r="T5" s="11" t="s">
        <v>34</v>
      </c>
    </row>
    <row r="6" spans="1:20" ht="30.6" customHeight="1" thickBot="1" x14ac:dyDescent="0.3">
      <c r="A6" s="30"/>
      <c r="B6" s="22"/>
      <c r="C6" s="23"/>
      <c r="D6" s="22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P6" s="105"/>
      <c r="Q6" s="105"/>
      <c r="R6" s="105"/>
    </row>
    <row r="7" spans="1:20" x14ac:dyDescent="0.25">
      <c r="A7" s="31">
        <v>1</v>
      </c>
      <c r="B7" s="24" t="s">
        <v>87</v>
      </c>
      <c r="C7" s="25">
        <v>1</v>
      </c>
      <c r="D7" s="24"/>
      <c r="E7" s="107"/>
      <c r="F7" s="150"/>
      <c r="G7" s="150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20" x14ac:dyDescent="0.25">
      <c r="A8" s="31">
        <f>A7+1</f>
        <v>2</v>
      </c>
      <c r="C8" s="2"/>
      <c r="D8" s="2" t="s">
        <v>17</v>
      </c>
      <c r="E8" s="141">
        <v>387556</v>
      </c>
      <c r="F8" s="109">
        <v>13.5</v>
      </c>
      <c r="G8" s="138">
        <f>F8*E8</f>
        <v>5232006</v>
      </c>
      <c r="H8" s="100">
        <v>13.99</v>
      </c>
      <c r="I8" s="110">
        <f>H8*E8</f>
        <v>5421908.4400000004</v>
      </c>
      <c r="J8" s="111">
        <f>I8/I10</f>
        <v>0.1120874708547285</v>
      </c>
      <c r="K8" s="112"/>
      <c r="L8" s="100">
        <f>ROUND(H8*S10,2)</f>
        <v>14.79</v>
      </c>
      <c r="M8" s="110">
        <f>L8*E8</f>
        <v>5731953.2399999993</v>
      </c>
      <c r="N8" s="110">
        <f t="shared" ref="N8:N13" si="0">M8-I8</f>
        <v>310044.79999999888</v>
      </c>
      <c r="O8" s="111">
        <f>IF(I8=0,0,N8/I8)</f>
        <v>5.7183702644746037E-2</v>
      </c>
      <c r="P8" s="111">
        <f>M8/M10</f>
        <v>0.11208975896231439</v>
      </c>
      <c r="Q8" s="113">
        <f>P8-J8</f>
        <v>2.2881075858877109E-6</v>
      </c>
      <c r="R8" s="113"/>
      <c r="T8" s="5">
        <f>L8/H8-1</f>
        <v>5.7183702644746148E-2</v>
      </c>
    </row>
    <row r="9" spans="1:20" x14ac:dyDescent="0.25">
      <c r="A9" s="31">
        <f t="shared" ref="A9:A72" si="1">A8+1</f>
        <v>3</v>
      </c>
      <c r="B9" s="13"/>
      <c r="D9" s="2" t="s">
        <v>51</v>
      </c>
      <c r="E9" s="141">
        <v>414417312</v>
      </c>
      <c r="F9" s="114">
        <f>H9+0.00158</f>
        <v>0.10521999999999999</v>
      </c>
      <c r="G9" s="138">
        <f t="shared" ref="G9" si="2">F9*E9</f>
        <v>43604989.568640001</v>
      </c>
      <c r="H9" s="115">
        <v>0.10364</v>
      </c>
      <c r="I9" s="110">
        <f t="shared" ref="I9" si="3">H9*E9</f>
        <v>42950210.215679996</v>
      </c>
      <c r="J9" s="111">
        <f>I9/I10</f>
        <v>0.88791252914527152</v>
      </c>
      <c r="K9" s="112"/>
      <c r="L9" s="115">
        <f>ROUND(H9*S10,6)</f>
        <v>0.10956399999999999</v>
      </c>
      <c r="M9" s="110">
        <f t="shared" ref="M9" si="4">L9*E9</f>
        <v>45405218.371968001</v>
      </c>
      <c r="N9" s="110">
        <f t="shared" si="0"/>
        <v>2455008.1562880054</v>
      </c>
      <c r="O9" s="111">
        <f t="shared" ref="O9" si="5">IF(I9=0,0,N9/I9)</f>
        <v>5.7159397915862734E-2</v>
      </c>
      <c r="P9" s="111">
        <f>M9/M10</f>
        <v>0.88791024103768557</v>
      </c>
      <c r="Q9" s="113">
        <f t="shared" ref="Q9:Q10" si="6">P9-J9</f>
        <v>-2.2881075859570998E-6</v>
      </c>
      <c r="R9" s="113"/>
      <c r="T9" s="5">
        <f>L9/H9-1</f>
        <v>5.7159397915862664E-2</v>
      </c>
    </row>
    <row r="10" spans="1:20" s="6" customFormat="1" ht="20.399999999999999" customHeight="1" x14ac:dyDescent="0.3">
      <c r="A10" s="31">
        <f t="shared" si="1"/>
        <v>4</v>
      </c>
      <c r="C10" s="16"/>
      <c r="D10" s="18" t="s">
        <v>6</v>
      </c>
      <c r="E10" s="116"/>
      <c r="F10" s="151"/>
      <c r="G10" s="19">
        <f>SUM(G8:G9)</f>
        <v>48836995.568640001</v>
      </c>
      <c r="H10" s="116"/>
      <c r="I10" s="117">
        <f>SUM(I8:I9)</f>
        <v>48372118.655679993</v>
      </c>
      <c r="J10" s="118">
        <f>SUM(J8:J9)</f>
        <v>1</v>
      </c>
      <c r="K10" s="119">
        <f>I10+Summary!I11</f>
        <v>51136814.335679993</v>
      </c>
      <c r="L10" s="116"/>
      <c r="M10" s="19">
        <f>SUM(M8:M9)</f>
        <v>51137171.611968003</v>
      </c>
      <c r="N10" s="19">
        <f>SUM(N8:N9)</f>
        <v>2765052.9562880043</v>
      </c>
      <c r="O10" s="118">
        <f t="shared" ref="O10" si="7">N10/I10</f>
        <v>5.7162122171453077E-2</v>
      </c>
      <c r="P10" s="118">
        <f>SUM(P8:P9)</f>
        <v>1</v>
      </c>
      <c r="Q10" s="120">
        <f t="shared" si="6"/>
        <v>0</v>
      </c>
      <c r="R10" s="121">
        <f>M10-K10</f>
        <v>357.27628801018</v>
      </c>
      <c r="S10" s="6">
        <f>K10/I10</f>
        <v>1.0571547361751823</v>
      </c>
    </row>
    <row r="11" spans="1:20" x14ac:dyDescent="0.25">
      <c r="A11" s="31">
        <f t="shared" si="1"/>
        <v>5</v>
      </c>
      <c r="D11" s="2" t="s">
        <v>26</v>
      </c>
      <c r="F11" s="152"/>
      <c r="G11" s="138">
        <v>4671427</v>
      </c>
      <c r="I11" s="27">
        <f>G11-($H$175*E9)</f>
        <v>-218697.28160000034</v>
      </c>
      <c r="K11" s="27"/>
      <c r="M11" s="110">
        <f>I11</f>
        <v>-218697.28160000034</v>
      </c>
      <c r="N11" s="110">
        <f t="shared" si="0"/>
        <v>0</v>
      </c>
      <c r="O11" s="100">
        <v>0</v>
      </c>
      <c r="R11" s="122"/>
    </row>
    <row r="12" spans="1:20" x14ac:dyDescent="0.25">
      <c r="A12" s="31">
        <f t="shared" si="1"/>
        <v>6</v>
      </c>
      <c r="D12" s="2" t="s">
        <v>27</v>
      </c>
      <c r="F12" s="152"/>
      <c r="G12" s="138">
        <f>5540423+409129</f>
        <v>5949552</v>
      </c>
      <c r="I12" s="27">
        <f>G12</f>
        <v>5949552</v>
      </c>
      <c r="M12" s="110">
        <f t="shared" ref="M12:M14" si="8">I12</f>
        <v>5949552</v>
      </c>
      <c r="N12" s="110">
        <f t="shared" si="0"/>
        <v>0</v>
      </c>
      <c r="O12" s="100">
        <v>0</v>
      </c>
    </row>
    <row r="13" spans="1:20" x14ac:dyDescent="0.25">
      <c r="A13" s="31">
        <f t="shared" si="1"/>
        <v>7</v>
      </c>
      <c r="D13" s="2" t="s">
        <v>40</v>
      </c>
      <c r="E13" s="141">
        <v>26142</v>
      </c>
      <c r="F13" s="152">
        <f>0.104</f>
        <v>0.104</v>
      </c>
      <c r="G13" s="138">
        <f>ROUND(F13*E13*365/12,2)</f>
        <v>82695.86</v>
      </c>
      <c r="I13" s="27">
        <f>G13</f>
        <v>82695.86</v>
      </c>
      <c r="M13" s="110">
        <f t="shared" si="8"/>
        <v>82695.86</v>
      </c>
      <c r="N13" s="110">
        <f t="shared" si="0"/>
        <v>0</v>
      </c>
      <c r="O13" s="100">
        <v>0</v>
      </c>
    </row>
    <row r="14" spans="1:20" x14ac:dyDescent="0.25">
      <c r="A14" s="31">
        <f t="shared" si="1"/>
        <v>8</v>
      </c>
      <c r="D14" s="2" t="s">
        <v>39</v>
      </c>
      <c r="F14" s="152"/>
      <c r="G14" s="138">
        <v>0</v>
      </c>
      <c r="I14" s="27">
        <f>G14</f>
        <v>0</v>
      </c>
      <c r="M14" s="110">
        <f t="shared" si="8"/>
        <v>0</v>
      </c>
      <c r="N14" s="110"/>
      <c r="O14" s="100">
        <v>0</v>
      </c>
    </row>
    <row r="15" spans="1:20" x14ac:dyDescent="0.25">
      <c r="A15" s="31">
        <f t="shared" si="1"/>
        <v>9</v>
      </c>
      <c r="D15" s="14" t="s">
        <v>8</v>
      </c>
      <c r="E15" s="123"/>
      <c r="F15" s="153"/>
      <c r="G15" s="154">
        <f>SUM(G11:G14)</f>
        <v>10703674.859999999</v>
      </c>
      <c r="H15" s="123"/>
      <c r="I15" s="124">
        <f>SUM(I11:I14)</f>
        <v>5813550.5784</v>
      </c>
      <c r="J15" s="123"/>
      <c r="K15" s="123"/>
      <c r="L15" s="123"/>
      <c r="M15" s="124">
        <f>SUM(M11:M14)</f>
        <v>5813550.5784</v>
      </c>
      <c r="N15" s="124">
        <f>M15-I15</f>
        <v>0</v>
      </c>
      <c r="O15" s="125">
        <v>0</v>
      </c>
    </row>
    <row r="16" spans="1:20" s="6" customFormat="1" ht="26.4" customHeight="1" thickBot="1" x14ac:dyDescent="0.3">
      <c r="A16" s="31">
        <f t="shared" si="1"/>
        <v>10</v>
      </c>
      <c r="C16" s="16"/>
      <c r="D16" s="7" t="s">
        <v>19</v>
      </c>
      <c r="E16" s="126"/>
      <c r="F16" s="155"/>
      <c r="G16" s="156">
        <f>G10+G15</f>
        <v>59540670.428640001</v>
      </c>
      <c r="H16" s="126"/>
      <c r="I16" s="128">
        <f>I15+I10</f>
        <v>54185669.234079994</v>
      </c>
      <c r="J16" s="126"/>
      <c r="K16" s="126"/>
      <c r="L16" s="126"/>
      <c r="M16" s="127">
        <f>M15+M10</f>
        <v>56950722.190368004</v>
      </c>
      <c r="N16" s="127">
        <f>M16-I16</f>
        <v>2765052.9562880099</v>
      </c>
      <c r="O16" s="129">
        <f>N16/I16</f>
        <v>5.102922959838492E-2</v>
      </c>
      <c r="P16" s="77"/>
      <c r="Q16" s="77"/>
      <c r="R16" s="77"/>
    </row>
    <row r="17" spans="1:22" ht="13.8" thickTop="1" x14ac:dyDescent="0.25">
      <c r="A17" s="31">
        <f t="shared" si="1"/>
        <v>11</v>
      </c>
      <c r="D17" s="2" t="s">
        <v>18</v>
      </c>
      <c r="E17" s="109">
        <f>E9/E8</f>
        <v>1069.3094984982815</v>
      </c>
      <c r="F17" s="152"/>
      <c r="G17" s="157">
        <f>G16/E8</f>
        <v>153.63114086387515</v>
      </c>
      <c r="I17" s="130">
        <f>I16/E8</f>
        <v>139.81377977396812</v>
      </c>
      <c r="M17" s="130">
        <f>M16/E8</f>
        <v>146.94836924307197</v>
      </c>
      <c r="N17" s="130">
        <f>M17-I17</f>
        <v>7.1345894691038438</v>
      </c>
      <c r="O17" s="111">
        <f>N17/I17</f>
        <v>5.1029229598384913E-2</v>
      </c>
    </row>
    <row r="18" spans="1:22" ht="13.8" thickBot="1" x14ac:dyDescent="0.3">
      <c r="A18" s="31">
        <f t="shared" si="1"/>
        <v>12</v>
      </c>
      <c r="F18" s="152"/>
      <c r="G18" s="152"/>
    </row>
    <row r="19" spans="1:22" x14ac:dyDescent="0.25">
      <c r="A19" s="31">
        <f t="shared" si="1"/>
        <v>13</v>
      </c>
      <c r="B19" s="24" t="s">
        <v>88</v>
      </c>
      <c r="C19" s="25">
        <v>2</v>
      </c>
      <c r="D19" s="24"/>
      <c r="E19" s="107"/>
      <c r="F19" s="150"/>
      <c r="G19" s="150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  <row r="20" spans="1:22" x14ac:dyDescent="0.25">
      <c r="A20" s="31">
        <f t="shared" si="1"/>
        <v>14</v>
      </c>
      <c r="C20" s="2"/>
      <c r="D20" s="2" t="s">
        <v>17</v>
      </c>
      <c r="E20" s="141">
        <v>25036</v>
      </c>
      <c r="F20" s="109">
        <v>23</v>
      </c>
      <c r="G20" s="138">
        <f>F20*E20</f>
        <v>575828</v>
      </c>
      <c r="H20" s="100">
        <v>23.83</v>
      </c>
      <c r="I20" s="110">
        <f>H20*E20</f>
        <v>596607.88</v>
      </c>
      <c r="J20" s="111">
        <f>I20/I22</f>
        <v>0.14190149965015553</v>
      </c>
      <c r="K20" s="112"/>
      <c r="L20" s="100">
        <f>ROUND(H20*S22,2)</f>
        <v>25.19</v>
      </c>
      <c r="M20" s="110">
        <f>L20*E20</f>
        <v>630656.84000000008</v>
      </c>
      <c r="N20" s="110">
        <f>M20-I20</f>
        <v>34048.960000000079</v>
      </c>
      <c r="O20" s="111">
        <f>IF(I20=0,0,N20/I20)</f>
        <v>5.7070919009651833E-2</v>
      </c>
      <c r="P20" s="111">
        <f>M20/M$22</f>
        <v>0.14189209569132946</v>
      </c>
      <c r="Q20" s="113">
        <f>P20-J20</f>
        <v>-9.4039588260652618E-6</v>
      </c>
      <c r="R20" s="113"/>
      <c r="V20" s="58"/>
    </row>
    <row r="21" spans="1:22" x14ac:dyDescent="0.25">
      <c r="A21" s="31">
        <f t="shared" si="1"/>
        <v>15</v>
      </c>
      <c r="D21" s="2" t="s">
        <v>51</v>
      </c>
      <c r="E21" s="141">
        <v>35013320</v>
      </c>
      <c r="F21" s="158">
        <f>H21+0.00158</f>
        <v>0.10462</v>
      </c>
      <c r="G21" s="138">
        <f t="shared" ref="G21" si="9">F21*E21</f>
        <v>3663093.5384</v>
      </c>
      <c r="H21" s="115">
        <v>0.10304000000000001</v>
      </c>
      <c r="I21" s="110">
        <f t="shared" ref="I21" si="10">H21*E21</f>
        <v>3607772.4928000001</v>
      </c>
      <c r="J21" s="111">
        <f>I21/I22</f>
        <v>0.85809850034984447</v>
      </c>
      <c r="K21" s="112"/>
      <c r="L21" s="115">
        <f>ROUND(H21*S22,6)</f>
        <v>0.108929</v>
      </c>
      <c r="M21" s="110">
        <f t="shared" ref="M21" si="11">L21*E21</f>
        <v>3813965.9342800002</v>
      </c>
      <c r="N21" s="110">
        <f t="shared" ref="N21" si="12">M21-I21</f>
        <v>206193.44148000004</v>
      </c>
      <c r="O21" s="111">
        <f t="shared" ref="O21" si="13">IF(I21=0,0,N21/I21)</f>
        <v>5.7152562111801253E-2</v>
      </c>
      <c r="P21" s="111">
        <f>M21/M$22</f>
        <v>0.85810790430867045</v>
      </c>
      <c r="Q21" s="113">
        <f t="shared" ref="Q21" si="14">P21-J21</f>
        <v>9.4039588259819951E-6</v>
      </c>
      <c r="R21" s="113"/>
      <c r="T21" s="5">
        <f>L21/H21-1</f>
        <v>5.7152562111801197E-2</v>
      </c>
      <c r="V21" s="58"/>
    </row>
    <row r="22" spans="1:22" s="6" customFormat="1" ht="20.399999999999999" customHeight="1" x14ac:dyDescent="0.3">
      <c r="A22" s="31">
        <f t="shared" si="1"/>
        <v>16</v>
      </c>
      <c r="C22" s="16"/>
      <c r="D22" s="18" t="s">
        <v>6</v>
      </c>
      <c r="E22" s="116"/>
      <c r="F22" s="151"/>
      <c r="G22" s="19">
        <f>SUM(G20:G21)</f>
        <v>4238921.5384</v>
      </c>
      <c r="H22" s="116"/>
      <c r="I22" s="117">
        <f>SUM(I20:I21)</f>
        <v>4204380.3728</v>
      </c>
      <c r="J22" s="118">
        <f>SUM(J20:J21)</f>
        <v>1</v>
      </c>
      <c r="K22" s="119">
        <f>I22+Summary!I12</f>
        <v>4444680.6228</v>
      </c>
      <c r="L22" s="116"/>
      <c r="M22" s="19">
        <f>SUM(M20:M21)</f>
        <v>4444622.7742800005</v>
      </c>
      <c r="N22" s="19">
        <f>SUM(N20:N21)</f>
        <v>240242.40148000012</v>
      </c>
      <c r="O22" s="118">
        <f t="shared" ref="O22" si="15">N22/I22</f>
        <v>5.7140976833170161E-2</v>
      </c>
      <c r="P22" s="118">
        <f>SUM(P20:P21)</f>
        <v>0.99999999999999989</v>
      </c>
      <c r="Q22" s="120">
        <f t="shared" ref="Q22" si="16">P22-J22</f>
        <v>0</v>
      </c>
      <c r="R22" s="121">
        <f>M22-K22</f>
        <v>-57.848519999533892</v>
      </c>
      <c r="S22" s="6">
        <f>K22/I22</f>
        <v>1.0571547359403086</v>
      </c>
    </row>
    <row r="23" spans="1:22" x14ac:dyDescent="0.25">
      <c r="A23" s="31">
        <f t="shared" si="1"/>
        <v>17</v>
      </c>
      <c r="D23" s="2" t="s">
        <v>26</v>
      </c>
      <c r="F23" s="152"/>
      <c r="G23" s="138">
        <v>419332</v>
      </c>
      <c r="I23" s="27">
        <f>G23-($H$175*E21)</f>
        <v>6174.8240000000224</v>
      </c>
      <c r="M23" s="110">
        <f>I23</f>
        <v>6174.8240000000224</v>
      </c>
      <c r="N23" s="110">
        <f t="shared" ref="N23:N29" si="17">M23-I23</f>
        <v>0</v>
      </c>
      <c r="O23" s="100">
        <v>0</v>
      </c>
    </row>
    <row r="24" spans="1:22" x14ac:dyDescent="0.25">
      <c r="A24" s="31">
        <f t="shared" si="1"/>
        <v>18</v>
      </c>
      <c r="D24" s="2" t="s">
        <v>27</v>
      </c>
      <c r="F24" s="152"/>
      <c r="G24" s="138">
        <v>486805</v>
      </c>
      <c r="I24" s="27">
        <f t="shared" ref="I24:I26" si="18">G24</f>
        <v>486805</v>
      </c>
      <c r="M24" s="110">
        <f t="shared" ref="M24:M26" si="19">I24</f>
        <v>486805</v>
      </c>
      <c r="N24" s="110">
        <f t="shared" si="17"/>
        <v>0</v>
      </c>
      <c r="O24" s="100">
        <v>0</v>
      </c>
    </row>
    <row r="25" spans="1:22" x14ac:dyDescent="0.25">
      <c r="A25" s="31">
        <f t="shared" si="1"/>
        <v>19</v>
      </c>
      <c r="D25" s="2" t="s">
        <v>29</v>
      </c>
      <c r="F25" s="152"/>
      <c r="G25" s="138">
        <v>0</v>
      </c>
      <c r="I25" s="27">
        <f t="shared" si="18"/>
        <v>0</v>
      </c>
      <c r="M25" s="110">
        <f t="shared" si="19"/>
        <v>0</v>
      </c>
      <c r="N25" s="110">
        <f t="shared" si="17"/>
        <v>0</v>
      </c>
      <c r="O25" s="100">
        <v>0</v>
      </c>
    </row>
    <row r="26" spans="1:22" x14ac:dyDescent="0.25">
      <c r="A26" s="31">
        <f t="shared" si="1"/>
        <v>20</v>
      </c>
      <c r="D26" s="2" t="s">
        <v>39</v>
      </c>
      <c r="F26" s="152"/>
      <c r="G26" s="138">
        <v>0</v>
      </c>
      <c r="I26" s="27">
        <f t="shared" si="18"/>
        <v>0</v>
      </c>
      <c r="M26" s="110">
        <f t="shared" si="19"/>
        <v>0</v>
      </c>
      <c r="N26" s="110"/>
      <c r="O26" s="100"/>
    </row>
    <row r="27" spans="1:22" x14ac:dyDescent="0.25">
      <c r="A27" s="31">
        <f t="shared" si="1"/>
        <v>21</v>
      </c>
      <c r="D27" s="14" t="s">
        <v>8</v>
      </c>
      <c r="E27" s="123"/>
      <c r="F27" s="153"/>
      <c r="G27" s="154">
        <f>SUM(G23:G26)</f>
        <v>906137</v>
      </c>
      <c r="H27" s="123"/>
      <c r="I27" s="124">
        <f>SUM(I23:I26)</f>
        <v>492979.82400000002</v>
      </c>
      <c r="J27" s="123"/>
      <c r="K27" s="123"/>
      <c r="L27" s="123"/>
      <c r="M27" s="124">
        <f>SUM(M23:M26)</f>
        <v>492979.82400000002</v>
      </c>
      <c r="N27" s="124">
        <f t="shared" si="17"/>
        <v>0</v>
      </c>
      <c r="O27" s="125">
        <f t="shared" ref="O27" si="20">N27-J27</f>
        <v>0</v>
      </c>
    </row>
    <row r="28" spans="1:22" s="6" customFormat="1" ht="26.4" customHeight="1" thickBot="1" x14ac:dyDescent="0.3">
      <c r="A28" s="31">
        <f t="shared" si="1"/>
        <v>22</v>
      </c>
      <c r="C28" s="16"/>
      <c r="D28" s="7" t="s">
        <v>19</v>
      </c>
      <c r="E28" s="126"/>
      <c r="F28" s="155"/>
      <c r="G28" s="156">
        <f>G22+G27</f>
        <v>5145058.5384</v>
      </c>
      <c r="H28" s="126"/>
      <c r="I28" s="128">
        <f>I27+I22</f>
        <v>4697360.1968</v>
      </c>
      <c r="J28" s="126"/>
      <c r="K28" s="126"/>
      <c r="L28" s="126"/>
      <c r="M28" s="127">
        <f>M27+M22</f>
        <v>4937602.5982800005</v>
      </c>
      <c r="N28" s="127">
        <f t="shared" si="17"/>
        <v>240242.40148000047</v>
      </c>
      <c r="O28" s="129">
        <f>N28/I28</f>
        <v>5.114413019543651E-2</v>
      </c>
      <c r="P28" s="77"/>
      <c r="Q28" s="77"/>
      <c r="R28" s="77"/>
    </row>
    <row r="29" spans="1:22" ht="13.8" thickTop="1" x14ac:dyDescent="0.25">
      <c r="A29" s="31">
        <f t="shared" si="1"/>
        <v>23</v>
      </c>
      <c r="D29" s="2" t="s">
        <v>18</v>
      </c>
      <c r="E29" s="109">
        <f>E21/E20</f>
        <v>1398.5189327368589</v>
      </c>
      <c r="F29" s="152"/>
      <c r="G29" s="157">
        <f>G28/E20</f>
        <v>205.5064123022847</v>
      </c>
      <c r="I29" s="130">
        <f>I28/E20</f>
        <v>187.62422898226555</v>
      </c>
      <c r="M29" s="130">
        <f>M28/E20</f>
        <v>197.22010697715291</v>
      </c>
      <c r="N29" s="130">
        <f t="shared" si="17"/>
        <v>9.5958779948873598</v>
      </c>
      <c r="O29" s="111">
        <f>N29/I29</f>
        <v>5.1144130195436392E-2</v>
      </c>
    </row>
    <row r="30" spans="1:22" ht="13.8" thickBot="1" x14ac:dyDescent="0.3">
      <c r="A30" s="31">
        <f t="shared" si="1"/>
        <v>24</v>
      </c>
      <c r="F30" s="152"/>
      <c r="G30" s="152"/>
    </row>
    <row r="31" spans="1:22" x14ac:dyDescent="0.25">
      <c r="A31" s="31">
        <f t="shared" si="1"/>
        <v>25</v>
      </c>
      <c r="B31" s="24" t="s">
        <v>89</v>
      </c>
      <c r="C31" s="25">
        <v>3</v>
      </c>
      <c r="D31" s="24"/>
      <c r="E31" s="107"/>
      <c r="F31" s="150"/>
      <c r="G31" s="150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</row>
    <row r="32" spans="1:22" x14ac:dyDescent="0.25">
      <c r="A32" s="31">
        <f t="shared" si="1"/>
        <v>26</v>
      </c>
      <c r="C32" s="2"/>
      <c r="D32" s="2" t="s">
        <v>17</v>
      </c>
      <c r="E32" s="141">
        <v>1089</v>
      </c>
      <c r="F32" s="109">
        <v>35</v>
      </c>
      <c r="G32" s="138">
        <f>F32*E32</f>
        <v>38115</v>
      </c>
      <c r="H32" s="100">
        <v>36.26</v>
      </c>
      <c r="I32" s="110">
        <f>H32*E32</f>
        <v>39487.14</v>
      </c>
      <c r="J32" s="111">
        <f>I32/I35</f>
        <v>2.0866073401394562E-2</v>
      </c>
      <c r="K32" s="112"/>
      <c r="L32" s="100">
        <f>ROUND(H32*S35,2)</f>
        <v>38.33</v>
      </c>
      <c r="M32" s="110">
        <f>L32*E32</f>
        <v>41741.369999999995</v>
      </c>
      <c r="N32" s="110">
        <f>M32-I32</f>
        <v>2254.2299999999959</v>
      </c>
      <c r="O32" s="111">
        <f>IF(I32=0,0,N32/I32)</f>
        <v>5.7087699944842703E-2</v>
      </c>
      <c r="P32" s="111">
        <f>M32/M$35</f>
        <v>2.0862754055684097E-2</v>
      </c>
      <c r="Q32" s="113">
        <f>P32-J32</f>
        <v>-3.3193457104653545E-6</v>
      </c>
      <c r="R32" s="113"/>
      <c r="T32" s="5">
        <f>L32/H32-1</f>
        <v>5.7087699944842862E-2</v>
      </c>
    </row>
    <row r="33" spans="1:22" x14ac:dyDescent="0.25">
      <c r="A33" s="31">
        <f t="shared" si="1"/>
        <v>27</v>
      </c>
      <c r="D33" s="2" t="s">
        <v>53</v>
      </c>
      <c r="E33" s="141">
        <v>59350</v>
      </c>
      <c r="F33" s="109">
        <v>6.24</v>
      </c>
      <c r="G33" s="138">
        <f t="shared" ref="G33" si="21">F33*E33</f>
        <v>370344</v>
      </c>
      <c r="H33" s="100">
        <v>6.24</v>
      </c>
      <c r="I33" s="110">
        <f t="shared" ref="I33" si="22">H33*E33</f>
        <v>370344</v>
      </c>
      <c r="J33" s="111">
        <f>I33/I35</f>
        <v>0.19569979207828339</v>
      </c>
      <c r="K33" s="112"/>
      <c r="L33" s="100">
        <f>ROUND(H33*S35,2)</f>
        <v>6.6</v>
      </c>
      <c r="M33" s="110">
        <f t="shared" ref="M33" si="23">L33*E33</f>
        <v>391710</v>
      </c>
      <c r="N33" s="110">
        <f t="shared" ref="N33" si="24">M33-I33</f>
        <v>21366</v>
      </c>
      <c r="O33" s="111">
        <f t="shared" ref="O33" si="25">IF(I33=0,0,N33/I33)</f>
        <v>5.7692307692307696E-2</v>
      </c>
      <c r="P33" s="111">
        <f t="shared" ref="P33:P34" si="26">M33/M$35</f>
        <v>0.19578057431157672</v>
      </c>
      <c r="Q33" s="113">
        <f t="shared" ref="Q33" si="27">P33-J33</f>
        <v>8.0782233293330563E-5</v>
      </c>
      <c r="R33" s="113"/>
      <c r="T33" s="5">
        <f>L33/H33-1</f>
        <v>5.7692307692307709E-2</v>
      </c>
      <c r="V33" s="2">
        <f>6123*12</f>
        <v>73476</v>
      </c>
    </row>
    <row r="34" spans="1:22" x14ac:dyDescent="0.25">
      <c r="A34" s="31">
        <f t="shared" si="1"/>
        <v>28</v>
      </c>
      <c r="D34" s="2" t="s">
        <v>51</v>
      </c>
      <c r="E34" s="141">
        <v>17626651</v>
      </c>
      <c r="F34" s="158">
        <v>7.2309999999999999E-2</v>
      </c>
      <c r="G34" s="138">
        <f t="shared" ref="G34" si="28">F34*E34</f>
        <v>1274583.13381</v>
      </c>
      <c r="H34" s="115">
        <v>8.4110000000000004E-2</v>
      </c>
      <c r="I34" s="110">
        <f t="shared" ref="I34" si="29">H34*E34</f>
        <v>1482577.61561</v>
      </c>
      <c r="J34" s="111">
        <f>I34/I35</f>
        <v>0.78343413452032207</v>
      </c>
      <c r="K34" s="112"/>
      <c r="L34" s="115">
        <f>ROUND(H34*S35,6)</f>
        <v>8.8916999999999996E-2</v>
      </c>
      <c r="M34" s="110">
        <f t="shared" ref="M34" si="30">L34*E34</f>
        <v>1567308.9269669999</v>
      </c>
      <c r="N34" s="110">
        <f t="shared" ref="N34:N42" si="31">M34-I34</f>
        <v>84731.311356999911</v>
      </c>
      <c r="O34" s="111">
        <f t="shared" ref="O34" si="32">IF(I34=0,0,N34/I34)</f>
        <v>5.7151349423374097E-2</v>
      </c>
      <c r="P34" s="111">
        <f t="shared" si="26"/>
        <v>0.78335667163273925</v>
      </c>
      <c r="Q34" s="113">
        <f t="shared" ref="Q34:Q35" si="33">P34-J34</f>
        <v>-7.7462887582813167E-5</v>
      </c>
      <c r="R34" s="113"/>
      <c r="T34" s="5">
        <f>L34/H34-1</f>
        <v>5.7151349423373965E-2</v>
      </c>
      <c r="V34" s="2">
        <f>6001.299*6.24</f>
        <v>37448.105759999999</v>
      </c>
    </row>
    <row r="35" spans="1:22" s="6" customFormat="1" ht="20.399999999999999" customHeight="1" x14ac:dyDescent="0.3">
      <c r="A35" s="31">
        <f t="shared" si="1"/>
        <v>29</v>
      </c>
      <c r="C35" s="16"/>
      <c r="D35" s="18" t="s">
        <v>6</v>
      </c>
      <c r="E35" s="116"/>
      <c r="F35" s="151"/>
      <c r="G35" s="19">
        <f>SUM(G32:G34)</f>
        <v>1683042.13381</v>
      </c>
      <c r="H35" s="116"/>
      <c r="I35" s="117">
        <f>SUM(I32:I34)</f>
        <v>1892408.7556099999</v>
      </c>
      <c r="J35" s="118">
        <f>SUM(J32:J34)</f>
        <v>1</v>
      </c>
      <c r="K35" s="119">
        <f>I35+Summary!I13</f>
        <v>2000568.87561</v>
      </c>
      <c r="L35" s="116"/>
      <c r="M35" s="19">
        <f>SUM(M32:M34)</f>
        <v>2000760.2969669998</v>
      </c>
      <c r="N35" s="19">
        <f>SUM(N32:N34)</f>
        <v>108351.54135699991</v>
      </c>
      <c r="O35" s="118">
        <f t="shared" ref="O35" si="34">N35/I35</f>
        <v>5.7255886729436434E-2</v>
      </c>
      <c r="P35" s="118">
        <f>SUM(P32:P34)</f>
        <v>1</v>
      </c>
      <c r="Q35" s="120">
        <f t="shared" si="33"/>
        <v>0</v>
      </c>
      <c r="R35" s="121">
        <f>M35-K35</f>
        <v>191.42135699978098</v>
      </c>
      <c r="S35" s="6">
        <f>K35/I35</f>
        <v>1.0571547345040346</v>
      </c>
    </row>
    <row r="36" spans="1:22" x14ac:dyDescent="0.25">
      <c r="A36" s="31">
        <f t="shared" si="1"/>
        <v>30</v>
      </c>
      <c r="D36" s="2" t="s">
        <v>26</v>
      </c>
      <c r="F36" s="152"/>
      <c r="G36" s="138">
        <v>197019</v>
      </c>
      <c r="I36" s="27">
        <f>G36-($H$175*E34)</f>
        <v>-10975.481800000009</v>
      </c>
      <c r="M36" s="110">
        <f>I36</f>
        <v>-10975.481800000009</v>
      </c>
      <c r="N36" s="110">
        <f t="shared" si="31"/>
        <v>0</v>
      </c>
      <c r="O36" s="100">
        <v>0</v>
      </c>
    </row>
    <row r="37" spans="1:22" x14ac:dyDescent="0.25">
      <c r="A37" s="31">
        <f t="shared" si="1"/>
        <v>31</v>
      </c>
      <c r="D37" s="2" t="s">
        <v>27</v>
      </c>
      <c r="F37" s="152"/>
      <c r="G37" s="138">
        <v>215601</v>
      </c>
      <c r="I37" s="27">
        <f t="shared" ref="I37:I39" si="35">G37</f>
        <v>215601</v>
      </c>
      <c r="M37" s="110">
        <f t="shared" ref="M37:M39" si="36">I37</f>
        <v>215601</v>
      </c>
      <c r="N37" s="110">
        <f t="shared" si="31"/>
        <v>0</v>
      </c>
      <c r="O37" s="100">
        <v>0</v>
      </c>
    </row>
    <row r="38" spans="1:22" x14ac:dyDescent="0.25">
      <c r="A38" s="31">
        <f t="shared" si="1"/>
        <v>32</v>
      </c>
      <c r="D38" s="2" t="s">
        <v>29</v>
      </c>
      <c r="F38" s="152"/>
      <c r="G38" s="138">
        <v>0</v>
      </c>
      <c r="I38" s="27">
        <f t="shared" si="35"/>
        <v>0</v>
      </c>
      <c r="M38" s="110">
        <f t="shared" si="36"/>
        <v>0</v>
      </c>
      <c r="N38" s="110">
        <f t="shared" si="31"/>
        <v>0</v>
      </c>
      <c r="O38" s="100">
        <v>0</v>
      </c>
    </row>
    <row r="39" spans="1:22" x14ac:dyDescent="0.25">
      <c r="A39" s="31">
        <f t="shared" si="1"/>
        <v>33</v>
      </c>
      <c r="D39" s="2" t="s">
        <v>39</v>
      </c>
      <c r="F39" s="152"/>
      <c r="G39" s="138">
        <v>0</v>
      </c>
      <c r="I39" s="27">
        <f t="shared" si="35"/>
        <v>0</v>
      </c>
      <c r="M39" s="110">
        <f t="shared" si="36"/>
        <v>0</v>
      </c>
      <c r="N39" s="110"/>
      <c r="O39" s="100"/>
    </row>
    <row r="40" spans="1:22" x14ac:dyDescent="0.25">
      <c r="A40" s="31">
        <f t="shared" si="1"/>
        <v>34</v>
      </c>
      <c r="D40" s="14" t="s">
        <v>8</v>
      </c>
      <c r="E40" s="123"/>
      <c r="F40" s="153"/>
      <c r="G40" s="154">
        <f>SUM(G36:G39)</f>
        <v>412620</v>
      </c>
      <c r="H40" s="123"/>
      <c r="I40" s="124">
        <f>SUM(I36:I39)</f>
        <v>204625.51819999999</v>
      </c>
      <c r="J40" s="123"/>
      <c r="K40" s="123"/>
      <c r="L40" s="123"/>
      <c r="M40" s="124">
        <f>SUM(M36:M39)</f>
        <v>204625.51819999999</v>
      </c>
      <c r="N40" s="124">
        <f t="shared" si="31"/>
        <v>0</v>
      </c>
      <c r="O40" s="125">
        <f t="shared" ref="O40" si="37">N40-J40</f>
        <v>0</v>
      </c>
    </row>
    <row r="41" spans="1:22" s="6" customFormat="1" ht="26.4" customHeight="1" thickBot="1" x14ac:dyDescent="0.3">
      <c r="A41" s="31">
        <f t="shared" si="1"/>
        <v>35</v>
      </c>
      <c r="C41" s="16"/>
      <c r="D41" s="7" t="s">
        <v>19</v>
      </c>
      <c r="E41" s="126"/>
      <c r="F41" s="155"/>
      <c r="G41" s="156">
        <f>G35+G40</f>
        <v>2095662.13381</v>
      </c>
      <c r="H41" s="126"/>
      <c r="I41" s="128">
        <f>I40+I35</f>
        <v>2097034.2738099999</v>
      </c>
      <c r="J41" s="126"/>
      <c r="K41" s="126"/>
      <c r="L41" s="126"/>
      <c r="M41" s="127">
        <f>M40+M35</f>
        <v>2205385.8151669996</v>
      </c>
      <c r="N41" s="127">
        <f t="shared" si="31"/>
        <v>108351.54135699966</v>
      </c>
      <c r="O41" s="129">
        <f>N41/I41</f>
        <v>5.1668941566768482E-2</v>
      </c>
      <c r="P41" s="77"/>
      <c r="Q41" s="77"/>
      <c r="R41" s="77"/>
    </row>
    <row r="42" spans="1:22" ht="13.8" thickTop="1" x14ac:dyDescent="0.25">
      <c r="A42" s="31">
        <f t="shared" si="1"/>
        <v>36</v>
      </c>
      <c r="D42" s="2" t="s">
        <v>18</v>
      </c>
      <c r="E42" s="109">
        <f>E34/E32</f>
        <v>16186.089072543618</v>
      </c>
      <c r="F42" s="152"/>
      <c r="G42" s="157">
        <f>G41/E32</f>
        <v>1924.3913074471993</v>
      </c>
      <c r="I42" s="130">
        <f>I41/E32</f>
        <v>1925.6513074471991</v>
      </c>
      <c r="M42" s="130">
        <f>M41/E32</f>
        <v>2025.1476723296598</v>
      </c>
      <c r="N42" s="130">
        <f t="shared" si="31"/>
        <v>99.496364882460739</v>
      </c>
      <c r="O42" s="111">
        <f>N42/I42</f>
        <v>5.1668941566768524E-2</v>
      </c>
    </row>
    <row r="43" spans="1:22" ht="13.8" thickBot="1" x14ac:dyDescent="0.3">
      <c r="A43" s="31">
        <f t="shared" si="1"/>
        <v>37</v>
      </c>
      <c r="F43" s="152"/>
      <c r="G43" s="152"/>
    </row>
    <row r="44" spans="1:22" x14ac:dyDescent="0.25">
      <c r="A44" s="31">
        <f t="shared" si="1"/>
        <v>38</v>
      </c>
      <c r="B44" s="24" t="s">
        <v>90</v>
      </c>
      <c r="C44" s="25">
        <v>4</v>
      </c>
      <c r="D44" s="24"/>
      <c r="E44" s="107"/>
      <c r="F44" s="150"/>
      <c r="G44" s="150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</row>
    <row r="45" spans="1:22" x14ac:dyDescent="0.25">
      <c r="A45" s="31">
        <f t="shared" si="1"/>
        <v>39</v>
      </c>
      <c r="C45" s="2"/>
      <c r="D45" s="2" t="s">
        <v>17</v>
      </c>
      <c r="E45" s="141">
        <v>1259</v>
      </c>
      <c r="F45" s="109">
        <f>H45</f>
        <v>44.03</v>
      </c>
      <c r="G45" s="138">
        <f>F45*E45</f>
        <v>55433.770000000004</v>
      </c>
      <c r="H45" s="100">
        <v>44.03</v>
      </c>
      <c r="I45" s="110">
        <f>H45*E45</f>
        <v>55433.770000000004</v>
      </c>
      <c r="J45" s="111">
        <f>I45/I48</f>
        <v>9.3576359520508526E-3</v>
      </c>
      <c r="K45" s="112"/>
      <c r="L45" s="100">
        <f>ROUND(H45*S48,2)</f>
        <v>46.55</v>
      </c>
      <c r="M45" s="110">
        <f>L45*E45</f>
        <v>58606.45</v>
      </c>
      <c r="N45" s="110">
        <f>M45-I45</f>
        <v>3172.679999999993</v>
      </c>
      <c r="O45" s="111">
        <f>IF(I45=0,0,N45/I45)</f>
        <v>5.7233704292527693E-2</v>
      </c>
      <c r="P45" s="111">
        <f>M45/M$48</f>
        <v>9.3593133818421995E-3</v>
      </c>
      <c r="Q45" s="113">
        <f>P45-J45</f>
        <v>1.677429791346885E-6</v>
      </c>
      <c r="R45" s="113"/>
    </row>
    <row r="46" spans="1:22" x14ac:dyDescent="0.25">
      <c r="A46" s="31">
        <f t="shared" si="1"/>
        <v>40</v>
      </c>
      <c r="D46" s="2" t="s">
        <v>51</v>
      </c>
      <c r="E46" s="141">
        <v>64350944</v>
      </c>
      <c r="F46" s="158">
        <f>H46+0.00158</f>
        <v>7.6659999999999992E-2</v>
      </c>
      <c r="G46" s="138">
        <f t="shared" ref="G46" si="38">F46*E46</f>
        <v>4933143.3670399999</v>
      </c>
      <c r="H46" s="115">
        <v>7.5079999999999994E-2</v>
      </c>
      <c r="I46" s="110">
        <f t="shared" ref="I46" si="39">H46*E46</f>
        <v>4831468.8755199993</v>
      </c>
      <c r="J46" s="111">
        <f>I46/I48</f>
        <v>0.81558816675792845</v>
      </c>
      <c r="K46" s="112"/>
      <c r="L46" s="131">
        <f>ROUND(H46*S48,6)</f>
        <v>7.9370999999999997E-2</v>
      </c>
      <c r="M46" s="110">
        <f t="shared" ref="M46" si="40">L46*E46</f>
        <v>5107598.7762239994</v>
      </c>
      <c r="N46" s="110">
        <f t="shared" ref="N46" si="41">M46-I46</f>
        <v>276129.90070400015</v>
      </c>
      <c r="O46" s="111">
        <f t="shared" ref="O46" si="42">IF(I46=0,0,N46/I46)</f>
        <v>5.7152370804475265E-2</v>
      </c>
      <c r="P46" s="111">
        <f t="shared" ref="P46:P47" si="43">M46/M$48</f>
        <v>0.81567161251695197</v>
      </c>
      <c r="Q46" s="113">
        <f t="shared" ref="Q46" si="44">P46-J46</f>
        <v>8.3445759023526023E-5</v>
      </c>
      <c r="R46" s="113"/>
      <c r="T46" s="5">
        <f>L46/H46-1</f>
        <v>5.7152370804475217E-2</v>
      </c>
    </row>
    <row r="47" spans="1:22" x14ac:dyDescent="0.25">
      <c r="A47" s="31">
        <f t="shared" si="1"/>
        <v>41</v>
      </c>
      <c r="D47" s="2" t="s">
        <v>52</v>
      </c>
      <c r="E47" s="141">
        <v>202145.2</v>
      </c>
      <c r="F47" s="109">
        <v>5.13</v>
      </c>
      <c r="G47" s="138">
        <f t="shared" ref="G47" si="45">F47*E47</f>
        <v>1037004.876</v>
      </c>
      <c r="H47" s="100">
        <v>5.13</v>
      </c>
      <c r="I47" s="110">
        <f t="shared" ref="I47" si="46">H47*E47</f>
        <v>1037004.876</v>
      </c>
      <c r="J47" s="111">
        <f>I47/I48</f>
        <v>0.17505419729002081</v>
      </c>
      <c r="K47" s="112"/>
      <c r="L47" s="100">
        <f>ROUND(H47*S48,2)</f>
        <v>5.42</v>
      </c>
      <c r="M47" s="110">
        <f t="shared" ref="M47" si="47">L47*E47</f>
        <v>1095626.9839999999</v>
      </c>
      <c r="N47" s="110">
        <f t="shared" ref="N47:N55" si="48">M47-I47</f>
        <v>58622.107999999891</v>
      </c>
      <c r="O47" s="111">
        <f t="shared" ref="O47" si="49">IF(I47=0,0,N47/I47)</f>
        <v>5.653021442495116E-2</v>
      </c>
      <c r="P47" s="111">
        <f t="shared" si="43"/>
        <v>0.17496907410120574</v>
      </c>
      <c r="Q47" s="113">
        <f t="shared" ref="Q47:Q48" si="50">P47-J47</f>
        <v>-8.5123188815067197E-5</v>
      </c>
      <c r="R47" s="113"/>
      <c r="T47" s="5">
        <f>L47/H47-1</f>
        <v>5.6530214424951319E-2</v>
      </c>
    </row>
    <row r="48" spans="1:22" s="6" customFormat="1" ht="20.399999999999999" customHeight="1" x14ac:dyDescent="0.3">
      <c r="A48" s="31">
        <f t="shared" si="1"/>
        <v>42</v>
      </c>
      <c r="C48" s="16"/>
      <c r="D48" s="18" t="s">
        <v>6</v>
      </c>
      <c r="E48" s="116"/>
      <c r="F48" s="151"/>
      <c r="G48" s="19">
        <f>SUM(G45:G47)</f>
        <v>6025582.0130399996</v>
      </c>
      <c r="H48" s="116"/>
      <c r="I48" s="117">
        <f>SUM(I45:I47)</f>
        <v>5923907.521519999</v>
      </c>
      <c r="J48" s="118">
        <f>SUM(J45:J47)</f>
        <v>1</v>
      </c>
      <c r="K48" s="119">
        <f>I48+Summary!I14</f>
        <v>6262486.8915199991</v>
      </c>
      <c r="L48" s="116"/>
      <c r="M48" s="19">
        <f>SUM(M45:M47)</f>
        <v>6261832.2102239998</v>
      </c>
      <c r="N48" s="19">
        <f>SUM(N45:N47)</f>
        <v>337924.68870400003</v>
      </c>
      <c r="O48" s="118">
        <f t="shared" ref="O48" si="51">N48/I48</f>
        <v>5.7044220808040717E-2</v>
      </c>
      <c r="P48" s="118">
        <f>SUM(P45:P47)</f>
        <v>0.99999999999999989</v>
      </c>
      <c r="Q48" s="120">
        <f t="shared" si="50"/>
        <v>0</v>
      </c>
      <c r="R48" s="121">
        <f>M48-K48</f>
        <v>-654.68129599932581</v>
      </c>
      <c r="S48" s="6">
        <f>K48/I48</f>
        <v>1.0571547359188223</v>
      </c>
    </row>
    <row r="49" spans="1:20" x14ac:dyDescent="0.25">
      <c r="A49" s="31">
        <f t="shared" si="1"/>
        <v>43</v>
      </c>
      <c r="D49" s="2" t="s">
        <v>26</v>
      </c>
      <c r="F49" s="152"/>
      <c r="G49" s="138">
        <v>718911</v>
      </c>
      <c r="I49" s="27">
        <f>G49-($H$175*E46)</f>
        <v>-40430.139199999976</v>
      </c>
      <c r="M49" s="110">
        <f>I49</f>
        <v>-40430.139199999976</v>
      </c>
      <c r="N49" s="110">
        <f t="shared" si="48"/>
        <v>0</v>
      </c>
      <c r="O49" s="100">
        <v>0</v>
      </c>
    </row>
    <row r="50" spans="1:20" x14ac:dyDescent="0.25">
      <c r="A50" s="31">
        <f t="shared" si="1"/>
        <v>44</v>
      </c>
      <c r="D50" s="2" t="s">
        <v>27</v>
      </c>
      <c r="F50" s="152"/>
      <c r="G50" s="138">
        <v>671632</v>
      </c>
      <c r="I50" s="27">
        <f t="shared" ref="I50:I52" si="52">G50</f>
        <v>671632</v>
      </c>
      <c r="M50" s="110">
        <f t="shared" ref="M50:M52" si="53">I50</f>
        <v>671632</v>
      </c>
      <c r="N50" s="110">
        <f t="shared" si="48"/>
        <v>0</v>
      </c>
      <c r="O50" s="100">
        <v>0</v>
      </c>
    </row>
    <row r="51" spans="1:20" x14ac:dyDescent="0.25">
      <c r="A51" s="31">
        <f t="shared" si="1"/>
        <v>45</v>
      </c>
      <c r="D51" s="2" t="s">
        <v>29</v>
      </c>
      <c r="F51" s="152"/>
      <c r="G51" s="138">
        <v>0</v>
      </c>
      <c r="I51" s="27">
        <f t="shared" si="52"/>
        <v>0</v>
      </c>
      <c r="M51" s="110">
        <f t="shared" si="53"/>
        <v>0</v>
      </c>
      <c r="N51" s="110">
        <f t="shared" si="48"/>
        <v>0</v>
      </c>
      <c r="O51" s="100">
        <v>0</v>
      </c>
    </row>
    <row r="52" spans="1:20" x14ac:dyDescent="0.25">
      <c r="A52" s="31">
        <f t="shared" si="1"/>
        <v>46</v>
      </c>
      <c r="D52" s="2" t="s">
        <v>39</v>
      </c>
      <c r="F52" s="152"/>
      <c r="G52" s="138">
        <v>0</v>
      </c>
      <c r="I52" s="27">
        <f t="shared" si="52"/>
        <v>0</v>
      </c>
      <c r="M52" s="110">
        <f t="shared" si="53"/>
        <v>0</v>
      </c>
      <c r="N52" s="110"/>
      <c r="O52" s="100"/>
    </row>
    <row r="53" spans="1:20" x14ac:dyDescent="0.25">
      <c r="A53" s="31">
        <f t="shared" si="1"/>
        <v>47</v>
      </c>
      <c r="D53" s="14" t="s">
        <v>8</v>
      </c>
      <c r="E53" s="123"/>
      <c r="F53" s="153"/>
      <c r="G53" s="154">
        <f>SUM(G49:G52)</f>
        <v>1390543</v>
      </c>
      <c r="H53" s="123"/>
      <c r="I53" s="124">
        <f>SUM(I49:I52)</f>
        <v>631201.86080000002</v>
      </c>
      <c r="J53" s="123"/>
      <c r="K53" s="123"/>
      <c r="L53" s="123"/>
      <c r="M53" s="124">
        <f>SUM(M49:M52)</f>
        <v>631201.86080000002</v>
      </c>
      <c r="N53" s="124">
        <f t="shared" si="48"/>
        <v>0</v>
      </c>
      <c r="O53" s="125">
        <f t="shared" ref="O53" si="54">N53-J53</f>
        <v>0</v>
      </c>
    </row>
    <row r="54" spans="1:20" s="6" customFormat="1" ht="26.4" customHeight="1" thickBot="1" x14ac:dyDescent="0.3">
      <c r="A54" s="31">
        <f t="shared" si="1"/>
        <v>48</v>
      </c>
      <c r="C54" s="16"/>
      <c r="D54" s="7" t="s">
        <v>19</v>
      </c>
      <c r="E54" s="126"/>
      <c r="F54" s="155"/>
      <c r="G54" s="156">
        <f>G48+G53</f>
        <v>7416125.0130399996</v>
      </c>
      <c r="H54" s="126"/>
      <c r="I54" s="128">
        <f>I53+I48</f>
        <v>6555109.3823199989</v>
      </c>
      <c r="J54" s="126"/>
      <c r="K54" s="126"/>
      <c r="L54" s="126"/>
      <c r="M54" s="127">
        <f>M53+M48</f>
        <v>6893034.0710239997</v>
      </c>
      <c r="N54" s="127">
        <f t="shared" si="48"/>
        <v>337924.68870400079</v>
      </c>
      <c r="O54" s="129">
        <f>N54/I54</f>
        <v>5.1551342471176542E-2</v>
      </c>
      <c r="P54" s="77"/>
      <c r="Q54" s="77"/>
      <c r="R54" s="77"/>
    </row>
    <row r="55" spans="1:20" ht="13.8" thickTop="1" x14ac:dyDescent="0.25">
      <c r="A55" s="31">
        <f t="shared" si="1"/>
        <v>49</v>
      </c>
      <c r="D55" s="2" t="s">
        <v>18</v>
      </c>
      <c r="E55" s="109">
        <f>E46/E45</f>
        <v>51112.743447180299</v>
      </c>
      <c r="F55" s="152"/>
      <c r="G55" s="157">
        <f>G54/E45</f>
        <v>5890.4884932803807</v>
      </c>
      <c r="I55" s="130">
        <f>I54/E45</f>
        <v>5206.5999859571084</v>
      </c>
      <c r="M55" s="130">
        <f>M54/E45</f>
        <v>5475.0072049436058</v>
      </c>
      <c r="N55" s="130">
        <f t="shared" si="48"/>
        <v>268.40721898649736</v>
      </c>
      <c r="O55" s="111">
        <f>N55/I55</f>
        <v>5.1551342471176445E-2</v>
      </c>
    </row>
    <row r="56" spans="1:20" ht="13.8" thickBot="1" x14ac:dyDescent="0.3">
      <c r="A56" s="31">
        <f t="shared" si="1"/>
        <v>50</v>
      </c>
      <c r="F56" s="152"/>
      <c r="G56" s="152"/>
    </row>
    <row r="57" spans="1:20" x14ac:dyDescent="0.25">
      <c r="A57" s="31">
        <f t="shared" si="1"/>
        <v>51</v>
      </c>
      <c r="B57" s="24" t="s">
        <v>90</v>
      </c>
      <c r="C57" s="25">
        <v>9</v>
      </c>
      <c r="D57" s="24"/>
      <c r="E57" s="107"/>
      <c r="F57" s="150"/>
      <c r="G57" s="150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1:20" x14ac:dyDescent="0.25">
      <c r="A58" s="31">
        <f t="shared" si="1"/>
        <v>52</v>
      </c>
      <c r="C58" s="2"/>
      <c r="D58" s="2" t="s">
        <v>17</v>
      </c>
      <c r="E58" s="141">
        <v>12</v>
      </c>
      <c r="F58" s="137"/>
      <c r="G58" s="138">
        <v>10982.879999999997</v>
      </c>
      <c r="H58" s="100">
        <v>632.5</v>
      </c>
      <c r="I58" s="110">
        <f>H58*E58</f>
        <v>7590</v>
      </c>
      <c r="J58" s="111">
        <f>I58/I62</f>
        <v>8.5743928415780261E-3</v>
      </c>
      <c r="K58" s="112"/>
      <c r="L58" s="100">
        <f>ROUND(H58*S62,2)</f>
        <v>689.97</v>
      </c>
      <c r="M58" s="110">
        <f>L58*E58</f>
        <v>8279.64</v>
      </c>
      <c r="N58" s="110">
        <f>M58-I58</f>
        <v>689.63999999999942</v>
      </c>
      <c r="O58" s="111">
        <f>IF(I58=0,0,N58/I58)</f>
        <v>9.0861660079051304E-2</v>
      </c>
      <c r="P58" s="111">
        <f>M58/M$62</f>
        <v>8.573944152066448E-3</v>
      </c>
      <c r="Q58" s="113">
        <f>P58-J58</f>
        <v>-4.4868951157815695E-7</v>
      </c>
      <c r="R58" s="113"/>
      <c r="T58" s="5">
        <f>L58/H58-1</f>
        <v>9.0861660079051498E-2</v>
      </c>
    </row>
    <row r="59" spans="1:20" x14ac:dyDescent="0.25">
      <c r="A59" s="31">
        <f t="shared" si="1"/>
        <v>53</v>
      </c>
      <c r="B59" s="33"/>
      <c r="D59" s="2" t="s">
        <v>91</v>
      </c>
      <c r="E59" s="141">
        <v>24000</v>
      </c>
      <c r="F59" s="109"/>
      <c r="G59" s="138">
        <v>380920</v>
      </c>
      <c r="H59" s="100">
        <v>6.36</v>
      </c>
      <c r="I59" s="110">
        <f t="shared" ref="I59" si="55">H59*E59</f>
        <v>152640</v>
      </c>
      <c r="J59" s="111">
        <f>I59/I61</f>
        <v>0.21054842300799104</v>
      </c>
      <c r="K59" s="112"/>
      <c r="L59" s="100">
        <f>ROUND(H59*S62,2)</f>
        <v>6.94</v>
      </c>
      <c r="M59" s="110">
        <f t="shared" ref="M59" si="56">L59*E59</f>
        <v>166560</v>
      </c>
      <c r="N59" s="110">
        <f t="shared" ref="N59" si="57">M59-I59</f>
        <v>13920</v>
      </c>
      <c r="O59" s="111">
        <f t="shared" ref="O59" si="58">IF(I59=0,0,N59/I59)</f>
        <v>9.1194968553459113E-2</v>
      </c>
      <c r="P59" s="111">
        <f t="shared" ref="P59" si="59">M59/M$62</f>
        <v>0.17248046267327899</v>
      </c>
      <c r="Q59" s="113">
        <f t="shared" ref="Q59" si="60">P59-J59</f>
        <v>-3.8067960334712048E-2</v>
      </c>
      <c r="R59" s="113"/>
      <c r="T59" s="5">
        <f>L59/H59-1</f>
        <v>9.119496855345921E-2</v>
      </c>
    </row>
    <row r="60" spans="1:20" x14ac:dyDescent="0.25">
      <c r="A60" s="31">
        <f t="shared" si="1"/>
        <v>54</v>
      </c>
      <c r="B60" s="98"/>
      <c r="D60" s="2" t="s">
        <v>92</v>
      </c>
      <c r="E60" s="141">
        <v>0</v>
      </c>
      <c r="F60" s="109"/>
      <c r="G60" s="138">
        <f t="shared" ref="G60" si="61">F60*E60</f>
        <v>0</v>
      </c>
      <c r="H60" s="100">
        <v>9.25</v>
      </c>
      <c r="I60" s="110">
        <f t="shared" ref="I60" si="62">H60*E60</f>
        <v>0</v>
      </c>
      <c r="J60" s="111">
        <f>I60/I62</f>
        <v>0</v>
      </c>
      <c r="K60" s="112"/>
      <c r="L60" s="100">
        <f>ROUND(H60*S62,2)</f>
        <v>10.09</v>
      </c>
      <c r="M60" s="110">
        <f t="shared" ref="M60" si="63">L60*E60</f>
        <v>0</v>
      </c>
      <c r="N60" s="110">
        <f t="shared" ref="N60" si="64">M60-I60</f>
        <v>0</v>
      </c>
      <c r="O60" s="111">
        <f t="shared" ref="O60" si="65">IF(I60=0,0,N60/I60)</f>
        <v>0</v>
      </c>
      <c r="P60" s="111">
        <f t="shared" ref="P60:P61" si="66">M60/M$62</f>
        <v>0</v>
      </c>
      <c r="Q60" s="113">
        <f t="shared" ref="Q60" si="67">P60-J60</f>
        <v>0</v>
      </c>
      <c r="R60" s="113"/>
      <c r="T60" s="5">
        <f>L60/H60-1</f>
        <v>9.0810810810810771E-2</v>
      </c>
    </row>
    <row r="61" spans="1:20" x14ac:dyDescent="0.25">
      <c r="A61" s="31">
        <f t="shared" si="1"/>
        <v>55</v>
      </c>
      <c r="B61" s="99"/>
      <c r="D61" s="2" t="s">
        <v>51</v>
      </c>
      <c r="E61" s="141">
        <v>10914843</v>
      </c>
      <c r="F61" s="158"/>
      <c r="G61" s="138">
        <v>1469183.7000000002</v>
      </c>
      <c r="H61" s="115">
        <v>6.6420000000000007E-2</v>
      </c>
      <c r="I61" s="110">
        <f t="shared" ref="I61" si="68">H61*E61</f>
        <v>724963.87206000008</v>
      </c>
      <c r="J61" s="111">
        <f>I61/I62</f>
        <v>0.81898880566455245</v>
      </c>
      <c r="K61" s="112"/>
      <c r="L61" s="131">
        <f>ROUND(H61*S62,6)</f>
        <v>7.2455000000000006E-2</v>
      </c>
      <c r="M61" s="110">
        <f t="shared" ref="M61" si="69">L61*E61</f>
        <v>790834.94956500002</v>
      </c>
      <c r="N61" s="110">
        <f t="shared" ref="N61:N69" si="70">M61-I61</f>
        <v>65871.077504999936</v>
      </c>
      <c r="O61" s="111">
        <f t="shared" ref="O61" si="71">IF(I61=0,0,N61/I61)</f>
        <v>9.0861186389641579E-2</v>
      </c>
      <c r="P61" s="111">
        <f t="shared" si="66"/>
        <v>0.81894559317465454</v>
      </c>
      <c r="Q61" s="113">
        <f t="shared" ref="Q61:Q62" si="72">P61-J61</f>
        <v>-4.3212489897914708E-5</v>
      </c>
      <c r="R61" s="113"/>
      <c r="T61" s="5">
        <f>L61/H61-1</f>
        <v>9.0861186389641579E-2</v>
      </c>
    </row>
    <row r="62" spans="1:20" s="6" customFormat="1" ht="20.399999999999999" customHeight="1" x14ac:dyDescent="0.3">
      <c r="A62" s="31">
        <f t="shared" si="1"/>
        <v>56</v>
      </c>
      <c r="C62" s="16"/>
      <c r="D62" s="18" t="s">
        <v>6</v>
      </c>
      <c r="E62" s="116"/>
      <c r="F62" s="151"/>
      <c r="G62" s="19">
        <f>SUM(G58:G61)</f>
        <v>1861086.58</v>
      </c>
      <c r="H62" s="116"/>
      <c r="I62" s="117">
        <f>SUM(I58:I61)</f>
        <v>885193.87206000008</v>
      </c>
      <c r="J62" s="118">
        <f>SUM(J58:J61)</f>
        <v>1.0381116215141215</v>
      </c>
      <c r="K62" s="119">
        <f>I62+Summary!I19</f>
        <v>965618.39422800008</v>
      </c>
      <c r="L62" s="116"/>
      <c r="M62" s="19">
        <f>SUM(M58:M61)</f>
        <v>965674.58956500003</v>
      </c>
      <c r="N62" s="19">
        <f>SUM(N58:N61)</f>
        <v>80480.717504999935</v>
      </c>
      <c r="O62" s="118">
        <f t="shared" ref="O62" si="73">N62/I62</f>
        <v>9.0918746779965059E-2</v>
      </c>
      <c r="P62" s="118">
        <f>SUM(P58:P61)</f>
        <v>1</v>
      </c>
      <c r="Q62" s="120">
        <f t="shared" si="72"/>
        <v>-3.8111621514121508E-2</v>
      </c>
      <c r="R62" s="121">
        <f>M62-K62</f>
        <v>56.195336999953724</v>
      </c>
      <c r="S62" s="6">
        <f>K62/I62</f>
        <v>1.0908552631310451</v>
      </c>
    </row>
    <row r="63" spans="1:20" x14ac:dyDescent="0.25">
      <c r="A63" s="31">
        <f t="shared" si="1"/>
        <v>57</v>
      </c>
      <c r="D63" s="2" t="s">
        <v>26</v>
      </c>
      <c r="F63" s="152"/>
      <c r="G63" s="138">
        <v>125832</v>
      </c>
      <c r="I63" s="27">
        <f>G63-($H$175*E61)</f>
        <v>-2963.1474000000017</v>
      </c>
      <c r="K63" s="27"/>
      <c r="M63" s="110">
        <f>I63</f>
        <v>-2963.1474000000017</v>
      </c>
      <c r="N63" s="110">
        <f t="shared" si="70"/>
        <v>0</v>
      </c>
      <c r="O63" s="100">
        <v>0</v>
      </c>
    </row>
    <row r="64" spans="1:20" x14ac:dyDescent="0.25">
      <c r="A64" s="31">
        <f t="shared" si="1"/>
        <v>58</v>
      </c>
      <c r="D64" s="2" t="s">
        <v>27</v>
      </c>
      <c r="F64" s="152"/>
      <c r="G64" s="138">
        <v>114934</v>
      </c>
      <c r="I64" s="27">
        <f t="shared" ref="I64:I66" si="74">G64</f>
        <v>114934</v>
      </c>
      <c r="M64" s="110">
        <f t="shared" ref="M64:M66" si="75">I64</f>
        <v>114934</v>
      </c>
      <c r="N64" s="110">
        <f t="shared" si="70"/>
        <v>0</v>
      </c>
      <c r="O64" s="100">
        <v>0</v>
      </c>
    </row>
    <row r="65" spans="1:20" x14ac:dyDescent="0.25">
      <c r="A65" s="31">
        <f t="shared" si="1"/>
        <v>59</v>
      </c>
      <c r="D65" s="2" t="s">
        <v>29</v>
      </c>
      <c r="F65" s="152"/>
      <c r="G65" s="138">
        <v>0</v>
      </c>
      <c r="I65" s="27">
        <f t="shared" si="74"/>
        <v>0</v>
      </c>
      <c r="M65" s="110">
        <f t="shared" si="75"/>
        <v>0</v>
      </c>
      <c r="N65" s="110">
        <f t="shared" si="70"/>
        <v>0</v>
      </c>
      <c r="O65" s="100">
        <v>0</v>
      </c>
    </row>
    <row r="66" spans="1:20" x14ac:dyDescent="0.25">
      <c r="A66" s="31">
        <f t="shared" si="1"/>
        <v>60</v>
      </c>
      <c r="D66" s="2" t="s">
        <v>39</v>
      </c>
      <c r="F66" s="152"/>
      <c r="G66" s="138">
        <v>0</v>
      </c>
      <c r="I66" s="27">
        <f t="shared" si="74"/>
        <v>0</v>
      </c>
      <c r="M66" s="110">
        <f t="shared" si="75"/>
        <v>0</v>
      </c>
      <c r="N66" s="110"/>
      <c r="O66" s="100"/>
    </row>
    <row r="67" spans="1:20" x14ac:dyDescent="0.25">
      <c r="A67" s="31">
        <f t="shared" si="1"/>
        <v>61</v>
      </c>
      <c r="D67" s="14" t="s">
        <v>8</v>
      </c>
      <c r="E67" s="123"/>
      <c r="F67" s="153"/>
      <c r="G67" s="154">
        <f>SUM(G63:G66)</f>
        <v>240766</v>
      </c>
      <c r="H67" s="123"/>
      <c r="I67" s="124">
        <f>SUM(I63:I66)</f>
        <v>111970.8526</v>
      </c>
      <c r="J67" s="123"/>
      <c r="K67" s="123"/>
      <c r="L67" s="123"/>
      <c r="M67" s="124">
        <f>SUM(M63:M66)</f>
        <v>111970.8526</v>
      </c>
      <c r="N67" s="124">
        <f t="shared" si="70"/>
        <v>0</v>
      </c>
      <c r="O67" s="125">
        <f t="shared" ref="O67" si="76">N67-J67</f>
        <v>0</v>
      </c>
    </row>
    <row r="68" spans="1:20" s="6" customFormat="1" ht="26.4" customHeight="1" thickBot="1" x14ac:dyDescent="0.3">
      <c r="A68" s="31">
        <f t="shared" si="1"/>
        <v>62</v>
      </c>
      <c r="C68" s="16"/>
      <c r="D68" s="7" t="s">
        <v>19</v>
      </c>
      <c r="E68" s="126"/>
      <c r="F68" s="155"/>
      <c r="G68" s="156">
        <f>G62+G67</f>
        <v>2101852.58</v>
      </c>
      <c r="H68" s="126"/>
      <c r="I68" s="128">
        <f>I67+I62</f>
        <v>997164.72466000007</v>
      </c>
      <c r="J68" s="126"/>
      <c r="K68" s="126"/>
      <c r="L68" s="126"/>
      <c r="M68" s="127">
        <f>M67+M62</f>
        <v>1077645.4421650001</v>
      </c>
      <c r="N68" s="127">
        <f t="shared" si="70"/>
        <v>80480.717505000066</v>
      </c>
      <c r="O68" s="129">
        <f>N68/I68</f>
        <v>8.0709551305519059E-2</v>
      </c>
      <c r="P68" s="77"/>
      <c r="Q68" s="77"/>
      <c r="R68" s="77"/>
    </row>
    <row r="69" spans="1:20" ht="13.8" thickTop="1" x14ac:dyDescent="0.25">
      <c r="A69" s="31">
        <f t="shared" si="1"/>
        <v>63</v>
      </c>
      <c r="D69" s="2" t="s">
        <v>18</v>
      </c>
      <c r="E69" s="109">
        <f>E61/E58</f>
        <v>909570.25</v>
      </c>
      <c r="F69" s="152"/>
      <c r="G69" s="157">
        <f>G68/E58</f>
        <v>175154.38166666668</v>
      </c>
      <c r="I69" s="130">
        <f>I68/E58</f>
        <v>83097.060388333339</v>
      </c>
      <c r="M69" s="130">
        <f>M68/E58</f>
        <v>89803.786847083349</v>
      </c>
      <c r="N69" s="130">
        <f t="shared" si="70"/>
        <v>6706.7264587500104</v>
      </c>
      <c r="O69" s="111">
        <f>N69/I69</f>
        <v>8.0709551305519128E-2</v>
      </c>
    </row>
    <row r="70" spans="1:20" ht="13.8" thickBot="1" x14ac:dyDescent="0.3">
      <c r="A70" s="31">
        <f t="shared" si="1"/>
        <v>64</v>
      </c>
      <c r="F70" s="152"/>
      <c r="G70" s="152"/>
    </row>
    <row r="71" spans="1:20" x14ac:dyDescent="0.25">
      <c r="A71" s="31">
        <f t="shared" si="1"/>
        <v>65</v>
      </c>
      <c r="B71" s="24" t="s">
        <v>30</v>
      </c>
      <c r="C71" s="25" t="s">
        <v>93</v>
      </c>
      <c r="D71" s="24"/>
      <c r="E71" s="107"/>
      <c r="F71" s="150"/>
      <c r="G71" s="150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</row>
    <row r="72" spans="1:20" x14ac:dyDescent="0.25">
      <c r="A72" s="31">
        <f t="shared" si="1"/>
        <v>66</v>
      </c>
      <c r="B72" s="28"/>
      <c r="C72" s="27" t="s">
        <v>56</v>
      </c>
      <c r="E72" s="141">
        <v>18082</v>
      </c>
      <c r="F72" s="109">
        <v>10.69</v>
      </c>
      <c r="G72" s="138">
        <f t="shared" ref="G72" si="77">F72*E72</f>
        <v>193296.58</v>
      </c>
      <c r="H72" s="100">
        <v>10.69</v>
      </c>
      <c r="I72" s="110">
        <f t="shared" ref="I72" si="78">H72*E72</f>
        <v>193296.58</v>
      </c>
      <c r="J72" s="111">
        <f t="shared" ref="J72:J86" si="79">I72/I$109</f>
        <v>0.14548980438259929</v>
      </c>
      <c r="K72" s="112"/>
      <c r="L72" s="100">
        <f t="shared" ref="L72:L86" si="80">ROUND(H72*S$109,2)</f>
        <v>11.3</v>
      </c>
      <c r="M72" s="110">
        <f t="shared" ref="M72" si="81">L72*E72</f>
        <v>204326.6</v>
      </c>
      <c r="N72" s="110">
        <f t="shared" ref="N72" si="82">M72-I72</f>
        <v>11030.020000000019</v>
      </c>
      <c r="O72" s="111">
        <f t="shared" ref="O72" si="83">IF(I72=0,0,N72/I72)</f>
        <v>5.7062675397567923E-2</v>
      </c>
      <c r="P72" s="111">
        <f t="shared" ref="P72:P86" si="84">M72/M$109</f>
        <v>0.14550154475749133</v>
      </c>
      <c r="Q72" s="113">
        <f t="shared" ref="Q72" si="85">P72-J72</f>
        <v>1.1740374892044159E-5</v>
      </c>
      <c r="R72" s="113"/>
      <c r="T72" s="5">
        <f>L72/H72-1</f>
        <v>5.7062675397568041E-2</v>
      </c>
    </row>
    <row r="73" spans="1:20" x14ac:dyDescent="0.25">
      <c r="A73" s="31">
        <f t="shared" ref="A73:A141" si="86">A72+1</f>
        <v>67</v>
      </c>
      <c r="B73" s="28"/>
      <c r="C73" s="27" t="s">
        <v>57</v>
      </c>
      <c r="E73" s="141">
        <v>41843</v>
      </c>
      <c r="F73" s="109">
        <v>10.06</v>
      </c>
      <c r="G73" s="138">
        <f t="shared" ref="G73:G95" si="87">F73*E73</f>
        <v>420940.58</v>
      </c>
      <c r="H73" s="100">
        <v>10.06</v>
      </c>
      <c r="I73" s="110">
        <f t="shared" ref="I73:I95" si="88">H73*E73</f>
        <v>420940.58</v>
      </c>
      <c r="J73" s="111">
        <f t="shared" si="79"/>
        <v>0.31683210660477223</v>
      </c>
      <c r="K73" s="112"/>
      <c r="L73" s="100">
        <f t="shared" si="80"/>
        <v>10.63</v>
      </c>
      <c r="M73" s="110">
        <f t="shared" ref="M73:M95" si="89">L73*E73</f>
        <v>444791.09</v>
      </c>
      <c r="N73" s="110">
        <f t="shared" ref="N73:N95" si="90">M73-I73</f>
        <v>23850.510000000009</v>
      </c>
      <c r="O73" s="111">
        <f t="shared" ref="O73:O95" si="91">IF(I73=0,0,N73/I73)</f>
        <v>5.6660039761431434E-2</v>
      </c>
      <c r="P73" s="111">
        <f t="shared" si="84"/>
        <v>0.31673698230856073</v>
      </c>
      <c r="Q73" s="113">
        <f t="shared" ref="Q73:Q95" si="92">P73-J73</f>
        <v>-9.5124296211501758E-5</v>
      </c>
      <c r="R73" s="113"/>
      <c r="T73" s="5">
        <f t="shared" ref="T73:T107" si="93">L73/H73-1</f>
        <v>5.6660039761431413E-2</v>
      </c>
    </row>
    <row r="74" spans="1:20" x14ac:dyDescent="0.25">
      <c r="A74" s="31">
        <f t="shared" si="86"/>
        <v>68</v>
      </c>
      <c r="B74" s="28"/>
      <c r="C74" s="27" t="s">
        <v>58</v>
      </c>
      <c r="E74" s="141">
        <v>21277</v>
      </c>
      <c r="F74" s="109">
        <v>9.99</v>
      </c>
      <c r="G74" s="138">
        <f t="shared" si="87"/>
        <v>212557.23</v>
      </c>
      <c r="H74" s="100">
        <v>9.99</v>
      </c>
      <c r="I74" s="110">
        <f t="shared" si="88"/>
        <v>212557.23</v>
      </c>
      <c r="J74" s="111">
        <f t="shared" si="79"/>
        <v>0.15998684411698938</v>
      </c>
      <c r="K74" s="112"/>
      <c r="L74" s="100">
        <f t="shared" si="80"/>
        <v>10.56</v>
      </c>
      <c r="M74" s="110">
        <f t="shared" si="89"/>
        <v>224685.12000000002</v>
      </c>
      <c r="N74" s="110">
        <f t="shared" si="90"/>
        <v>12127.890000000014</v>
      </c>
      <c r="O74" s="111">
        <f t="shared" si="91"/>
        <v>5.7057057057057117E-2</v>
      </c>
      <c r="P74" s="111">
        <f t="shared" si="84"/>
        <v>0.15999890393136437</v>
      </c>
      <c r="Q74" s="113">
        <f t="shared" si="92"/>
        <v>1.2059814374992817E-5</v>
      </c>
      <c r="R74" s="113"/>
      <c r="T74" s="5">
        <f t="shared" si="93"/>
        <v>5.7057057057056992E-2</v>
      </c>
    </row>
    <row r="75" spans="1:20" x14ac:dyDescent="0.25">
      <c r="A75" s="31">
        <f t="shared" si="86"/>
        <v>69</v>
      </c>
      <c r="B75" s="28"/>
      <c r="C75" s="27" t="s">
        <v>59</v>
      </c>
      <c r="E75" s="141">
        <v>8644</v>
      </c>
      <c r="F75" s="109">
        <v>10.93</v>
      </c>
      <c r="G75" s="138">
        <f t="shared" ref="G75:G93" si="94">F75*E75</f>
        <v>94478.92</v>
      </c>
      <c r="H75" s="100">
        <v>10.93</v>
      </c>
      <c r="I75" s="110">
        <f t="shared" ref="I75:I93" si="95">H75*E75</f>
        <v>94478.92</v>
      </c>
      <c r="J75" s="111">
        <f t="shared" si="79"/>
        <v>7.1112068248073743E-2</v>
      </c>
      <c r="K75" s="112"/>
      <c r="L75" s="100">
        <f t="shared" si="80"/>
        <v>11.55</v>
      </c>
      <c r="M75" s="110">
        <f t="shared" ref="M75:M93" si="96">L75*E75</f>
        <v>99838.200000000012</v>
      </c>
      <c r="N75" s="110">
        <f t="shared" ref="N75:N93" si="97">M75-I75</f>
        <v>5359.2800000000134</v>
      </c>
      <c r="O75" s="111">
        <f t="shared" ref="O75:O93" si="98">IF(I75=0,0,N75/I75)</f>
        <v>5.6724611161939761E-2</v>
      </c>
      <c r="P75" s="111">
        <f t="shared" si="84"/>
        <v>7.1095062149555535E-2</v>
      </c>
      <c r="Q75" s="113">
        <f t="shared" ref="Q75:Q93" si="99">P75-J75</f>
        <v>-1.7006098518207446E-5</v>
      </c>
      <c r="R75" s="113"/>
      <c r="T75" s="5">
        <f t="shared" ref="T75:T93" si="100">L75/H75-1</f>
        <v>5.672461116193972E-2</v>
      </c>
    </row>
    <row r="76" spans="1:20" x14ac:dyDescent="0.25">
      <c r="A76" s="31">
        <f t="shared" si="86"/>
        <v>70</v>
      </c>
      <c r="B76" s="28"/>
      <c r="C76" s="27" t="s">
        <v>60</v>
      </c>
      <c r="E76" s="141">
        <v>9665</v>
      </c>
      <c r="F76" s="109">
        <v>10.59</v>
      </c>
      <c r="G76" s="138">
        <f t="shared" si="94"/>
        <v>102352.35</v>
      </c>
      <c r="H76" s="100">
        <v>10.59</v>
      </c>
      <c r="I76" s="110">
        <f t="shared" si="95"/>
        <v>102352.35</v>
      </c>
      <c r="J76" s="111">
        <f t="shared" si="79"/>
        <v>7.7038214435037278E-2</v>
      </c>
      <c r="K76" s="112"/>
      <c r="L76" s="100">
        <f t="shared" si="80"/>
        <v>11.2</v>
      </c>
      <c r="M76" s="110">
        <f t="shared" si="96"/>
        <v>108248</v>
      </c>
      <c r="N76" s="110">
        <f t="shared" si="97"/>
        <v>5895.6499999999942</v>
      </c>
      <c r="O76" s="111">
        <f t="shared" si="98"/>
        <v>5.7601510859301167E-2</v>
      </c>
      <c r="P76" s="111">
        <f t="shared" si="84"/>
        <v>7.7083704309223192E-2</v>
      </c>
      <c r="Q76" s="113">
        <f t="shared" si="99"/>
        <v>4.5489874185913881E-5</v>
      </c>
      <c r="R76" s="113"/>
      <c r="T76" s="5">
        <f t="shared" si="100"/>
        <v>5.7601510859301097E-2</v>
      </c>
    </row>
    <row r="77" spans="1:20" x14ac:dyDescent="0.25">
      <c r="A77" s="31">
        <f t="shared" si="86"/>
        <v>71</v>
      </c>
      <c r="B77" s="28"/>
      <c r="C77" s="27" t="s">
        <v>61</v>
      </c>
      <c r="E77" s="141">
        <v>2118</v>
      </c>
      <c r="F77" s="109">
        <v>10.52</v>
      </c>
      <c r="G77" s="138">
        <f t="shared" si="94"/>
        <v>22281.360000000001</v>
      </c>
      <c r="H77" s="100">
        <v>10.52</v>
      </c>
      <c r="I77" s="110">
        <f t="shared" si="95"/>
        <v>22281.360000000001</v>
      </c>
      <c r="J77" s="111">
        <f t="shared" si="79"/>
        <v>1.6770657337953278E-2</v>
      </c>
      <c r="K77" s="112"/>
      <c r="L77" s="100">
        <f t="shared" si="80"/>
        <v>11.12</v>
      </c>
      <c r="M77" s="110">
        <f t="shared" si="96"/>
        <v>23552.16</v>
      </c>
      <c r="N77" s="110">
        <f t="shared" si="97"/>
        <v>1270.7999999999993</v>
      </c>
      <c r="O77" s="111">
        <f t="shared" si="98"/>
        <v>5.7034220532319359E-2</v>
      </c>
      <c r="P77" s="111">
        <f t="shared" si="84"/>
        <v>1.6771559172303545E-2</v>
      </c>
      <c r="Q77" s="113">
        <f t="shared" si="99"/>
        <v>9.0183435026702785E-7</v>
      </c>
      <c r="R77" s="113"/>
      <c r="T77" s="5">
        <f t="shared" si="100"/>
        <v>5.7034220532319324E-2</v>
      </c>
    </row>
    <row r="78" spans="1:20" x14ac:dyDescent="0.25">
      <c r="A78" s="31">
        <f t="shared" si="86"/>
        <v>72</v>
      </c>
      <c r="B78" s="28"/>
      <c r="C78" s="27" t="s">
        <v>62</v>
      </c>
      <c r="E78" s="141">
        <v>513</v>
      </c>
      <c r="F78" s="109">
        <v>16.8</v>
      </c>
      <c r="G78" s="138">
        <f t="shared" si="94"/>
        <v>8618.4</v>
      </c>
      <c r="H78" s="100">
        <v>16.8</v>
      </c>
      <c r="I78" s="110">
        <f t="shared" si="95"/>
        <v>8618.4</v>
      </c>
      <c r="J78" s="111">
        <f t="shared" si="79"/>
        <v>6.4868676418951311E-3</v>
      </c>
      <c r="K78" s="112"/>
      <c r="L78" s="100">
        <f t="shared" si="80"/>
        <v>17.760000000000002</v>
      </c>
      <c r="M78" s="110">
        <f t="shared" si="96"/>
        <v>9110.880000000001</v>
      </c>
      <c r="N78" s="110">
        <f t="shared" si="97"/>
        <v>492.48000000000138</v>
      </c>
      <c r="O78" s="111">
        <f t="shared" si="98"/>
        <v>5.7142857142857308E-2</v>
      </c>
      <c r="P78" s="111">
        <f t="shared" si="84"/>
        <v>6.4878831933783115E-3</v>
      </c>
      <c r="Q78" s="113">
        <f t="shared" si="99"/>
        <v>1.0155514831803464E-6</v>
      </c>
      <c r="R78" s="113"/>
      <c r="T78" s="5">
        <f t="shared" si="100"/>
        <v>5.7142857142857162E-2</v>
      </c>
    </row>
    <row r="79" spans="1:20" x14ac:dyDescent="0.25">
      <c r="A79" s="31">
        <f t="shared" si="86"/>
        <v>73</v>
      </c>
      <c r="B79" s="28"/>
      <c r="C79" s="27" t="s">
        <v>63</v>
      </c>
      <c r="E79" s="141">
        <v>57</v>
      </c>
      <c r="F79" s="109">
        <v>12.42</v>
      </c>
      <c r="G79" s="138">
        <f t="shared" si="94"/>
        <v>707.93999999999994</v>
      </c>
      <c r="H79" s="100">
        <v>12.42</v>
      </c>
      <c r="I79" s="110">
        <f t="shared" si="95"/>
        <v>707.93999999999994</v>
      </c>
      <c r="J79" s="111">
        <f t="shared" si="79"/>
        <v>5.3284984201281435E-4</v>
      </c>
      <c r="K79" s="112"/>
      <c r="L79" s="100">
        <f t="shared" si="80"/>
        <v>13.13</v>
      </c>
      <c r="M79" s="110">
        <f t="shared" si="96"/>
        <v>748.41000000000008</v>
      </c>
      <c r="N79" s="110">
        <f t="shared" si="97"/>
        <v>40.470000000000141</v>
      </c>
      <c r="O79" s="111">
        <f t="shared" si="98"/>
        <v>5.7165861513687806E-2</v>
      </c>
      <c r="P79" s="111">
        <f t="shared" si="84"/>
        <v>5.3294485941602363E-4</v>
      </c>
      <c r="Q79" s="113">
        <f t="shared" si="99"/>
        <v>9.5017403209276922E-8</v>
      </c>
      <c r="R79" s="113"/>
      <c r="T79" s="5">
        <f t="shared" si="100"/>
        <v>5.7165861513687632E-2</v>
      </c>
    </row>
    <row r="80" spans="1:20" x14ac:dyDescent="0.25">
      <c r="A80" s="31">
        <f t="shared" si="86"/>
        <v>74</v>
      </c>
      <c r="B80" s="28"/>
      <c r="C80" s="27" t="s">
        <v>64</v>
      </c>
      <c r="E80" s="141">
        <v>0</v>
      </c>
      <c r="F80" s="109">
        <v>12.43</v>
      </c>
      <c r="G80" s="138">
        <f t="shared" si="94"/>
        <v>0</v>
      </c>
      <c r="H80" s="100">
        <v>12.43</v>
      </c>
      <c r="I80" s="110">
        <f t="shared" si="95"/>
        <v>0</v>
      </c>
      <c r="J80" s="111">
        <f t="shared" si="79"/>
        <v>0</v>
      </c>
      <c r="K80" s="112"/>
      <c r="L80" s="100">
        <f t="shared" si="80"/>
        <v>13.14</v>
      </c>
      <c r="M80" s="110">
        <f t="shared" si="96"/>
        <v>0</v>
      </c>
      <c r="N80" s="110">
        <f t="shared" si="97"/>
        <v>0</v>
      </c>
      <c r="O80" s="111">
        <f t="shared" si="98"/>
        <v>0</v>
      </c>
      <c r="P80" s="111">
        <f t="shared" si="84"/>
        <v>0</v>
      </c>
      <c r="Q80" s="113">
        <f t="shared" si="99"/>
        <v>0</v>
      </c>
      <c r="R80" s="113"/>
      <c r="T80" s="5">
        <f t="shared" si="100"/>
        <v>5.7119871279163403E-2</v>
      </c>
    </row>
    <row r="81" spans="1:20" x14ac:dyDescent="0.25">
      <c r="A81" s="31">
        <f t="shared" si="86"/>
        <v>75</v>
      </c>
      <c r="B81" s="28"/>
      <c r="C81" s="27" t="s">
        <v>65</v>
      </c>
      <c r="E81" s="141">
        <v>454</v>
      </c>
      <c r="F81" s="109">
        <v>22.25</v>
      </c>
      <c r="G81" s="138">
        <f t="shared" si="94"/>
        <v>10101.5</v>
      </c>
      <c r="H81" s="100">
        <v>22.25</v>
      </c>
      <c r="I81" s="110">
        <f t="shared" si="95"/>
        <v>10101.5</v>
      </c>
      <c r="J81" s="111">
        <f t="shared" si="79"/>
        <v>7.603162244106061E-3</v>
      </c>
      <c r="K81" s="112"/>
      <c r="L81" s="100">
        <f t="shared" si="80"/>
        <v>23.52</v>
      </c>
      <c r="M81" s="110">
        <f t="shared" si="96"/>
        <v>10678.08</v>
      </c>
      <c r="N81" s="110">
        <f t="shared" si="97"/>
        <v>576.57999999999993</v>
      </c>
      <c r="O81" s="111">
        <f t="shared" si="98"/>
        <v>5.707865168539325E-2</v>
      </c>
      <c r="P81" s="111">
        <f t="shared" si="84"/>
        <v>7.6038907075440644E-3</v>
      </c>
      <c r="Q81" s="113">
        <f t="shared" si="99"/>
        <v>7.2846343800343771E-7</v>
      </c>
      <c r="R81" s="113"/>
      <c r="T81" s="5">
        <f t="shared" si="100"/>
        <v>5.7078651685393167E-2</v>
      </c>
    </row>
    <row r="82" spans="1:20" x14ac:dyDescent="0.25">
      <c r="A82" s="31">
        <f t="shared" si="86"/>
        <v>76</v>
      </c>
      <c r="B82" s="28"/>
      <c r="C82" s="27" t="s">
        <v>66</v>
      </c>
      <c r="E82" s="141">
        <v>141</v>
      </c>
      <c r="F82" s="109">
        <v>18.11</v>
      </c>
      <c r="G82" s="138">
        <f t="shared" si="94"/>
        <v>2553.5099999999998</v>
      </c>
      <c r="H82" s="100">
        <v>18.11</v>
      </c>
      <c r="I82" s="110">
        <f t="shared" si="95"/>
        <v>2553.5099999999998</v>
      </c>
      <c r="J82" s="111">
        <f t="shared" si="79"/>
        <v>1.9219671159676549E-3</v>
      </c>
      <c r="K82" s="112"/>
      <c r="L82" s="100">
        <f t="shared" si="80"/>
        <v>19.149999999999999</v>
      </c>
      <c r="M82" s="110">
        <f t="shared" si="96"/>
        <v>2700.1499999999996</v>
      </c>
      <c r="N82" s="110">
        <f t="shared" si="97"/>
        <v>146.63999999999987</v>
      </c>
      <c r="O82" s="111">
        <f t="shared" si="98"/>
        <v>5.742683600220868E-2</v>
      </c>
      <c r="P82" s="111">
        <f t="shared" si="84"/>
        <v>1.9227843857673949E-3</v>
      </c>
      <c r="Q82" s="113">
        <f t="shared" si="99"/>
        <v>8.1726979974001968E-7</v>
      </c>
      <c r="R82" s="113"/>
      <c r="T82" s="5">
        <f t="shared" si="100"/>
        <v>5.742683600220877E-2</v>
      </c>
    </row>
    <row r="83" spans="1:20" x14ac:dyDescent="0.25">
      <c r="A83" s="31">
        <f t="shared" si="86"/>
        <v>77</v>
      </c>
      <c r="B83" s="28"/>
      <c r="C83" s="27" t="s">
        <v>67</v>
      </c>
      <c r="E83" s="141">
        <v>0</v>
      </c>
      <c r="F83" s="109">
        <v>18.079999999999998</v>
      </c>
      <c r="G83" s="138">
        <f t="shared" si="94"/>
        <v>0</v>
      </c>
      <c r="H83" s="100">
        <v>18.079999999999998</v>
      </c>
      <c r="I83" s="110">
        <f t="shared" si="95"/>
        <v>0</v>
      </c>
      <c r="J83" s="111">
        <f t="shared" si="79"/>
        <v>0</v>
      </c>
      <c r="K83" s="112"/>
      <c r="L83" s="100">
        <f t="shared" si="80"/>
        <v>19.11</v>
      </c>
      <c r="M83" s="110">
        <f t="shared" si="96"/>
        <v>0</v>
      </c>
      <c r="N83" s="110">
        <f t="shared" si="97"/>
        <v>0</v>
      </c>
      <c r="O83" s="111">
        <f t="shared" si="98"/>
        <v>0</v>
      </c>
      <c r="P83" s="111">
        <f t="shared" si="84"/>
        <v>0</v>
      </c>
      <c r="Q83" s="113">
        <f t="shared" si="99"/>
        <v>0</v>
      </c>
      <c r="R83" s="113"/>
      <c r="T83" s="5">
        <f t="shared" si="100"/>
        <v>5.6969026548672641E-2</v>
      </c>
    </row>
    <row r="84" spans="1:20" x14ac:dyDescent="0.25">
      <c r="A84" s="31">
        <f t="shared" si="86"/>
        <v>78</v>
      </c>
      <c r="B84" s="28"/>
      <c r="C84" s="27" t="s">
        <v>68</v>
      </c>
      <c r="E84" s="141">
        <v>2798</v>
      </c>
      <c r="F84" s="109">
        <v>13.94</v>
      </c>
      <c r="G84" s="138">
        <f t="shared" si="94"/>
        <v>39004.119999999995</v>
      </c>
      <c r="H84" s="100">
        <v>13.94</v>
      </c>
      <c r="I84" s="110">
        <f t="shared" si="95"/>
        <v>39004.119999999995</v>
      </c>
      <c r="J84" s="111">
        <f t="shared" si="79"/>
        <v>2.9357486764201558E-2</v>
      </c>
      <c r="K84" s="112"/>
      <c r="L84" s="100">
        <f t="shared" si="80"/>
        <v>14.74</v>
      </c>
      <c r="M84" s="110">
        <f t="shared" si="96"/>
        <v>41242.520000000004</v>
      </c>
      <c r="N84" s="110">
        <f t="shared" si="97"/>
        <v>2238.4000000000087</v>
      </c>
      <c r="O84" s="111">
        <f t="shared" si="98"/>
        <v>5.7388809182209698E-2</v>
      </c>
      <c r="P84" s="111">
        <f t="shared" si="84"/>
        <v>2.9368914129103758E-2</v>
      </c>
      <c r="Q84" s="113">
        <f t="shared" si="99"/>
        <v>1.1427364902200088E-5</v>
      </c>
      <c r="R84" s="113"/>
      <c r="T84" s="5">
        <f t="shared" si="100"/>
        <v>5.7388809182209455E-2</v>
      </c>
    </row>
    <row r="85" spans="1:20" x14ac:dyDescent="0.25">
      <c r="A85" s="31">
        <f t="shared" si="86"/>
        <v>79</v>
      </c>
      <c r="B85" s="28"/>
      <c r="C85" s="27" t="s">
        <v>69</v>
      </c>
      <c r="E85" s="141">
        <v>982</v>
      </c>
      <c r="F85" s="109">
        <v>10.39</v>
      </c>
      <c r="G85" s="138">
        <f t="shared" si="94"/>
        <v>10202.980000000001</v>
      </c>
      <c r="H85" s="100">
        <v>10.39</v>
      </c>
      <c r="I85" s="110">
        <f t="shared" ref="I85" si="101">H85*E85</f>
        <v>10202.980000000001</v>
      </c>
      <c r="J85" s="111">
        <f t="shared" si="79"/>
        <v>7.6795438611462919E-3</v>
      </c>
      <c r="K85" s="112"/>
      <c r="L85" s="100">
        <f t="shared" si="80"/>
        <v>10.98</v>
      </c>
      <c r="M85" s="110">
        <f t="shared" si="96"/>
        <v>10782.36</v>
      </c>
      <c r="N85" s="110">
        <f t="shared" si="97"/>
        <v>579.3799999999992</v>
      </c>
      <c r="O85" s="111">
        <f t="shared" ref="O85" si="102">IF(I85=0,0,N85/I85)</f>
        <v>5.6785370548604344E-2</v>
      </c>
      <c r="P85" s="111">
        <f t="shared" si="84"/>
        <v>7.6781487879276824E-3</v>
      </c>
      <c r="Q85" s="113">
        <f t="shared" ref="Q85" si="103">P85-J85</f>
        <v>-1.3950732186095161E-6</v>
      </c>
      <c r="R85" s="113"/>
      <c r="T85" s="5">
        <f t="shared" si="100"/>
        <v>5.678537054860433E-2</v>
      </c>
    </row>
    <row r="86" spans="1:20" x14ac:dyDescent="0.25">
      <c r="A86" s="31">
        <f t="shared" si="86"/>
        <v>80</v>
      </c>
      <c r="B86" s="28"/>
      <c r="C86" s="2" t="s">
        <v>117</v>
      </c>
      <c r="E86" s="141">
        <v>831</v>
      </c>
      <c r="F86" s="109">
        <v>13.62</v>
      </c>
      <c r="G86" s="138">
        <f t="shared" si="94"/>
        <v>11318.22</v>
      </c>
      <c r="H86" s="100">
        <v>13.62</v>
      </c>
      <c r="I86" s="110">
        <f t="shared" si="95"/>
        <v>11318.22</v>
      </c>
      <c r="J86" s="111">
        <f t="shared" si="79"/>
        <v>8.5189588649691728E-3</v>
      </c>
      <c r="K86" s="112"/>
      <c r="L86" s="100">
        <f t="shared" si="80"/>
        <v>14.4</v>
      </c>
      <c r="M86" s="110">
        <f t="shared" si="96"/>
        <v>11966.4</v>
      </c>
      <c r="N86" s="110">
        <f t="shared" si="97"/>
        <v>648.18000000000029</v>
      </c>
      <c r="O86" s="111">
        <f t="shared" si="98"/>
        <v>5.7268722466960381E-2</v>
      </c>
      <c r="P86" s="111">
        <f t="shared" si="84"/>
        <v>8.5213069917771077E-3</v>
      </c>
      <c r="Q86" s="113">
        <f t="shared" si="99"/>
        <v>2.3481268079349193E-6</v>
      </c>
      <c r="R86" s="113"/>
      <c r="T86" s="5">
        <f t="shared" si="100"/>
        <v>5.7268722466960353E-2</v>
      </c>
    </row>
    <row r="87" spans="1:20" x14ac:dyDescent="0.25">
      <c r="A87" s="31">
        <f t="shared" si="86"/>
        <v>81</v>
      </c>
      <c r="B87" s="28"/>
      <c r="C87" s="2" t="s">
        <v>118</v>
      </c>
      <c r="E87" s="141">
        <v>1489</v>
      </c>
      <c r="F87" s="109">
        <v>10.07</v>
      </c>
      <c r="G87" s="138">
        <f t="shared" si="94"/>
        <v>14994.23</v>
      </c>
      <c r="H87" s="100">
        <v>10.07</v>
      </c>
      <c r="I87" s="110"/>
      <c r="J87" s="111"/>
      <c r="K87" s="112"/>
      <c r="L87" s="100"/>
      <c r="M87" s="110"/>
      <c r="N87" s="110"/>
      <c r="O87" s="111"/>
      <c r="P87" s="111"/>
      <c r="Q87" s="113"/>
      <c r="R87" s="113"/>
      <c r="T87" s="5"/>
    </row>
    <row r="88" spans="1:20" x14ac:dyDescent="0.25">
      <c r="A88" s="31">
        <f t="shared" si="86"/>
        <v>82</v>
      </c>
      <c r="B88" s="28"/>
      <c r="C88" s="27" t="s">
        <v>70</v>
      </c>
      <c r="E88" s="141">
        <v>755</v>
      </c>
      <c r="F88" s="109">
        <v>39.14</v>
      </c>
      <c r="G88" s="138">
        <f t="shared" si="94"/>
        <v>29550.7</v>
      </c>
      <c r="H88" s="100">
        <v>39.14</v>
      </c>
      <c r="I88" s="110">
        <f t="shared" si="95"/>
        <v>29550.7</v>
      </c>
      <c r="J88" s="111">
        <f>I88/I$109</f>
        <v>2.2242119143385138E-2</v>
      </c>
      <c r="K88" s="112"/>
      <c r="L88" s="100">
        <f>ROUND(H88*S$109,2)</f>
        <v>41.38</v>
      </c>
      <c r="M88" s="110">
        <f t="shared" si="96"/>
        <v>31241.9</v>
      </c>
      <c r="N88" s="110">
        <f t="shared" si="97"/>
        <v>1691.2000000000007</v>
      </c>
      <c r="O88" s="111">
        <f t="shared" si="98"/>
        <v>5.7230454777721027E-2</v>
      </c>
      <c r="P88" s="111">
        <f>M88/M$109</f>
        <v>2.2247444587043825E-2</v>
      </c>
      <c r="Q88" s="113">
        <f t="shared" si="99"/>
        <v>5.325443658686646E-6</v>
      </c>
      <c r="R88" s="113"/>
      <c r="T88" s="5">
        <f t="shared" si="100"/>
        <v>5.7230454777721151E-2</v>
      </c>
    </row>
    <row r="89" spans="1:20" x14ac:dyDescent="0.25">
      <c r="A89" s="31">
        <f t="shared" si="86"/>
        <v>83</v>
      </c>
      <c r="B89" s="28"/>
      <c r="C89" s="27" t="s">
        <v>119</v>
      </c>
      <c r="E89" s="141">
        <v>661</v>
      </c>
      <c r="F89" s="109">
        <v>37.76</v>
      </c>
      <c r="G89" s="138">
        <f t="shared" si="94"/>
        <v>24959.359999999997</v>
      </c>
      <c r="H89" s="100">
        <v>37.76</v>
      </c>
      <c r="I89" s="110"/>
      <c r="J89" s="111"/>
      <c r="K89" s="112"/>
      <c r="L89" s="100"/>
      <c r="M89" s="110"/>
      <c r="N89" s="110"/>
      <c r="O89" s="111"/>
      <c r="P89" s="111"/>
      <c r="Q89" s="113"/>
      <c r="R89" s="113"/>
      <c r="T89" s="5"/>
    </row>
    <row r="90" spans="1:20" x14ac:dyDescent="0.25">
      <c r="A90" s="31">
        <f t="shared" si="86"/>
        <v>84</v>
      </c>
      <c r="B90" s="28"/>
      <c r="C90" s="27" t="s">
        <v>71</v>
      </c>
      <c r="E90" s="141">
        <v>408</v>
      </c>
      <c r="F90" s="109">
        <v>29.21</v>
      </c>
      <c r="G90" s="138">
        <f t="shared" si="94"/>
        <v>11917.68</v>
      </c>
      <c r="H90" s="100">
        <v>29.21</v>
      </c>
      <c r="I90" s="110">
        <f t="shared" si="95"/>
        <v>11917.68</v>
      </c>
      <c r="J90" s="111">
        <f>I90/I$109</f>
        <v>8.9701583540402838E-3</v>
      </c>
      <c r="K90" s="112"/>
      <c r="L90" s="100">
        <f>ROUND(H90*S$109,2)</f>
        <v>30.88</v>
      </c>
      <c r="M90" s="110">
        <f t="shared" si="96"/>
        <v>12599.039999999999</v>
      </c>
      <c r="N90" s="110">
        <f t="shared" si="97"/>
        <v>681.35999999999876</v>
      </c>
      <c r="O90" s="111">
        <f t="shared" si="98"/>
        <v>5.7172201300924236E-2</v>
      </c>
      <c r="P90" s="111">
        <f>M90/M$109</f>
        <v>8.9718117095934826E-3</v>
      </c>
      <c r="Q90" s="113">
        <f t="shared" si="99"/>
        <v>1.6533555531987598E-6</v>
      </c>
      <c r="R90" s="113"/>
      <c r="T90" s="5">
        <f t="shared" si="100"/>
        <v>5.7172201300924375E-2</v>
      </c>
    </row>
    <row r="91" spans="1:20" x14ac:dyDescent="0.25">
      <c r="A91" s="31">
        <f t="shared" si="86"/>
        <v>85</v>
      </c>
      <c r="B91" s="28"/>
      <c r="C91" s="27" t="s">
        <v>72</v>
      </c>
      <c r="E91" s="141">
        <v>276</v>
      </c>
      <c r="F91" s="109">
        <v>33.81</v>
      </c>
      <c r="G91" s="138">
        <f t="shared" si="94"/>
        <v>9331.5600000000013</v>
      </c>
      <c r="H91" s="100">
        <v>33.81</v>
      </c>
      <c r="I91" s="110">
        <f t="shared" si="95"/>
        <v>9331.5600000000013</v>
      </c>
      <c r="J91" s="111">
        <f>I91/I$109</f>
        <v>7.0236464555373324E-3</v>
      </c>
      <c r="K91" s="112"/>
      <c r="L91" s="100">
        <f>ROUND(H91*S$109,2)</f>
        <v>35.74</v>
      </c>
      <c r="M91" s="110">
        <f t="shared" si="96"/>
        <v>9864.24</v>
      </c>
      <c r="N91" s="110">
        <f t="shared" si="97"/>
        <v>532.67999999999847</v>
      </c>
      <c r="O91" s="111">
        <f t="shared" si="98"/>
        <v>5.7083703046435792E-2</v>
      </c>
      <c r="P91" s="111">
        <f>M91/M$109</f>
        <v>7.0243529616733028E-3</v>
      </c>
      <c r="Q91" s="113">
        <f t="shared" si="99"/>
        <v>7.0650613597043194E-7</v>
      </c>
      <c r="R91" s="113"/>
      <c r="T91" s="5">
        <f t="shared" si="100"/>
        <v>5.7083703046435952E-2</v>
      </c>
    </row>
    <row r="92" spans="1:20" x14ac:dyDescent="0.25">
      <c r="A92" s="31">
        <f t="shared" si="86"/>
        <v>86</v>
      </c>
      <c r="B92" s="28"/>
      <c r="C92" s="27" t="s">
        <v>120</v>
      </c>
      <c r="E92" s="141">
        <v>48</v>
      </c>
      <c r="F92" s="109">
        <v>32.42</v>
      </c>
      <c r="G92" s="138">
        <f t="shared" si="94"/>
        <v>1556.16</v>
      </c>
      <c r="H92" s="100">
        <v>32.42</v>
      </c>
      <c r="I92" s="110"/>
      <c r="J92" s="111"/>
      <c r="K92" s="112"/>
      <c r="L92" s="100"/>
      <c r="M92" s="110"/>
      <c r="N92" s="110"/>
      <c r="O92" s="111"/>
      <c r="P92" s="111"/>
      <c r="Q92" s="113"/>
      <c r="R92" s="113"/>
      <c r="T92" s="5"/>
    </row>
    <row r="93" spans="1:20" x14ac:dyDescent="0.25">
      <c r="A93" s="31">
        <f t="shared" si="86"/>
        <v>87</v>
      </c>
      <c r="B93" s="28"/>
      <c r="C93" s="27" t="s">
        <v>73</v>
      </c>
      <c r="E93" s="141">
        <v>609</v>
      </c>
      <c r="F93" s="109">
        <v>9.5399999999999991</v>
      </c>
      <c r="G93" s="138">
        <f t="shared" si="94"/>
        <v>5809.86</v>
      </c>
      <c r="H93" s="100">
        <v>9.5399999999999991</v>
      </c>
      <c r="I93" s="110">
        <f t="shared" si="95"/>
        <v>5809.86</v>
      </c>
      <c r="J93" s="111">
        <f t="shared" ref="J93:J107" si="104">I93/I$109</f>
        <v>4.3729454235056217E-3</v>
      </c>
      <c r="K93" s="112"/>
      <c r="L93" s="100">
        <f t="shared" ref="L93:L105" si="105">ROUND(H93*S$109,2)</f>
        <v>10.09</v>
      </c>
      <c r="M93" s="110">
        <f t="shared" si="96"/>
        <v>6144.8099999999995</v>
      </c>
      <c r="N93" s="110">
        <f t="shared" si="97"/>
        <v>334.94999999999982</v>
      </c>
      <c r="O93" s="111">
        <f t="shared" si="98"/>
        <v>5.7651991614255736E-2</v>
      </c>
      <c r="P93" s="111">
        <f t="shared" ref="P93:P107" si="106">M93/M$109</f>
        <v>4.3757364300158683E-3</v>
      </c>
      <c r="Q93" s="113">
        <f t="shared" si="99"/>
        <v>2.7910065102465867E-6</v>
      </c>
      <c r="R93" s="113"/>
      <c r="T93" s="5">
        <f t="shared" si="100"/>
        <v>5.7651991614255937E-2</v>
      </c>
    </row>
    <row r="94" spans="1:20" x14ac:dyDescent="0.25">
      <c r="A94" s="31">
        <f t="shared" si="86"/>
        <v>88</v>
      </c>
      <c r="B94" s="28"/>
      <c r="C94" s="27" t="s">
        <v>74</v>
      </c>
      <c r="E94" s="141">
        <v>220</v>
      </c>
      <c r="F94" s="109">
        <v>17.75</v>
      </c>
      <c r="G94" s="138">
        <f t="shared" si="87"/>
        <v>3905</v>
      </c>
      <c r="H94" s="100">
        <v>17.75</v>
      </c>
      <c r="I94" s="110">
        <f t="shared" si="88"/>
        <v>3905</v>
      </c>
      <c r="J94" s="111">
        <f t="shared" si="104"/>
        <v>2.9392019564652939E-3</v>
      </c>
      <c r="K94" s="112"/>
      <c r="L94" s="100">
        <f t="shared" si="105"/>
        <v>18.760000000000002</v>
      </c>
      <c r="M94" s="110">
        <f t="shared" si="89"/>
        <v>4127.2000000000007</v>
      </c>
      <c r="N94" s="110">
        <f t="shared" si="90"/>
        <v>222.20000000000073</v>
      </c>
      <c r="O94" s="111">
        <f t="shared" si="91"/>
        <v>5.6901408450704412E-2</v>
      </c>
      <c r="P94" s="111">
        <f t="shared" si="106"/>
        <v>2.9389906919760735E-3</v>
      </c>
      <c r="Q94" s="113">
        <f t="shared" si="92"/>
        <v>-2.1126448922041685E-7</v>
      </c>
      <c r="R94" s="113"/>
      <c r="T94" s="5">
        <f t="shared" si="93"/>
        <v>5.6901408450704238E-2</v>
      </c>
    </row>
    <row r="95" spans="1:20" x14ac:dyDescent="0.25">
      <c r="A95" s="31">
        <f t="shared" si="86"/>
        <v>89</v>
      </c>
      <c r="B95" s="28"/>
      <c r="C95" s="27" t="s">
        <v>75</v>
      </c>
      <c r="E95" s="141">
        <v>1237</v>
      </c>
      <c r="F95" s="109">
        <v>16.22</v>
      </c>
      <c r="G95" s="138">
        <f t="shared" si="87"/>
        <v>20064.14</v>
      </c>
      <c r="H95" s="100">
        <v>16.22</v>
      </c>
      <c r="I95" s="110">
        <f t="shared" si="88"/>
        <v>20064.14</v>
      </c>
      <c r="J95" s="111">
        <f t="shared" si="104"/>
        <v>1.5101807821458018E-2</v>
      </c>
      <c r="K95" s="112"/>
      <c r="L95" s="100">
        <f t="shared" si="105"/>
        <v>17.149999999999999</v>
      </c>
      <c r="M95" s="110">
        <f t="shared" si="89"/>
        <v>21214.55</v>
      </c>
      <c r="N95" s="110">
        <f t="shared" si="90"/>
        <v>1150.4099999999999</v>
      </c>
      <c r="O95" s="111">
        <f t="shared" si="91"/>
        <v>5.7336621454993832E-2</v>
      </c>
      <c r="P95" s="111">
        <f t="shared" si="106"/>
        <v>1.5106940537037457E-2</v>
      </c>
      <c r="Q95" s="113">
        <f t="shared" si="92"/>
        <v>5.1327155794391593E-6</v>
      </c>
      <c r="R95" s="113"/>
      <c r="T95" s="5">
        <f t="shared" si="93"/>
        <v>5.7336621454993741E-2</v>
      </c>
    </row>
    <row r="96" spans="1:20" x14ac:dyDescent="0.25">
      <c r="A96" s="31">
        <f t="shared" si="86"/>
        <v>90</v>
      </c>
      <c r="B96" s="28"/>
      <c r="C96" s="27" t="s">
        <v>76</v>
      </c>
      <c r="E96" s="141">
        <v>368</v>
      </c>
      <c r="F96" s="109">
        <v>18.690000000000001</v>
      </c>
      <c r="G96" s="138">
        <f t="shared" ref="G96:G108" si="107">F96*E96</f>
        <v>6877.92</v>
      </c>
      <c r="H96" s="100">
        <v>18.690000000000001</v>
      </c>
      <c r="I96" s="110">
        <f t="shared" ref="I96:I107" si="108">H96*E96</f>
        <v>6877.92</v>
      </c>
      <c r="J96" s="111">
        <f t="shared" si="104"/>
        <v>5.1768491473525675E-3</v>
      </c>
      <c r="K96" s="112"/>
      <c r="L96" s="100">
        <f t="shared" si="105"/>
        <v>19.760000000000002</v>
      </c>
      <c r="M96" s="110">
        <f t="shared" ref="M96:M107" si="109">L96*E96</f>
        <v>7271.68</v>
      </c>
      <c r="N96" s="110">
        <f t="shared" ref="N96:N107" si="110">M96-I96</f>
        <v>393.76000000000022</v>
      </c>
      <c r="O96" s="111">
        <f t="shared" ref="O96:O107" si="111">IF(I96=0,0,N96/I96)</f>
        <v>5.7249866238630313E-2</v>
      </c>
      <c r="P96" s="111">
        <f t="shared" si="106"/>
        <v>5.1781837165702097E-3</v>
      </c>
      <c r="Q96" s="113">
        <f t="shared" ref="Q96:Q107" si="112">P96-J96</f>
        <v>1.3345692176421758E-6</v>
      </c>
      <c r="R96" s="113"/>
      <c r="T96" s="5">
        <f t="shared" si="93"/>
        <v>5.7249866238630265E-2</v>
      </c>
    </row>
    <row r="97" spans="1:20" x14ac:dyDescent="0.25">
      <c r="A97" s="31">
        <f t="shared" si="86"/>
        <v>91</v>
      </c>
      <c r="B97" s="28"/>
      <c r="C97" s="27" t="s">
        <v>77</v>
      </c>
      <c r="E97" s="141">
        <v>103</v>
      </c>
      <c r="F97" s="109">
        <v>18.7</v>
      </c>
      <c r="G97" s="138">
        <f t="shared" si="107"/>
        <v>1926.1</v>
      </c>
      <c r="H97" s="100">
        <v>18.7</v>
      </c>
      <c r="I97" s="110">
        <f t="shared" si="108"/>
        <v>1926.1</v>
      </c>
      <c r="J97" s="111">
        <f t="shared" si="104"/>
        <v>1.4497303171185152E-3</v>
      </c>
      <c r="K97" s="112"/>
      <c r="L97" s="100">
        <f t="shared" si="105"/>
        <v>19.77</v>
      </c>
      <c r="M97" s="110">
        <f t="shared" si="109"/>
        <v>2036.31</v>
      </c>
      <c r="N97" s="110">
        <f t="shared" si="110"/>
        <v>110.21000000000004</v>
      </c>
      <c r="O97" s="111">
        <f t="shared" si="111"/>
        <v>5.7219251336898418E-2</v>
      </c>
      <c r="P97" s="111">
        <f t="shared" si="106"/>
        <v>1.4500620604714568E-3</v>
      </c>
      <c r="Q97" s="113">
        <f t="shared" si="112"/>
        <v>3.3174335294160022E-7</v>
      </c>
      <c r="R97" s="113"/>
      <c r="T97" s="5">
        <f t="shared" si="93"/>
        <v>5.7219251336898314E-2</v>
      </c>
    </row>
    <row r="98" spans="1:20" x14ac:dyDescent="0.25">
      <c r="A98" s="31">
        <f t="shared" si="86"/>
        <v>92</v>
      </c>
      <c r="B98" s="28"/>
      <c r="C98" s="27" t="s">
        <v>78</v>
      </c>
      <c r="E98" s="141">
        <v>1939</v>
      </c>
      <c r="F98" s="109">
        <v>22.28</v>
      </c>
      <c r="G98" s="138">
        <f t="shared" si="107"/>
        <v>43200.920000000006</v>
      </c>
      <c r="H98" s="100">
        <v>22.28</v>
      </c>
      <c r="I98" s="110">
        <f t="shared" si="108"/>
        <v>43200.920000000006</v>
      </c>
      <c r="J98" s="111">
        <f t="shared" si="104"/>
        <v>3.2516319740102606E-2</v>
      </c>
      <c r="K98" s="112"/>
      <c r="L98" s="100">
        <f t="shared" si="105"/>
        <v>23.55</v>
      </c>
      <c r="M98" s="110">
        <f t="shared" si="109"/>
        <v>45663.450000000004</v>
      </c>
      <c r="N98" s="110">
        <f t="shared" si="110"/>
        <v>2462.5299999999988</v>
      </c>
      <c r="O98" s="111">
        <f t="shared" si="111"/>
        <v>5.700179533213641E-2</v>
      </c>
      <c r="P98" s="111">
        <f t="shared" si="106"/>
        <v>3.2517070777649454E-2</v>
      </c>
      <c r="Q98" s="113">
        <f t="shared" si="112"/>
        <v>7.5103754684779922E-7</v>
      </c>
      <c r="R98" s="113"/>
      <c r="T98" s="5">
        <f t="shared" si="93"/>
        <v>5.7001795332136451E-2</v>
      </c>
    </row>
    <row r="99" spans="1:20" x14ac:dyDescent="0.25">
      <c r="A99" s="31">
        <f t="shared" si="86"/>
        <v>93</v>
      </c>
      <c r="B99" s="28"/>
      <c r="C99" s="27" t="s">
        <v>79</v>
      </c>
      <c r="E99" s="141">
        <v>410</v>
      </c>
      <c r="F99" s="109">
        <v>21.26</v>
      </c>
      <c r="G99" s="138">
        <f t="shared" si="107"/>
        <v>8716.6</v>
      </c>
      <c r="H99" s="100">
        <v>21.26</v>
      </c>
      <c r="I99" s="110">
        <f t="shared" si="108"/>
        <v>8716.6</v>
      </c>
      <c r="J99" s="111">
        <f t="shared" si="104"/>
        <v>6.5607804798272426E-3</v>
      </c>
      <c r="K99" s="112"/>
      <c r="L99" s="100">
        <f t="shared" si="105"/>
        <v>22.48</v>
      </c>
      <c r="M99" s="110">
        <f t="shared" si="109"/>
        <v>9216.7999999999993</v>
      </c>
      <c r="N99" s="110">
        <f t="shared" si="110"/>
        <v>500.19999999999891</v>
      </c>
      <c r="O99" s="111">
        <f t="shared" si="111"/>
        <v>5.7384760112887928E-2</v>
      </c>
      <c r="P99" s="111">
        <f t="shared" si="106"/>
        <v>6.5633091223602121E-3</v>
      </c>
      <c r="Q99" s="113">
        <f t="shared" si="112"/>
        <v>2.528642532969444E-6</v>
      </c>
      <c r="R99" s="113"/>
      <c r="T99" s="5">
        <f t="shared" si="93"/>
        <v>5.7384760112888067E-2</v>
      </c>
    </row>
    <row r="100" spans="1:20" x14ac:dyDescent="0.25">
      <c r="A100" s="31">
        <f t="shared" si="86"/>
        <v>94</v>
      </c>
      <c r="B100" s="28"/>
      <c r="C100" s="27" t="s">
        <v>80</v>
      </c>
      <c r="E100" s="141">
        <v>1145</v>
      </c>
      <c r="F100" s="109">
        <v>21.23</v>
      </c>
      <c r="G100" s="138">
        <f t="shared" si="107"/>
        <v>24308.350000000002</v>
      </c>
      <c r="H100" s="100">
        <v>21.23</v>
      </c>
      <c r="I100" s="110">
        <f t="shared" si="108"/>
        <v>24308.350000000002</v>
      </c>
      <c r="J100" s="111">
        <f t="shared" si="104"/>
        <v>1.8296325192943184E-2</v>
      </c>
      <c r="K100" s="112"/>
      <c r="L100" s="100">
        <f t="shared" si="105"/>
        <v>22.44</v>
      </c>
      <c r="M100" s="110">
        <f t="shared" si="109"/>
        <v>25693.800000000003</v>
      </c>
      <c r="N100" s="110">
        <f t="shared" si="110"/>
        <v>1385.4500000000007</v>
      </c>
      <c r="O100" s="111">
        <f t="shared" si="111"/>
        <v>5.6994818652849763E-2</v>
      </c>
      <c r="P100" s="111">
        <f t="shared" si="106"/>
        <v>1.8296627021102643E-2</v>
      </c>
      <c r="Q100" s="113">
        <f t="shared" si="112"/>
        <v>3.0182815945883901E-7</v>
      </c>
      <c r="R100" s="113"/>
      <c r="T100" s="5">
        <f t="shared" si="93"/>
        <v>5.6994818652849721E-2</v>
      </c>
    </row>
    <row r="101" spans="1:20" x14ac:dyDescent="0.25">
      <c r="A101" s="31">
        <f t="shared" si="86"/>
        <v>95</v>
      </c>
      <c r="B101" s="28"/>
      <c r="C101" s="27" t="s">
        <v>81</v>
      </c>
      <c r="E101" s="141">
        <v>60</v>
      </c>
      <c r="F101" s="109">
        <v>23.8</v>
      </c>
      <c r="G101" s="138">
        <f t="shared" si="107"/>
        <v>1428</v>
      </c>
      <c r="H101" s="100">
        <v>23.8</v>
      </c>
      <c r="I101" s="110">
        <f t="shared" si="108"/>
        <v>1428</v>
      </c>
      <c r="J101" s="111">
        <f t="shared" si="104"/>
        <v>1.0748221239007527E-3</v>
      </c>
      <c r="K101" s="112"/>
      <c r="L101" s="100">
        <f t="shared" si="105"/>
        <v>25.16</v>
      </c>
      <c r="M101" s="110">
        <f t="shared" si="109"/>
        <v>1509.6</v>
      </c>
      <c r="N101" s="110">
        <f t="shared" si="110"/>
        <v>81.599999999999909</v>
      </c>
      <c r="O101" s="111">
        <f t="shared" si="111"/>
        <v>5.7142857142857079E-2</v>
      </c>
      <c r="P101" s="111">
        <f t="shared" si="106"/>
        <v>1.0749903926650221E-3</v>
      </c>
      <c r="Q101" s="113">
        <f t="shared" si="112"/>
        <v>1.6826876426934666E-7</v>
      </c>
      <c r="R101" s="113"/>
      <c r="T101" s="5">
        <f t="shared" si="93"/>
        <v>5.7142857142857162E-2</v>
      </c>
    </row>
    <row r="102" spans="1:20" x14ac:dyDescent="0.25">
      <c r="A102" s="31">
        <f t="shared" si="86"/>
        <v>96</v>
      </c>
      <c r="B102" s="28"/>
      <c r="C102" s="27" t="s">
        <v>82</v>
      </c>
      <c r="E102" s="141">
        <v>60</v>
      </c>
      <c r="F102" s="109">
        <v>36.729999999999997</v>
      </c>
      <c r="G102" s="138">
        <f t="shared" si="107"/>
        <v>2203.7999999999997</v>
      </c>
      <c r="H102" s="100">
        <v>36.729999999999997</v>
      </c>
      <c r="I102" s="110">
        <f t="shared" si="108"/>
        <v>2203.7999999999997</v>
      </c>
      <c r="J102" s="111">
        <f t="shared" si="104"/>
        <v>1.6587485970955733E-3</v>
      </c>
      <c r="K102" s="112"/>
      <c r="L102" s="100">
        <f t="shared" si="105"/>
        <v>38.83</v>
      </c>
      <c r="M102" s="110">
        <f t="shared" si="109"/>
        <v>2329.7999999999997</v>
      </c>
      <c r="N102" s="110">
        <f t="shared" si="110"/>
        <v>126</v>
      </c>
      <c r="O102" s="111">
        <f t="shared" si="111"/>
        <v>5.7173972229784924E-2</v>
      </c>
      <c r="P102" s="111">
        <f t="shared" si="106"/>
        <v>1.659057112368156E-3</v>
      </c>
      <c r="Q102" s="113">
        <f t="shared" si="112"/>
        <v>3.085152725827104E-7</v>
      </c>
      <c r="R102" s="113"/>
      <c r="T102" s="5">
        <f t="shared" si="93"/>
        <v>5.7173972229785042E-2</v>
      </c>
    </row>
    <row r="103" spans="1:20" x14ac:dyDescent="0.25">
      <c r="A103" s="31">
        <f t="shared" si="86"/>
        <v>97</v>
      </c>
      <c r="B103" s="28"/>
      <c r="C103" s="27" t="s">
        <v>83</v>
      </c>
      <c r="E103" s="141">
        <v>324</v>
      </c>
      <c r="F103" s="109">
        <v>34.799999999999997</v>
      </c>
      <c r="G103" s="138">
        <f t="shared" si="107"/>
        <v>11275.199999999999</v>
      </c>
      <c r="H103" s="100">
        <v>34.799999999999997</v>
      </c>
      <c r="I103" s="110">
        <f t="shared" si="108"/>
        <v>11275.199999999999</v>
      </c>
      <c r="J103" s="111">
        <f t="shared" si="104"/>
        <v>8.4865787194718257E-3</v>
      </c>
      <c r="K103" s="112"/>
      <c r="L103" s="100">
        <f t="shared" si="105"/>
        <v>36.79</v>
      </c>
      <c r="M103" s="110">
        <f t="shared" si="109"/>
        <v>11919.96</v>
      </c>
      <c r="N103" s="110">
        <f t="shared" si="110"/>
        <v>644.76000000000022</v>
      </c>
      <c r="O103" s="111">
        <f t="shared" si="111"/>
        <v>5.7183908045977033E-2</v>
      </c>
      <c r="P103" s="111">
        <f t="shared" si="106"/>
        <v>8.4882369375671417E-3</v>
      </c>
      <c r="Q103" s="113">
        <f t="shared" si="112"/>
        <v>1.6582180953159803E-6</v>
      </c>
      <c r="R103" s="113"/>
      <c r="T103" s="5">
        <f t="shared" si="93"/>
        <v>5.7183908045977061E-2</v>
      </c>
    </row>
    <row r="104" spans="1:20" x14ac:dyDescent="0.25">
      <c r="A104" s="31">
        <f t="shared" si="86"/>
        <v>98</v>
      </c>
      <c r="B104" s="28"/>
      <c r="C104" s="27" t="s">
        <v>84</v>
      </c>
      <c r="E104" s="141">
        <v>12</v>
      </c>
      <c r="F104" s="109">
        <v>36.89</v>
      </c>
      <c r="G104" s="138">
        <f t="shared" si="107"/>
        <v>442.68</v>
      </c>
      <c r="H104" s="100">
        <v>36.89</v>
      </c>
      <c r="I104" s="110">
        <f t="shared" si="108"/>
        <v>442.68</v>
      </c>
      <c r="J104" s="111">
        <f t="shared" si="104"/>
        <v>3.3319485840923338E-4</v>
      </c>
      <c r="K104" s="112"/>
      <c r="L104" s="100">
        <f t="shared" si="105"/>
        <v>39</v>
      </c>
      <c r="M104" s="110">
        <f t="shared" si="109"/>
        <v>468</v>
      </c>
      <c r="N104" s="110">
        <f t="shared" si="110"/>
        <v>25.319999999999993</v>
      </c>
      <c r="O104" s="111">
        <f t="shared" si="111"/>
        <v>5.7197072377338017E-2</v>
      </c>
      <c r="P104" s="111">
        <f t="shared" si="106"/>
        <v>3.3326411219344887E-4</v>
      </c>
      <c r="Q104" s="113">
        <f t="shared" si="112"/>
        <v>6.9253784215487276E-8</v>
      </c>
      <c r="R104" s="113"/>
      <c r="T104" s="5">
        <f t="shared" si="93"/>
        <v>5.7197072377338065E-2</v>
      </c>
    </row>
    <row r="105" spans="1:20" x14ac:dyDescent="0.25">
      <c r="A105" s="31">
        <f t="shared" si="86"/>
        <v>99</v>
      </c>
      <c r="B105" s="28"/>
      <c r="C105" s="27" t="s">
        <v>85</v>
      </c>
      <c r="E105" s="141">
        <v>351</v>
      </c>
      <c r="F105" s="109">
        <v>35.31</v>
      </c>
      <c r="G105" s="138">
        <f t="shared" si="107"/>
        <v>12393.810000000001</v>
      </c>
      <c r="H105" s="100">
        <v>35.31</v>
      </c>
      <c r="I105" s="110">
        <f t="shared" si="108"/>
        <v>12393.810000000001</v>
      </c>
      <c r="J105" s="111">
        <f t="shared" si="104"/>
        <v>9.3285302432929915E-3</v>
      </c>
      <c r="K105" s="112"/>
      <c r="L105" s="100">
        <f t="shared" si="105"/>
        <v>37.33</v>
      </c>
      <c r="M105" s="110">
        <f t="shared" si="109"/>
        <v>13102.83</v>
      </c>
      <c r="N105" s="110">
        <f t="shared" si="110"/>
        <v>709.01999999999862</v>
      </c>
      <c r="O105" s="111">
        <f t="shared" si="111"/>
        <v>5.7207589917870172E-2</v>
      </c>
      <c r="P105" s="111">
        <f t="shared" si="106"/>
        <v>9.3305619811360849E-3</v>
      </c>
      <c r="Q105" s="113">
        <f t="shared" si="112"/>
        <v>2.0317378430934757E-6</v>
      </c>
      <c r="R105" s="113"/>
      <c r="T105" s="5">
        <f t="shared" si="93"/>
        <v>5.7207589917870116E-2</v>
      </c>
    </row>
    <row r="106" spans="1:20" x14ac:dyDescent="0.25">
      <c r="A106" s="31">
        <f t="shared" si="86"/>
        <v>100</v>
      </c>
      <c r="B106" s="28"/>
      <c r="C106" s="27" t="s">
        <v>121</v>
      </c>
      <c r="E106" s="141">
        <v>45</v>
      </c>
      <c r="F106" s="109">
        <v>34.799999999999997</v>
      </c>
      <c r="G106" s="138">
        <f t="shared" si="107"/>
        <v>1565.9999999999998</v>
      </c>
      <c r="H106" s="100">
        <v>34.799999999999997</v>
      </c>
      <c r="I106" s="110"/>
      <c r="J106" s="111"/>
      <c r="K106" s="112"/>
      <c r="L106" s="100"/>
      <c r="M106" s="110"/>
      <c r="N106" s="110"/>
      <c r="O106" s="111"/>
      <c r="P106" s="111"/>
      <c r="Q106" s="113"/>
      <c r="R106" s="113"/>
      <c r="T106" s="5"/>
    </row>
    <row r="107" spans="1:20" x14ac:dyDescent="0.25">
      <c r="A107" s="31">
        <f t="shared" si="86"/>
        <v>101</v>
      </c>
      <c r="B107" s="28"/>
      <c r="C107" s="27" t="s">
        <v>86</v>
      </c>
      <c r="E107" s="141">
        <v>664</v>
      </c>
      <c r="F107" s="109">
        <v>10.28</v>
      </c>
      <c r="G107" s="138">
        <f t="shared" si="107"/>
        <v>6825.9199999999992</v>
      </c>
      <c r="H107" s="100">
        <v>10.28</v>
      </c>
      <c r="I107" s="110">
        <f t="shared" si="108"/>
        <v>6825.9199999999992</v>
      </c>
      <c r="J107" s="111">
        <f t="shared" si="104"/>
        <v>5.137709966370186E-3</v>
      </c>
      <c r="K107" s="112"/>
      <c r="L107" s="100">
        <f>ROUND(H107*S$109,2)</f>
        <v>10.87</v>
      </c>
      <c r="M107" s="110">
        <f t="shared" si="109"/>
        <v>7217.6799999999994</v>
      </c>
      <c r="N107" s="110">
        <f t="shared" si="110"/>
        <v>391.76000000000022</v>
      </c>
      <c r="O107" s="111">
        <f t="shared" si="111"/>
        <v>5.7392996108949455E-2</v>
      </c>
      <c r="P107" s="111">
        <f t="shared" si="106"/>
        <v>5.1397301651632732E-3</v>
      </c>
      <c r="Q107" s="113">
        <f t="shared" si="112"/>
        <v>2.0201987930871732E-6</v>
      </c>
      <c r="R107" s="113"/>
      <c r="T107" s="5">
        <f t="shared" si="93"/>
        <v>5.7392996108949434E-2</v>
      </c>
    </row>
    <row r="108" spans="1:20" x14ac:dyDescent="0.25">
      <c r="A108" s="31">
        <f t="shared" si="86"/>
        <v>102</v>
      </c>
      <c r="B108" s="28"/>
      <c r="C108" s="27" t="s">
        <v>122</v>
      </c>
      <c r="E108" s="141">
        <v>73</v>
      </c>
      <c r="F108" s="109">
        <v>8.35</v>
      </c>
      <c r="G108" s="138">
        <f t="shared" si="107"/>
        <v>609.54999999999995</v>
      </c>
      <c r="H108" s="100">
        <v>8.35</v>
      </c>
      <c r="I108" s="110"/>
      <c r="J108" s="111"/>
      <c r="K108" s="112"/>
      <c r="L108" s="100"/>
      <c r="M108" s="110"/>
      <c r="N108" s="110"/>
      <c r="O108" s="111"/>
      <c r="P108" s="111"/>
      <c r="Q108" s="113"/>
      <c r="R108" s="113"/>
      <c r="T108" s="5"/>
    </row>
    <row r="109" spans="1:20" s="6" customFormat="1" ht="24.6" customHeight="1" x14ac:dyDescent="0.3">
      <c r="A109" s="31">
        <f t="shared" si="86"/>
        <v>103</v>
      </c>
      <c r="C109" s="16"/>
      <c r="D109" s="18" t="s">
        <v>6</v>
      </c>
      <c r="E109" s="116"/>
      <c r="F109" s="151"/>
      <c r="G109" s="19">
        <f>SUM(G72:G108)</f>
        <v>1372277.2299999997</v>
      </c>
      <c r="H109" s="116"/>
      <c r="I109" s="117">
        <f>SUM(I72:I107)</f>
        <v>1328591.9299999997</v>
      </c>
      <c r="J109" s="118">
        <f>SUM(J72:J107)</f>
        <v>1</v>
      </c>
      <c r="K109" s="119">
        <f>I109+Summary!I15</f>
        <v>1404527.2499999998</v>
      </c>
      <c r="L109" s="116"/>
      <c r="M109" s="19">
        <f>SUM(M72:M107)</f>
        <v>1404291.6199999999</v>
      </c>
      <c r="N109" s="19">
        <f>M109-I109</f>
        <v>75699.690000000177</v>
      </c>
      <c r="O109" s="118">
        <f t="shared" ref="O109" si="113">N109/I109</f>
        <v>5.697738206192491E-2</v>
      </c>
      <c r="P109" s="118">
        <f>SUM(P72:P107)</f>
        <v>1.0000000000000004</v>
      </c>
      <c r="Q109" s="120">
        <f t="shared" ref="Q109" si="114">P109-J109</f>
        <v>0</v>
      </c>
      <c r="R109" s="121">
        <f>M109-K109</f>
        <v>-235.62999999988824</v>
      </c>
      <c r="S109" s="6">
        <f>K109/I109</f>
        <v>1.0571547352391339</v>
      </c>
    </row>
    <row r="110" spans="1:20" x14ac:dyDescent="0.25">
      <c r="A110" s="31">
        <f t="shared" si="86"/>
        <v>104</v>
      </c>
      <c r="D110" s="2" t="s">
        <v>26</v>
      </c>
      <c r="F110" s="152"/>
      <c r="G110" s="138">
        <v>52129</v>
      </c>
      <c r="I110" s="27">
        <f>G110*1.367</f>
        <v>71260.342999999993</v>
      </c>
      <c r="M110" s="110">
        <f>I110</f>
        <v>71260.342999999993</v>
      </c>
      <c r="N110" s="110">
        <f>M110-I110</f>
        <v>0</v>
      </c>
      <c r="O110" s="100">
        <v>0</v>
      </c>
    </row>
    <row r="111" spans="1:20" x14ac:dyDescent="0.25">
      <c r="A111" s="31">
        <f t="shared" si="86"/>
        <v>105</v>
      </c>
      <c r="D111" s="2" t="s">
        <v>27</v>
      </c>
      <c r="F111" s="152"/>
      <c r="G111" s="138">
        <v>53101</v>
      </c>
      <c r="I111" s="27">
        <f>G111</f>
        <v>53101</v>
      </c>
      <c r="M111" s="110">
        <f t="shared" ref="M111:M112" si="115">I111</f>
        <v>53101</v>
      </c>
      <c r="N111" s="110">
        <f>M111-I111</f>
        <v>0</v>
      </c>
      <c r="O111" s="100">
        <v>0</v>
      </c>
    </row>
    <row r="112" spans="1:20" x14ac:dyDescent="0.25">
      <c r="A112" s="31">
        <f t="shared" si="86"/>
        <v>106</v>
      </c>
      <c r="D112" s="2" t="s">
        <v>29</v>
      </c>
      <c r="F112" s="152"/>
      <c r="G112" s="138">
        <v>0</v>
      </c>
      <c r="I112" s="27">
        <v>0</v>
      </c>
      <c r="M112" s="110">
        <f t="shared" si="115"/>
        <v>0</v>
      </c>
      <c r="N112" s="110">
        <f>M112-I112</f>
        <v>0</v>
      </c>
      <c r="O112" s="100">
        <v>0</v>
      </c>
    </row>
    <row r="113" spans="1:22" x14ac:dyDescent="0.25">
      <c r="A113" s="31">
        <f t="shared" si="86"/>
        <v>107</v>
      </c>
      <c r="D113" s="2" t="s">
        <v>39</v>
      </c>
      <c r="F113" s="152"/>
      <c r="G113" s="138"/>
      <c r="I113" s="27"/>
      <c r="M113" s="110"/>
      <c r="N113" s="110"/>
      <c r="O113" s="100"/>
    </row>
    <row r="114" spans="1:22" x14ac:dyDescent="0.25">
      <c r="A114" s="31">
        <f t="shared" si="86"/>
        <v>108</v>
      </c>
      <c r="D114" s="14" t="s">
        <v>8</v>
      </c>
      <c r="E114" s="123"/>
      <c r="F114" s="153"/>
      <c r="G114" s="154">
        <f>SUM(G110:G112)</f>
        <v>105230</v>
      </c>
      <c r="H114" s="123"/>
      <c r="I114" s="124">
        <f>SUM(I110:I112)</f>
        <v>124361.34299999999</v>
      </c>
      <c r="J114" s="123"/>
      <c r="K114" s="123"/>
      <c r="L114" s="123"/>
      <c r="M114" s="124">
        <f>SUM(M110:M112)</f>
        <v>124361.34299999999</v>
      </c>
      <c r="N114" s="124">
        <f>M114-I114</f>
        <v>0</v>
      </c>
      <c r="O114" s="125">
        <f>N114-J114</f>
        <v>0</v>
      </c>
    </row>
    <row r="115" spans="1:22" s="6" customFormat="1" ht="26.4" customHeight="1" thickBot="1" x14ac:dyDescent="0.3">
      <c r="A115" s="31">
        <f t="shared" si="86"/>
        <v>109</v>
      </c>
      <c r="C115" s="16"/>
      <c r="D115" s="7" t="s">
        <v>19</v>
      </c>
      <c r="E115" s="126"/>
      <c r="F115" s="155"/>
      <c r="G115" s="156">
        <f>G109+G114</f>
        <v>1477507.2299999997</v>
      </c>
      <c r="H115" s="126"/>
      <c r="I115" s="128">
        <f>I114+I109</f>
        <v>1452953.2729999996</v>
      </c>
      <c r="J115" s="126"/>
      <c r="K115" s="126"/>
      <c r="L115" s="126"/>
      <c r="M115" s="127">
        <f>M114+M109</f>
        <v>1528652.963</v>
      </c>
      <c r="N115" s="127">
        <f>M115-I115</f>
        <v>75699.69000000041</v>
      </c>
      <c r="O115" s="129">
        <f>N115/I115</f>
        <v>5.2100567448875167E-2</v>
      </c>
      <c r="P115" s="77"/>
      <c r="Q115" s="77"/>
      <c r="R115" s="77"/>
    </row>
    <row r="116" spans="1:22" ht="14.4" thickTop="1" thickBot="1" x14ac:dyDescent="0.3">
      <c r="A116" s="31">
        <f t="shared" si="86"/>
        <v>110</v>
      </c>
      <c r="F116" s="152"/>
      <c r="G116" s="157"/>
      <c r="I116" s="130"/>
      <c r="M116" s="130"/>
      <c r="N116" s="130"/>
      <c r="O116" s="111"/>
    </row>
    <row r="117" spans="1:22" x14ac:dyDescent="0.25">
      <c r="A117" s="31">
        <f t="shared" si="86"/>
        <v>111</v>
      </c>
      <c r="B117" s="24" t="s">
        <v>55</v>
      </c>
      <c r="C117" s="24" t="s">
        <v>41</v>
      </c>
      <c r="D117" s="24"/>
      <c r="E117" s="107"/>
      <c r="F117" s="150"/>
      <c r="G117" s="150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</row>
    <row r="118" spans="1:22" x14ac:dyDescent="0.25">
      <c r="A118" s="31">
        <f t="shared" si="86"/>
        <v>112</v>
      </c>
      <c r="C118" s="2"/>
      <c r="D118" s="2" t="s">
        <v>17</v>
      </c>
      <c r="E118" s="141">
        <v>12</v>
      </c>
      <c r="F118" s="109">
        <v>5454</v>
      </c>
      <c r="G118" s="138">
        <v>65448</v>
      </c>
      <c r="H118" s="100">
        <v>5726.7</v>
      </c>
      <c r="I118" s="110">
        <f>H118*E118</f>
        <v>68720.399999999994</v>
      </c>
      <c r="J118" s="111">
        <f>I118/I122</f>
        <v>1.0114216522080942E-2</v>
      </c>
      <c r="K118" s="112"/>
      <c r="L118" s="109">
        <v>6127.6</v>
      </c>
      <c r="M118" s="110">
        <f>L118*E118</f>
        <v>73531.200000000012</v>
      </c>
      <c r="N118" s="110">
        <f>M118-I118</f>
        <v>4810.8000000000175</v>
      </c>
      <c r="O118" s="111">
        <f>IF(I118=0,0,N118/I118)</f>
        <v>7.0005413239736927E-2</v>
      </c>
      <c r="P118" s="111">
        <f>M118/M$122</f>
        <v>9.7362724364662544E-3</v>
      </c>
      <c r="Q118" s="113">
        <f>P118-J118</f>
        <v>-3.7794408561468706E-4</v>
      </c>
      <c r="R118" s="113"/>
      <c r="T118" s="5">
        <f t="shared" ref="T118:T121" si="116">L118/H118-1</f>
        <v>7.0005413239736747E-2</v>
      </c>
      <c r="V118" s="32"/>
    </row>
    <row r="119" spans="1:22" x14ac:dyDescent="0.25">
      <c r="A119" s="31">
        <f t="shared" si="86"/>
        <v>113</v>
      </c>
      <c r="B119" s="140"/>
      <c r="D119" s="2" t="s">
        <v>53</v>
      </c>
      <c r="E119" s="141">
        <v>199289</v>
      </c>
      <c r="F119" s="137">
        <v>6.98</v>
      </c>
      <c r="G119" s="138">
        <v>804719</v>
      </c>
      <c r="H119" s="100">
        <v>7.3</v>
      </c>
      <c r="I119" s="110">
        <f t="shared" ref="I119:I121" si="117">H119*E119</f>
        <v>1454809.7</v>
      </c>
      <c r="J119" s="112">
        <f>I119/I122</f>
        <v>0.21411779186709648</v>
      </c>
      <c r="K119" s="112"/>
      <c r="L119" s="109">
        <v>9.14</v>
      </c>
      <c r="M119" s="110">
        <f t="shared" ref="M119:M121" si="118">L119*E119</f>
        <v>1821501.4600000002</v>
      </c>
      <c r="N119" s="110">
        <f t="shared" ref="N119" si="119">M119-I119</f>
        <v>366691.76000000024</v>
      </c>
      <c r="O119" s="111">
        <f t="shared" ref="O119" si="120">IF(I119=0,0,N119/I119)</f>
        <v>0.25205479452054813</v>
      </c>
      <c r="P119" s="111">
        <f t="shared" ref="P119" si="121">M119/M$122</f>
        <v>0.24118516300537782</v>
      </c>
      <c r="Q119" s="113">
        <f t="shared" ref="Q119" si="122">P119-J119</f>
        <v>2.7067371138281338E-2</v>
      </c>
      <c r="R119" s="113"/>
      <c r="T119" s="5">
        <f t="shared" ref="T119" si="123">L119/H119-1</f>
        <v>0.25205479452054802</v>
      </c>
    </row>
    <row r="120" spans="1:22" x14ac:dyDescent="0.25">
      <c r="A120" s="31">
        <f t="shared" si="86"/>
        <v>114</v>
      </c>
      <c r="B120" s="139"/>
      <c r="D120" s="2" t="s">
        <v>105</v>
      </c>
      <c r="E120" s="141">
        <v>115289</v>
      </c>
      <c r="F120" s="109">
        <v>-5.6</v>
      </c>
      <c r="G120" s="138">
        <v>0</v>
      </c>
      <c r="H120" s="100">
        <v>-5.6</v>
      </c>
      <c r="I120" s="110">
        <f t="shared" si="117"/>
        <v>-645618.39999999991</v>
      </c>
      <c r="J120" s="112">
        <f>I120/I122</f>
        <v>-9.5021628049887091E-2</v>
      </c>
      <c r="K120" s="112"/>
      <c r="L120" s="109">
        <f>H120</f>
        <v>-5.6</v>
      </c>
      <c r="M120" s="110">
        <f t="shared" si="118"/>
        <v>-645618.39999999991</v>
      </c>
      <c r="N120" s="110">
        <f t="shared" ref="N120:N125" si="124">M120-I120</f>
        <v>0</v>
      </c>
      <c r="O120" s="111">
        <f t="shared" ref="O120:O121" si="125">IF(I120=0,0,N120/I120)</f>
        <v>0</v>
      </c>
      <c r="P120" s="111">
        <f t="shared" ref="P120:P121" si="126">M120/M$122</f>
        <v>-8.5486387171642003E-2</v>
      </c>
      <c r="Q120" s="113">
        <f t="shared" ref="Q120:Q122" si="127">P120-J120</f>
        <v>9.5352408782450881E-3</v>
      </c>
      <c r="R120" s="113"/>
      <c r="T120" s="5">
        <f t="shared" si="116"/>
        <v>0</v>
      </c>
      <c r="V120" s="90"/>
    </row>
    <row r="121" spans="1:22" x14ac:dyDescent="0.25">
      <c r="A121" s="31">
        <f t="shared" si="86"/>
        <v>115</v>
      </c>
      <c r="B121" s="139"/>
      <c r="D121" s="2" t="s">
        <v>51</v>
      </c>
      <c r="E121" s="141">
        <v>115354350</v>
      </c>
      <c r="F121" s="159">
        <v>4.5886000000000003E-2</v>
      </c>
      <c r="G121" s="138">
        <v>5645921.7199999988</v>
      </c>
      <c r="H121" s="115">
        <v>5.1290000000000002E-2</v>
      </c>
      <c r="I121" s="110">
        <f t="shared" si="117"/>
        <v>5916524.6115000006</v>
      </c>
      <c r="J121" s="111">
        <f>I121/I122</f>
        <v>0.87078961966070967</v>
      </c>
      <c r="K121" s="112"/>
      <c r="L121" s="146">
        <f>H121*S121</f>
        <v>5.4639296840561284E-2</v>
      </c>
      <c r="M121" s="110">
        <f t="shared" si="118"/>
        <v>6302880.5715000005</v>
      </c>
      <c r="N121" s="110">
        <f t="shared" si="124"/>
        <v>386355.95999999996</v>
      </c>
      <c r="O121" s="111">
        <f t="shared" si="125"/>
        <v>6.5301166710104872E-2</v>
      </c>
      <c r="P121" s="111">
        <f t="shared" si="126"/>
        <v>0.83456495172979783</v>
      </c>
      <c r="Q121" s="113">
        <f t="shared" si="127"/>
        <v>-3.6224667930911836E-2</v>
      </c>
      <c r="R121" s="113"/>
      <c r="S121" s="144">
        <v>1.0653011667101049</v>
      </c>
      <c r="T121" s="5">
        <f t="shared" si="116"/>
        <v>6.5301166710104885E-2</v>
      </c>
      <c r="V121" s="90"/>
    </row>
    <row r="122" spans="1:22" s="6" customFormat="1" ht="20.399999999999999" customHeight="1" x14ac:dyDescent="0.3">
      <c r="A122" s="31">
        <f t="shared" si="86"/>
        <v>116</v>
      </c>
      <c r="B122" s="86"/>
      <c r="C122" s="16"/>
      <c r="D122" s="18" t="s">
        <v>6</v>
      </c>
      <c r="E122" s="116"/>
      <c r="F122" s="151"/>
      <c r="G122" s="19">
        <f>SUM(G118:G121)</f>
        <v>6516088.7199999988</v>
      </c>
      <c r="H122" s="116"/>
      <c r="I122" s="117">
        <f>SUM(I118:I121)</f>
        <v>6794436.3115000008</v>
      </c>
      <c r="J122" s="118">
        <f>SUM(J118:J121)</f>
        <v>1</v>
      </c>
      <c r="K122" s="119">
        <f>I122+Summary!I18</f>
        <v>7552294.8315000013</v>
      </c>
      <c r="L122" s="116"/>
      <c r="M122" s="19">
        <f>SUM(M118:M121)</f>
        <v>7552294.8315000013</v>
      </c>
      <c r="N122" s="19">
        <f>SUM(N118:N121)</f>
        <v>757858.52000000025</v>
      </c>
      <c r="O122" s="118">
        <f t="shared" ref="O122" si="128">N122/I122</f>
        <v>0.11154104406237177</v>
      </c>
      <c r="P122" s="118">
        <f>SUM(P118:P121)</f>
        <v>0.99999999999999989</v>
      </c>
      <c r="Q122" s="120">
        <f t="shared" si="127"/>
        <v>0</v>
      </c>
      <c r="R122" s="117">
        <f>M122-K122</f>
        <v>0</v>
      </c>
      <c r="S122" s="6">
        <f>K122/I122</f>
        <v>1.1115410440623719</v>
      </c>
    </row>
    <row r="123" spans="1:22" x14ac:dyDescent="0.25">
      <c r="A123" s="31">
        <f t="shared" si="86"/>
        <v>117</v>
      </c>
      <c r="D123" s="2" t="s">
        <v>26</v>
      </c>
      <c r="F123" s="152"/>
      <c r="G123" s="138">
        <v>1161874</v>
      </c>
      <c r="I123" s="27">
        <f>G123-($H$175*E121)</f>
        <v>-199307.33000000007</v>
      </c>
      <c r="K123" s="27"/>
      <c r="M123" s="110">
        <f>I123</f>
        <v>-199307.33000000007</v>
      </c>
      <c r="N123" s="110">
        <f t="shared" si="124"/>
        <v>0</v>
      </c>
      <c r="O123" s="100">
        <v>0</v>
      </c>
    </row>
    <row r="124" spans="1:22" x14ac:dyDescent="0.25">
      <c r="A124" s="31">
        <f t="shared" si="86"/>
        <v>118</v>
      </c>
      <c r="D124" s="2" t="s">
        <v>27</v>
      </c>
      <c r="F124" s="152"/>
      <c r="G124" s="138">
        <v>998222</v>
      </c>
      <c r="I124" s="27">
        <f t="shared" ref="I124:I126" si="129">G124</f>
        <v>998222</v>
      </c>
      <c r="M124" s="110">
        <f t="shared" ref="M124:M126" si="130">I124</f>
        <v>998222</v>
      </c>
      <c r="N124" s="110">
        <f t="shared" si="124"/>
        <v>0</v>
      </c>
      <c r="O124" s="100">
        <v>0</v>
      </c>
    </row>
    <row r="125" spans="1:22" x14ac:dyDescent="0.25">
      <c r="A125" s="31">
        <f t="shared" si="86"/>
        <v>119</v>
      </c>
      <c r="D125" s="2" t="s">
        <v>29</v>
      </c>
      <c r="F125" s="152"/>
      <c r="G125" s="138"/>
      <c r="I125" s="27">
        <f t="shared" si="129"/>
        <v>0</v>
      </c>
      <c r="M125" s="110">
        <f t="shared" si="130"/>
        <v>0</v>
      </c>
      <c r="N125" s="110">
        <f t="shared" si="124"/>
        <v>0</v>
      </c>
      <c r="O125" s="100">
        <v>0</v>
      </c>
    </row>
    <row r="126" spans="1:22" x14ac:dyDescent="0.25">
      <c r="A126" s="31">
        <f t="shared" si="86"/>
        <v>120</v>
      </c>
      <c r="D126" s="2" t="s">
        <v>39</v>
      </c>
      <c r="F126" s="152"/>
      <c r="G126" s="138"/>
      <c r="I126" s="27">
        <f t="shared" si="129"/>
        <v>0</v>
      </c>
      <c r="M126" s="110">
        <f t="shared" si="130"/>
        <v>0</v>
      </c>
      <c r="N126" s="110"/>
      <c r="O126" s="100"/>
    </row>
    <row r="127" spans="1:22" x14ac:dyDescent="0.25">
      <c r="A127" s="31">
        <f t="shared" si="86"/>
        <v>121</v>
      </c>
      <c r="D127" s="14" t="s">
        <v>8</v>
      </c>
      <c r="E127" s="123"/>
      <c r="F127" s="153"/>
      <c r="G127" s="154">
        <f>SUM(G123:G126)</f>
        <v>2160096</v>
      </c>
      <c r="H127" s="123"/>
      <c r="I127" s="124">
        <f>SUM(I123:I126)</f>
        <v>798914.66999999993</v>
      </c>
      <c r="J127" s="123"/>
      <c r="K127" s="123"/>
      <c r="L127" s="123"/>
      <c r="M127" s="124">
        <f>SUM(M123:M126)</f>
        <v>798914.66999999993</v>
      </c>
      <c r="N127" s="124">
        <f t="shared" ref="N127:N128" si="131">M127-I127</f>
        <v>0</v>
      </c>
      <c r="O127" s="125">
        <f t="shared" ref="O127" si="132">N127-J127</f>
        <v>0</v>
      </c>
    </row>
    <row r="128" spans="1:22" s="6" customFormat="1" ht="26.4" customHeight="1" thickBot="1" x14ac:dyDescent="0.3">
      <c r="A128" s="31">
        <f t="shared" si="86"/>
        <v>122</v>
      </c>
      <c r="C128" s="16"/>
      <c r="D128" s="7" t="s">
        <v>19</v>
      </c>
      <c r="E128" s="126"/>
      <c r="F128" s="155"/>
      <c r="G128" s="156">
        <f>G122+G127</f>
        <v>8676184.7199999988</v>
      </c>
      <c r="H128" s="126"/>
      <c r="I128" s="128">
        <f>I127+I122</f>
        <v>7593350.9815000007</v>
      </c>
      <c r="J128" s="126"/>
      <c r="K128" s="126"/>
      <c r="L128" s="126"/>
      <c r="M128" s="127">
        <f>M127+M122</f>
        <v>8351209.5015000012</v>
      </c>
      <c r="N128" s="127">
        <f t="shared" si="131"/>
        <v>757858.52000000048</v>
      </c>
      <c r="O128" s="129">
        <f>N128/I128</f>
        <v>9.9805543276796096E-2</v>
      </c>
      <c r="P128" s="77"/>
      <c r="Q128" s="77"/>
      <c r="R128" s="77"/>
    </row>
    <row r="129" spans="1:18" ht="13.8" thickTop="1" x14ac:dyDescent="0.25">
      <c r="A129" s="31">
        <f t="shared" si="86"/>
        <v>123</v>
      </c>
      <c r="E129" s="109">
        <f>E121/E118</f>
        <v>9612862.5</v>
      </c>
      <c r="F129" s="152"/>
      <c r="G129" s="157">
        <f>G128/E118</f>
        <v>723015.3933333332</v>
      </c>
      <c r="I129" s="130">
        <f>I128/E118</f>
        <v>632779.24845833343</v>
      </c>
      <c r="M129" s="130">
        <f>M128/E118</f>
        <v>695934.12512500014</v>
      </c>
      <c r="N129" s="130">
        <f>M129-I129</f>
        <v>63154.876666666707</v>
      </c>
      <c r="O129" s="111"/>
    </row>
    <row r="130" spans="1:18" x14ac:dyDescent="0.25">
      <c r="A130" s="31">
        <f t="shared" si="86"/>
        <v>124</v>
      </c>
    </row>
    <row r="131" spans="1:18" x14ac:dyDescent="0.25">
      <c r="A131" s="31">
        <f t="shared" si="86"/>
        <v>125</v>
      </c>
      <c r="B131" s="20"/>
      <c r="C131" s="21"/>
      <c r="D131" s="20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</row>
    <row r="132" spans="1:18" x14ac:dyDescent="0.25">
      <c r="A132" s="31">
        <f t="shared" si="86"/>
        <v>126</v>
      </c>
    </row>
    <row r="133" spans="1:18" s="6" customFormat="1" ht="19.95" customHeight="1" x14ac:dyDescent="0.3">
      <c r="A133" s="31">
        <f t="shared" si="86"/>
        <v>127</v>
      </c>
      <c r="B133" s="6" t="s">
        <v>28</v>
      </c>
      <c r="C133" s="16"/>
      <c r="D133" s="18" t="s">
        <v>6</v>
      </c>
      <c r="E133" s="116"/>
      <c r="F133" s="116"/>
      <c r="G133" s="133">
        <f>G10+G22+G35+G48+G62+G109+G122</f>
        <v>70533993.783889994</v>
      </c>
      <c r="H133" s="133"/>
      <c r="I133" s="133">
        <f>I10+I22+I35+I48+I62+I109+I122</f>
        <v>69401037.419169992</v>
      </c>
      <c r="J133" s="116"/>
      <c r="K133" s="116"/>
      <c r="L133" s="116"/>
      <c r="M133" s="133">
        <f t="shared" ref="M133:N137" si="133">M10+M22+M35+M48+M62+M109+M122</f>
        <v>73766647.934504002</v>
      </c>
      <c r="N133" s="133">
        <f t="shared" si="133"/>
        <v>4365610.5153340045</v>
      </c>
      <c r="O133" s="118">
        <f>N133/I133</f>
        <v>6.2904110337234434E-2</v>
      </c>
      <c r="P133" s="134"/>
      <c r="Q133" s="134"/>
      <c r="R133" s="134"/>
    </row>
    <row r="134" spans="1:18" x14ac:dyDescent="0.25">
      <c r="A134" s="31">
        <f t="shared" si="86"/>
        <v>128</v>
      </c>
      <c r="D134" s="2" t="s">
        <v>26</v>
      </c>
      <c r="G134" s="27">
        <f>G11+G23+G36+G49+G63+G110+G123</f>
        <v>7346524</v>
      </c>
      <c r="H134" s="27"/>
      <c r="I134" s="27">
        <f>I11+I23+I36+I49+I63+I110+I123</f>
        <v>-394938.2130000004</v>
      </c>
      <c r="M134" s="27">
        <f t="shared" si="133"/>
        <v>-394938.2130000004</v>
      </c>
      <c r="N134" s="27">
        <f t="shared" si="133"/>
        <v>0</v>
      </c>
    </row>
    <row r="135" spans="1:18" x14ac:dyDescent="0.25">
      <c r="A135" s="31">
        <f t="shared" si="86"/>
        <v>129</v>
      </c>
      <c r="D135" s="2" t="s">
        <v>27</v>
      </c>
      <c r="G135" s="27">
        <f>G12+G24+G37+G50+G64+G111+G124</f>
        <v>8489847</v>
      </c>
      <c r="H135" s="27"/>
      <c r="I135" s="27">
        <f>I12+I24+I37+I50+I64+I111+I124</f>
        <v>8489847</v>
      </c>
      <c r="M135" s="27">
        <f t="shared" si="133"/>
        <v>8489847</v>
      </c>
      <c r="N135" s="27">
        <f t="shared" si="133"/>
        <v>0</v>
      </c>
    </row>
    <row r="136" spans="1:18" x14ac:dyDescent="0.25">
      <c r="A136" s="31">
        <f t="shared" si="86"/>
        <v>130</v>
      </c>
      <c r="D136" s="2" t="s">
        <v>29</v>
      </c>
      <c r="G136" s="27">
        <f>G13+G25+G38+G51+G65+G112+G125</f>
        <v>82695.86</v>
      </c>
      <c r="H136" s="27"/>
      <c r="I136" s="27">
        <f>I13+I25+I38+I51+I65+I112+I125</f>
        <v>82695.86</v>
      </c>
      <c r="M136" s="27">
        <f t="shared" si="133"/>
        <v>82695.86</v>
      </c>
      <c r="N136" s="27">
        <f t="shared" si="133"/>
        <v>0</v>
      </c>
    </row>
    <row r="137" spans="1:18" x14ac:dyDescent="0.25">
      <c r="A137" s="31">
        <f t="shared" si="86"/>
        <v>131</v>
      </c>
      <c r="D137" s="2" t="s">
        <v>39</v>
      </c>
      <c r="G137" s="27">
        <f>G14+G26+G39+G52+G66+G113+G126</f>
        <v>0</v>
      </c>
      <c r="I137" s="27">
        <f>I14+I26+I39+I52+I66+I113+I126</f>
        <v>0</v>
      </c>
      <c r="M137" s="27">
        <f t="shared" si="133"/>
        <v>0</v>
      </c>
      <c r="N137" s="27">
        <f t="shared" si="133"/>
        <v>0</v>
      </c>
      <c r="O137" s="100"/>
    </row>
    <row r="138" spans="1:18" x14ac:dyDescent="0.25">
      <c r="A138" s="31">
        <f t="shared" si="86"/>
        <v>132</v>
      </c>
      <c r="D138" s="14" t="s">
        <v>8</v>
      </c>
      <c r="E138" s="123"/>
      <c r="F138" s="123"/>
      <c r="G138" s="135">
        <f>SUM(G134:G137)</f>
        <v>15919066.859999999</v>
      </c>
      <c r="H138" s="135"/>
      <c r="I138" s="135">
        <f>SUM(I134:I137)</f>
        <v>8177604.6469999999</v>
      </c>
      <c r="J138" s="123"/>
      <c r="K138" s="123"/>
      <c r="L138" s="123"/>
      <c r="M138" s="135">
        <f>SUM(M134:M137)</f>
        <v>8177604.6469999999</v>
      </c>
      <c r="N138" s="135">
        <f>SUM(N134:N137)</f>
        <v>0</v>
      </c>
      <c r="O138" s="123"/>
    </row>
    <row r="139" spans="1:18" s="6" customFormat="1" ht="21" customHeight="1" thickBot="1" x14ac:dyDescent="0.35">
      <c r="A139" s="31">
        <f t="shared" si="86"/>
        <v>133</v>
      </c>
      <c r="C139" s="16"/>
      <c r="D139" s="7" t="s">
        <v>19</v>
      </c>
      <c r="E139" s="126"/>
      <c r="F139" s="126"/>
      <c r="G139" s="128">
        <f>G138+G133</f>
        <v>86453060.643889993</v>
      </c>
      <c r="H139" s="128"/>
      <c r="I139" s="128">
        <f>I138+I133</f>
        <v>77578642.066169992</v>
      </c>
      <c r="J139" s="126"/>
      <c r="K139" s="126"/>
      <c r="L139" s="126"/>
      <c r="M139" s="128">
        <f>M138+M133</f>
        <v>81944252.581504002</v>
      </c>
      <c r="N139" s="128">
        <f>N138+N133</f>
        <v>4365610.5153340045</v>
      </c>
      <c r="O139" s="129">
        <f>N139/I139</f>
        <v>5.6273355643559696E-2</v>
      </c>
      <c r="P139" s="134"/>
      <c r="Q139" s="134"/>
      <c r="R139" s="134"/>
    </row>
    <row r="140" spans="1:18" ht="13.8" thickTop="1" x14ac:dyDescent="0.25">
      <c r="A140" s="31">
        <f t="shared" si="86"/>
        <v>134</v>
      </c>
    </row>
    <row r="141" spans="1:18" x14ac:dyDescent="0.25">
      <c r="A141" s="31">
        <f t="shared" si="86"/>
        <v>135</v>
      </c>
      <c r="D141" s="2" t="s">
        <v>37</v>
      </c>
      <c r="N141" s="27">
        <f>N139-Summary!L4</f>
        <v>-343.26905782334507</v>
      </c>
    </row>
    <row r="142" spans="1:18" x14ac:dyDescent="0.25">
      <c r="A142" s="31">
        <f t="shared" ref="A142:A173" si="134">A141+1</f>
        <v>136</v>
      </c>
      <c r="N142" s="27"/>
    </row>
    <row r="143" spans="1:18" x14ac:dyDescent="0.25">
      <c r="A143" s="31">
        <f t="shared" si="134"/>
        <v>137</v>
      </c>
      <c r="B143" s="1" t="s">
        <v>104</v>
      </c>
      <c r="E143" s="132"/>
      <c r="F143" s="132"/>
      <c r="G143" s="132"/>
      <c r="H143" s="132"/>
      <c r="I143" s="132"/>
      <c r="J143" s="132"/>
      <c r="K143" s="132"/>
      <c r="L143" s="132"/>
      <c r="M143" s="132"/>
      <c r="N143" s="136"/>
      <c r="O143" s="132"/>
      <c r="P143" s="132"/>
      <c r="Q143" s="132"/>
      <c r="R143" s="132"/>
    </row>
    <row r="144" spans="1:18" ht="13.8" thickBot="1" x14ac:dyDescent="0.3">
      <c r="A144" s="31">
        <f t="shared" si="134"/>
        <v>138</v>
      </c>
      <c r="D144" s="15"/>
      <c r="E144" s="83"/>
      <c r="F144" s="83"/>
      <c r="G144" s="83"/>
    </row>
    <row r="145" spans="1:22" x14ac:dyDescent="0.25">
      <c r="A145" s="31">
        <f t="shared" si="134"/>
        <v>139</v>
      </c>
      <c r="B145" s="24" t="s">
        <v>90</v>
      </c>
      <c r="C145" s="25">
        <v>7</v>
      </c>
      <c r="D145" s="24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</row>
    <row r="146" spans="1:22" ht="12.6" customHeight="1" x14ac:dyDescent="0.25">
      <c r="A146" s="31">
        <f t="shared" si="134"/>
        <v>140</v>
      </c>
      <c r="D146" s="2" t="s">
        <v>53</v>
      </c>
      <c r="E146" s="108"/>
      <c r="F146" s="100"/>
      <c r="G146" s="110"/>
      <c r="H146" s="100">
        <v>9.36</v>
      </c>
      <c r="I146" s="110"/>
      <c r="J146" s="111"/>
      <c r="K146" s="112"/>
      <c r="L146" s="100">
        <f>S146*H146</f>
        <v>9.9487824727565144</v>
      </c>
      <c r="M146" s="110"/>
      <c r="N146" s="110"/>
      <c r="O146" s="111"/>
      <c r="P146" s="111"/>
      <c r="Q146" s="113"/>
      <c r="R146" s="113"/>
      <c r="S146" s="88">
        <f>1+O$133</f>
        <v>1.0629041103372345</v>
      </c>
      <c r="T146" s="5">
        <f t="shared" ref="T146:T147" si="135">L146/H146-1</f>
        <v>6.2904110337234531E-2</v>
      </c>
    </row>
    <row r="147" spans="1:22" ht="13.8" thickBot="1" x14ac:dyDescent="0.3">
      <c r="A147" s="31">
        <f t="shared" si="134"/>
        <v>141</v>
      </c>
      <c r="D147" s="2" t="s">
        <v>51</v>
      </c>
      <c r="E147" s="108"/>
      <c r="F147" s="115"/>
      <c r="G147" s="110"/>
      <c r="H147" s="115">
        <v>6.855E-2</v>
      </c>
      <c r="I147" s="110"/>
      <c r="J147" s="111"/>
      <c r="K147" s="112"/>
      <c r="L147" s="115">
        <f t="shared" ref="L147:L173" si="136">S147*H147</f>
        <v>7.2862076763617431E-2</v>
      </c>
      <c r="M147" s="110"/>
      <c r="N147" s="110"/>
      <c r="O147" s="111"/>
      <c r="P147" s="111"/>
      <c r="Q147" s="113"/>
      <c r="R147" s="113"/>
      <c r="S147" s="88">
        <f t="shared" ref="S147:S155" si="137">1+O$133</f>
        <v>1.0629041103372345</v>
      </c>
      <c r="T147" s="5">
        <f t="shared" si="135"/>
        <v>6.2904110337234531E-2</v>
      </c>
    </row>
    <row r="148" spans="1:22" x14ac:dyDescent="0.25">
      <c r="A148" s="31">
        <f t="shared" si="134"/>
        <v>142</v>
      </c>
      <c r="B148" s="24" t="s">
        <v>106</v>
      </c>
      <c r="C148" s="25">
        <v>8</v>
      </c>
      <c r="D148" s="24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88"/>
    </row>
    <row r="149" spans="1:22" ht="12.6" customHeight="1" x14ac:dyDescent="0.25">
      <c r="A149" s="31">
        <f t="shared" si="134"/>
        <v>143</v>
      </c>
      <c r="D149" s="2" t="s">
        <v>53</v>
      </c>
      <c r="E149" s="108"/>
      <c r="F149" s="100"/>
      <c r="G149" s="110"/>
      <c r="H149" s="100">
        <v>9.25</v>
      </c>
      <c r="I149" s="110"/>
      <c r="J149" s="111"/>
      <c r="K149" s="112"/>
      <c r="L149" s="100">
        <f t="shared" si="136"/>
        <v>9.8318630206194193</v>
      </c>
      <c r="M149" s="110"/>
      <c r="N149" s="110"/>
      <c r="O149" s="111"/>
      <c r="P149" s="111"/>
      <c r="Q149" s="113"/>
      <c r="R149" s="113"/>
      <c r="S149" s="88">
        <f t="shared" si="137"/>
        <v>1.0629041103372345</v>
      </c>
      <c r="T149" s="5">
        <f t="shared" ref="T149:T150" si="138">L149/H149-1</f>
        <v>6.2904110337234531E-2</v>
      </c>
    </row>
    <row r="150" spans="1:22" ht="13.8" thickBot="1" x14ac:dyDescent="0.3">
      <c r="A150" s="31">
        <f t="shared" si="134"/>
        <v>144</v>
      </c>
      <c r="D150" s="2" t="s">
        <v>51</v>
      </c>
      <c r="E150" s="108"/>
      <c r="F150" s="115"/>
      <c r="G150" s="110"/>
      <c r="H150" s="115">
        <v>6.855E-2</v>
      </c>
      <c r="I150" s="110"/>
      <c r="J150" s="111"/>
      <c r="K150" s="112"/>
      <c r="L150" s="115">
        <f t="shared" si="136"/>
        <v>7.2862076763617431E-2</v>
      </c>
      <c r="M150" s="110"/>
      <c r="N150" s="110"/>
      <c r="O150" s="111"/>
      <c r="P150" s="111"/>
      <c r="Q150" s="113"/>
      <c r="R150" s="113"/>
      <c r="S150" s="88">
        <f t="shared" si="137"/>
        <v>1.0629041103372345</v>
      </c>
      <c r="T150" s="5">
        <f t="shared" si="138"/>
        <v>6.2904110337234531E-2</v>
      </c>
    </row>
    <row r="151" spans="1:22" x14ac:dyDescent="0.25">
      <c r="A151" s="31">
        <f t="shared" si="134"/>
        <v>145</v>
      </c>
      <c r="B151" s="24" t="s">
        <v>90</v>
      </c>
      <c r="C151" s="25">
        <v>10</v>
      </c>
      <c r="D151" s="24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88"/>
    </row>
    <row r="152" spans="1:22" ht="12.6" customHeight="1" x14ac:dyDescent="0.25">
      <c r="A152" s="31">
        <f t="shared" si="134"/>
        <v>146</v>
      </c>
      <c r="D152" s="2" t="s">
        <v>109</v>
      </c>
      <c r="E152" s="108"/>
      <c r="F152" s="100"/>
      <c r="G152" s="110"/>
      <c r="H152" s="100">
        <v>1263.4000000000001</v>
      </c>
      <c r="I152" s="110"/>
      <c r="J152" s="111"/>
      <c r="K152" s="112"/>
      <c r="L152" s="100">
        <f t="shared" si="136"/>
        <v>1342.8730530000621</v>
      </c>
      <c r="M152" s="110"/>
      <c r="N152" s="110"/>
      <c r="O152" s="111"/>
      <c r="P152" s="111"/>
      <c r="Q152" s="113"/>
      <c r="R152" s="113"/>
      <c r="S152" s="88">
        <f t="shared" si="137"/>
        <v>1.0629041103372345</v>
      </c>
      <c r="T152" s="5">
        <f t="shared" ref="T152:T155" si="139">L152/H152-1</f>
        <v>6.2904110337234531E-2</v>
      </c>
    </row>
    <row r="153" spans="1:22" x14ac:dyDescent="0.25">
      <c r="A153" s="31">
        <f t="shared" si="134"/>
        <v>147</v>
      </c>
      <c r="D153" s="2" t="s">
        <v>91</v>
      </c>
      <c r="E153" s="108"/>
      <c r="F153" s="115"/>
      <c r="G153" s="110"/>
      <c r="H153" s="100">
        <v>7.43</v>
      </c>
      <c r="I153" s="110"/>
      <c r="J153" s="111"/>
      <c r="K153" s="112"/>
      <c r="L153" s="100">
        <f t="shared" si="136"/>
        <v>7.8973775398056523</v>
      </c>
      <c r="M153" s="110"/>
      <c r="N153" s="110"/>
      <c r="O153" s="111"/>
      <c r="P153" s="111"/>
      <c r="Q153" s="113"/>
      <c r="R153" s="113"/>
      <c r="S153" s="88">
        <f t="shared" si="137"/>
        <v>1.0629041103372345</v>
      </c>
      <c r="T153" s="5">
        <f t="shared" si="139"/>
        <v>6.2904110337234531E-2</v>
      </c>
    </row>
    <row r="154" spans="1:22" x14ac:dyDescent="0.25">
      <c r="A154" s="31">
        <f t="shared" si="134"/>
        <v>148</v>
      </c>
      <c r="D154" s="2" t="s">
        <v>92</v>
      </c>
      <c r="E154" s="108"/>
      <c r="F154" s="115"/>
      <c r="G154" s="110"/>
      <c r="H154" s="100">
        <v>10.34</v>
      </c>
      <c r="I154" s="110"/>
      <c r="J154" s="111"/>
      <c r="K154" s="112"/>
      <c r="L154" s="100">
        <f t="shared" si="136"/>
        <v>10.990428500887004</v>
      </c>
      <c r="M154" s="110"/>
      <c r="N154" s="110"/>
      <c r="O154" s="111"/>
      <c r="P154" s="111"/>
      <c r="Q154" s="113"/>
      <c r="R154" s="113"/>
      <c r="S154" s="88">
        <f t="shared" si="137"/>
        <v>1.0629041103372345</v>
      </c>
      <c r="T154" s="5">
        <f t="shared" si="139"/>
        <v>6.2904110337234531E-2</v>
      </c>
    </row>
    <row r="155" spans="1:22" ht="13.8" thickBot="1" x14ac:dyDescent="0.3">
      <c r="A155" s="31">
        <f t="shared" si="134"/>
        <v>149</v>
      </c>
      <c r="D155" s="2" t="s">
        <v>51</v>
      </c>
      <c r="E155" s="108"/>
      <c r="F155" s="115"/>
      <c r="G155" s="110"/>
      <c r="H155" s="115">
        <v>5.901E-2</v>
      </c>
      <c r="I155" s="110"/>
      <c r="J155" s="111"/>
      <c r="K155" s="112"/>
      <c r="L155" s="115">
        <f t="shared" si="136"/>
        <v>6.2721971551000205E-2</v>
      </c>
      <c r="M155" s="110"/>
      <c r="N155" s="110"/>
      <c r="O155" s="111"/>
      <c r="P155" s="111"/>
      <c r="Q155" s="113"/>
      <c r="R155" s="113"/>
      <c r="S155" s="88">
        <f t="shared" si="137"/>
        <v>1.0629041103372345</v>
      </c>
      <c r="T155" s="5">
        <f t="shared" si="139"/>
        <v>6.2904110337234531E-2</v>
      </c>
    </row>
    <row r="156" spans="1:22" x14ac:dyDescent="0.25">
      <c r="A156" s="31">
        <f t="shared" si="134"/>
        <v>150</v>
      </c>
      <c r="B156" s="24" t="s">
        <v>90</v>
      </c>
      <c r="C156" s="25">
        <v>11</v>
      </c>
      <c r="D156" s="24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88"/>
    </row>
    <row r="157" spans="1:22" ht="12.6" customHeight="1" x14ac:dyDescent="0.25">
      <c r="A157" s="31">
        <f t="shared" si="134"/>
        <v>151</v>
      </c>
      <c r="D157" s="2" t="s">
        <v>112</v>
      </c>
      <c r="E157" s="108"/>
      <c r="F157" s="100"/>
      <c r="G157" s="110"/>
      <c r="H157" s="100">
        <v>1263.24</v>
      </c>
      <c r="I157" s="110"/>
      <c r="J157" s="111"/>
      <c r="K157" s="112"/>
      <c r="L157" s="100">
        <f t="shared" si="136"/>
        <v>1378.0921976823231</v>
      </c>
      <c r="M157" s="110"/>
      <c r="N157" s="110"/>
      <c r="O157" s="111"/>
      <c r="P157" s="111"/>
      <c r="Q157" s="113"/>
      <c r="R157" s="113"/>
      <c r="S157" s="88">
        <f>1+O$62</f>
        <v>1.090918746779965</v>
      </c>
      <c r="T157" s="5">
        <f t="shared" ref="T157:T160" si="140">L157/H157-1</f>
        <v>9.0918746779965032E-2</v>
      </c>
    </row>
    <row r="158" spans="1:22" x14ac:dyDescent="0.25">
      <c r="A158" s="31">
        <f t="shared" si="134"/>
        <v>152</v>
      </c>
      <c r="D158" s="2" t="s">
        <v>108</v>
      </c>
      <c r="E158" s="108"/>
      <c r="F158" s="115"/>
      <c r="G158" s="110"/>
      <c r="H158" s="100">
        <v>6.36</v>
      </c>
      <c r="I158" s="110"/>
      <c r="J158" s="111"/>
      <c r="K158" s="112"/>
      <c r="L158" s="109">
        <f>L59</f>
        <v>6.94</v>
      </c>
      <c r="M158" s="110"/>
      <c r="N158" s="110"/>
      <c r="O158" s="111"/>
      <c r="P158" s="111"/>
      <c r="Q158" s="113"/>
      <c r="R158" s="113"/>
      <c r="S158" s="88">
        <f>S157</f>
        <v>1.090918746779965</v>
      </c>
      <c r="T158" s="5">
        <f t="shared" si="140"/>
        <v>9.119496855345921E-2</v>
      </c>
      <c r="V158" s="2" t="s">
        <v>114</v>
      </c>
    </row>
    <row r="159" spans="1:22" x14ac:dyDescent="0.25">
      <c r="A159" s="31">
        <f t="shared" si="134"/>
        <v>153</v>
      </c>
      <c r="D159" s="2" t="s">
        <v>113</v>
      </c>
      <c r="E159" s="108"/>
      <c r="F159" s="115"/>
      <c r="G159" s="110"/>
      <c r="H159" s="100">
        <v>9.25</v>
      </c>
      <c r="I159" s="110"/>
      <c r="J159" s="111"/>
      <c r="K159" s="112"/>
      <c r="L159" s="109">
        <f t="shared" si="136"/>
        <v>10.090998407714677</v>
      </c>
      <c r="M159" s="110"/>
      <c r="N159" s="110"/>
      <c r="O159" s="111"/>
      <c r="P159" s="111"/>
      <c r="Q159" s="113"/>
      <c r="R159" s="113"/>
      <c r="S159" s="88">
        <f>S158</f>
        <v>1.090918746779965</v>
      </c>
      <c r="T159" s="5">
        <f t="shared" si="140"/>
        <v>9.0918746779965032E-2</v>
      </c>
    </row>
    <row r="160" spans="1:22" ht="13.8" thickBot="1" x14ac:dyDescent="0.3">
      <c r="A160" s="31">
        <f t="shared" si="134"/>
        <v>154</v>
      </c>
      <c r="D160" s="2" t="s">
        <v>51</v>
      </c>
      <c r="E160" s="108"/>
      <c r="F160" s="115"/>
      <c r="G160" s="110"/>
      <c r="H160" s="115">
        <v>5.9310000000000002E-2</v>
      </c>
      <c r="I160" s="110"/>
      <c r="J160" s="111"/>
      <c r="K160" s="112"/>
      <c r="L160" s="115">
        <f t="shared" si="136"/>
        <v>6.470239087151973E-2</v>
      </c>
      <c r="M160" s="110"/>
      <c r="N160" s="110"/>
      <c r="O160" s="111"/>
      <c r="P160" s="111"/>
      <c r="Q160" s="113"/>
      <c r="R160" s="113"/>
      <c r="S160" s="88">
        <f>S159</f>
        <v>1.090918746779965</v>
      </c>
      <c r="T160" s="5">
        <f t="shared" si="140"/>
        <v>9.0918746779965032E-2</v>
      </c>
    </row>
    <row r="161" spans="1:22" x14ac:dyDescent="0.25">
      <c r="A161" s="31">
        <f t="shared" si="134"/>
        <v>155</v>
      </c>
      <c r="B161" s="24" t="s">
        <v>111</v>
      </c>
      <c r="C161" s="25">
        <v>12</v>
      </c>
      <c r="D161" s="24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88"/>
    </row>
    <row r="162" spans="1:22" ht="12.6" customHeight="1" x14ac:dyDescent="0.25">
      <c r="A162" s="31">
        <f t="shared" si="134"/>
        <v>156</v>
      </c>
      <c r="D162" s="2" t="s">
        <v>107</v>
      </c>
      <c r="E162" s="108"/>
      <c r="F162" s="100"/>
      <c r="G162" s="110"/>
      <c r="H162" s="100">
        <v>1263.24</v>
      </c>
      <c r="I162" s="110"/>
      <c r="J162" s="111"/>
      <c r="K162" s="112"/>
      <c r="L162" s="109">
        <f t="shared" si="136"/>
        <v>1378.0921976823231</v>
      </c>
      <c r="M162" s="110"/>
      <c r="N162" s="110"/>
      <c r="O162" s="111"/>
      <c r="P162" s="111"/>
      <c r="Q162" s="113"/>
      <c r="R162" s="113"/>
      <c r="S162" s="88">
        <f>S157</f>
        <v>1.090918746779965</v>
      </c>
      <c r="T162" s="5">
        <f t="shared" ref="T162:T165" si="141">L162/H162-1</f>
        <v>9.0918746779965032E-2</v>
      </c>
    </row>
    <row r="163" spans="1:22" x14ac:dyDescent="0.25">
      <c r="A163" s="31">
        <f t="shared" si="134"/>
        <v>157</v>
      </c>
      <c r="D163" s="2" t="s">
        <v>110</v>
      </c>
      <c r="E163" s="108"/>
      <c r="F163" s="115"/>
      <c r="G163" s="110"/>
      <c r="H163" s="100">
        <v>632.20000000000005</v>
      </c>
      <c r="I163" s="110"/>
      <c r="J163" s="111"/>
      <c r="K163" s="112"/>
      <c r="L163" s="109">
        <f t="shared" si="136"/>
        <v>689.09800000000007</v>
      </c>
      <c r="M163" s="110"/>
      <c r="N163" s="110"/>
      <c r="O163" s="111"/>
      <c r="P163" s="111"/>
      <c r="Q163" s="113"/>
      <c r="R163" s="113"/>
      <c r="S163" s="88">
        <v>1.0900000000000001</v>
      </c>
      <c r="T163" s="5">
        <f t="shared" si="141"/>
        <v>9.000000000000008E-2</v>
      </c>
    </row>
    <row r="164" spans="1:22" x14ac:dyDescent="0.25">
      <c r="A164" s="31">
        <f t="shared" si="134"/>
        <v>158</v>
      </c>
      <c r="D164" s="2" t="s">
        <v>108</v>
      </c>
      <c r="E164" s="108"/>
      <c r="F164" s="115"/>
      <c r="G164" s="110"/>
      <c r="H164" s="100">
        <v>6.36</v>
      </c>
      <c r="I164" s="110"/>
      <c r="J164" s="111"/>
      <c r="K164" s="112"/>
      <c r="L164" s="109">
        <f>L158</f>
        <v>6.94</v>
      </c>
      <c r="M164" s="110"/>
      <c r="N164" s="110"/>
      <c r="O164" s="111"/>
      <c r="P164" s="111"/>
      <c r="Q164" s="113"/>
      <c r="R164" s="113"/>
      <c r="S164" s="88">
        <v>1.0900000000000001</v>
      </c>
      <c r="T164" s="5">
        <f t="shared" si="141"/>
        <v>9.119496855345921E-2</v>
      </c>
      <c r="V164" s="2" t="s">
        <v>131</v>
      </c>
    </row>
    <row r="165" spans="1:22" ht="13.8" thickBot="1" x14ac:dyDescent="0.3">
      <c r="A165" s="31">
        <f t="shared" si="134"/>
        <v>159</v>
      </c>
      <c r="D165" s="2" t="s">
        <v>51</v>
      </c>
      <c r="E165" s="108"/>
      <c r="F165" s="100"/>
      <c r="G165" s="110"/>
      <c r="H165" s="147">
        <v>6.6400000000000001E-2</v>
      </c>
      <c r="I165" s="110"/>
      <c r="J165" s="111"/>
      <c r="K165" s="112"/>
      <c r="L165" s="114">
        <f t="shared" si="136"/>
        <v>7.237600000000001E-2</v>
      </c>
      <c r="M165" s="110"/>
      <c r="N165" s="110"/>
      <c r="O165" s="111"/>
      <c r="P165" s="111"/>
      <c r="Q165" s="113"/>
      <c r="R165" s="113"/>
      <c r="S165" s="88">
        <v>1.0900000000000001</v>
      </c>
      <c r="T165" s="5">
        <f t="shared" si="141"/>
        <v>9.000000000000008E-2</v>
      </c>
    </row>
    <row r="166" spans="1:22" x14ac:dyDescent="0.25">
      <c r="A166" s="31">
        <f t="shared" si="134"/>
        <v>160</v>
      </c>
      <c r="B166" s="24" t="s">
        <v>111</v>
      </c>
      <c r="C166" s="25">
        <v>13</v>
      </c>
      <c r="D166" s="24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88"/>
    </row>
    <row r="167" spans="1:22" ht="12.6" customHeight="1" x14ac:dyDescent="0.25">
      <c r="A167" s="31">
        <f t="shared" si="134"/>
        <v>161</v>
      </c>
      <c r="D167" s="2" t="s">
        <v>17</v>
      </c>
      <c r="E167" s="108"/>
      <c r="F167" s="100"/>
      <c r="G167" s="110"/>
      <c r="H167" s="100">
        <v>1263.24</v>
      </c>
      <c r="I167" s="110"/>
      <c r="J167" s="111"/>
      <c r="K167" s="112"/>
      <c r="L167" s="109">
        <f t="shared" si="136"/>
        <v>1376.9316000000001</v>
      </c>
      <c r="M167" s="110"/>
      <c r="N167" s="110"/>
      <c r="O167" s="111"/>
      <c r="P167" s="111"/>
      <c r="Q167" s="113"/>
      <c r="R167" s="113"/>
      <c r="S167" s="88">
        <v>1.0900000000000001</v>
      </c>
      <c r="T167" s="5">
        <f t="shared" ref="T167:T169" si="142">L167/H167-1</f>
        <v>9.000000000000008E-2</v>
      </c>
    </row>
    <row r="168" spans="1:22" x14ac:dyDescent="0.25">
      <c r="A168" s="31">
        <f t="shared" si="134"/>
        <v>162</v>
      </c>
      <c r="D168" s="2" t="s">
        <v>53</v>
      </c>
      <c r="E168" s="108"/>
      <c r="F168" s="115"/>
      <c r="G168" s="110"/>
      <c r="H168" s="100">
        <v>6.36</v>
      </c>
      <c r="I168" s="110"/>
      <c r="J168" s="111"/>
      <c r="K168" s="112"/>
      <c r="L168" s="109">
        <f>L158</f>
        <v>6.94</v>
      </c>
      <c r="M168" s="110"/>
      <c r="N168" s="110"/>
      <c r="O168" s="111"/>
      <c r="P168" s="111"/>
      <c r="Q168" s="113"/>
      <c r="R168" s="113"/>
      <c r="S168" s="88">
        <v>1.0900000000000001</v>
      </c>
      <c r="T168" s="5">
        <f t="shared" si="142"/>
        <v>9.119496855345921E-2</v>
      </c>
      <c r="V168" s="2" t="s">
        <v>131</v>
      </c>
    </row>
    <row r="169" spans="1:22" ht="13.8" thickBot="1" x14ac:dyDescent="0.3">
      <c r="A169" s="31">
        <f t="shared" si="134"/>
        <v>163</v>
      </c>
      <c r="D169" s="2" t="s">
        <v>51</v>
      </c>
      <c r="E169" s="108"/>
      <c r="F169" s="115"/>
      <c r="G169" s="110"/>
      <c r="H169" s="147">
        <v>6.0490000000000002E-2</v>
      </c>
      <c r="I169" s="110"/>
      <c r="J169" s="111"/>
      <c r="K169" s="112"/>
      <c r="L169" s="114">
        <f t="shared" si="136"/>
        <v>6.5934100000000009E-2</v>
      </c>
      <c r="M169" s="110"/>
      <c r="N169" s="110"/>
      <c r="O169" s="111"/>
      <c r="P169" s="111"/>
      <c r="Q169" s="113"/>
      <c r="R169" s="113"/>
      <c r="S169" s="88">
        <v>1.0900000000000001</v>
      </c>
      <c r="T169" s="5">
        <f t="shared" si="142"/>
        <v>9.000000000000008E-2</v>
      </c>
    </row>
    <row r="170" spans="1:22" x14ac:dyDescent="0.25">
      <c r="A170" s="31">
        <f t="shared" si="134"/>
        <v>164</v>
      </c>
      <c r="B170" s="24" t="s">
        <v>111</v>
      </c>
      <c r="C170" s="25">
        <v>14</v>
      </c>
      <c r="D170" s="24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88"/>
    </row>
    <row r="171" spans="1:22" ht="12.6" customHeight="1" x14ac:dyDescent="0.25">
      <c r="A171" s="31">
        <f t="shared" si="134"/>
        <v>165</v>
      </c>
      <c r="D171" s="2" t="s">
        <v>17</v>
      </c>
      <c r="E171" s="108"/>
      <c r="F171" s="100"/>
      <c r="G171" s="110"/>
      <c r="H171" s="100">
        <v>1263.24</v>
      </c>
      <c r="I171" s="110"/>
      <c r="J171" s="111"/>
      <c r="K171" s="112"/>
      <c r="L171" s="109">
        <f t="shared" si="136"/>
        <v>1376.9316000000001</v>
      </c>
      <c r="M171" s="110"/>
      <c r="N171" s="110"/>
      <c r="O171" s="111"/>
      <c r="P171" s="111"/>
      <c r="Q171" s="113"/>
      <c r="R171" s="113"/>
      <c r="S171" s="88">
        <v>1.0900000000000001</v>
      </c>
      <c r="T171" s="5">
        <f t="shared" ref="T171:T173" si="143">L171/H171-1</f>
        <v>9.000000000000008E-2</v>
      </c>
    </row>
    <row r="172" spans="1:22" x14ac:dyDescent="0.25">
      <c r="A172" s="31">
        <f t="shared" si="134"/>
        <v>166</v>
      </c>
      <c r="D172" s="2" t="s">
        <v>53</v>
      </c>
      <c r="E172" s="108"/>
      <c r="F172" s="115"/>
      <c r="G172" s="110"/>
      <c r="H172" s="100">
        <v>6.36</v>
      </c>
      <c r="I172" s="110"/>
      <c r="J172" s="111"/>
      <c r="K172" s="112"/>
      <c r="L172" s="109">
        <f>L158</f>
        <v>6.94</v>
      </c>
      <c r="M172" s="110"/>
      <c r="N172" s="110"/>
      <c r="O172" s="111"/>
      <c r="P172" s="111"/>
      <c r="Q172" s="113"/>
      <c r="R172" s="113"/>
      <c r="S172" s="88">
        <v>1.0900000000000001</v>
      </c>
      <c r="T172" s="5">
        <f t="shared" si="143"/>
        <v>9.119496855345921E-2</v>
      </c>
      <c r="V172" s="2" t="s">
        <v>131</v>
      </c>
    </row>
    <row r="173" spans="1:22" x14ac:dyDescent="0.25">
      <c r="A173" s="31">
        <f t="shared" si="134"/>
        <v>167</v>
      </c>
      <c r="D173" s="2" t="s">
        <v>51</v>
      </c>
      <c r="E173" s="108"/>
      <c r="F173" s="115"/>
      <c r="G173" s="110"/>
      <c r="H173" s="115">
        <v>5.9310000000000002E-2</v>
      </c>
      <c r="I173" s="110"/>
      <c r="J173" s="111"/>
      <c r="K173" s="112"/>
      <c r="L173" s="115">
        <f t="shared" si="136"/>
        <v>6.4647900000000008E-2</v>
      </c>
      <c r="M173" s="110"/>
      <c r="N173" s="110"/>
      <c r="O173" s="111"/>
      <c r="P173" s="111"/>
      <c r="Q173" s="113"/>
      <c r="R173" s="113"/>
      <c r="S173" s="88">
        <v>1.0900000000000001</v>
      </c>
      <c r="T173" s="5">
        <f t="shared" si="143"/>
        <v>9.000000000000008E-2</v>
      </c>
    </row>
    <row r="175" spans="1:22" x14ac:dyDescent="0.25">
      <c r="G175" s="77" t="s">
        <v>124</v>
      </c>
      <c r="H175" s="115">
        <v>1.18E-2</v>
      </c>
      <c r="I175" s="77" t="s">
        <v>133</v>
      </c>
    </row>
    <row r="178" spans="5:5" x14ac:dyDescent="0.25">
      <c r="E178" s="108">
        <v>692373800</v>
      </c>
    </row>
    <row r="179" spans="5:5" x14ac:dyDescent="0.25">
      <c r="E179" s="108">
        <f>E9+E21+E34+E46+E61+E121</f>
        <v>657677420</v>
      </c>
    </row>
    <row r="180" spans="5:5" x14ac:dyDescent="0.25">
      <c r="E180" s="108">
        <f>E178-E179</f>
        <v>34696380</v>
      </c>
    </row>
    <row r="181" spans="5:5" x14ac:dyDescent="0.25">
      <c r="E181" s="111">
        <f>E180/E178</f>
        <v>5.0112208174255005E-2</v>
      </c>
    </row>
  </sheetData>
  <printOptions horizontalCentered="1"/>
  <pageMargins left="0.7" right="0.7" top="0.75" bottom="0.75" header="0.3" footer="0.3"/>
  <pageSetup scale="57" fitToHeight="7" orientation="landscape" r:id="rId1"/>
  <headerFooter>
    <oddHeader>&amp;R&amp;"Arial,Bold"&amp;10Exhibit 4
Page &amp;P of &amp;N</oddHeader>
  </headerFooter>
  <rowBreaks count="4" manualBreakCount="4">
    <brk id="43" max="17" man="1"/>
    <brk id="70" max="17" man="1"/>
    <brk id="116" max="17" man="1"/>
    <brk id="155" max="17" man="1"/>
  </rowBreaks>
  <ignoredErrors>
    <ignoredError sqref="M10 N109:N132 O109:O122 L158:L172 N10:O84 N86:O86 N90:O91 N93:O105 N107:O107 N88:O8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I113"/>
  <sheetViews>
    <sheetView view="pageBreakPreview" zoomScaleNormal="100" zoomScaleSheetLayoutView="100" workbookViewId="0">
      <selection activeCell="C89" sqref="C89:G89"/>
    </sheetView>
  </sheetViews>
  <sheetFormatPr defaultColWidth="8.88671875" defaultRowHeight="13.2" x14ac:dyDescent="0.25"/>
  <cols>
    <col min="1" max="1" width="1.6640625" style="2" customWidth="1"/>
    <col min="2" max="2" width="1.33203125" style="2" customWidth="1"/>
    <col min="3" max="3" width="14.33203125" style="2" bestFit="1" customWidth="1"/>
    <col min="4" max="4" width="14.33203125" style="15" bestFit="1" customWidth="1"/>
    <col min="5" max="5" width="44.6640625" style="2" bestFit="1" customWidth="1"/>
    <col min="6" max="6" width="12.6640625" style="2" customWidth="1"/>
    <col min="7" max="7" width="12.5546875" style="2" customWidth="1"/>
    <col min="8" max="8" width="11.44140625" style="2" bestFit="1" customWidth="1"/>
    <col min="9" max="9" width="12" style="2" customWidth="1"/>
    <col min="10" max="16384" width="8.88671875" style="2"/>
  </cols>
  <sheetData>
    <row r="1" spans="1:9" x14ac:dyDescent="0.25">
      <c r="A1" s="1" t="str">
        <f>Summary!A1</f>
        <v>NOLIN RECC</v>
      </c>
    </row>
    <row r="2" spans="1:9" x14ac:dyDescent="0.25">
      <c r="A2" s="1" t="s">
        <v>115</v>
      </c>
    </row>
    <row r="4" spans="1:9" x14ac:dyDescent="0.25">
      <c r="C4" s="61" t="s">
        <v>97</v>
      </c>
      <c r="D4" s="60"/>
      <c r="E4" s="60" t="s">
        <v>2</v>
      </c>
      <c r="F4" s="64" t="s">
        <v>49</v>
      </c>
      <c r="G4" s="64" t="s">
        <v>50</v>
      </c>
      <c r="H4" s="64" t="s">
        <v>123</v>
      </c>
      <c r="I4" s="64" t="s">
        <v>16</v>
      </c>
    </row>
    <row r="5" spans="1:9" x14ac:dyDescent="0.25">
      <c r="C5" s="15">
        <f>'Billing Detail'!C7</f>
        <v>1</v>
      </c>
      <c r="D5" s="87" t="str">
        <f>'Billing Detail'!B7</f>
        <v>Residential</v>
      </c>
    </row>
    <row r="6" spans="1:9" x14ac:dyDescent="0.25">
      <c r="C6" s="15"/>
      <c r="D6" s="87"/>
      <c r="E6" s="2" t="str">
        <f>'Billing Detail'!D8</f>
        <v>Customer Charge</v>
      </c>
      <c r="F6" s="62">
        <f>'Billing Detail'!H8</f>
        <v>13.99</v>
      </c>
      <c r="G6" s="62">
        <f>'Billing Detail'!L8</f>
        <v>14.79</v>
      </c>
      <c r="H6" s="62">
        <f>G6-F6</f>
        <v>0.79999999999999893</v>
      </c>
      <c r="I6" s="5">
        <f>H6/F6</f>
        <v>5.7183702644746169E-2</v>
      </c>
    </row>
    <row r="7" spans="1:9" x14ac:dyDescent="0.25">
      <c r="C7" s="15"/>
      <c r="D7" s="87"/>
      <c r="E7" s="2" t="str">
        <f>'Billing Detail'!D9</f>
        <v>Energy Charge per kWh</v>
      </c>
      <c r="F7" s="63">
        <f>'Billing Detail'!H9</f>
        <v>0.10364</v>
      </c>
      <c r="G7" s="63">
        <f>'Billing Detail'!L9</f>
        <v>0.10956399999999999</v>
      </c>
      <c r="H7" s="62">
        <f t="shared" ref="H7:H70" si="0">G7-F7</f>
        <v>5.9239999999999987E-3</v>
      </c>
      <c r="I7" s="5">
        <f t="shared" ref="I7:I70" si="1">H7/F7</f>
        <v>5.7159397915862588E-2</v>
      </c>
    </row>
    <row r="8" spans="1:9" x14ac:dyDescent="0.25">
      <c r="C8" s="15">
        <f>'Billing Detail'!C19</f>
        <v>2</v>
      </c>
      <c r="D8" s="87" t="str">
        <f>'Billing Detail'!B19</f>
        <v>Commercial</v>
      </c>
      <c r="F8" s="62"/>
      <c r="G8" s="62"/>
      <c r="H8" s="62"/>
      <c r="I8" s="5"/>
    </row>
    <row r="9" spans="1:9" x14ac:dyDescent="0.25">
      <c r="C9" s="15"/>
      <c r="D9" s="87"/>
      <c r="E9" s="2" t="str">
        <f>'Billing Detail'!D20</f>
        <v>Customer Charge</v>
      </c>
      <c r="F9" s="62">
        <f>'Billing Detail'!H20</f>
        <v>23.83</v>
      </c>
      <c r="G9" s="62">
        <f>'Billing Detail'!L20</f>
        <v>25.19</v>
      </c>
      <c r="H9" s="62">
        <f t="shared" si="0"/>
        <v>1.360000000000003</v>
      </c>
      <c r="I9" s="5">
        <f t="shared" si="1"/>
        <v>5.7070919009651826E-2</v>
      </c>
    </row>
    <row r="10" spans="1:9" x14ac:dyDescent="0.25">
      <c r="C10" s="15"/>
      <c r="D10" s="87"/>
      <c r="E10" s="2" t="str">
        <f>'Billing Detail'!D21</f>
        <v>Energy Charge per kWh</v>
      </c>
      <c r="F10" s="63">
        <f>'Billing Detail'!H21</f>
        <v>0.10304000000000001</v>
      </c>
      <c r="G10" s="63">
        <f>'Billing Detail'!L21</f>
        <v>0.108929</v>
      </c>
      <c r="H10" s="62">
        <f t="shared" si="0"/>
        <v>5.8889999999999915E-3</v>
      </c>
      <c r="I10" s="5">
        <f t="shared" si="1"/>
        <v>5.7152562111801156E-2</v>
      </c>
    </row>
    <row r="11" spans="1:9" x14ac:dyDescent="0.25">
      <c r="C11" s="15">
        <f>'Billing Detail'!C31</f>
        <v>3</v>
      </c>
      <c r="D11" s="87" t="str">
        <f>'Billing Detail'!B31</f>
        <v>Large Power</v>
      </c>
      <c r="F11" s="62"/>
      <c r="G11" s="62"/>
      <c r="H11" s="62"/>
      <c r="I11" s="5"/>
    </row>
    <row r="12" spans="1:9" x14ac:dyDescent="0.25">
      <c r="C12" s="15"/>
      <c r="D12" s="87"/>
      <c r="E12" s="2" t="str">
        <f>'Billing Detail'!D32</f>
        <v>Customer Charge</v>
      </c>
      <c r="F12" s="62">
        <f>'Billing Detail'!H32</f>
        <v>36.26</v>
      </c>
      <c r="G12" s="62">
        <f>'Billing Detail'!L32</f>
        <v>38.33</v>
      </c>
      <c r="H12" s="62">
        <f t="shared" si="0"/>
        <v>2.0700000000000003</v>
      </c>
      <c r="I12" s="5">
        <f t="shared" si="1"/>
        <v>5.7087699944842814E-2</v>
      </c>
    </row>
    <row r="13" spans="1:9" x14ac:dyDescent="0.25">
      <c r="C13" s="15"/>
      <c r="D13" s="87"/>
      <c r="E13" s="2" t="str">
        <f>'Billing Detail'!D33</f>
        <v>Demand Charge per kW</v>
      </c>
      <c r="F13" s="62">
        <f>'Billing Detail'!H33</f>
        <v>6.24</v>
      </c>
      <c r="G13" s="62">
        <f>'Billing Detail'!L33</f>
        <v>6.6</v>
      </c>
      <c r="H13" s="62">
        <f t="shared" si="0"/>
        <v>0.35999999999999943</v>
      </c>
      <c r="I13" s="5">
        <f t="shared" si="1"/>
        <v>5.7692307692307598E-2</v>
      </c>
    </row>
    <row r="14" spans="1:9" x14ac:dyDescent="0.25">
      <c r="C14" s="15"/>
      <c r="D14" s="87"/>
      <c r="E14" s="2" t="str">
        <f>'Billing Detail'!D34</f>
        <v>Energy Charge per kWh</v>
      </c>
      <c r="F14" s="63">
        <f>'Billing Detail'!H34</f>
        <v>8.4110000000000004E-2</v>
      </c>
      <c r="G14" s="63">
        <f>'Billing Detail'!L34</f>
        <v>8.8916999999999996E-2</v>
      </c>
      <c r="H14" s="62">
        <f t="shared" si="0"/>
        <v>4.8069999999999918E-3</v>
      </c>
      <c r="I14" s="5">
        <f t="shared" si="1"/>
        <v>5.7151349423374055E-2</v>
      </c>
    </row>
    <row r="15" spans="1:9" x14ac:dyDescent="0.25">
      <c r="C15" s="15">
        <f>'Billing Detail'!C44</f>
        <v>4</v>
      </c>
      <c r="D15" s="87" t="str">
        <f>'Billing Detail'!B44</f>
        <v>Industrial</v>
      </c>
      <c r="F15" s="62"/>
      <c r="G15" s="62"/>
      <c r="H15" s="62"/>
      <c r="I15" s="5"/>
    </row>
    <row r="16" spans="1:9" x14ac:dyDescent="0.25">
      <c r="C16" s="15"/>
      <c r="D16" s="87"/>
      <c r="E16" s="2" t="str">
        <f>'Billing Detail'!D45</f>
        <v>Customer Charge</v>
      </c>
      <c r="F16" s="62">
        <f>'Billing Detail'!H45</f>
        <v>44.03</v>
      </c>
      <c r="G16" s="62">
        <f>'Billing Detail'!L45</f>
        <v>46.55</v>
      </c>
      <c r="H16" s="62">
        <f t="shared" si="0"/>
        <v>2.519999999999996</v>
      </c>
      <c r="I16" s="5">
        <f t="shared" si="1"/>
        <v>5.7233704292527728E-2</v>
      </c>
    </row>
    <row r="17" spans="3:9" x14ac:dyDescent="0.25">
      <c r="C17" s="15"/>
      <c r="D17" s="87"/>
      <c r="E17" s="2" t="str">
        <f>'Billing Detail'!D46</f>
        <v>Energy Charge per kWh</v>
      </c>
      <c r="F17" s="63">
        <f>'Billing Detail'!H46</f>
        <v>7.5079999999999994E-2</v>
      </c>
      <c r="G17" s="63">
        <f>'Billing Detail'!L46</f>
        <v>7.9370999999999997E-2</v>
      </c>
      <c r="H17" s="62">
        <f t="shared" si="0"/>
        <v>4.2910000000000031E-3</v>
      </c>
      <c r="I17" s="5">
        <f t="shared" si="1"/>
        <v>5.7152370804475272E-2</v>
      </c>
    </row>
    <row r="18" spans="3:9" x14ac:dyDescent="0.25">
      <c r="C18" s="15"/>
      <c r="D18" s="87"/>
      <c r="E18" s="2" t="str">
        <f>'Billing Detail'!D47</f>
        <v>Demand Charge over 10 KW per kW</v>
      </c>
      <c r="F18" s="62">
        <f>'Billing Detail'!H47</f>
        <v>5.13</v>
      </c>
      <c r="G18" s="62">
        <f>'Billing Detail'!L47</f>
        <v>5.42</v>
      </c>
      <c r="H18" s="62">
        <f t="shared" si="0"/>
        <v>0.29000000000000004</v>
      </c>
      <c r="I18" s="5">
        <f t="shared" si="1"/>
        <v>5.6530214424951278E-2</v>
      </c>
    </row>
    <row r="19" spans="3:9" x14ac:dyDescent="0.25">
      <c r="C19" s="15">
        <f>'Billing Detail'!C57</f>
        <v>9</v>
      </c>
      <c r="D19" s="87" t="str">
        <f>'Billing Detail'!B57</f>
        <v>Industrial</v>
      </c>
      <c r="F19" s="62"/>
      <c r="G19" s="62"/>
      <c r="H19" s="62"/>
      <c r="I19" s="5"/>
    </row>
    <row r="20" spans="3:9" x14ac:dyDescent="0.25">
      <c r="C20" s="15"/>
      <c r="D20" s="87"/>
      <c r="E20" s="2" t="str">
        <f>'Billing Detail'!D58</f>
        <v>Customer Charge</v>
      </c>
      <c r="F20" s="62">
        <f>'Billing Detail'!H58</f>
        <v>632.5</v>
      </c>
      <c r="G20" s="62">
        <f>'Billing Detail'!L58</f>
        <v>689.97</v>
      </c>
      <c r="H20" s="62">
        <f t="shared" si="0"/>
        <v>57.470000000000027</v>
      </c>
      <c r="I20" s="5">
        <f t="shared" si="1"/>
        <v>9.0861660079051429E-2</v>
      </c>
    </row>
    <row r="21" spans="3:9" x14ac:dyDescent="0.25">
      <c r="C21" s="15"/>
      <c r="D21" s="87"/>
      <c r="E21" s="2" t="str">
        <f>'Billing Detail'!D59</f>
        <v>Demand Charge -Contract per kW</v>
      </c>
      <c r="F21" s="62">
        <f>'Billing Detail'!H59</f>
        <v>6.36</v>
      </c>
      <c r="G21" s="62">
        <f>'Billing Detail'!L59</f>
        <v>6.94</v>
      </c>
      <c r="H21" s="62">
        <f t="shared" si="0"/>
        <v>0.58000000000000007</v>
      </c>
      <c r="I21" s="5">
        <f t="shared" si="1"/>
        <v>9.1194968553459127E-2</v>
      </c>
    </row>
    <row r="22" spans="3:9" x14ac:dyDescent="0.25">
      <c r="C22" s="15"/>
      <c r="D22" s="87"/>
      <c r="E22" s="2" t="str">
        <f>'Billing Detail'!D60</f>
        <v>Demand Charge - Excess per kW</v>
      </c>
      <c r="F22" s="62">
        <f>'Billing Detail'!H60</f>
        <v>9.25</v>
      </c>
      <c r="G22" s="62">
        <f>'Billing Detail'!L60</f>
        <v>10.09</v>
      </c>
      <c r="H22" s="62">
        <f t="shared" si="0"/>
        <v>0.83999999999999986</v>
      </c>
      <c r="I22" s="5">
        <f t="shared" si="1"/>
        <v>9.0810810810810799E-2</v>
      </c>
    </row>
    <row r="23" spans="3:9" x14ac:dyDescent="0.25">
      <c r="C23" s="15"/>
      <c r="D23" s="87"/>
      <c r="E23" s="2" t="str">
        <f>'Billing Detail'!D61</f>
        <v>Energy Charge per kWh</v>
      </c>
      <c r="F23" s="63">
        <f>'Billing Detail'!H61</f>
        <v>6.6420000000000007E-2</v>
      </c>
      <c r="G23" s="63">
        <f>'Billing Detail'!L61</f>
        <v>7.2455000000000006E-2</v>
      </c>
      <c r="H23" s="62">
        <f t="shared" si="0"/>
        <v>6.0349999999999987E-3</v>
      </c>
      <c r="I23" s="5">
        <f t="shared" si="1"/>
        <v>9.0861186389641649E-2</v>
      </c>
    </row>
    <row r="24" spans="3:9" x14ac:dyDescent="0.25">
      <c r="C24" s="15" t="str">
        <f>'Billing Detail'!C71</f>
        <v>5,6</v>
      </c>
      <c r="D24" s="87" t="str">
        <f>'Billing Detail'!B71</f>
        <v>Lighting</v>
      </c>
      <c r="F24" s="62"/>
      <c r="G24" s="62"/>
      <c r="H24" s="62"/>
      <c r="I24" s="5"/>
    </row>
    <row r="25" spans="3:9" x14ac:dyDescent="0.25">
      <c r="C25" s="15"/>
      <c r="D25" s="2"/>
      <c r="E25" s="2" t="str">
        <f>'Billing Detail'!C72</f>
        <v>1 - SL 100W HPS</v>
      </c>
      <c r="F25" s="62">
        <f>'Billing Detail'!H72</f>
        <v>10.69</v>
      </c>
      <c r="G25" s="62">
        <f>'Billing Detail'!L72</f>
        <v>11.3</v>
      </c>
      <c r="H25" s="62">
        <f t="shared" si="0"/>
        <v>0.61000000000000121</v>
      </c>
      <c r="I25" s="5">
        <f t="shared" si="1"/>
        <v>5.7062675397567937E-2</v>
      </c>
    </row>
    <row r="26" spans="3:9" x14ac:dyDescent="0.25">
      <c r="C26" s="15"/>
      <c r="D26" s="2"/>
      <c r="E26" s="2" t="str">
        <f>'Billing Detail'!C73</f>
        <v>1A - SL 70W LED</v>
      </c>
      <c r="F26" s="62">
        <f>'Billing Detail'!H73</f>
        <v>10.06</v>
      </c>
      <c r="G26" s="62">
        <f>'Billing Detail'!L73</f>
        <v>10.63</v>
      </c>
      <c r="H26" s="62">
        <f t="shared" si="0"/>
        <v>0.57000000000000028</v>
      </c>
      <c r="I26" s="5">
        <f t="shared" si="1"/>
        <v>5.6660039761431434E-2</v>
      </c>
    </row>
    <row r="27" spans="3:9" x14ac:dyDescent="0.25">
      <c r="C27" s="15"/>
      <c r="D27" s="2"/>
      <c r="E27" s="2" t="str">
        <f>'Billing Detail'!C74</f>
        <v>1B - SL 55W  LED</v>
      </c>
      <c r="F27" s="62">
        <f>'Billing Detail'!H74</f>
        <v>9.99</v>
      </c>
      <c r="G27" s="62">
        <f>'Billing Detail'!L74</f>
        <v>10.56</v>
      </c>
      <c r="H27" s="62">
        <f t="shared" si="0"/>
        <v>0.57000000000000028</v>
      </c>
      <c r="I27" s="5">
        <f t="shared" si="1"/>
        <v>5.7057057057057083E-2</v>
      </c>
    </row>
    <row r="28" spans="3:9" x14ac:dyDescent="0.25">
      <c r="C28" s="15"/>
      <c r="D28" s="2"/>
      <c r="E28" s="2" t="str">
        <f>'Billing Detail'!C94</f>
        <v>12A - DFL 70 W LED EP</v>
      </c>
      <c r="F28" s="62">
        <f>'Billing Detail'!H94</f>
        <v>17.75</v>
      </c>
      <c r="G28" s="62">
        <f>'Billing Detail'!L94</f>
        <v>18.760000000000002</v>
      </c>
      <c r="H28" s="62">
        <f t="shared" si="0"/>
        <v>1.0100000000000016</v>
      </c>
      <c r="I28" s="5">
        <f t="shared" si="1"/>
        <v>5.6901408450704315E-2</v>
      </c>
    </row>
    <row r="29" spans="3:9" x14ac:dyDescent="0.25">
      <c r="C29" s="15"/>
      <c r="D29" s="2"/>
      <c r="E29" s="2" t="str">
        <f>'Billing Detail'!C95</f>
        <v>13 - DFL 250 W HPS EP</v>
      </c>
      <c r="F29" s="62">
        <f>'Billing Detail'!H95</f>
        <v>16.22</v>
      </c>
      <c r="G29" s="62">
        <f>'Billing Detail'!L95</f>
        <v>17.149999999999999</v>
      </c>
      <c r="H29" s="62">
        <f t="shared" si="0"/>
        <v>0.92999999999999972</v>
      </c>
      <c r="I29" s="5">
        <f t="shared" si="1"/>
        <v>5.7336621454993825E-2</v>
      </c>
    </row>
    <row r="30" spans="3:9" x14ac:dyDescent="0.25">
      <c r="C30" s="15"/>
      <c r="D30" s="2"/>
      <c r="E30" s="2" t="str">
        <f>'Billing Detail'!C96</f>
        <v>13A - DFL 108 W LED EP</v>
      </c>
      <c r="F30" s="62">
        <f>'Billing Detail'!H96</f>
        <v>18.690000000000001</v>
      </c>
      <c r="G30" s="62">
        <f>'Billing Detail'!L96</f>
        <v>19.760000000000002</v>
      </c>
      <c r="H30" s="62">
        <f t="shared" si="0"/>
        <v>1.0700000000000003</v>
      </c>
      <c r="I30" s="5">
        <f t="shared" si="1"/>
        <v>5.7249866238630293E-2</v>
      </c>
    </row>
    <row r="31" spans="3:9" x14ac:dyDescent="0.25">
      <c r="C31" s="15"/>
      <c r="D31" s="2"/>
      <c r="E31" s="2" t="str">
        <f>'Billing Detail'!C97</f>
        <v>13B - DFL 109 W LED EP</v>
      </c>
      <c r="F31" s="62">
        <f>'Billing Detail'!H97</f>
        <v>18.7</v>
      </c>
      <c r="G31" s="62">
        <f>'Billing Detail'!L97</f>
        <v>19.77</v>
      </c>
      <c r="H31" s="62">
        <f t="shared" si="0"/>
        <v>1.0700000000000003</v>
      </c>
      <c r="I31" s="5">
        <f t="shared" si="1"/>
        <v>5.7219251336898411E-2</v>
      </c>
    </row>
    <row r="32" spans="3:9" x14ac:dyDescent="0.25">
      <c r="C32" s="15"/>
      <c r="D32" s="2"/>
      <c r="E32" s="2" t="str">
        <f>'Billing Detail'!C98</f>
        <v>14 - DFL 400 W HPS EP</v>
      </c>
      <c r="F32" s="62">
        <f>'Billing Detail'!H98</f>
        <v>22.28</v>
      </c>
      <c r="G32" s="62">
        <f>'Billing Detail'!L98</f>
        <v>23.55</v>
      </c>
      <c r="H32" s="62">
        <f t="shared" si="0"/>
        <v>1.2699999999999996</v>
      </c>
      <c r="I32" s="5">
        <f t="shared" si="1"/>
        <v>5.7001795332136423E-2</v>
      </c>
    </row>
    <row r="33" spans="3:9" x14ac:dyDescent="0.25">
      <c r="C33" s="15"/>
      <c r="D33" s="2"/>
      <c r="E33" s="2" t="str">
        <f>'Billing Detail'!C99</f>
        <v>14A - DFL 208 W LED EP</v>
      </c>
      <c r="F33" s="62">
        <f>'Billing Detail'!H99</f>
        <v>21.26</v>
      </c>
      <c r="G33" s="62">
        <f>'Billing Detail'!L99</f>
        <v>22.48</v>
      </c>
      <c r="H33" s="62">
        <f t="shared" si="0"/>
        <v>1.2199999999999989</v>
      </c>
      <c r="I33" s="5">
        <f t="shared" si="1"/>
        <v>5.7384760112887997E-2</v>
      </c>
    </row>
    <row r="34" spans="3:9" x14ac:dyDescent="0.25">
      <c r="C34" s="15"/>
      <c r="D34" s="2"/>
      <c r="E34" s="2" t="str">
        <f>'Billing Detail'!C100</f>
        <v>14B - DFL 202 W LED EP</v>
      </c>
      <c r="F34" s="62">
        <f>'Billing Detail'!H100</f>
        <v>21.23</v>
      </c>
      <c r="G34" s="62">
        <f>'Billing Detail'!L100</f>
        <v>22.44</v>
      </c>
      <c r="H34" s="62">
        <f t="shared" si="0"/>
        <v>1.2100000000000009</v>
      </c>
      <c r="I34" s="5">
        <f t="shared" si="1"/>
        <v>5.6994818652849777E-2</v>
      </c>
    </row>
    <row r="35" spans="3:9" x14ac:dyDescent="0.25">
      <c r="C35" s="15"/>
      <c r="D35" s="2"/>
      <c r="E35" s="2" t="str">
        <f>'Billing Detail'!C101</f>
        <v>15 - DEL 400 W 
CONTEMPARY UG</v>
      </c>
      <c r="F35" s="62">
        <f>'Billing Detail'!H101</f>
        <v>23.8</v>
      </c>
      <c r="G35" s="62">
        <f>'Billing Detail'!L101</f>
        <v>25.16</v>
      </c>
      <c r="H35" s="62">
        <f t="shared" si="0"/>
        <v>1.3599999999999994</v>
      </c>
      <c r="I35" s="5">
        <f t="shared" si="1"/>
        <v>5.714285714285712E-2</v>
      </c>
    </row>
    <row r="36" spans="3:9" x14ac:dyDescent="0.25">
      <c r="C36" s="15"/>
      <c r="D36" s="2"/>
      <c r="E36" s="2" t="str">
        <f>'Billing Detail'!C102</f>
        <v>21 - COLONIAL 20' 
FLUTED POLE</v>
      </c>
      <c r="F36" s="62">
        <f>'Billing Detail'!H102</f>
        <v>36.729999999999997</v>
      </c>
      <c r="G36" s="62">
        <f>'Billing Detail'!L102</f>
        <v>38.83</v>
      </c>
      <c r="H36" s="62">
        <f t="shared" si="0"/>
        <v>2.1000000000000014</v>
      </c>
      <c r="I36" s="5">
        <f t="shared" si="1"/>
        <v>5.7173972229784958E-2</v>
      </c>
    </row>
    <row r="37" spans="3:9" x14ac:dyDescent="0.25">
      <c r="C37" s="15"/>
      <c r="D37" s="2"/>
      <c r="E37" s="2" t="str">
        <f>'Billing Detail'!C103</f>
        <v>21 A- COLONIAL 20' 
FLUTED POLE 35-70 W LED</v>
      </c>
      <c r="F37" s="62">
        <f>'Billing Detail'!H103</f>
        <v>34.799999999999997</v>
      </c>
      <c r="G37" s="62">
        <f>'Billing Detail'!L103</f>
        <v>36.79</v>
      </c>
      <c r="H37" s="62">
        <f t="shared" si="0"/>
        <v>1.990000000000002</v>
      </c>
      <c r="I37" s="5">
        <f t="shared" si="1"/>
        <v>5.7183908045977075E-2</v>
      </c>
    </row>
    <row r="38" spans="3:9" x14ac:dyDescent="0.25">
      <c r="C38" s="15"/>
      <c r="D38" s="2"/>
      <c r="E38" s="2" t="str">
        <f>'Billing Detail'!C104</f>
        <v>22 - SL ORN UG 400W
20' FLUTED POLE</v>
      </c>
      <c r="F38" s="62">
        <f>'Billing Detail'!H104</f>
        <v>36.89</v>
      </c>
      <c r="G38" s="62">
        <f>'Billing Detail'!L104</f>
        <v>39</v>
      </c>
      <c r="H38" s="62">
        <f t="shared" si="0"/>
        <v>2.1099999999999994</v>
      </c>
      <c r="I38" s="5">
        <f t="shared" si="1"/>
        <v>5.7197072377338017E-2</v>
      </c>
    </row>
    <row r="39" spans="3:9" x14ac:dyDescent="0.25">
      <c r="C39" s="15"/>
      <c r="D39" s="2"/>
      <c r="E39" s="2" t="str">
        <f>'Billing Detail'!C105</f>
        <v>23 - 20 FT FP COLONIAL</v>
      </c>
      <c r="F39" s="62">
        <f>'Billing Detail'!H105</f>
        <v>35.31</v>
      </c>
      <c r="G39" s="62">
        <f>'Billing Detail'!L105</f>
        <v>37.33</v>
      </c>
      <c r="H39" s="62">
        <f t="shared" si="0"/>
        <v>2.019999999999996</v>
      </c>
      <c r="I39" s="5">
        <f t="shared" si="1"/>
        <v>5.7207589917870172E-2</v>
      </c>
    </row>
    <row r="40" spans="3:9" x14ac:dyDescent="0.25">
      <c r="C40" s="15"/>
      <c r="D40" s="2"/>
      <c r="E40" s="2" t="str">
        <f>'Billing Detail'!C107</f>
        <v>25 - COLONIAL CONSTPD
HPS FIXTURE</v>
      </c>
      <c r="F40" s="62">
        <f>'Billing Detail'!H107</f>
        <v>10.28</v>
      </c>
      <c r="G40" s="62">
        <f>'Billing Detail'!L107</f>
        <v>10.87</v>
      </c>
      <c r="H40" s="62">
        <f t="shared" si="0"/>
        <v>0.58999999999999986</v>
      </c>
      <c r="I40" s="5">
        <f t="shared" si="1"/>
        <v>5.7392996108949407E-2</v>
      </c>
    </row>
    <row r="41" spans="3:9" x14ac:dyDescent="0.25">
      <c r="C41" s="15" t="str">
        <f>'Billing Detail'!C117</f>
        <v>Special</v>
      </c>
      <c r="D41" s="87" t="str">
        <f>'Billing Detail'!B117</f>
        <v>AGC Automotive</v>
      </c>
      <c r="F41" s="62"/>
      <c r="G41" s="62"/>
      <c r="H41" s="62"/>
      <c r="I41" s="5"/>
    </row>
    <row r="42" spans="3:9" x14ac:dyDescent="0.25">
      <c r="C42" s="15"/>
      <c r="D42" s="2"/>
      <c r="E42" s="2" t="str">
        <f>'Billing Detail'!D118</f>
        <v>Customer Charge</v>
      </c>
      <c r="F42" s="62">
        <f>'Billing Detail'!H118</f>
        <v>5726.7</v>
      </c>
      <c r="G42" s="62">
        <f>'Billing Detail'!L118</f>
        <v>6127.6</v>
      </c>
      <c r="H42" s="62">
        <f t="shared" si="0"/>
        <v>400.90000000000055</v>
      </c>
      <c r="I42" s="5">
        <f t="shared" si="1"/>
        <v>7.0005413239736775E-2</v>
      </c>
    </row>
    <row r="43" spans="3:9" x14ac:dyDescent="0.25">
      <c r="C43" s="15"/>
      <c r="D43" s="2"/>
      <c r="E43" s="2" t="str">
        <f>'Billing Detail'!D119</f>
        <v>Demand Charge per kW</v>
      </c>
      <c r="F43" s="62">
        <f>'Billing Detail'!H119</f>
        <v>7.3</v>
      </c>
      <c r="G43" s="62">
        <f>'Billing Detail'!L119</f>
        <v>9.14</v>
      </c>
      <c r="H43" s="62">
        <f t="shared" si="0"/>
        <v>1.8400000000000007</v>
      </c>
      <c r="I43" s="5">
        <f t="shared" si="1"/>
        <v>0.25205479452054808</v>
      </c>
    </row>
    <row r="44" spans="3:9" x14ac:dyDescent="0.25">
      <c r="C44" s="15"/>
      <c r="D44" s="2"/>
      <c r="E44" s="2" t="str">
        <f>'Billing Detail'!D120</f>
        <v>Interruptible Credit per kW</v>
      </c>
      <c r="F44" s="62">
        <f>'Billing Detail'!H120</f>
        <v>-5.6</v>
      </c>
      <c r="G44" s="62">
        <f>'Billing Detail'!L120</f>
        <v>-5.6</v>
      </c>
      <c r="H44" s="62">
        <f t="shared" si="0"/>
        <v>0</v>
      </c>
      <c r="I44" s="5">
        <f t="shared" si="1"/>
        <v>0</v>
      </c>
    </row>
    <row r="45" spans="3:9" x14ac:dyDescent="0.25">
      <c r="C45" s="15"/>
      <c r="D45" s="2"/>
      <c r="E45" s="2" t="str">
        <f>'Billing Detail'!D121</f>
        <v>Energy Charge per kWh</v>
      </c>
      <c r="F45" s="63">
        <f>'Billing Detail'!H121</f>
        <v>5.1290000000000002E-2</v>
      </c>
      <c r="G45" s="63">
        <f>'Billing Detail'!L121</f>
        <v>5.4639296840561284E-2</v>
      </c>
      <c r="H45" s="62">
        <f t="shared" si="0"/>
        <v>3.3492968405612819E-3</v>
      </c>
      <c r="I45" s="5">
        <f t="shared" si="1"/>
        <v>6.5301166710104927E-2</v>
      </c>
    </row>
    <row r="46" spans="3:9" x14ac:dyDescent="0.25">
      <c r="C46" s="15">
        <f>'Billing Detail'!C145</f>
        <v>7</v>
      </c>
      <c r="D46" s="89" t="str">
        <f>'Billing Detail'!B145</f>
        <v>Industrial</v>
      </c>
      <c r="H46" s="62"/>
      <c r="I46" s="5"/>
    </row>
    <row r="47" spans="3:9" x14ac:dyDescent="0.25">
      <c r="C47" s="15"/>
      <c r="D47" s="89"/>
      <c r="E47" s="2" t="str">
        <f>'Billing Detail'!D146</f>
        <v>Demand Charge per kW</v>
      </c>
      <c r="F47" s="62">
        <f>'Billing Detail'!H146</f>
        <v>9.36</v>
      </c>
      <c r="G47" s="62">
        <f>'Billing Detail'!L146</f>
        <v>9.9487824727565144</v>
      </c>
      <c r="H47" s="62">
        <f t="shared" si="0"/>
        <v>0.58878247275651496</v>
      </c>
      <c r="I47" s="5">
        <f t="shared" si="1"/>
        <v>6.2904110337234503E-2</v>
      </c>
    </row>
    <row r="48" spans="3:9" x14ac:dyDescent="0.25">
      <c r="C48" s="15"/>
      <c r="D48" s="89"/>
      <c r="E48" s="2" t="str">
        <f>'Billing Detail'!D147</f>
        <v>Energy Charge per kWh</v>
      </c>
      <c r="F48" s="63">
        <f>'Billing Detail'!H147</f>
        <v>6.855E-2</v>
      </c>
      <c r="G48" s="63">
        <f>'Billing Detail'!L147</f>
        <v>7.2862076763617431E-2</v>
      </c>
      <c r="H48" s="62">
        <f t="shared" si="0"/>
        <v>4.3120767636174312E-3</v>
      </c>
      <c r="I48" s="5">
        <f t="shared" si="1"/>
        <v>6.2904110337234587E-2</v>
      </c>
    </row>
    <row r="49" spans="3:9" x14ac:dyDescent="0.25">
      <c r="C49" s="15">
        <f>'Billing Detail'!C148</f>
        <v>8</v>
      </c>
      <c r="D49" s="89" t="str">
        <f>'Billing Detail'!B148</f>
        <v>Seasonal TOD</v>
      </c>
      <c r="F49" s="62"/>
      <c r="G49" s="62"/>
      <c r="H49" s="62"/>
      <c r="I49" s="5"/>
    </row>
    <row r="50" spans="3:9" x14ac:dyDescent="0.25">
      <c r="C50" s="15"/>
      <c r="D50" s="89"/>
      <c r="E50" s="2" t="str">
        <f>'Billing Detail'!D149</f>
        <v>Demand Charge per kW</v>
      </c>
      <c r="F50" s="62">
        <f>'Billing Detail'!H149</f>
        <v>9.25</v>
      </c>
      <c r="G50" s="62">
        <f>'Billing Detail'!L149</f>
        <v>9.8318630206194193</v>
      </c>
      <c r="H50" s="62">
        <f t="shared" si="0"/>
        <v>0.5818630206194193</v>
      </c>
      <c r="I50" s="5">
        <f t="shared" si="1"/>
        <v>6.2904110337234517E-2</v>
      </c>
    </row>
    <row r="51" spans="3:9" x14ac:dyDescent="0.25">
      <c r="C51" s="15"/>
      <c r="D51" s="89"/>
      <c r="E51" s="2" t="str">
        <f>'Billing Detail'!D150</f>
        <v>Energy Charge per kWh</v>
      </c>
      <c r="F51" s="63">
        <f>'Billing Detail'!H150</f>
        <v>6.855E-2</v>
      </c>
      <c r="G51" s="63">
        <f>'Billing Detail'!L150</f>
        <v>7.2862076763617431E-2</v>
      </c>
      <c r="H51" s="62">
        <f t="shared" si="0"/>
        <v>4.3120767636174312E-3</v>
      </c>
      <c r="I51" s="5">
        <f t="shared" si="1"/>
        <v>6.2904110337234587E-2</v>
      </c>
    </row>
    <row r="52" spans="3:9" x14ac:dyDescent="0.25">
      <c r="C52" s="15">
        <f>'Billing Detail'!C151</f>
        <v>10</v>
      </c>
      <c r="D52" s="89" t="str">
        <f>'Billing Detail'!B151</f>
        <v>Industrial</v>
      </c>
      <c r="F52" s="62"/>
      <c r="G52" s="62"/>
      <c r="H52" s="62"/>
      <c r="I52" s="5"/>
    </row>
    <row r="53" spans="3:9" x14ac:dyDescent="0.25">
      <c r="C53" s="15"/>
      <c r="D53" s="89"/>
      <c r="E53" s="2" t="str">
        <f>'Billing Detail'!D152</f>
        <v>Member Cost of Service Charge</v>
      </c>
      <c r="F53" s="62">
        <f>'Billing Detail'!H152</f>
        <v>1263.4000000000001</v>
      </c>
      <c r="G53" s="62">
        <f>'Billing Detail'!L152</f>
        <v>1342.8730530000621</v>
      </c>
      <c r="H53" s="62">
        <f t="shared" si="0"/>
        <v>79.473053000062009</v>
      </c>
      <c r="I53" s="5">
        <f t="shared" si="1"/>
        <v>6.2904110337234448E-2</v>
      </c>
    </row>
    <row r="54" spans="3:9" x14ac:dyDescent="0.25">
      <c r="C54" s="15"/>
      <c r="D54" s="89"/>
      <c r="E54" s="2" t="str">
        <f>'Billing Detail'!D153</f>
        <v>Demand Charge -Contract per kW</v>
      </c>
      <c r="F54" s="62">
        <f>'Billing Detail'!H153</f>
        <v>7.43</v>
      </c>
      <c r="G54" s="62">
        <f>'Billing Detail'!L153</f>
        <v>7.8973775398056523</v>
      </c>
      <c r="H54" s="62">
        <f t="shared" si="0"/>
        <v>0.46737753980565255</v>
      </c>
      <c r="I54" s="5">
        <f t="shared" si="1"/>
        <v>6.2904110337234531E-2</v>
      </c>
    </row>
    <row r="55" spans="3:9" x14ac:dyDescent="0.25">
      <c r="C55" s="15"/>
      <c r="D55" s="89"/>
      <c r="E55" s="2" t="str">
        <f>'Billing Detail'!D154</f>
        <v>Demand Charge - Excess per kW</v>
      </c>
      <c r="F55" s="62">
        <f>'Billing Detail'!H154</f>
        <v>10.34</v>
      </c>
      <c r="G55" s="62">
        <f>'Billing Detail'!L154</f>
        <v>10.990428500887004</v>
      </c>
      <c r="H55" s="62">
        <f t="shared" si="0"/>
        <v>0.65042850088700455</v>
      </c>
      <c r="I55" s="5">
        <f t="shared" si="1"/>
        <v>6.290411033723449E-2</v>
      </c>
    </row>
    <row r="56" spans="3:9" x14ac:dyDescent="0.25">
      <c r="C56" s="15"/>
      <c r="D56" s="89"/>
      <c r="E56" s="2" t="str">
        <f>'Billing Detail'!D155</f>
        <v>Energy Charge per kWh</v>
      </c>
      <c r="F56" s="63">
        <f>'Billing Detail'!H155</f>
        <v>5.901E-2</v>
      </c>
      <c r="G56" s="63">
        <f>'Billing Detail'!L155</f>
        <v>6.2721971551000205E-2</v>
      </c>
      <c r="H56" s="62">
        <f t="shared" si="0"/>
        <v>3.7119715510002052E-3</v>
      </c>
      <c r="I56" s="5">
        <f t="shared" si="1"/>
        <v>6.2904110337234462E-2</v>
      </c>
    </row>
    <row r="57" spans="3:9" x14ac:dyDescent="0.25">
      <c r="C57" s="15">
        <f>'Billing Detail'!C156</f>
        <v>11</v>
      </c>
      <c r="D57" s="89" t="str">
        <f>'Billing Detail'!B156</f>
        <v>Industrial</v>
      </c>
      <c r="F57" s="62"/>
      <c r="G57" s="62"/>
      <c r="H57" s="62"/>
      <c r="I57" s="5"/>
    </row>
    <row r="58" spans="3:9" x14ac:dyDescent="0.25">
      <c r="C58" s="15"/>
      <c r="D58" s="89"/>
      <c r="E58" s="2" t="str">
        <f>'Billing Detail'!D157</f>
        <v>Consumer Charge</v>
      </c>
      <c r="F58" s="62">
        <f>'Billing Detail'!H157</f>
        <v>1263.24</v>
      </c>
      <c r="G58" s="62">
        <f>'Billing Detail'!L157</f>
        <v>1378.0921976823231</v>
      </c>
      <c r="H58" s="62">
        <f t="shared" si="0"/>
        <v>114.85219768232309</v>
      </c>
      <c r="I58" s="5">
        <f t="shared" si="1"/>
        <v>9.0918746779965087E-2</v>
      </c>
    </row>
    <row r="59" spans="3:9" x14ac:dyDescent="0.25">
      <c r="C59" s="15"/>
      <c r="D59" s="89"/>
      <c r="E59" s="2" t="str">
        <f>'Billing Detail'!D158</f>
        <v>Demand - Contract per kW</v>
      </c>
      <c r="F59" s="62">
        <f>'Billing Detail'!H158</f>
        <v>6.36</v>
      </c>
      <c r="G59" s="62">
        <f>'Billing Detail'!L158</f>
        <v>6.94</v>
      </c>
      <c r="H59" s="62">
        <f t="shared" si="0"/>
        <v>0.58000000000000007</v>
      </c>
      <c r="I59" s="5">
        <f t="shared" si="1"/>
        <v>9.1194968553459127E-2</v>
      </c>
    </row>
    <row r="60" spans="3:9" x14ac:dyDescent="0.25">
      <c r="C60" s="15"/>
      <c r="D60" s="89"/>
      <c r="E60" s="2" t="str">
        <f>'Billing Detail'!D159</f>
        <v>Demand - Excess per kW</v>
      </c>
      <c r="F60" s="62">
        <f>'Billing Detail'!H159</f>
        <v>9.25</v>
      </c>
      <c r="G60" s="62">
        <f>'Billing Detail'!L159</f>
        <v>10.090998407714677</v>
      </c>
      <c r="H60" s="62">
        <f t="shared" si="0"/>
        <v>0.84099840771467704</v>
      </c>
      <c r="I60" s="5">
        <f t="shared" si="1"/>
        <v>9.0918746779965087E-2</v>
      </c>
    </row>
    <row r="61" spans="3:9" x14ac:dyDescent="0.25">
      <c r="C61" s="15"/>
      <c r="D61" s="89"/>
      <c r="E61" s="2" t="str">
        <f>'Billing Detail'!D160</f>
        <v>Energy Charge per kWh</v>
      </c>
      <c r="F61" s="63">
        <f>'Billing Detail'!H160</f>
        <v>5.9310000000000002E-2</v>
      </c>
      <c r="G61" s="63">
        <f>'Billing Detail'!L160</f>
        <v>6.470239087151973E-2</v>
      </c>
      <c r="H61" s="62">
        <f t="shared" si="0"/>
        <v>5.3923908715197283E-3</v>
      </c>
      <c r="I61" s="5">
        <f t="shared" si="1"/>
        <v>9.0918746779965073E-2</v>
      </c>
    </row>
    <row r="62" spans="3:9" x14ac:dyDescent="0.25">
      <c r="C62" s="15">
        <f>'Billing Detail'!C161</f>
        <v>12</v>
      </c>
      <c r="D62" s="89" t="str">
        <f>'Billing Detail'!B161</f>
        <v>Industrial C</v>
      </c>
      <c r="F62" s="62"/>
      <c r="G62" s="62"/>
      <c r="H62" s="62"/>
      <c r="I62" s="5"/>
    </row>
    <row r="63" spans="3:9" x14ac:dyDescent="0.25">
      <c r="C63" s="15"/>
      <c r="D63" s="89"/>
      <c r="E63" s="2" t="str">
        <f>'Billing Detail'!D162</f>
        <v>Consumer Charge New Substation</v>
      </c>
      <c r="F63" s="62">
        <f>'Billing Detail'!H162</f>
        <v>1263.24</v>
      </c>
      <c r="G63" s="62">
        <f>'Billing Detail'!L162</f>
        <v>1378.0921976823231</v>
      </c>
      <c r="H63" s="62">
        <f t="shared" si="0"/>
        <v>114.85219768232309</v>
      </c>
      <c r="I63" s="5">
        <f t="shared" si="1"/>
        <v>9.0918746779965087E-2</v>
      </c>
    </row>
    <row r="64" spans="3:9" x14ac:dyDescent="0.25">
      <c r="C64" s="15"/>
      <c r="D64" s="89"/>
      <c r="E64" s="2" t="str">
        <f>'Billing Detail'!D163</f>
        <v>Consumer Charge Existing Sub</v>
      </c>
      <c r="F64" s="62">
        <f>'Billing Detail'!H163</f>
        <v>632.20000000000005</v>
      </c>
      <c r="G64" s="62">
        <f>'Billing Detail'!L163</f>
        <v>689.09800000000007</v>
      </c>
      <c r="H64" s="62">
        <f t="shared" si="0"/>
        <v>56.898000000000025</v>
      </c>
      <c r="I64" s="5">
        <f t="shared" si="1"/>
        <v>9.0000000000000038E-2</v>
      </c>
    </row>
    <row r="65" spans="3:9" x14ac:dyDescent="0.25">
      <c r="C65" s="15"/>
      <c r="D65" s="89"/>
      <c r="E65" s="2" t="str">
        <f>'Billing Detail'!D164</f>
        <v>Demand - Contract per kW</v>
      </c>
      <c r="F65" s="62">
        <f>'Billing Detail'!H164</f>
        <v>6.36</v>
      </c>
      <c r="G65" s="62">
        <f>'Billing Detail'!L164</f>
        <v>6.94</v>
      </c>
      <c r="H65" s="62">
        <f t="shared" si="0"/>
        <v>0.58000000000000007</v>
      </c>
      <c r="I65" s="5">
        <f t="shared" si="1"/>
        <v>9.1194968553459127E-2</v>
      </c>
    </row>
    <row r="66" spans="3:9" x14ac:dyDescent="0.25">
      <c r="C66" s="15"/>
      <c r="D66" s="89"/>
      <c r="E66" s="2" t="str">
        <f>'Billing Detail'!D165</f>
        <v>Energy Charge per kWh</v>
      </c>
      <c r="F66" s="63">
        <f>'Billing Detail'!H165</f>
        <v>6.6400000000000001E-2</v>
      </c>
      <c r="G66" s="63">
        <f>'Billing Detail'!L165</f>
        <v>7.237600000000001E-2</v>
      </c>
      <c r="H66" s="62">
        <f t="shared" si="0"/>
        <v>5.9760000000000091E-3</v>
      </c>
      <c r="I66" s="5">
        <f t="shared" si="1"/>
        <v>9.0000000000000135E-2</v>
      </c>
    </row>
    <row r="67" spans="3:9" x14ac:dyDescent="0.25">
      <c r="C67" s="15">
        <f>'Billing Detail'!C166</f>
        <v>13</v>
      </c>
      <c r="D67" s="89" t="str">
        <f>'Billing Detail'!B166</f>
        <v>Industrial C</v>
      </c>
      <c r="F67" s="62"/>
      <c r="G67" s="62"/>
      <c r="H67" s="62"/>
      <c r="I67" s="5"/>
    </row>
    <row r="68" spans="3:9" x14ac:dyDescent="0.25">
      <c r="C68" s="15"/>
      <c r="D68" s="89"/>
      <c r="E68" s="2" t="str">
        <f>'Billing Detail'!D167</f>
        <v>Customer Charge</v>
      </c>
      <c r="F68" s="62">
        <f>'Billing Detail'!H167</f>
        <v>1263.24</v>
      </c>
      <c r="G68" s="62">
        <f>'Billing Detail'!L167</f>
        <v>1376.9316000000001</v>
      </c>
      <c r="H68" s="62">
        <f t="shared" si="0"/>
        <v>113.69160000000011</v>
      </c>
      <c r="I68" s="5">
        <f t="shared" si="1"/>
        <v>9.000000000000008E-2</v>
      </c>
    </row>
    <row r="69" spans="3:9" x14ac:dyDescent="0.25">
      <c r="C69" s="15"/>
      <c r="D69" s="89"/>
      <c r="E69" s="2" t="str">
        <f>'Billing Detail'!D168</f>
        <v>Demand Charge per kW</v>
      </c>
      <c r="F69" s="62">
        <f>'Billing Detail'!H168</f>
        <v>6.36</v>
      </c>
      <c r="G69" s="62">
        <f>'Billing Detail'!L168</f>
        <v>6.94</v>
      </c>
      <c r="H69" s="62">
        <f t="shared" si="0"/>
        <v>0.58000000000000007</v>
      </c>
      <c r="I69" s="5">
        <f t="shared" si="1"/>
        <v>9.1194968553459127E-2</v>
      </c>
    </row>
    <row r="70" spans="3:9" x14ac:dyDescent="0.25">
      <c r="C70" s="15"/>
      <c r="D70" s="89"/>
      <c r="E70" s="2" t="str">
        <f>'Billing Detail'!D169</f>
        <v>Energy Charge per kWh</v>
      </c>
      <c r="F70" s="63">
        <f>'Billing Detail'!H169</f>
        <v>6.0490000000000002E-2</v>
      </c>
      <c r="G70" s="63">
        <f>'Billing Detail'!L169</f>
        <v>6.5934100000000009E-2</v>
      </c>
      <c r="H70" s="62">
        <f t="shared" si="0"/>
        <v>5.4441000000000073E-3</v>
      </c>
      <c r="I70" s="5">
        <f t="shared" si="1"/>
        <v>9.0000000000000122E-2</v>
      </c>
    </row>
    <row r="71" spans="3:9" x14ac:dyDescent="0.25">
      <c r="C71" s="15">
        <f>'Billing Detail'!C170</f>
        <v>14</v>
      </c>
      <c r="D71" s="89" t="str">
        <f>'Billing Detail'!B170</f>
        <v>Industrial C</v>
      </c>
      <c r="F71" s="62"/>
      <c r="G71" s="62"/>
      <c r="H71" s="62"/>
      <c r="I71" s="5"/>
    </row>
    <row r="72" spans="3:9" x14ac:dyDescent="0.25">
      <c r="C72" s="4"/>
      <c r="D72" s="89"/>
      <c r="E72" s="2" t="str">
        <f>'Billing Detail'!D171</f>
        <v>Customer Charge</v>
      </c>
      <c r="F72" s="62">
        <f>'Billing Detail'!H171</f>
        <v>1263.24</v>
      </c>
      <c r="G72" s="62">
        <f>'Billing Detail'!L171</f>
        <v>1376.9316000000001</v>
      </c>
      <c r="H72" s="62">
        <f t="shared" ref="H72:H74" si="2">G72-F72</f>
        <v>113.69160000000011</v>
      </c>
      <c r="I72" s="5">
        <f t="shared" ref="I72:I74" si="3">H72/F72</f>
        <v>9.000000000000008E-2</v>
      </c>
    </row>
    <row r="73" spans="3:9" x14ac:dyDescent="0.25">
      <c r="C73" s="4"/>
      <c r="D73" s="89"/>
      <c r="E73" s="2" t="str">
        <f>'Billing Detail'!D172</f>
        <v>Demand Charge per kW</v>
      </c>
      <c r="F73" s="62">
        <f>'Billing Detail'!H172</f>
        <v>6.36</v>
      </c>
      <c r="G73" s="62">
        <f>'Billing Detail'!L172</f>
        <v>6.94</v>
      </c>
      <c r="H73" s="62">
        <f t="shared" si="2"/>
        <v>0.58000000000000007</v>
      </c>
      <c r="I73" s="5">
        <f t="shared" si="3"/>
        <v>9.1194968553459127E-2</v>
      </c>
    </row>
    <row r="74" spans="3:9" x14ac:dyDescent="0.25">
      <c r="C74" s="4"/>
      <c r="D74" s="89"/>
      <c r="E74" s="2" t="str">
        <f>'Billing Detail'!D173</f>
        <v>Energy Charge per kWh</v>
      </c>
      <c r="F74" s="63">
        <f>'Billing Detail'!H173</f>
        <v>5.9310000000000002E-2</v>
      </c>
      <c r="G74" s="63">
        <f>'Billing Detail'!L173</f>
        <v>6.4647900000000008E-2</v>
      </c>
      <c r="H74" s="62">
        <f t="shared" si="2"/>
        <v>5.3379000000000065E-3</v>
      </c>
      <c r="I74" s="5">
        <f t="shared" si="3"/>
        <v>9.0000000000000108E-2</v>
      </c>
    </row>
    <row r="75" spans="3:9" x14ac:dyDescent="0.25">
      <c r="C75" s="4"/>
      <c r="D75" s="89"/>
      <c r="F75" s="59"/>
      <c r="G75" s="59"/>
    </row>
    <row r="76" spans="3:9" x14ac:dyDescent="0.25">
      <c r="F76" s="59"/>
      <c r="G76" s="59"/>
    </row>
    <row r="77" spans="3:9" ht="39.6" customHeight="1" x14ac:dyDescent="0.25">
      <c r="C77" s="148" t="s">
        <v>95</v>
      </c>
      <c r="D77" s="148"/>
      <c r="E77" s="148"/>
      <c r="F77" s="148"/>
      <c r="G77" s="148"/>
    </row>
    <row r="78" spans="3:9" x14ac:dyDescent="0.25">
      <c r="C78" s="4"/>
      <c r="D78" s="2"/>
      <c r="F78" s="149" t="s">
        <v>96</v>
      </c>
      <c r="G78" s="149"/>
    </row>
    <row r="79" spans="3:9" x14ac:dyDescent="0.25">
      <c r="C79" s="66" t="s">
        <v>97</v>
      </c>
      <c r="D79" s="67"/>
      <c r="E79" s="68"/>
      <c r="F79" s="69" t="s">
        <v>98</v>
      </c>
      <c r="G79" s="69" t="s">
        <v>99</v>
      </c>
    </row>
    <row r="80" spans="3:9" x14ac:dyDescent="0.25">
      <c r="C80" s="70" t="str">
        <f>Summary!B11</f>
        <v>Residential</v>
      </c>
      <c r="D80" s="15">
        <f>Summary!C11</f>
        <v>1</v>
      </c>
      <c r="F80" s="71">
        <f>Summary!L11</f>
        <v>2765052.9562880043</v>
      </c>
      <c r="G80" s="72">
        <f>Summary!N11</f>
        <v>5.102922959838492E-2</v>
      </c>
    </row>
    <row r="81" spans="3:8" x14ac:dyDescent="0.25">
      <c r="C81" s="70" t="str">
        <f>Summary!B12</f>
        <v>Commercial</v>
      </c>
      <c r="D81" s="15">
        <f>Summary!C12</f>
        <v>2</v>
      </c>
      <c r="F81" s="71">
        <f>Summary!L12</f>
        <v>240242.40148000012</v>
      </c>
      <c r="G81" s="72">
        <f>Summary!N12</f>
        <v>5.114413019543651E-2</v>
      </c>
    </row>
    <row r="82" spans="3:8" x14ac:dyDescent="0.25">
      <c r="C82" s="70" t="str">
        <f>Summary!B13</f>
        <v>Large Power</v>
      </c>
      <c r="D82" s="15">
        <f>Summary!C13</f>
        <v>3</v>
      </c>
      <c r="F82" s="71">
        <f>Summary!L13</f>
        <v>108351.54135699991</v>
      </c>
      <c r="G82" s="72">
        <f>Summary!N13</f>
        <v>5.1668941566768482E-2</v>
      </c>
    </row>
    <row r="83" spans="3:8" x14ac:dyDescent="0.25">
      <c r="C83" s="70" t="str">
        <f>Summary!B14</f>
        <v>Industrial</v>
      </c>
      <c r="D83" s="15">
        <f>Summary!C14</f>
        <v>4</v>
      </c>
      <c r="F83" s="71">
        <f>Summary!L14</f>
        <v>337924.68870400003</v>
      </c>
      <c r="G83" s="72">
        <f>Summary!N14</f>
        <v>5.1551342471176542E-2</v>
      </c>
    </row>
    <row r="84" spans="3:8" x14ac:dyDescent="0.25">
      <c r="C84" s="70" t="str">
        <f>Summary!B19</f>
        <v>Industrial</v>
      </c>
      <c r="D84" s="15">
        <f>Summary!C19</f>
        <v>9</v>
      </c>
      <c r="F84" s="71">
        <f>Summary!L19</f>
        <v>80480.717504999935</v>
      </c>
      <c r="G84" s="72">
        <f>Summary!N19</f>
        <v>8.0709551305519059E-2</v>
      </c>
    </row>
    <row r="85" spans="3:8" x14ac:dyDescent="0.25">
      <c r="C85" s="70" t="str">
        <f>Summary!B15</f>
        <v>Lighting</v>
      </c>
      <c r="D85" s="15" t="str">
        <f>Summary!C15</f>
        <v>5,6</v>
      </c>
      <c r="F85" s="71">
        <f>Summary!L15</f>
        <v>75699.690000000177</v>
      </c>
      <c r="G85" s="72">
        <f>Summary!N15</f>
        <v>5.2100567448875167E-2</v>
      </c>
    </row>
    <row r="86" spans="3:8" x14ac:dyDescent="0.25">
      <c r="C86" s="70" t="str">
        <f>Summary!B18</f>
        <v>AGC Automotive</v>
      </c>
      <c r="D86" s="15" t="str">
        <f>Summary!C18</f>
        <v>Special</v>
      </c>
      <c r="F86" s="71">
        <f>Summary!L18</f>
        <v>757858.52000000025</v>
      </c>
      <c r="G86" s="72">
        <f>Summary!N18</f>
        <v>9.9805543276796096E-2</v>
      </c>
    </row>
    <row r="87" spans="3:8" x14ac:dyDescent="0.25">
      <c r="C87" s="73" t="s">
        <v>100</v>
      </c>
      <c r="D87" s="82"/>
      <c r="E87" s="39"/>
      <c r="F87" s="74">
        <f>Summary!L30</f>
        <v>4365610.5153340101</v>
      </c>
      <c r="G87" s="75">
        <f>Summary!N30</f>
        <v>5.6273355643559765E-2</v>
      </c>
    </row>
    <row r="88" spans="3:8" x14ac:dyDescent="0.25">
      <c r="C88" s="4"/>
      <c r="D88" s="2"/>
    </row>
    <row r="89" spans="3:8" ht="39.6" customHeight="1" x14ac:dyDescent="0.25">
      <c r="C89" s="148" t="s">
        <v>101</v>
      </c>
      <c r="D89" s="148"/>
      <c r="E89" s="148"/>
      <c r="F89" s="148"/>
      <c r="G89" s="148"/>
      <c r="H89" s="143"/>
    </row>
    <row r="90" spans="3:8" x14ac:dyDescent="0.25">
      <c r="C90" s="4"/>
      <c r="D90" s="2"/>
      <c r="E90" s="76" t="s">
        <v>18</v>
      </c>
      <c r="F90" s="149" t="s">
        <v>96</v>
      </c>
      <c r="G90" s="149"/>
    </row>
    <row r="91" spans="3:8" x14ac:dyDescent="0.25">
      <c r="C91" s="66" t="s">
        <v>97</v>
      </c>
      <c r="D91" s="68"/>
      <c r="E91" s="84" t="s">
        <v>102</v>
      </c>
      <c r="F91" s="69" t="s">
        <v>98</v>
      </c>
      <c r="G91" s="69" t="s">
        <v>99</v>
      </c>
    </row>
    <row r="92" spans="3:8" x14ac:dyDescent="0.25">
      <c r="C92" s="4" t="str">
        <f>Summary!B11</f>
        <v>Residential</v>
      </c>
      <c r="D92" s="83">
        <f>Summary!C11</f>
        <v>1</v>
      </c>
      <c r="E92" s="80">
        <f>'Billing Detail'!E17</f>
        <v>1069.3094984982815</v>
      </c>
      <c r="F92" s="81">
        <f>'Billing Detail'!N17</f>
        <v>7.1345894691038438</v>
      </c>
      <c r="G92" s="85">
        <f>Summary!N11</f>
        <v>5.102922959838492E-2</v>
      </c>
    </row>
    <row r="93" spans="3:8" x14ac:dyDescent="0.25">
      <c r="C93" s="4" t="str">
        <f>Summary!B12</f>
        <v>Commercial</v>
      </c>
      <c r="D93" s="83">
        <f>Summary!C12</f>
        <v>2</v>
      </c>
      <c r="E93" s="80">
        <f>'Billing Detail'!E29</f>
        <v>1398.5189327368589</v>
      </c>
      <c r="F93" s="81">
        <f>'Billing Detail'!N29</f>
        <v>9.5958779948873598</v>
      </c>
      <c r="G93" s="85">
        <f>Summary!N12</f>
        <v>5.114413019543651E-2</v>
      </c>
    </row>
    <row r="94" spans="3:8" x14ac:dyDescent="0.25">
      <c r="C94" s="4" t="str">
        <f>Summary!B13</f>
        <v>Large Power</v>
      </c>
      <c r="D94" s="83">
        <f>Summary!C13</f>
        <v>3</v>
      </c>
      <c r="E94" s="80">
        <f>'Billing Detail'!E42</f>
        <v>16186.089072543618</v>
      </c>
      <c r="F94" s="81">
        <f>'Billing Detail'!N42</f>
        <v>99.496364882460739</v>
      </c>
      <c r="G94" s="85">
        <f>Summary!N13</f>
        <v>5.1668941566768482E-2</v>
      </c>
    </row>
    <row r="95" spans="3:8" x14ac:dyDescent="0.25">
      <c r="C95" s="4" t="str">
        <f>Summary!B14</f>
        <v>Industrial</v>
      </c>
      <c r="D95" s="83">
        <f>Summary!C14</f>
        <v>4</v>
      </c>
      <c r="E95" s="80">
        <f>'Billing Detail'!E55</f>
        <v>51112.743447180299</v>
      </c>
      <c r="F95" s="81">
        <f>'Billing Detail'!N55</f>
        <v>268.40721898649736</v>
      </c>
      <c r="G95" s="85">
        <f>Summary!N14</f>
        <v>5.1551342471176542E-2</v>
      </c>
    </row>
    <row r="96" spans="3:8" x14ac:dyDescent="0.25">
      <c r="C96" s="4" t="str">
        <f>Summary!B19</f>
        <v>Industrial</v>
      </c>
      <c r="D96" s="83">
        <f>Summary!C19</f>
        <v>9</v>
      </c>
      <c r="E96" s="80">
        <f>'Billing Detail'!E69</f>
        <v>909570.25</v>
      </c>
      <c r="F96" s="81">
        <f>'Billing Detail'!N69</f>
        <v>6706.7264587500104</v>
      </c>
      <c r="G96" s="85">
        <f>Summary!N19</f>
        <v>8.0709551305519059E-2</v>
      </c>
    </row>
    <row r="97" spans="3:7" x14ac:dyDescent="0.25">
      <c r="C97" s="4" t="str">
        <f>Summary!B15</f>
        <v>Lighting</v>
      </c>
      <c r="D97" s="83" t="str">
        <f>Summary!C15</f>
        <v>5,6</v>
      </c>
      <c r="E97" s="80" t="s">
        <v>103</v>
      </c>
      <c r="F97" s="81" t="s">
        <v>103</v>
      </c>
      <c r="G97" s="85">
        <f>Summary!N15</f>
        <v>5.2100567448875167E-2</v>
      </c>
    </row>
    <row r="98" spans="3:7" x14ac:dyDescent="0.25">
      <c r="C98" s="4" t="str">
        <f>Summary!B18</f>
        <v>AGC Automotive</v>
      </c>
      <c r="D98" s="83" t="str">
        <f>Summary!C18</f>
        <v>Special</v>
      </c>
      <c r="E98" s="80">
        <f>'Billing Detail'!E129</f>
        <v>9612862.5</v>
      </c>
      <c r="F98" s="81">
        <f>'Billing Detail'!N129</f>
        <v>63154.876666666707</v>
      </c>
      <c r="G98" s="85">
        <f>Summary!N18</f>
        <v>9.9805543276796096E-2</v>
      </c>
    </row>
    <row r="99" spans="3:7" x14ac:dyDescent="0.25">
      <c r="C99" s="4"/>
      <c r="D99" s="77"/>
      <c r="E99" s="78"/>
      <c r="F99" s="79"/>
      <c r="G99" s="5"/>
    </row>
    <row r="100" spans="3:7" x14ac:dyDescent="0.25">
      <c r="C100" s="4"/>
      <c r="D100" s="77"/>
      <c r="E100" s="78"/>
      <c r="F100" s="79"/>
      <c r="G100" s="5"/>
    </row>
    <row r="101" spans="3:7" x14ac:dyDescent="0.25">
      <c r="C101" s="4"/>
      <c r="D101" s="77"/>
      <c r="E101" s="78"/>
      <c r="F101" s="79"/>
      <c r="G101" s="5"/>
    </row>
    <row r="102" spans="3:7" x14ac:dyDescent="0.25">
      <c r="C102" s="4"/>
      <c r="D102" s="77"/>
      <c r="E102" s="78"/>
      <c r="F102" s="79"/>
      <c r="G102" s="5"/>
    </row>
    <row r="103" spans="3:7" x14ac:dyDescent="0.25">
      <c r="C103" s="4"/>
      <c r="D103" s="77"/>
      <c r="E103" s="78"/>
      <c r="F103" s="79"/>
      <c r="G103" s="5"/>
    </row>
    <row r="104" spans="3:7" x14ac:dyDescent="0.25">
      <c r="C104" s="4"/>
      <c r="D104" s="77"/>
      <c r="E104" s="78"/>
      <c r="F104" s="79"/>
      <c r="G104" s="5"/>
    </row>
    <row r="105" spans="3:7" x14ac:dyDescent="0.25">
      <c r="C105" s="4"/>
      <c r="D105" s="77"/>
      <c r="E105" s="78"/>
      <c r="F105" s="79"/>
      <c r="G105" s="5"/>
    </row>
    <row r="106" spans="3:7" x14ac:dyDescent="0.25">
      <c r="C106" s="4"/>
      <c r="D106" s="77"/>
      <c r="E106" s="78"/>
      <c r="F106" s="79"/>
      <c r="G106" s="5"/>
    </row>
    <row r="107" spans="3:7" x14ac:dyDescent="0.25">
      <c r="C107" s="4"/>
      <c r="D107" s="77"/>
      <c r="E107" s="78"/>
      <c r="F107" s="79"/>
      <c r="G107" s="5"/>
    </row>
    <row r="108" spans="3:7" x14ac:dyDescent="0.25">
      <c r="C108" s="4"/>
      <c r="D108" s="77"/>
      <c r="E108" s="78"/>
      <c r="F108" s="79"/>
      <c r="G108" s="5"/>
    </row>
    <row r="109" spans="3:7" x14ac:dyDescent="0.25">
      <c r="C109" s="4"/>
      <c r="D109" s="77"/>
      <c r="E109" s="78"/>
      <c r="F109" s="79"/>
      <c r="G109" s="5"/>
    </row>
    <row r="110" spans="3:7" x14ac:dyDescent="0.25">
      <c r="C110" s="4"/>
      <c r="D110" s="77"/>
      <c r="E110" s="78"/>
      <c r="F110" s="79"/>
      <c r="G110" s="5"/>
    </row>
    <row r="111" spans="3:7" x14ac:dyDescent="0.25">
      <c r="C111" s="4"/>
      <c r="D111" s="77"/>
      <c r="E111" s="80"/>
      <c r="F111" s="81"/>
      <c r="G111" s="5"/>
    </row>
    <row r="112" spans="3:7" x14ac:dyDescent="0.25">
      <c r="C112" s="4"/>
      <c r="D112" s="2"/>
      <c r="F112" s="62"/>
      <c r="G112" s="62"/>
    </row>
    <row r="113" spans="3:7" x14ac:dyDescent="0.25">
      <c r="C113" s="4"/>
      <c r="D113" s="2"/>
      <c r="F113" s="62"/>
      <c r="G113" s="62"/>
    </row>
  </sheetData>
  <mergeCells count="4">
    <mergeCell ref="C77:G77"/>
    <mergeCell ref="F78:G78"/>
    <mergeCell ref="F90:G90"/>
    <mergeCell ref="C89:G89"/>
  </mergeCells>
  <printOptions horizontalCentered="1"/>
  <pageMargins left="0.7" right="0.7" top="0.75" bottom="0.75" header="0.3" footer="0.3"/>
  <pageSetup paperSize="9" scale="86" fitToHeight="2" orientation="portrait" r:id="rId1"/>
  <headerFooter>
    <oddHeader>&amp;R&amp;"Arial,Bold"&amp;10Exhibit 3
Page &amp;P of &amp;N</oddHeader>
  </headerFooter>
  <rowBreaks count="1" manualBreakCount="1"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2021-03-24T16:59:27Z</cp:lastPrinted>
  <dcterms:created xsi:type="dcterms:W3CDTF">2021-02-09T02:13:44Z</dcterms:created>
  <dcterms:modified xsi:type="dcterms:W3CDTF">2025-09-10T00:26:19Z</dcterms:modified>
</cp:coreProperties>
</file>